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3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RealRocketDims" sheetId="12" r:id="rId8"/>
    <sheet name="HeatShieldCalc" sheetId="13" r:id="rId9"/>
    <sheet name="Sheet1" sheetId="14" r:id="rId10"/>
    <sheet name="StockEffects" sheetId="15" r:id="rId11"/>
  </sheets>
  <calcPr calcId="145621"/>
</workbook>
</file>

<file path=xl/calcChain.xml><?xml version="1.0" encoding="utf-8"?>
<calcChain xmlns="http://schemas.openxmlformats.org/spreadsheetml/2006/main">
  <c r="T44" i="8" l="1"/>
  <c r="S44" i="8" s="1"/>
  <c r="Q44" i="8"/>
  <c r="P44" i="8"/>
  <c r="O44" i="8"/>
  <c r="N44" i="8"/>
  <c r="J44" i="8"/>
  <c r="U44" i="8" s="1"/>
  <c r="I44" i="8"/>
  <c r="T43" i="8"/>
  <c r="S43" i="8"/>
  <c r="P43" i="8"/>
  <c r="Q43" i="8" s="1"/>
  <c r="O43" i="8"/>
  <c r="N43" i="8"/>
  <c r="I43" i="8"/>
  <c r="H43" i="8"/>
  <c r="J43" i="8" s="1"/>
  <c r="U43" i="8" s="1"/>
  <c r="T42" i="8"/>
  <c r="P42" i="8"/>
  <c r="Q42" i="8" s="1"/>
  <c r="O42" i="8"/>
  <c r="J42" i="8"/>
  <c r="U42" i="8" s="1"/>
  <c r="I42" i="8"/>
  <c r="Q41" i="8"/>
  <c r="T41" i="8" s="1"/>
  <c r="S41" i="8" s="1"/>
  <c r="P41" i="8"/>
  <c r="O41" i="8"/>
  <c r="N41" i="8"/>
  <c r="J41" i="8"/>
  <c r="U41" i="8" s="1"/>
  <c r="I41" i="8"/>
  <c r="U40" i="8"/>
  <c r="Q40" i="8"/>
  <c r="T40" i="8" s="1"/>
  <c r="S40" i="8" s="1"/>
  <c r="P40" i="8"/>
  <c r="O40" i="8"/>
  <c r="J40" i="8"/>
  <c r="I40" i="8"/>
  <c r="U39" i="8"/>
  <c r="Q39" i="8"/>
  <c r="T39" i="8" s="1"/>
  <c r="S39" i="8" s="1"/>
  <c r="P39" i="8"/>
  <c r="O39" i="8"/>
  <c r="I39" i="8"/>
  <c r="P38" i="8"/>
  <c r="Q38" i="8" s="1"/>
  <c r="T38" i="8" s="1"/>
  <c r="S38" i="8" s="1"/>
  <c r="O38" i="8"/>
  <c r="N38" i="8"/>
  <c r="J38" i="8"/>
  <c r="U38" i="8" s="1"/>
  <c r="I38" i="8"/>
  <c r="Q37" i="8"/>
  <c r="T37" i="8" s="1"/>
  <c r="S37" i="8" s="1"/>
  <c r="P37" i="8"/>
  <c r="O37" i="8"/>
  <c r="N37" i="8"/>
  <c r="J37" i="8"/>
  <c r="U37" i="8" s="1"/>
  <c r="I37" i="8"/>
  <c r="Q36" i="8"/>
  <c r="T36" i="8" s="1"/>
  <c r="S36" i="8" s="1"/>
  <c r="P36" i="8"/>
  <c r="O36" i="8"/>
  <c r="N36" i="8"/>
  <c r="J36" i="8"/>
  <c r="U36" i="8" s="1"/>
  <c r="I36" i="8"/>
  <c r="Q35" i="8"/>
  <c r="T35" i="8" s="1"/>
  <c r="S35" i="8" s="1"/>
  <c r="P35" i="8"/>
  <c r="O35" i="8"/>
  <c r="N35" i="8"/>
  <c r="J35" i="8"/>
  <c r="U35" i="8" s="1"/>
  <c r="I35" i="8"/>
  <c r="T34" i="8"/>
  <c r="S34" i="8"/>
  <c r="P34" i="8"/>
  <c r="Q34" i="8" s="1"/>
  <c r="O34" i="8"/>
  <c r="J34" i="8"/>
  <c r="U34" i="8" s="1"/>
  <c r="I34" i="8"/>
  <c r="Q33" i="8"/>
  <c r="T33" i="8" s="1"/>
  <c r="S33" i="8" s="1"/>
  <c r="P33" i="8"/>
  <c r="O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Q31" i="8"/>
  <c r="T31" i="8" s="1"/>
  <c r="S31" i="8" s="1"/>
  <c r="P31" i="8"/>
  <c r="O31" i="8"/>
  <c r="J31" i="8"/>
  <c r="U31" i="8" s="1"/>
  <c r="I31" i="8"/>
  <c r="U30" i="8"/>
  <c r="P30" i="8"/>
  <c r="Q30" i="8" s="1"/>
  <c r="T30" i="8" s="1"/>
  <c r="S30" i="8" s="1"/>
  <c r="O30" i="8"/>
  <c r="N30" i="8"/>
  <c r="J30" i="8"/>
  <c r="I30" i="8"/>
  <c r="P29" i="8"/>
  <c r="Q29" i="8" s="1"/>
  <c r="T29" i="8" s="1"/>
  <c r="S29" i="8" s="1"/>
  <c r="O29" i="8"/>
  <c r="N29" i="8"/>
  <c r="J29" i="8"/>
  <c r="U29" i="8" s="1"/>
  <c r="I29" i="8"/>
  <c r="Q28" i="8"/>
  <c r="T28" i="8" s="1"/>
  <c r="S28" i="8" s="1"/>
  <c r="P28" i="8"/>
  <c r="O28" i="8"/>
  <c r="J28" i="8"/>
  <c r="U28" i="8" s="1"/>
  <c r="I28" i="8"/>
  <c r="U27" i="8"/>
  <c r="P27" i="8"/>
  <c r="Q27" i="8" s="1"/>
  <c r="T27" i="8" s="1"/>
  <c r="S27" i="8" s="1"/>
  <c r="O27" i="8"/>
  <c r="N27" i="8"/>
  <c r="J27" i="8"/>
  <c r="I27" i="8"/>
  <c r="P26" i="8"/>
  <c r="Q26" i="8" s="1"/>
  <c r="T26" i="8" s="1"/>
  <c r="S26" i="8" s="1"/>
  <c r="O26" i="8"/>
  <c r="J26" i="8"/>
  <c r="U26" i="8" s="1"/>
  <c r="I26" i="8"/>
  <c r="U25" i="8"/>
  <c r="P25" i="8"/>
  <c r="Q25" i="8" s="1"/>
  <c r="T25" i="8" s="1"/>
  <c r="S25" i="8" s="1"/>
  <c r="O25" i="8"/>
  <c r="N25" i="8"/>
  <c r="J25" i="8"/>
  <c r="I25" i="8"/>
  <c r="U24" i="8"/>
  <c r="P24" i="8"/>
  <c r="Q24" i="8" s="1"/>
  <c r="T24" i="8" s="1"/>
  <c r="S24" i="8" s="1"/>
  <c r="O24" i="8"/>
  <c r="J24" i="8"/>
  <c r="I24" i="8"/>
  <c r="B24" i="8"/>
  <c r="P23" i="8"/>
  <c r="Q23" i="8" s="1"/>
  <c r="T23" i="8" s="1"/>
  <c r="S23" i="8" s="1"/>
  <c r="O23" i="8"/>
  <c r="N23" i="8"/>
  <c r="J23" i="8"/>
  <c r="U23" i="8" s="1"/>
  <c r="I23" i="8"/>
  <c r="Q22" i="8"/>
  <c r="T22" i="8" s="1"/>
  <c r="S22" i="8" s="1"/>
  <c r="P22" i="8"/>
  <c r="O22" i="8"/>
  <c r="N22" i="8"/>
  <c r="J22" i="8"/>
  <c r="U22" i="8" s="1"/>
  <c r="I22" i="8"/>
  <c r="U21" i="8"/>
  <c r="P21" i="8"/>
  <c r="Q21" i="8" s="1"/>
  <c r="T21" i="8" s="1"/>
  <c r="S21" i="8" s="1"/>
  <c r="O21" i="8"/>
  <c r="N21" i="8"/>
  <c r="J21" i="8"/>
  <c r="I21" i="8"/>
  <c r="U20" i="8"/>
  <c r="P20" i="8"/>
  <c r="Q20" i="8" s="1"/>
  <c r="T20" i="8" s="1"/>
  <c r="S20" i="8" s="1"/>
  <c r="O20" i="8"/>
  <c r="N20" i="8"/>
  <c r="J20" i="8"/>
  <c r="I20" i="8"/>
  <c r="T19" i="8"/>
  <c r="S19" i="8"/>
  <c r="P19" i="8"/>
  <c r="Q19" i="8" s="1"/>
  <c r="O19" i="8"/>
  <c r="N19" i="8"/>
  <c r="J19" i="8"/>
  <c r="U19" i="8" s="1"/>
  <c r="I19" i="8"/>
  <c r="U18" i="8"/>
  <c r="S18" i="8"/>
  <c r="Q18" i="8"/>
  <c r="T18" i="8" s="1"/>
  <c r="P18" i="8"/>
  <c r="O18" i="8"/>
  <c r="J18" i="8"/>
  <c r="I18" i="8"/>
  <c r="U17" i="8"/>
  <c r="P17" i="8"/>
  <c r="Q17" i="8" s="1"/>
  <c r="T17" i="8" s="1"/>
  <c r="S17" i="8" s="1"/>
  <c r="O17" i="8"/>
  <c r="N17" i="8"/>
  <c r="J17" i="8"/>
  <c r="I17" i="8"/>
  <c r="T16" i="8"/>
  <c r="S16" i="8"/>
  <c r="P16" i="8"/>
  <c r="Q16" i="8" s="1"/>
  <c r="O16" i="8"/>
  <c r="J16" i="8"/>
  <c r="U16" i="8" s="1"/>
  <c r="I16" i="8"/>
  <c r="U15" i="8"/>
  <c r="P15" i="8"/>
  <c r="Q15" i="8" s="1"/>
  <c r="T15" i="8" s="1"/>
  <c r="S15" i="8" s="1"/>
  <c r="O15" i="8"/>
  <c r="N15" i="8"/>
  <c r="J15" i="8"/>
  <c r="I15" i="8"/>
  <c r="U14" i="8"/>
  <c r="P14" i="8"/>
  <c r="Q14" i="8" s="1"/>
  <c r="T14" i="8" s="1"/>
  <c r="S14" i="8" s="1"/>
  <c r="O14" i="8"/>
  <c r="N14" i="8"/>
  <c r="J14" i="8"/>
  <c r="I14" i="8"/>
  <c r="T13" i="8"/>
  <c r="S13" i="8"/>
  <c r="P13" i="8"/>
  <c r="Q13" i="8" s="1"/>
  <c r="O13" i="8"/>
  <c r="G13" i="8" s="1"/>
  <c r="I13" i="8" s="1"/>
  <c r="N13" i="8"/>
  <c r="J13" i="8"/>
  <c r="U13" i="8" s="1"/>
  <c r="U12" i="8"/>
  <c r="Q12" i="8"/>
  <c r="T12" i="8" s="1"/>
  <c r="S12" i="8" s="1"/>
  <c r="P12" i="8"/>
  <c r="O12" i="8"/>
  <c r="J12" i="8"/>
  <c r="I12" i="8"/>
  <c r="P11" i="8"/>
  <c r="Q11" i="8" s="1"/>
  <c r="T11" i="8" s="1"/>
  <c r="S11" i="8" s="1"/>
  <c r="O11" i="8"/>
  <c r="N11" i="8"/>
  <c r="J11" i="8"/>
  <c r="U11" i="8" s="1"/>
  <c r="I11" i="8"/>
  <c r="P10" i="8"/>
  <c r="Q10" i="8" s="1"/>
  <c r="T10" i="8" s="1"/>
  <c r="S10" i="8" s="1"/>
  <c r="O10" i="8"/>
  <c r="N10" i="8"/>
  <c r="J10" i="8"/>
  <c r="U10" i="8" s="1"/>
  <c r="I10" i="8"/>
  <c r="Q9" i="8"/>
  <c r="T9" i="8" s="1"/>
  <c r="S9" i="8" s="1"/>
  <c r="P9" i="8"/>
  <c r="O9" i="8"/>
  <c r="N9" i="8"/>
  <c r="J9" i="8"/>
  <c r="U9" i="8" s="1"/>
  <c r="I9" i="8"/>
  <c r="U8" i="8"/>
  <c r="P8" i="8"/>
  <c r="Q8" i="8" s="1"/>
  <c r="T8" i="8" s="1"/>
  <c r="S8" i="8" s="1"/>
  <c r="O8" i="8"/>
  <c r="J8" i="8"/>
  <c r="I8" i="8"/>
  <c r="B8" i="8"/>
  <c r="T7" i="8"/>
  <c r="S7" i="8"/>
  <c r="P7" i="8"/>
  <c r="Q7" i="8" s="1"/>
  <c r="O7" i="8"/>
  <c r="N7" i="8"/>
  <c r="J7" i="8"/>
  <c r="U7" i="8" s="1"/>
  <c r="G7" i="8"/>
  <c r="I7" i="8" s="1"/>
  <c r="P6" i="8"/>
  <c r="Q6" i="8" s="1"/>
  <c r="T6" i="8" s="1"/>
  <c r="S6" i="8" s="1"/>
  <c r="O6" i="8"/>
  <c r="N6" i="8"/>
  <c r="C6" i="8"/>
  <c r="J6" i="8" s="1"/>
  <c r="U6" i="8" s="1"/>
  <c r="U5" i="8"/>
  <c r="T5" i="8"/>
  <c r="S5" i="8"/>
  <c r="P5" i="8"/>
  <c r="Q5" i="8" s="1"/>
  <c r="O5" i="8"/>
  <c r="N5" i="8"/>
  <c r="J5" i="8"/>
  <c r="I5" i="8"/>
  <c r="P4" i="8"/>
  <c r="Q4" i="8" s="1"/>
  <c r="T4" i="8" s="1"/>
  <c r="S4" i="8" s="1"/>
  <c r="O4" i="8"/>
  <c r="N4" i="8"/>
  <c r="J4" i="8"/>
  <c r="U4" i="8" s="1"/>
  <c r="I4" i="8"/>
  <c r="I3" i="8"/>
  <c r="J3" i="8"/>
  <c r="N3" i="8"/>
  <c r="O3" i="8"/>
  <c r="P3" i="8"/>
  <c r="Q3" i="8"/>
  <c r="T3" i="8" s="1"/>
  <c r="S3" i="8" s="1"/>
  <c r="U3" i="8"/>
  <c r="I2" i="8"/>
  <c r="J2" i="8"/>
  <c r="N2" i="8"/>
  <c r="O2" i="8"/>
  <c r="P2" i="8"/>
  <c r="Q2" i="8"/>
  <c r="T2" i="8" s="1"/>
  <c r="S2" i="8" s="1"/>
  <c r="U2" i="8"/>
  <c r="S42" i="8" l="1"/>
  <c r="I6" i="8"/>
  <c r="B3" i="13"/>
  <c r="B4" i="13"/>
  <c r="G4" i="13" s="1"/>
  <c r="B5" i="13"/>
  <c r="B6" i="13"/>
  <c r="B7" i="13"/>
  <c r="B8" i="13"/>
  <c r="G8" i="13" s="1"/>
  <c r="B9" i="13"/>
  <c r="B10" i="13"/>
  <c r="G10" i="13" s="1"/>
  <c r="B11" i="13"/>
  <c r="B12" i="13"/>
  <c r="G12" i="13" s="1"/>
  <c r="B13" i="13"/>
  <c r="B14" i="13"/>
  <c r="G14" i="13" s="1"/>
  <c r="B15" i="13"/>
  <c r="B16" i="13"/>
  <c r="G16" i="13" s="1"/>
  <c r="B17" i="13"/>
  <c r="B18" i="13"/>
  <c r="G18" i="13" s="1"/>
  <c r="B19" i="13"/>
  <c r="B20" i="13"/>
  <c r="G20" i="13" s="1"/>
  <c r="B21" i="13"/>
  <c r="B22" i="13"/>
  <c r="B23" i="13"/>
  <c r="B24" i="13"/>
  <c r="G24" i="13" s="1"/>
  <c r="B25" i="13"/>
  <c r="B26" i="13"/>
  <c r="G26" i="13" s="1"/>
  <c r="B2" i="13"/>
  <c r="G2" i="13" s="1"/>
  <c r="G3" i="13"/>
  <c r="G5" i="13"/>
  <c r="G6" i="13"/>
  <c r="G7" i="13"/>
  <c r="G9" i="13"/>
  <c r="G11" i="13"/>
  <c r="G13" i="13"/>
  <c r="G15" i="13"/>
  <c r="G17" i="13"/>
  <c r="G19" i="13"/>
  <c r="G21" i="13"/>
  <c r="G22" i="13"/>
  <c r="G23" i="13"/>
  <c r="G25" i="13"/>
  <c r="D3" i="13"/>
  <c r="D4" i="13" s="1"/>
  <c r="D5" i="13" s="1"/>
  <c r="D8" i="13" s="1"/>
  <c r="D11" i="13" s="1"/>
  <c r="E11" i="13" s="1"/>
  <c r="F11" i="13" s="1"/>
  <c r="D13" i="13" l="1"/>
  <c r="E13" i="13" s="1"/>
  <c r="F13" i="13" s="1"/>
  <c r="D6" i="13"/>
  <c r="D7" i="13" s="1"/>
  <c r="E13" i="14"/>
  <c r="E17" i="14"/>
  <c r="E21" i="14"/>
  <c r="E11" i="14"/>
  <c r="B3" i="14"/>
  <c r="D23" i="14"/>
  <c r="D24" i="14" s="1"/>
  <c r="D22" i="14"/>
  <c r="B30" i="14"/>
  <c r="B29" i="14"/>
  <c r="B28" i="14"/>
  <c r="B27" i="14"/>
  <c r="B26" i="14"/>
  <c r="B25" i="14"/>
  <c r="B24" i="14"/>
  <c r="E24" i="14" s="1"/>
  <c r="B23" i="14"/>
  <c r="B22" i="14"/>
  <c r="E22" i="14" s="1"/>
  <c r="B21" i="14"/>
  <c r="B12" i="14"/>
  <c r="E12" i="14" s="1"/>
  <c r="B13" i="14"/>
  <c r="B14" i="14"/>
  <c r="E14" i="14" s="1"/>
  <c r="B15" i="14"/>
  <c r="E15" i="14" s="1"/>
  <c r="B16" i="14"/>
  <c r="E16" i="14" s="1"/>
  <c r="B17" i="14"/>
  <c r="B18" i="14"/>
  <c r="E18" i="14" s="1"/>
  <c r="B19" i="14"/>
  <c r="E19" i="14" s="1"/>
  <c r="B20" i="14"/>
  <c r="E20" i="14" s="1"/>
  <c r="B11" i="14"/>
  <c r="E23" i="14" l="1"/>
  <c r="D15" i="13"/>
  <c r="E15" i="13" s="1"/>
  <c r="F15" i="13" s="1"/>
  <c r="E7" i="13"/>
  <c r="F7" i="13" s="1"/>
  <c r="D10" i="13"/>
  <c r="E6" i="13"/>
  <c r="F6" i="13" s="1"/>
  <c r="D9" i="13"/>
  <c r="E9" i="13" s="1"/>
  <c r="F9" i="13" s="1"/>
  <c r="D25" i="14"/>
  <c r="E2" i="13"/>
  <c r="F2" i="13" s="1"/>
  <c r="D26" i="14" l="1"/>
  <c r="E26" i="14" s="1"/>
  <c r="E25" i="14"/>
  <c r="E10" i="13"/>
  <c r="F10" i="13" s="1"/>
  <c r="D12" i="13"/>
  <c r="D14" i="13" s="1"/>
  <c r="E14" i="13" s="1"/>
  <c r="F14" i="13" s="1"/>
  <c r="E3" i="13"/>
  <c r="F3" i="13" s="1"/>
  <c r="D27" i="14"/>
  <c r="E27" i="14" s="1"/>
  <c r="G72" i="1"/>
  <c r="D16" i="13" l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E12" i="13"/>
  <c r="F12" i="13" s="1"/>
  <c r="D28" i="14"/>
  <c r="E28" i="14" s="1"/>
  <c r="E4" i="13"/>
  <c r="F4" i="13" s="1"/>
  <c r="O8" i="12"/>
  <c r="O7" i="12"/>
  <c r="O6" i="12"/>
  <c r="O5" i="12"/>
  <c r="O4" i="12"/>
  <c r="O3" i="12"/>
  <c r="O2" i="12"/>
  <c r="I8" i="12"/>
  <c r="I7" i="12"/>
  <c r="I6" i="12"/>
  <c r="I5" i="12"/>
  <c r="I4" i="12"/>
  <c r="I3" i="12"/>
  <c r="I2" i="12"/>
  <c r="Q8" i="12"/>
  <c r="Q7" i="12"/>
  <c r="Q6" i="12"/>
  <c r="Q5" i="12"/>
  <c r="Q4" i="12"/>
  <c r="Q3" i="12"/>
  <c r="Q2" i="12"/>
  <c r="K8" i="12"/>
  <c r="K7" i="12"/>
  <c r="K6" i="12"/>
  <c r="K5" i="12"/>
  <c r="K4" i="12"/>
  <c r="K3" i="12"/>
  <c r="K2" i="12"/>
  <c r="E3" i="12"/>
  <c r="E4" i="12"/>
  <c r="E5" i="12"/>
  <c r="E6" i="12"/>
  <c r="E7" i="12"/>
  <c r="E8" i="12"/>
  <c r="E2" i="12"/>
  <c r="F2" i="12" s="1"/>
  <c r="F3" i="12" s="1"/>
  <c r="F4" i="12" s="1"/>
  <c r="C3" i="12"/>
  <c r="C4" i="12"/>
  <c r="C5" i="12"/>
  <c r="C6" i="12"/>
  <c r="C7" i="12"/>
  <c r="C8" i="12"/>
  <c r="C2" i="12"/>
  <c r="D29" i="14" l="1"/>
  <c r="E29" i="14" s="1"/>
  <c r="E5" i="13"/>
  <c r="F5" i="13" s="1"/>
  <c r="G61" i="1"/>
  <c r="B61" i="1"/>
  <c r="B60" i="1"/>
  <c r="D30" i="14" l="1"/>
  <c r="E30" i="14" s="1"/>
  <c r="E8" i="13"/>
  <c r="F8" i="13" s="1"/>
  <c r="J61" i="1" l="1"/>
  <c r="E16" i="13" l="1"/>
  <c r="F16" i="13" s="1"/>
  <c r="G125" i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E17" i="13" l="1"/>
  <c r="F17" i="13" s="1"/>
  <c r="B23" i="11"/>
  <c r="B22" i="11"/>
  <c r="E18" i="13" l="1"/>
  <c r="F18" i="13" s="1"/>
  <c r="B7" i="11"/>
  <c r="B5" i="11"/>
  <c r="B6" i="11" s="1"/>
  <c r="E19" i="13" l="1"/>
  <c r="F19" i="13" s="1"/>
  <c r="B8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E20" i="13" l="1"/>
  <c r="F20" i="13" s="1"/>
  <c r="B6" i="10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E21" i="13" l="1"/>
  <c r="F21" i="13" s="1"/>
  <c r="F231" i="9"/>
  <c r="G231" i="9" s="1"/>
  <c r="F227" i="9"/>
  <c r="G227" i="9" s="1"/>
  <c r="F223" i="9"/>
  <c r="G223" i="9" s="1"/>
  <c r="F219" i="9"/>
  <c r="G219" i="9" s="1"/>
  <c r="F215" i="9"/>
  <c r="G215" i="9" s="1"/>
  <c r="F211" i="9"/>
  <c r="G211" i="9" s="1"/>
  <c r="F207" i="9"/>
  <c r="G207" i="9" s="1"/>
  <c r="F203" i="9"/>
  <c r="G203" i="9" s="1"/>
  <c r="F199" i="9"/>
  <c r="G199" i="9" s="1"/>
  <c r="F195" i="9"/>
  <c r="G195" i="9" s="1"/>
  <c r="F191" i="9"/>
  <c r="G191" i="9" s="1"/>
  <c r="F187" i="9"/>
  <c r="G187" i="9" s="1"/>
  <c r="F183" i="9"/>
  <c r="G183" i="9" s="1"/>
  <c r="F179" i="9"/>
  <c r="G179" i="9" s="1"/>
  <c r="F175" i="9"/>
  <c r="G175" i="9" s="1"/>
  <c r="F171" i="9"/>
  <c r="G171" i="9" s="1"/>
  <c r="F167" i="9"/>
  <c r="G167" i="9" s="1"/>
  <c r="F163" i="9"/>
  <c r="G163" i="9" s="1"/>
  <c r="F159" i="9"/>
  <c r="G159" i="9" s="1"/>
  <c r="F155" i="9"/>
  <c r="G155" i="9" s="1"/>
  <c r="F151" i="9"/>
  <c r="G151" i="9" s="1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F119" i="9"/>
  <c r="G119" i="9" s="1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F87" i="9"/>
  <c r="G87" i="9" s="1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F39" i="9"/>
  <c r="G39" i="9" s="1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F210" i="9"/>
  <c r="G210" i="9" s="1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F146" i="9"/>
  <c r="G146" i="9" s="1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F82" i="9"/>
  <c r="G82" i="9" s="1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F42" i="9"/>
  <c r="G42" i="9" s="1"/>
  <c r="F38" i="9"/>
  <c r="G38" i="9" s="1"/>
  <c r="F34" i="9"/>
  <c r="G34" i="9" s="1"/>
  <c r="F30" i="9"/>
  <c r="G30" i="9" s="1"/>
  <c r="F26" i="9"/>
  <c r="G26" i="9" s="1"/>
  <c r="F22" i="9"/>
  <c r="G22" i="9" s="1"/>
  <c r="F18" i="9"/>
  <c r="G18" i="9" s="1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F117" i="9"/>
  <c r="G117" i="9" s="1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 s="1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7" i="8"/>
  <c r="Q67" i="8" s="1"/>
  <c r="T67" i="8" s="1"/>
  <c r="O67" i="8"/>
  <c r="N67" i="8"/>
  <c r="J67" i="8"/>
  <c r="U67" i="8" s="1"/>
  <c r="I67" i="8"/>
  <c r="P66" i="8"/>
  <c r="Q66" i="8" s="1"/>
  <c r="T66" i="8" s="1"/>
  <c r="O66" i="8"/>
  <c r="N66" i="8"/>
  <c r="J66" i="8"/>
  <c r="U66" i="8" s="1"/>
  <c r="I66" i="8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AB7" i="8"/>
  <c r="E22" i="13" l="1"/>
  <c r="F22" i="13" s="1"/>
  <c r="S52" i="8"/>
  <c r="S56" i="8"/>
  <c r="S60" i="8"/>
  <c r="S54" i="8"/>
  <c r="S58" i="8"/>
  <c r="S47" i="8"/>
  <c r="S63" i="8"/>
  <c r="S46" i="8"/>
  <c r="S61" i="8"/>
  <c r="S65" i="8"/>
  <c r="S67" i="8"/>
  <c r="S50" i="8"/>
  <c r="S53" i="8"/>
  <c r="S57" i="8"/>
  <c r="S64" i="8"/>
  <c r="S45" i="8"/>
  <c r="S48" i="8"/>
  <c r="S55" i="8"/>
  <c r="S51" i="8"/>
  <c r="S59" i="8"/>
  <c r="S62" i="8"/>
  <c r="S66" i="8"/>
  <c r="AB9" i="8"/>
  <c r="AB10" i="8" s="1"/>
  <c r="R44" i="8" s="1"/>
  <c r="V44" i="8" s="1"/>
  <c r="X44" i="8" s="1"/>
  <c r="S49" i="8"/>
  <c r="Y44" i="8" l="1"/>
  <c r="W44" i="8"/>
  <c r="R10" i="8"/>
  <c r="V10" i="8" s="1"/>
  <c r="X10" i="8" s="1"/>
  <c r="R12" i="8"/>
  <c r="V12" i="8" s="1"/>
  <c r="X12" i="8" s="1"/>
  <c r="R28" i="8"/>
  <c r="V28" i="8" s="1"/>
  <c r="X28" i="8" s="1"/>
  <c r="R8" i="8"/>
  <c r="V8" i="8" s="1"/>
  <c r="X8" i="8" s="1"/>
  <c r="R5" i="8"/>
  <c r="V5" i="8" s="1"/>
  <c r="X5" i="8" s="1"/>
  <c r="R13" i="8"/>
  <c r="V13" i="8" s="1"/>
  <c r="X13" i="8" s="1"/>
  <c r="R34" i="8"/>
  <c r="V34" i="8" s="1"/>
  <c r="X34" i="8" s="1"/>
  <c r="R39" i="8"/>
  <c r="V39" i="8" s="1"/>
  <c r="X39" i="8" s="1"/>
  <c r="R17" i="8"/>
  <c r="V17" i="8" s="1"/>
  <c r="X17" i="8" s="1"/>
  <c r="R30" i="8"/>
  <c r="V30" i="8" s="1"/>
  <c r="X30" i="8" s="1"/>
  <c r="R21" i="8"/>
  <c r="V21" i="8" s="1"/>
  <c r="X21" i="8" s="1"/>
  <c r="R22" i="8"/>
  <c r="V22" i="8" s="1"/>
  <c r="X22" i="8" s="1"/>
  <c r="R29" i="8"/>
  <c r="V29" i="8" s="1"/>
  <c r="X29" i="8" s="1"/>
  <c r="R25" i="8"/>
  <c r="V25" i="8" s="1"/>
  <c r="X25" i="8" s="1"/>
  <c r="R6" i="8"/>
  <c r="V6" i="8" s="1"/>
  <c r="X6" i="8" s="1"/>
  <c r="R16" i="8"/>
  <c r="V16" i="8" s="1"/>
  <c r="X16" i="8" s="1"/>
  <c r="R42" i="8"/>
  <c r="V42" i="8" s="1"/>
  <c r="X42" i="8" s="1"/>
  <c r="R41" i="8"/>
  <c r="V41" i="8" s="1"/>
  <c r="X41" i="8" s="1"/>
  <c r="R20" i="8"/>
  <c r="V20" i="8" s="1"/>
  <c r="X20" i="8" s="1"/>
  <c r="R35" i="8"/>
  <c r="V35" i="8" s="1"/>
  <c r="X35" i="8" s="1"/>
  <c r="R15" i="8"/>
  <c r="V15" i="8" s="1"/>
  <c r="X15" i="8" s="1"/>
  <c r="R23" i="8"/>
  <c r="V23" i="8" s="1"/>
  <c r="X23" i="8" s="1"/>
  <c r="R31" i="8"/>
  <c r="V31" i="8" s="1"/>
  <c r="X31" i="8" s="1"/>
  <c r="R37" i="8"/>
  <c r="V37" i="8" s="1"/>
  <c r="X37" i="8" s="1"/>
  <c r="R7" i="8"/>
  <c r="V7" i="8" s="1"/>
  <c r="X7" i="8" s="1"/>
  <c r="R18" i="8"/>
  <c r="V18" i="8" s="1"/>
  <c r="X18" i="8" s="1"/>
  <c r="R43" i="8"/>
  <c r="V43" i="8" s="1"/>
  <c r="X43" i="8" s="1"/>
  <c r="R33" i="8"/>
  <c r="V33" i="8" s="1"/>
  <c r="X33" i="8" s="1"/>
  <c r="R24" i="8"/>
  <c r="V24" i="8" s="1"/>
  <c r="X24" i="8" s="1"/>
  <c r="R40" i="8"/>
  <c r="V40" i="8" s="1"/>
  <c r="X40" i="8" s="1"/>
  <c r="R4" i="8"/>
  <c r="V4" i="8" s="1"/>
  <c r="X4" i="8" s="1"/>
  <c r="R9" i="8"/>
  <c r="V9" i="8" s="1"/>
  <c r="X9" i="8" s="1"/>
  <c r="R26" i="8"/>
  <c r="V26" i="8" s="1"/>
  <c r="X26" i="8" s="1"/>
  <c r="R32" i="8"/>
  <c r="V32" i="8" s="1"/>
  <c r="X32" i="8" s="1"/>
  <c r="R38" i="8"/>
  <c r="V38" i="8" s="1"/>
  <c r="X38" i="8" s="1"/>
  <c r="R11" i="8"/>
  <c r="V11" i="8" s="1"/>
  <c r="X11" i="8" s="1"/>
  <c r="R19" i="8"/>
  <c r="V19" i="8" s="1"/>
  <c r="X19" i="8" s="1"/>
  <c r="R36" i="8"/>
  <c r="V36" i="8" s="1"/>
  <c r="X36" i="8" s="1"/>
  <c r="R14" i="8"/>
  <c r="V14" i="8" s="1"/>
  <c r="X14" i="8" s="1"/>
  <c r="R27" i="8"/>
  <c r="V27" i="8" s="1"/>
  <c r="X27" i="8" s="1"/>
  <c r="R3" i="8"/>
  <c r="V3" i="8" s="1"/>
  <c r="X3" i="8" s="1"/>
  <c r="R2" i="8"/>
  <c r="V2" i="8" s="1"/>
  <c r="X2" i="8" s="1"/>
  <c r="E23" i="13"/>
  <c r="F23" i="13" s="1"/>
  <c r="R53" i="8"/>
  <c r="V53" i="8" s="1"/>
  <c r="X53" i="8" s="1"/>
  <c r="W53" i="8" s="1"/>
  <c r="R49" i="8"/>
  <c r="V49" i="8" s="1"/>
  <c r="X49" i="8" s="1"/>
  <c r="Y49" i="8" s="1"/>
  <c r="R54" i="8"/>
  <c r="V54" i="8" s="1"/>
  <c r="X54" i="8" s="1"/>
  <c r="W54" i="8" s="1"/>
  <c r="R55" i="8"/>
  <c r="V55" i="8" s="1"/>
  <c r="X55" i="8" s="1"/>
  <c r="Y55" i="8" s="1"/>
  <c r="R67" i="8"/>
  <c r="V67" i="8" s="1"/>
  <c r="X67" i="8" s="1"/>
  <c r="Y67" i="8" s="1"/>
  <c r="R48" i="8"/>
  <c r="V48" i="8" s="1"/>
  <c r="X48" i="8" s="1"/>
  <c r="Y48" i="8" s="1"/>
  <c r="R58" i="8"/>
  <c r="V58" i="8" s="1"/>
  <c r="X58" i="8" s="1"/>
  <c r="Y58" i="8" s="1"/>
  <c r="R59" i="8"/>
  <c r="V59" i="8" s="1"/>
  <c r="X59" i="8" s="1"/>
  <c r="W59" i="8" s="1"/>
  <c r="R61" i="8"/>
  <c r="V61" i="8" s="1"/>
  <c r="X61" i="8" s="1"/>
  <c r="W61" i="8" s="1"/>
  <c r="R64" i="8"/>
  <c r="V64" i="8" s="1"/>
  <c r="X64" i="8" s="1"/>
  <c r="Y64" i="8" s="1"/>
  <c r="R45" i="8"/>
  <c r="V45" i="8" s="1"/>
  <c r="X45" i="8" s="1"/>
  <c r="W45" i="8" s="1"/>
  <c r="R46" i="8"/>
  <c r="V46" i="8" s="1"/>
  <c r="X46" i="8" s="1"/>
  <c r="Y46" i="8" s="1"/>
  <c r="R50" i="8"/>
  <c r="V50" i="8" s="1"/>
  <c r="X50" i="8" s="1"/>
  <c r="Y50" i="8" s="1"/>
  <c r="R56" i="8"/>
  <c r="V56" i="8" s="1"/>
  <c r="X56" i="8" s="1"/>
  <c r="W56" i="8" s="1"/>
  <c r="R51" i="8"/>
  <c r="V51" i="8" s="1"/>
  <c r="X51" i="8" s="1"/>
  <c r="Y51" i="8" s="1"/>
  <c r="R63" i="8"/>
  <c r="V63" i="8" s="1"/>
  <c r="X63" i="8" s="1"/>
  <c r="W63" i="8" s="1"/>
  <c r="R66" i="8"/>
  <c r="V66" i="8" s="1"/>
  <c r="X66" i="8" s="1"/>
  <c r="Y66" i="8" s="1"/>
  <c r="R57" i="8"/>
  <c r="V57" i="8" s="1"/>
  <c r="X57" i="8" s="1"/>
  <c r="W57" i="8" s="1"/>
  <c r="R60" i="8"/>
  <c r="V60" i="8" s="1"/>
  <c r="X60" i="8" s="1"/>
  <c r="W60" i="8" s="1"/>
  <c r="R52" i="8"/>
  <c r="V52" i="8" s="1"/>
  <c r="X52" i="8" s="1"/>
  <c r="Y52" i="8" s="1"/>
  <c r="R65" i="8"/>
  <c r="V65" i="8" s="1"/>
  <c r="X65" i="8" s="1"/>
  <c r="Y65" i="8" s="1"/>
  <c r="R62" i="8"/>
  <c r="V62" i="8" s="1"/>
  <c r="X62" i="8" s="1"/>
  <c r="Y62" i="8" s="1"/>
  <c r="R47" i="8"/>
  <c r="V47" i="8" s="1"/>
  <c r="X47" i="8" s="1"/>
  <c r="Y47" i="8" s="1"/>
  <c r="W55" i="8"/>
  <c r="W36" i="8" l="1"/>
  <c r="Y36" i="8"/>
  <c r="Z36" i="8" s="1"/>
  <c r="Y32" i="8"/>
  <c r="Z32" i="8" s="1"/>
  <c r="W32" i="8"/>
  <c r="W40" i="8"/>
  <c r="Y40" i="8"/>
  <c r="Z40" i="8" s="1"/>
  <c r="W18" i="8"/>
  <c r="Y18" i="8"/>
  <c r="Z18" i="8" s="1"/>
  <c r="Y23" i="8"/>
  <c r="Z23" i="8" s="1"/>
  <c r="W23" i="8"/>
  <c r="W41" i="8"/>
  <c r="Y41" i="8"/>
  <c r="Z41" i="8" s="1"/>
  <c r="W25" i="8"/>
  <c r="Y25" i="8"/>
  <c r="Z25" i="8" s="1"/>
  <c r="Y30" i="8"/>
  <c r="Z30" i="8" s="1"/>
  <c r="W30" i="8"/>
  <c r="Y13" i="8"/>
  <c r="Z13" i="8" s="1"/>
  <c r="W13" i="8"/>
  <c r="Y12" i="8"/>
  <c r="Z12" i="8" s="1"/>
  <c r="W12" i="8"/>
  <c r="Y19" i="8"/>
  <c r="Z19" i="8" s="1"/>
  <c r="W19" i="8"/>
  <c r="Y26" i="8"/>
  <c r="Z26" i="8" s="1"/>
  <c r="W26" i="8"/>
  <c r="Y24" i="8"/>
  <c r="Z24" i="8" s="1"/>
  <c r="W24" i="8"/>
  <c r="Y7" i="8"/>
  <c r="Z7" i="8" s="1"/>
  <c r="W7" i="8"/>
  <c r="W15" i="8"/>
  <c r="Y15" i="8"/>
  <c r="Z15" i="8" s="1"/>
  <c r="Y42" i="8"/>
  <c r="Z42" i="8" s="1"/>
  <c r="W42" i="8"/>
  <c r="Y29" i="8"/>
  <c r="Z29" i="8" s="1"/>
  <c r="W29" i="8"/>
  <c r="Y17" i="8"/>
  <c r="Z17" i="8" s="1"/>
  <c r="W17" i="8"/>
  <c r="Y5" i="8"/>
  <c r="Z5" i="8" s="1"/>
  <c r="W5" i="8"/>
  <c r="W10" i="8"/>
  <c r="Y10" i="8"/>
  <c r="Z10" i="8" s="1"/>
  <c r="Y27" i="8"/>
  <c r="Z27" i="8" s="1"/>
  <c r="W27" i="8"/>
  <c r="Y11" i="8"/>
  <c r="Z11" i="8" s="1"/>
  <c r="W11" i="8"/>
  <c r="W9" i="8"/>
  <c r="Y9" i="8"/>
  <c r="Z9" i="8" s="1"/>
  <c r="W33" i="8"/>
  <c r="Y33" i="8"/>
  <c r="Z33" i="8" s="1"/>
  <c r="Y37" i="8"/>
  <c r="Z37" i="8" s="1"/>
  <c r="W37" i="8"/>
  <c r="W35" i="8"/>
  <c r="Y35" i="8"/>
  <c r="Z35" i="8" s="1"/>
  <c r="Y16" i="8"/>
  <c r="Z16" i="8" s="1"/>
  <c r="W16" i="8"/>
  <c r="W22" i="8"/>
  <c r="Y22" i="8"/>
  <c r="Z22" i="8" s="1"/>
  <c r="W39" i="8"/>
  <c r="Y39" i="8"/>
  <c r="Z39" i="8" s="1"/>
  <c r="W8" i="8"/>
  <c r="Y8" i="8"/>
  <c r="Z8" i="8" s="1"/>
  <c r="W14" i="8"/>
  <c r="Y14" i="8"/>
  <c r="Z14" i="8" s="1"/>
  <c r="Y38" i="8"/>
  <c r="Z38" i="8" s="1"/>
  <c r="W38" i="8"/>
  <c r="Y4" i="8"/>
  <c r="Z4" i="8" s="1"/>
  <c r="W4" i="8"/>
  <c r="Y43" i="8"/>
  <c r="Z43" i="8" s="1"/>
  <c r="W43" i="8"/>
  <c r="W31" i="8"/>
  <c r="Y31" i="8"/>
  <c r="Z31" i="8" s="1"/>
  <c r="Y20" i="8"/>
  <c r="Z20" i="8" s="1"/>
  <c r="W20" i="8"/>
  <c r="Y6" i="8"/>
  <c r="Z6" i="8" s="1"/>
  <c r="W6" i="8"/>
  <c r="W21" i="8"/>
  <c r="Y21" i="8"/>
  <c r="Z21" i="8" s="1"/>
  <c r="Y34" i="8"/>
  <c r="Z34" i="8" s="1"/>
  <c r="W34" i="8"/>
  <c r="Y28" i="8"/>
  <c r="Z28" i="8" s="1"/>
  <c r="W28" i="8"/>
  <c r="W49" i="8"/>
  <c r="W3" i="8"/>
  <c r="Y3" i="8"/>
  <c r="Z3" i="8" s="1"/>
  <c r="Y63" i="8"/>
  <c r="Y61" i="8"/>
  <c r="W2" i="8"/>
  <c r="Y2" i="8"/>
  <c r="Z2" i="8" s="1"/>
  <c r="W48" i="8"/>
  <c r="E24" i="13"/>
  <c r="F24" i="13" s="1"/>
  <c r="Y53" i="8"/>
  <c r="W58" i="8"/>
  <c r="Y56" i="8"/>
  <c r="W52" i="8"/>
  <c r="Y59" i="8"/>
  <c r="Y45" i="8"/>
  <c r="Y60" i="8"/>
  <c r="W51" i="8"/>
  <c r="W62" i="8"/>
  <c r="Y57" i="8"/>
  <c r="W66" i="8"/>
  <c r="W65" i="8"/>
  <c r="W50" i="8"/>
  <c r="W46" i="8"/>
  <c r="W64" i="8"/>
  <c r="W67" i="8"/>
  <c r="Y54" i="8"/>
  <c r="W47" i="8"/>
  <c r="G112" i="1"/>
  <c r="C112" i="1"/>
  <c r="G111" i="1"/>
  <c r="C111" i="1"/>
  <c r="G110" i="1"/>
  <c r="C110" i="1"/>
  <c r="C109" i="1"/>
  <c r="J58" i="1"/>
  <c r="J59" i="1"/>
  <c r="J60" i="1"/>
  <c r="J57" i="1"/>
  <c r="J56" i="1"/>
  <c r="E25" i="13" l="1"/>
  <c r="F25" i="13" s="1"/>
  <c r="F24" i="6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E26" i="13" l="1"/>
  <c r="F26" i="13" s="1"/>
  <c r="C25" i="6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P2" i="6" s="1"/>
  <c r="R2" i="6" s="1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18" i="3"/>
  <c r="L124" i="3"/>
  <c r="L126" i="3" s="1"/>
  <c r="J118" i="3"/>
  <c r="E3" i="6"/>
  <c r="E4" i="6"/>
  <c r="E2" i="6"/>
  <c r="Z120" i="3" l="1"/>
  <c r="AB127" i="3" s="1"/>
  <c r="R118" i="3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O134" i="1" s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<sst xmlns="http://schemas.openxmlformats.org/spreadsheetml/2006/main" count="1100" uniqueCount="448">
  <si>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</si>
  <si>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</si>
  <si>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</si>
  <si>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</si>
  <si>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</si>
  <si>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</si>
  <si>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</si>
  <si>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</si>
  <si>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</si>
  <si>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</si>
  <si>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</si>
  <si>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</si>
  <si>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</si>
  <si>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</si>
  <si>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</si>
  <si>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</si>
  <si>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</si>
  <si>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</si>
  <si>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</si>
  <si>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</si>
  <si>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</si>
  <si>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</si>
  <si>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</si>
  <si>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</si>
  <si>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</si>
  <si>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</si>
  <si>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</si>
  <si>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</si>
  <si>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</si>
  <si>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</si>
  <si>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</si>
  <si>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</si>
  <si>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</si>
  <si>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</si>
  <si>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</si>
  <si>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</si>
  <si>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</si>
  <si>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</si>
  <si>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</si>
  <si>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</si>
  <si>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</si>
  <si>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</si>
  <si>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</si>
  <si>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</si>
  <si>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</si>
  <si>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</si>
  <si>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</si>
  <si>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</si>
  <si>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</si>
  <si>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</si>
  <si>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</si>
  <si>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</si>
  <si>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</si>
  <si>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</si>
  <si>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</si>
  <si>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</si>
  <si>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</si>
  <si>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</si>
  <si>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</si>
  <si>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</si>
  <si>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</si>
  <si>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</si>
  <si>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</si>
  <si>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</si>
  <si>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</si>
  <si>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</si>
  <si>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</si>
  <si>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</si>
  <si>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</si>
  <si>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</si>
  <si>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</si>
  <si>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</si>
  <si>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</si>
  <si>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</si>
  <si>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</si>
  <si>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</si>
  <si>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</si>
  <si>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</si>
  <si>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</si>
  <si>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</si>
  <si>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</si>
  <si>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</si>
  <si>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</si>
  <si>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</si>
  <si>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</si>
  <si>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</si>
  <si>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</si>
  <si>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</si>
  <si>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</si>
  <si>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</si>
  <si>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</si>
  <si>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</si>
  <si>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</si>
  <si>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</si>
  <si>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</si>
  <si>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</si>
  <si>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</si>
  <si>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</si>
  <si>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</si>
  <si>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</si>
  <si>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</si>
  <si>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</si>
  <si>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</si>
  <si>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</si>
  <si>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</si>
  <si>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</si>
  <si>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</si>
  <si>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</si>
  <si>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</si>
  <si>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</si>
  <si>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</si>
  <si>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</si>
  <si>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</si>
  <si>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</si>
  <si>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</si>
  <si>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</si>
  <si>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</si>
  <si>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</si>
  <si>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</si>
  <si>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</si>
  <si>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</si>
  <si>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</si>
  <si>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</si>
  <si>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</si>
  <si>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</si>
  <si>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</si>
  <si>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</si>
  <si>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</si>
  <si>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</si>
  <si>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</si>
  <si>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</si>
  <si>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</si>
  <si>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</si>
  <si>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</si>
  <si>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</si>
  <si>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</si>
  <si>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</si>
  <si>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</si>
  <si>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</si>
  <si>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</si>
  <si>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</si>
  <si>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</si>
  <si>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</si>
  <si>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</si>
  <si>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</si>
  <si>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</si>
  <si>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</si>
  <si>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</si>
  <si>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</si>
  <si>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</si>
  <si>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</si>
  <si>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</si>
  <si>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</si>
  <si>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</si>
  <si>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</si>
  <si>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</si>
  <si>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</si>
  <si>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</si>
  <si>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</si>
  <si>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</si>
  <si>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</si>
  <si>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</si>
  <si>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</si>
  <si>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</si>
  <si>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</si>
  <si>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</si>
  <si>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</si>
  <si>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</si>
  <si>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</si>
  <si>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</si>
  <si>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</si>
  <si>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</si>
  <si>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</si>
  <si>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</si>
  <si>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</si>
  <si>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</si>
  <si>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</si>
  <si>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</si>
  <si>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</si>
  <si>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</si>
  <si>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</si>
  <si>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</si>
  <si>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</si>
  <si>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</si>
  <si>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</si>
  <si>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</si>
  <si>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</si>
  <si>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</si>
  <si>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</si>
  <si>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</si>
  <si>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</si>
  <si>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</si>
  <si>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</si>
  <si>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</si>
  <si>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</si>
  <si>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</si>
  <si>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</si>
  <si>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</si>
  <si>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</si>
  <si>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</si>
  <si>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</si>
  <si>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</si>
  <si>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</si>
  <si>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</si>
  <si>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</si>
  <si>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</si>
  <si>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</si>
  <si>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</si>
  <si>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</si>
  <si>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</si>
  <si>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</si>
  <si>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</si>
  <si>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</si>
  <si>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</si>
  <si>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</si>
  <si>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</si>
  <si>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</si>
  <si>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</si>
  <si>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</si>
  <si>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</si>
  <si>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</si>
  <si>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</si>
  <si>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</si>
  <si>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</si>
  <si>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</si>
  <si>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</si>
  <si>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</si>
  <si>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</si>
  <si>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</si>
  <si>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</si>
  <si>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</si>
  <si>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</si>
  <si>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</si>
  <si>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</si>
  <si>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</si>
  <si>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</si>
  <si>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</si>
  <si>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</si>
  <si>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</si>
  <si>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</si>
  <si>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</si>
  <si>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</si>
  <si>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</si>
  <si>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</si>
  <si>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</si>
  <si>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</si>
  <si>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</si>
  <si>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</si>
  <si>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</si>
  <si>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</si>
  <si>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</si>
  <si>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</si>
  <si>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</si>
  <si>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</si>
  <si>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</si>
  <si>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</si>
  <si>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</si>
  <si>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</si>
  <si>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</si>
  <si>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</si>
  <si>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</si>
  <si>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</si>
  <si>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</si>
  <si>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</si>
  <si>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</si>
  <si>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</si>
  <si>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</si>
  <si>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</si>
  <si>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</si>
  <si>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</si>
  <si>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</si>
  <si>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</si>
  <si>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</si>
  <si>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</si>
  <si>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</si>
  <si>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</si>
  <si>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</si>
  <si>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</si>
  <si>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</si>
  <si>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</si>
  <si>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</si>
  <si>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</si>
  <si>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</si>
  <si>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</si>
  <si>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</si>
  <si>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</si>
  <si>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</si>
  <si>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</si>
  <si>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</si>
  <si>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</si>
  <si>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</si>
  <si>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</si>
  <si>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</si>
  <si>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</si>
  <si>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</si>
  <si>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</si>
  <si>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</si>
  <si>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</si>
  <si>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</si>
  <si>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</si>
  <si>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</si>
  <si>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</si>
  <si>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</si>
  <si>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</si>
  <si>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</si>
  <si>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</si>
  <si>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</si>
  <si>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</si>
  <si>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</si>
  <si>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</si>
  <si>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</si>
  <si>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</si>
  <si>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</si>
  <si>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</si>
  <si>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</si>
  <si>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</si>
  <si>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</si>
  <si>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</si>
  <si>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</si>
  <si>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</si>
  <si>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</si>
  <si>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</si>
  <si>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</si>
  <si>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</si>
  <si>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</si>
  <si>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</si>
  <si>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</si>
  <si>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</si>
  <si>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</si>
  <si>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</si>
  <si>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</si>
  <si>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</si>
  <si>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</si>
  <si>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</si>
  <si>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</si>
  <si>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</si>
  <si>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</si>
  <si>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</si>
  <si>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</si>
  <si>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</si>
  <si>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</si>
  <si>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</si>
  <si>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</si>
  <si>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</si>
  <si>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</si>
  <si>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</si>
  <si>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</si>
  <si>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</si>
  <si>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</si>
  <si>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</si>
  <si>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</si>
  <si>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</si>
  <si>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</si>
  <si>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</si>
  <si>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</si>
  <si>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</si>
  <si>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</si>
  <si>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</si>
  <si>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</si>
  <si>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</si>
  <si>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</si>
  <si>
    <t>Saturn-V</t>
  </si>
  <si>
    <t>SLS</t>
  </si>
  <si>
    <t>Shuttle</t>
  </si>
  <si>
    <t>Scaled</t>
  </si>
  <si>
    <t>S-I</t>
  </si>
  <si>
    <t>S-II</t>
  </si>
  <si>
    <t>S-IVB</t>
  </si>
  <si>
    <t>IPA-B</t>
  </si>
  <si>
    <t>IPA-T</t>
  </si>
  <si>
    <t>SM</t>
  </si>
  <si>
    <t>CM</t>
  </si>
  <si>
    <t>Height</t>
  </si>
  <si>
    <t>Tank</t>
  </si>
  <si>
    <t>Booster</t>
  </si>
  <si>
    <t>ICPS</t>
  </si>
  <si>
    <t>HUS</t>
  </si>
  <si>
    <t>SC-ENG-RD-108</t>
  </si>
  <si>
    <t>SC-ENG-RD-1082</t>
  </si>
  <si>
    <t>SC-ENG-RD-107X</t>
  </si>
  <si>
    <t>RS-68-stock-1</t>
  </si>
  <si>
    <t>RS-68-stock-2</t>
  </si>
  <si>
    <t>SC-C-SMX</t>
  </si>
  <si>
    <t>Input Heat</t>
  </si>
  <si>
    <t>OutputFlux</t>
  </si>
  <si>
    <t>mult</t>
  </si>
  <si>
    <t>output</t>
  </si>
  <si>
    <t>Size</t>
  </si>
  <si>
    <t>Type</t>
  </si>
  <si>
    <t>amass</t>
  </si>
  <si>
    <t>massfact</t>
  </si>
  <si>
    <t>ablfact</t>
  </si>
  <si>
    <t>light</t>
  </si>
  <si>
    <t>abl</t>
  </si>
  <si>
    <t>ablmass</t>
  </si>
  <si>
    <t>skinmass</t>
  </si>
  <si>
    <t>tmass</t>
  </si>
  <si>
    <t>scale</t>
  </si>
  <si>
    <t>massPow</t>
  </si>
  <si>
    <t>resPow</t>
  </si>
  <si>
    <t>smass</t>
  </si>
  <si>
    <t>medium</t>
  </si>
  <si>
    <t>fluxPow</t>
  </si>
  <si>
    <t>actTemp</t>
  </si>
  <si>
    <t>Prefab Particle Name</t>
  </si>
  <si>
    <t>Model Name</t>
  </si>
  <si>
    <t>Sound Clip Name</t>
  </si>
  <si>
    <t>fx_exhaustFlame_blue</t>
  </si>
  <si>
    <t>Squad/FX/afterburner_shock</t>
  </si>
  <si>
    <t>sound_rocket_mini</t>
  </si>
  <si>
    <t>fx_exhaustFlame_blue_small</t>
  </si>
  <si>
    <t>Squad/FX/SRB_Large</t>
  </si>
  <si>
    <t>sound_vent_medium</t>
  </si>
  <si>
    <t>fx_exhaustFlame_white_tiny</t>
  </si>
  <si>
    <t>Squad/FX/SRB_LargeSparks</t>
  </si>
  <si>
    <t>sound_vent_soft</t>
  </si>
  <si>
    <t>fx_exhaustFlame_yellow</t>
  </si>
  <si>
    <t>Squad/FX/shockExhaust_blue_small</t>
  </si>
  <si>
    <t>sound_jet_deep</t>
  </si>
  <si>
    <t>fx_exhaustFlame_yellow_small</t>
  </si>
  <si>
    <t>Squad/FX/shockExhaust_red_small</t>
  </si>
  <si>
    <t>sound_jet_low</t>
  </si>
  <si>
    <t>fx_exhaustFlame_yellow_tiny_Z</t>
  </si>
  <si>
    <t>Squad/FX/ks1_Exhaust</t>
  </si>
  <si>
    <t>sound_explosion_low</t>
  </si>
  <si>
    <t>fx_exhaustLight_blue</t>
  </si>
  <si>
    <t>Squad/FX/ksX_Exhaust</t>
  </si>
  <si>
    <t>sound_rocket_spurts</t>
  </si>
  <si>
    <t>fx_exhaustLight_yellow</t>
  </si>
  <si>
    <t>Squad/FX/ks25_Exhaust</t>
  </si>
  <si>
    <t>sound_rocket_hard</t>
  </si>
  <si>
    <t>fx_exhaustSparks_flameout</t>
  </si>
  <si>
    <t>Squad/FX/hydroLOXFlame</t>
  </si>
  <si>
    <t>fx_exhaustSparks_flameout_2</t>
  </si>
  <si>
    <t>Squad/FX/diamondBlue</t>
  </si>
  <si>
    <t>fx_exhaustSparks_yellow</t>
  </si>
  <si>
    <t>Squad/FX/afterburner_flame</t>
  </si>
  <si>
    <t>fx_gasBurst_white</t>
  </si>
  <si>
    <t>fx_gasJet_tiny</t>
  </si>
  <si>
    <t>fx_gasJet_white</t>
  </si>
  <si>
    <t>fx_smokeTrail_aeroSpike</t>
  </si>
  <si>
    <t>fx_smokeTrail_large</t>
  </si>
  <si>
    <t>fx_smokeTrail_light</t>
  </si>
  <si>
    <t>fx_smokeTrail_medium</t>
  </si>
  <si>
    <t>fx_smokeTrail_veryLarge</t>
  </si>
  <si>
    <t>LR81-8096-39</t>
  </si>
  <si>
    <t>LMAE</t>
  </si>
  <si>
    <t>LMDE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</si>
</sst>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0" borderId="0" xfId="0"/>
    <xf numFmtId="0" fontId="0" fillId="13" borderId="0" xfId="0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HeatShieldCalc!$B$2:$B$26</c:f>
              <c:numCache>
                <c:formatCode>General</c:formatCode>
                <c:ptCount val="25"/>
                <c:pt idx="0">
                  <c:v>5</c:v>
                </c:pt>
                <c:pt idx="1">
                  <c:v>7.5</c:v>
                </c:pt>
                <c:pt idx="2">
                  <c:v>25</c:v>
                </c:pt>
                <c:pt idx="3">
                  <c:v>75</c:v>
                </c:pt>
                <c:pt idx="4">
                  <c:v>125</c:v>
                </c:pt>
                <c:pt idx="5">
                  <c:v>175</c:v>
                </c:pt>
                <c:pt idx="6">
                  <c:v>250</c:v>
                </c:pt>
                <c:pt idx="7">
                  <c:v>312.5</c:v>
                </c:pt>
                <c:pt idx="8">
                  <c:v>375</c:v>
                </c:pt>
                <c:pt idx="9">
                  <c:v>412.5</c:v>
                </c:pt>
                <c:pt idx="10">
                  <c:v>450</c:v>
                </c:pt>
                <c:pt idx="11">
                  <c:v>462.5</c:v>
                </c:pt>
                <c:pt idx="12">
                  <c:v>475</c:v>
                </c:pt>
                <c:pt idx="13">
                  <c:v>487.5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1000</c:v>
                </c:pt>
                <c:pt idx="21">
                  <c:v>1250</c:v>
                </c:pt>
                <c:pt idx="22">
                  <c:v>1500</c:v>
                </c:pt>
                <c:pt idx="23">
                  <c:v>2000</c:v>
                </c:pt>
                <c:pt idx="24">
                  <c:v>2050</c:v>
                </c:pt>
              </c:numCache>
            </c:numRef>
          </c:xVal>
          <c:yVal>
            <c:numRef>
              <c:f>HeatShieldCalc!$C$2:$C$26</c:f>
              <c:numCache>
                <c:formatCode>General</c:formatCode>
                <c:ptCount val="25"/>
                <c:pt idx="0">
                  <c:v>0</c:v>
                </c:pt>
                <c:pt idx="1">
                  <c:v>3.2</c:v>
                </c:pt>
                <c:pt idx="2">
                  <c:v>15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  <c:pt idx="6">
                  <c:v>180</c:v>
                </c:pt>
                <c:pt idx="7">
                  <c:v>225</c:v>
                </c:pt>
                <c:pt idx="8">
                  <c:v>300</c:v>
                </c:pt>
                <c:pt idx="9">
                  <c:v>500</c:v>
                </c:pt>
                <c:pt idx="10">
                  <c:v>700</c:v>
                </c:pt>
                <c:pt idx="11">
                  <c:v>1100</c:v>
                </c:pt>
                <c:pt idx="12">
                  <c:v>1600</c:v>
                </c:pt>
                <c:pt idx="13">
                  <c:v>2375</c:v>
                </c:pt>
                <c:pt idx="14">
                  <c:v>2450</c:v>
                </c:pt>
                <c:pt idx="15">
                  <c:v>2500</c:v>
                </c:pt>
                <c:pt idx="16">
                  <c:v>2550</c:v>
                </c:pt>
                <c:pt idx="17">
                  <c:v>2575</c:v>
                </c:pt>
                <c:pt idx="18">
                  <c:v>2600</c:v>
                </c:pt>
                <c:pt idx="19">
                  <c:v>2615</c:v>
                </c:pt>
                <c:pt idx="20">
                  <c:v>2700</c:v>
                </c:pt>
                <c:pt idx="21">
                  <c:v>2750</c:v>
                </c:pt>
                <c:pt idx="22">
                  <c:v>2800</c:v>
                </c:pt>
                <c:pt idx="23">
                  <c:v>2900</c:v>
                </c:pt>
                <c:pt idx="24">
                  <c:v>2901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0080"/>
        <c:axId val="103550976"/>
      </c:scatterChart>
      <c:valAx>
        <c:axId val="1017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50976"/>
        <c:crosses val="autoZero"/>
        <c:crossBetween val="midCat"/>
      </c:valAx>
      <c:valAx>
        <c:axId val="1035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1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114300</xdr:rowOff>
    </xdr:from>
    <xdr:to>
      <xdr:col>26</xdr:col>
      <xdr:colOff>542925</xdr:colOff>
      <xdr:row>42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10" activePane="bottomLeft" state="frozen"/>
      <selection pane="bottomLeft" activeCell="U110" sqref="U110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f>3*0.64*0.64</f>
        <v>1.2287999999999999</v>
      </c>
      <c r="H72" s="6">
        <v>2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9.4377880184331783E-2</v>
      </c>
      <c r="S72" s="4">
        <f t="shared" si="23"/>
        <v>1.5462239583333333</v>
      </c>
      <c r="T72" s="4">
        <f t="shared" si="24"/>
        <v>4.1753312945973491E-4</v>
      </c>
      <c r="U72" s="4">
        <f t="shared" si="30"/>
        <v>843.04687500000023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 t="s">
        <v>382</v>
      </c>
      <c r="B73" s="6">
        <v>2.9</v>
      </c>
      <c r="C73" s="6"/>
      <c r="D73" s="6"/>
      <c r="E73" s="6"/>
      <c r="F73" s="6"/>
      <c r="G73" s="6">
        <v>1.2287999999999999</v>
      </c>
      <c r="H73" s="6">
        <v>0.6</v>
      </c>
      <c r="I73" s="6"/>
      <c r="J73" s="4">
        <f t="shared" si="19"/>
        <v>0</v>
      </c>
      <c r="K73" s="4">
        <f t="shared" si="27"/>
        <v>0</v>
      </c>
      <c r="L73" s="4">
        <f t="shared" si="20"/>
        <v>2.9</v>
      </c>
      <c r="M73" s="4">
        <f>IFERROR(VLOOKUP(I73,FuelTypes!$A$1:$B$32,2,FALSE)*J73,0)</f>
        <v>0</v>
      </c>
      <c r="N73" s="4">
        <f t="shared" si="17"/>
        <v>2.9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4.2372413793103449E-2</v>
      </c>
      <c r="S73" s="4">
        <f t="shared" si="23"/>
        <v>1.416015625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>
        <f t="shared" si="25"/>
        <v>8620.6896551724149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377</v>
      </c>
      <c r="B91" s="6">
        <v>1.95</v>
      </c>
      <c r="C91" s="18"/>
      <c r="D91" s="6"/>
      <c r="E91" s="6"/>
      <c r="F91" s="6"/>
      <c r="G91" s="6">
        <v>373</v>
      </c>
      <c r="H91" s="6">
        <v>180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19.128205128205131</v>
      </c>
      <c r="S91" s="4">
        <f t="shared" si="23"/>
        <v>0.94101876675603213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378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 t="s">
        <v>355</v>
      </c>
      <c r="B93" s="6">
        <v>1.95</v>
      </c>
      <c r="C93" s="18"/>
      <c r="D93" s="6"/>
      <c r="E93" s="6"/>
      <c r="F93" s="6"/>
      <c r="G93" s="6">
        <v>393</v>
      </c>
      <c r="H93" s="6">
        <v>190</v>
      </c>
      <c r="I93" s="6"/>
      <c r="J93" s="4">
        <f t="shared" si="19"/>
        <v>0</v>
      </c>
      <c r="K93" s="4">
        <f t="shared" si="27"/>
        <v>0</v>
      </c>
      <c r="L93" s="4">
        <f t="shared" si="20"/>
        <v>1.95</v>
      </c>
      <c r="M93" s="4">
        <f>IFERROR(VLOOKUP(I93,FuelTypes!$A$1:$B$32,2,FALSE)*J93,0)</f>
        <v>0</v>
      </c>
      <c r="N93" s="4">
        <f t="shared" si="17"/>
        <v>1.95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20.153846153846157</v>
      </c>
      <c r="S93" s="4">
        <f t="shared" si="23"/>
        <v>0.9427480916030534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>
        <f t="shared" si="25"/>
        <v>51.282051282051285</v>
      </c>
      <c r="AB93" s="3">
        <f t="shared" si="29"/>
        <v>0</v>
      </c>
      <c r="AC93" s="3">
        <f t="shared" si="26"/>
        <v>0</v>
      </c>
    </row>
    <row r="94" spans="1:29" x14ac:dyDescent="0.25">
      <c r="A94" s="6" t="s">
        <v>356</v>
      </c>
      <c r="B94" s="6">
        <v>1.95</v>
      </c>
      <c r="C94" s="18"/>
      <c r="D94" s="6"/>
      <c r="E94" s="6"/>
      <c r="F94" s="6"/>
      <c r="G94" s="6">
        <v>20</v>
      </c>
      <c r="H94" s="6">
        <v>5</v>
      </c>
      <c r="I94" s="6"/>
      <c r="J94" s="4">
        <f t="shared" si="19"/>
        <v>0</v>
      </c>
      <c r="K94" s="4">
        <f t="shared" si="27"/>
        <v>0</v>
      </c>
      <c r="L94" s="4">
        <f t="shared" si="20"/>
        <v>1.95</v>
      </c>
      <c r="M94" s="4">
        <f>IFERROR(VLOOKUP(I94,FuelTypes!$A$1:$B$32,2,FALSE)*J94,0)</f>
        <v>0</v>
      </c>
      <c r="N94" s="4">
        <f t="shared" si="17"/>
        <v>1.95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1.0256410256410258</v>
      </c>
      <c r="S94" s="4">
        <f t="shared" si="23"/>
        <v>0.48749999999999999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>
        <f t="shared" si="25"/>
        <v>102.56410256410257</v>
      </c>
      <c r="AB94" s="3">
        <f t="shared" si="29"/>
        <v>0</v>
      </c>
      <c r="AC94" s="3">
        <f t="shared" si="26"/>
        <v>0</v>
      </c>
    </row>
    <row r="95" spans="1:29" x14ac:dyDescent="0.25">
      <c r="A95" s="6" t="s">
        <v>379</v>
      </c>
      <c r="B95" s="6">
        <v>1.95</v>
      </c>
      <c r="C95" s="18"/>
      <c r="D95" s="6"/>
      <c r="E95" s="6"/>
      <c r="F95" s="6"/>
      <c r="G95" s="6">
        <v>373</v>
      </c>
      <c r="H95" s="6">
        <v>280</v>
      </c>
      <c r="I95" s="6"/>
      <c r="J95" s="4">
        <f t="shared" si="19"/>
        <v>0</v>
      </c>
      <c r="K95" s="4">
        <f t="shared" si="27"/>
        <v>0</v>
      </c>
      <c r="L95" s="4">
        <f t="shared" si="20"/>
        <v>1.95</v>
      </c>
      <c r="M95" s="4">
        <f>IFERROR(VLOOKUP(I95,FuelTypes!$A$1:$B$32,2,FALSE)*J95,0)</f>
        <v>0</v>
      </c>
      <c r="N95" s="4">
        <f t="shared" si="17"/>
        <v>1.95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19.128205128205131</v>
      </c>
      <c r="S95" s="4">
        <f t="shared" si="23"/>
        <v>1.4638069705093832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>
        <f t="shared" si="25"/>
        <v>153.84615384615384</v>
      </c>
      <c r="AB95" s="3">
        <f t="shared" si="29"/>
        <v>0</v>
      </c>
      <c r="AC95" s="3">
        <f t="shared" si="26"/>
        <v>0</v>
      </c>
    </row>
    <row r="96" spans="1:29" x14ac:dyDescent="0.25">
      <c r="A96" s="6" t="s">
        <v>380</v>
      </c>
      <c r="B96" s="6">
        <v>16</v>
      </c>
      <c r="C96" s="18"/>
      <c r="D96" s="6"/>
      <c r="E96" s="6"/>
      <c r="F96" s="6"/>
      <c r="G96" s="6">
        <v>1980</v>
      </c>
      <c r="H96" s="6">
        <v>110</v>
      </c>
      <c r="I96" s="6"/>
      <c r="J96" s="4">
        <f t="shared" si="19"/>
        <v>0</v>
      </c>
      <c r="K96" s="4">
        <f t="shared" si="27"/>
        <v>0</v>
      </c>
      <c r="L96" s="4">
        <f t="shared" si="20"/>
        <v>16</v>
      </c>
      <c r="M96" s="4">
        <f>IFERROR(VLOOKUP(I96,FuelTypes!$A$1:$B$32,2,FALSE)*J96,0)</f>
        <v>0</v>
      </c>
      <c r="N96" s="4">
        <f t="shared" si="17"/>
        <v>16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12.375</v>
      </c>
      <c r="S96" s="4">
        <f t="shared" si="23"/>
        <v>0.88888888888888884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>
        <f t="shared" si="25"/>
        <v>25</v>
      </c>
      <c r="AB96" s="3">
        <f t="shared" si="29"/>
        <v>0</v>
      </c>
      <c r="AC96" s="3">
        <f t="shared" si="26"/>
        <v>0</v>
      </c>
    </row>
    <row r="97" spans="1:29" x14ac:dyDescent="0.25">
      <c r="A97" s="6" t="s">
        <v>381</v>
      </c>
      <c r="B97" s="6">
        <v>16</v>
      </c>
      <c r="C97" s="18"/>
      <c r="D97" s="6"/>
      <c r="E97" s="6"/>
      <c r="F97" s="6"/>
      <c r="G97" s="6">
        <v>100</v>
      </c>
      <c r="H97" s="6">
        <v>4</v>
      </c>
      <c r="I97" s="6"/>
      <c r="J97" s="4">
        <f t="shared" si="19"/>
        <v>0</v>
      </c>
      <c r="K97" s="4">
        <f t="shared" si="27"/>
        <v>0</v>
      </c>
      <c r="L97" s="4">
        <f t="shared" si="20"/>
        <v>16</v>
      </c>
      <c r="M97" s="4">
        <f>IFERROR(VLOOKUP(I97,FuelTypes!$A$1:$B$32,2,FALSE)*J97,0)</f>
        <v>0</v>
      </c>
      <c r="N97" s="4">
        <f t="shared" si="17"/>
        <v>16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0.625</v>
      </c>
      <c r="S97" s="4">
        <f t="shared" si="23"/>
        <v>0.64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>
        <f t="shared" si="25"/>
        <v>31.25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 t="s">
        <v>380</v>
      </c>
      <c r="B100" s="6">
        <v>10</v>
      </c>
      <c r="C100" s="18"/>
      <c r="D100" s="6"/>
      <c r="E100" s="6"/>
      <c r="F100" s="6"/>
      <c r="G100" s="6">
        <v>1350</v>
      </c>
      <c r="H100" s="6">
        <v>135</v>
      </c>
      <c r="I100" s="6"/>
      <c r="J100" s="4">
        <f t="shared" si="31"/>
        <v>0</v>
      </c>
      <c r="K100" s="4">
        <f t="shared" si="27"/>
        <v>0</v>
      </c>
      <c r="L100" s="4">
        <f t="shared" si="32"/>
        <v>10</v>
      </c>
      <c r="M100" s="4">
        <f>IFERROR(VLOOKUP(I100,FuelTypes!$A$1:$B$32,2,FALSE)*J100,0)</f>
        <v>0</v>
      </c>
      <c r="N100" s="4">
        <f t="shared" si="17"/>
        <v>10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13.5</v>
      </c>
      <c r="S100" s="4">
        <f t="shared" si="23"/>
        <v>1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>
        <f t="shared" si="25"/>
        <v>80</v>
      </c>
      <c r="AB100" s="3">
        <f t="shared" si="29"/>
        <v>0</v>
      </c>
      <c r="AC100" s="3">
        <f t="shared" si="26"/>
        <v>0</v>
      </c>
    </row>
    <row r="101" spans="1:29" x14ac:dyDescent="0.25">
      <c r="A101" s="6" t="s">
        <v>381</v>
      </c>
      <c r="B101" s="6">
        <v>10</v>
      </c>
      <c r="C101" s="18"/>
      <c r="D101" s="6"/>
      <c r="E101" s="6"/>
      <c r="F101" s="6"/>
      <c r="G101" s="6">
        <v>80</v>
      </c>
      <c r="H101" s="6">
        <v>4</v>
      </c>
      <c r="I101" s="6"/>
      <c r="J101" s="4">
        <f t="shared" si="31"/>
        <v>0</v>
      </c>
      <c r="K101" s="4">
        <f t="shared" si="27"/>
        <v>0</v>
      </c>
      <c r="L101" s="4">
        <f t="shared" si="32"/>
        <v>10</v>
      </c>
      <c r="M101" s="4">
        <f>IFERROR(VLOOKUP(I101,FuelTypes!$A$1:$B$32,2,FALSE)*J101,0)</f>
        <v>0</v>
      </c>
      <c r="N101" s="4">
        <f t="shared" si="17"/>
        <v>10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0.8</v>
      </c>
      <c r="S101" s="4">
        <f t="shared" si="23"/>
        <v>0.5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>
        <f t="shared" si="25"/>
        <v>30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>
        <v>0</v>
      </c>
      <c r="C134" s="6">
        <v>502</v>
      </c>
      <c r="D134" s="6">
        <v>0</v>
      </c>
      <c r="E134" s="6">
        <v>0</v>
      </c>
      <c r="F134" s="6">
        <v>268</v>
      </c>
      <c r="G134" s="6">
        <v>14780</v>
      </c>
      <c r="H134" s="6">
        <v>20</v>
      </c>
      <c r="I134" s="6" t="s">
        <v>108</v>
      </c>
      <c r="J134" s="4">
        <f t="shared" si="36"/>
        <v>502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502</v>
      </c>
      <c r="N134" s="4">
        <f t="shared" si="34"/>
        <v>502</v>
      </c>
      <c r="O134" s="4">
        <f t="shared" si="38"/>
        <v>1</v>
      </c>
      <c r="P134" s="4">
        <f>VLOOKUP(I134, FuelTypes!$A$1:$R$12,17,FALSE)*J134</f>
        <v>45180</v>
      </c>
      <c r="Q134" s="4">
        <f>VLOOKUP(I134, FuelTypes!$A$1:$R$12,18,FALSE)*J134</f>
        <v>55220</v>
      </c>
      <c r="R134" s="4">
        <f t="shared" si="39"/>
        <v>0</v>
      </c>
      <c r="S134" s="4">
        <f t="shared" si="40"/>
        <v>0</v>
      </c>
      <c r="T134" s="4">
        <f t="shared" si="41"/>
        <v>5.6217384027872868</v>
      </c>
      <c r="U134" s="4">
        <f t="shared" si="47"/>
        <v>89.296221921515567</v>
      </c>
      <c r="W134" s="3">
        <f>IFERROR(VLOOKUP(I134,FuelTypes!$A$2:$G$40,5,FALSE)*M134,0)</f>
        <v>23041.8</v>
      </c>
      <c r="Y134" s="3">
        <f t="shared" si="45"/>
        <v>23041.8</v>
      </c>
      <c r="Z134" s="3" t="e">
        <f t="shared" si="42"/>
        <v>#DIV/0!</v>
      </c>
      <c r="AB134" s="3">
        <f t="shared" si="46"/>
        <v>1</v>
      </c>
      <c r="AC134" s="3">
        <f t="shared" si="43"/>
        <v>1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V21" sqref="V21"/>
    </sheetView>
  </sheetViews>
  <sheetFormatPr defaultRowHeight="15" x14ac:dyDescent="0.25"/>
  <cols>
    <col min="1" max="1" width="9.28515625" bestFit="1" customWidth="1"/>
    <col min="2" max="2" width="9.140625" style="39"/>
    <col min="4" max="4" width="9.140625" style="39"/>
    <col min="5" max="5" width="12" bestFit="1" customWidth="1"/>
    <col min="6" max="8" width="9.140625" style="39"/>
  </cols>
  <sheetData>
    <row r="1" spans="1:10" s="39" customFormat="1" x14ac:dyDescent="0.25">
      <c r="A1" s="39" t="s">
        <v>105</v>
      </c>
      <c r="B1" s="39">
        <v>1</v>
      </c>
    </row>
    <row r="2" spans="1:10" s="39" customFormat="1" x14ac:dyDescent="0.25">
      <c r="A2" s="39" t="s">
        <v>393</v>
      </c>
      <c r="B2" s="39">
        <v>600</v>
      </c>
    </row>
    <row r="3" spans="1:10" s="39" customFormat="1" x14ac:dyDescent="0.25">
      <c r="A3" s="39" t="s">
        <v>394</v>
      </c>
      <c r="B3" s="39">
        <f>B2*0.001</f>
        <v>0.6</v>
      </c>
    </row>
    <row r="4" spans="1:10" s="39" customFormat="1" x14ac:dyDescent="0.25">
      <c r="A4" s="39" t="s">
        <v>395</v>
      </c>
      <c r="B4" s="39">
        <v>2.4</v>
      </c>
    </row>
    <row r="5" spans="1:10" s="39" customFormat="1" x14ac:dyDescent="0.25">
      <c r="A5" s="39" t="s">
        <v>396</v>
      </c>
      <c r="B5" s="39">
        <v>267</v>
      </c>
    </row>
    <row r="6" spans="1:10" s="39" customFormat="1" x14ac:dyDescent="0.25">
      <c r="A6" s="39" t="s">
        <v>398</v>
      </c>
      <c r="B6" s="39">
        <v>3</v>
      </c>
    </row>
    <row r="7" spans="1:10" s="39" customFormat="1" x14ac:dyDescent="0.25">
      <c r="A7" s="39" t="s">
        <v>399</v>
      </c>
      <c r="B7" s="39">
        <v>3</v>
      </c>
    </row>
    <row r="8" spans="1:10" s="39" customFormat="1" x14ac:dyDescent="0.25">
      <c r="A8" s="39" t="s">
        <v>402</v>
      </c>
      <c r="B8" s="39">
        <v>3</v>
      </c>
    </row>
    <row r="9" spans="1:10" s="39" customFormat="1" x14ac:dyDescent="0.25"/>
    <row r="10" spans="1:10" x14ac:dyDescent="0.25">
      <c r="A10" t="s">
        <v>387</v>
      </c>
      <c r="B10" s="39" t="s">
        <v>397</v>
      </c>
      <c r="C10" t="s">
        <v>388</v>
      </c>
      <c r="D10" s="39" t="s">
        <v>390</v>
      </c>
      <c r="E10" t="s">
        <v>105</v>
      </c>
      <c r="F10" s="39" t="s">
        <v>396</v>
      </c>
      <c r="G10" s="39" t="s">
        <v>400</v>
      </c>
      <c r="H10" s="39" t="s">
        <v>391</v>
      </c>
      <c r="I10" t="s">
        <v>195</v>
      </c>
      <c r="J10" t="s">
        <v>389</v>
      </c>
    </row>
    <row r="11" spans="1:10" x14ac:dyDescent="0.25">
      <c r="A11">
        <v>0.625</v>
      </c>
      <c r="B11" s="39">
        <f>A11/3.75</f>
        <v>0.16666666666666666</v>
      </c>
      <c r="C11" t="s">
        <v>392</v>
      </c>
      <c r="D11" s="39">
        <v>0.25</v>
      </c>
      <c r="E11" s="39">
        <f>POWER(B11*$B$1*D11, $B$6)</f>
        <v>7.2337962962962959E-5</v>
      </c>
    </row>
    <row r="12" spans="1:10" x14ac:dyDescent="0.25">
      <c r="A12">
        <v>1.25</v>
      </c>
      <c r="B12" s="39">
        <f t="shared" ref="B12:B30" si="0">A12/3.75</f>
        <v>0.33333333333333331</v>
      </c>
      <c r="C12" s="39" t="s">
        <v>392</v>
      </c>
      <c r="D12" s="39">
        <v>0.25</v>
      </c>
      <c r="E12" s="39">
        <f t="shared" ref="E12:E30" si="1">POWER(B12*$B$1*D12, $B$6)</f>
        <v>5.7870370370370367E-4</v>
      </c>
    </row>
    <row r="13" spans="1:10" x14ac:dyDescent="0.25">
      <c r="A13">
        <v>1.875</v>
      </c>
      <c r="B13" s="39">
        <f t="shared" si="0"/>
        <v>0.5</v>
      </c>
      <c r="C13" s="39" t="s">
        <v>392</v>
      </c>
      <c r="D13" s="39">
        <v>0.25</v>
      </c>
      <c r="E13" s="39">
        <f t="shared" si="1"/>
        <v>1.953125E-3</v>
      </c>
    </row>
    <row r="14" spans="1:10" x14ac:dyDescent="0.25">
      <c r="A14">
        <v>2.5</v>
      </c>
      <c r="B14" s="39">
        <f t="shared" si="0"/>
        <v>0.66666666666666663</v>
      </c>
      <c r="C14" s="39" t="s">
        <v>392</v>
      </c>
      <c r="D14" s="39">
        <v>0.25</v>
      </c>
      <c r="E14" s="39">
        <f t="shared" si="1"/>
        <v>4.6296296296296294E-3</v>
      </c>
    </row>
    <row r="15" spans="1:10" x14ac:dyDescent="0.25">
      <c r="A15">
        <v>3.125</v>
      </c>
      <c r="B15" s="39">
        <f t="shared" si="0"/>
        <v>0.83333333333333337</v>
      </c>
      <c r="C15" s="39" t="s">
        <v>392</v>
      </c>
      <c r="D15" s="39">
        <v>0.25</v>
      </c>
      <c r="E15" s="39">
        <f t="shared" si="1"/>
        <v>9.0422453703703724E-3</v>
      </c>
    </row>
    <row r="16" spans="1:10" x14ac:dyDescent="0.25">
      <c r="A16">
        <v>3.75</v>
      </c>
      <c r="B16" s="39">
        <f t="shared" si="0"/>
        <v>1</v>
      </c>
      <c r="C16" s="39" t="s">
        <v>392</v>
      </c>
      <c r="D16" s="39">
        <v>0.25</v>
      </c>
      <c r="E16" s="39">
        <f t="shared" si="1"/>
        <v>1.5625E-2</v>
      </c>
    </row>
    <row r="17" spans="1:7" x14ac:dyDescent="0.25">
      <c r="A17">
        <v>4.375</v>
      </c>
      <c r="B17" s="39">
        <f t="shared" si="0"/>
        <v>1.1666666666666667</v>
      </c>
      <c r="C17" s="39" t="s">
        <v>392</v>
      </c>
      <c r="D17" s="39">
        <v>0.25</v>
      </c>
      <c r="E17" s="39">
        <f t="shared" si="1"/>
        <v>2.4811921296296304E-2</v>
      </c>
    </row>
    <row r="18" spans="1:7" x14ac:dyDescent="0.25">
      <c r="A18">
        <v>5</v>
      </c>
      <c r="B18" s="39">
        <f t="shared" si="0"/>
        <v>1.3333333333333333</v>
      </c>
      <c r="C18" s="39" t="s">
        <v>392</v>
      </c>
      <c r="D18" s="39">
        <v>0.25</v>
      </c>
      <c r="E18" s="39">
        <f t="shared" si="1"/>
        <v>3.7037037037037035E-2</v>
      </c>
    </row>
    <row r="19" spans="1:7" x14ac:dyDescent="0.25">
      <c r="A19">
        <v>5.625</v>
      </c>
      <c r="B19" s="39">
        <f t="shared" si="0"/>
        <v>1.5</v>
      </c>
      <c r="C19" s="39" t="s">
        <v>392</v>
      </c>
      <c r="D19" s="39">
        <v>0.25</v>
      </c>
      <c r="E19" s="39">
        <f t="shared" si="1"/>
        <v>5.2734375E-2</v>
      </c>
    </row>
    <row r="20" spans="1:7" x14ac:dyDescent="0.25">
      <c r="A20">
        <v>6.25</v>
      </c>
      <c r="B20" s="39">
        <f t="shared" si="0"/>
        <v>1.6666666666666667</v>
      </c>
      <c r="C20" s="39" t="s">
        <v>392</v>
      </c>
      <c r="D20" s="39">
        <v>0.25</v>
      </c>
      <c r="E20" s="39">
        <f t="shared" si="1"/>
        <v>7.2337962962962979E-2</v>
      </c>
    </row>
    <row r="21" spans="1:7" x14ac:dyDescent="0.25">
      <c r="A21" s="39">
        <v>0.625</v>
      </c>
      <c r="B21" s="39">
        <f>A21/3.75</f>
        <v>0.16666666666666666</v>
      </c>
      <c r="C21" s="39" t="s">
        <v>401</v>
      </c>
      <c r="D21" s="39">
        <v>1</v>
      </c>
      <c r="E21" s="39">
        <f t="shared" si="1"/>
        <v>4.6296296296296294E-3</v>
      </c>
    </row>
    <row r="22" spans="1:7" x14ac:dyDescent="0.25">
      <c r="A22" s="39">
        <v>1.25</v>
      </c>
      <c r="B22" s="39">
        <f t="shared" si="0"/>
        <v>0.33333333333333331</v>
      </c>
      <c r="C22" s="39" t="s">
        <v>401</v>
      </c>
      <c r="D22" s="39">
        <f>D21</f>
        <v>1</v>
      </c>
      <c r="E22" s="39">
        <f t="shared" si="1"/>
        <v>3.7037037037037035E-2</v>
      </c>
      <c r="F22" s="39">
        <v>9.4</v>
      </c>
      <c r="G22" s="39">
        <v>0.5</v>
      </c>
    </row>
    <row r="23" spans="1:7" x14ac:dyDescent="0.25">
      <c r="A23" s="39">
        <v>1.875</v>
      </c>
      <c r="B23" s="39">
        <f t="shared" si="0"/>
        <v>0.5</v>
      </c>
      <c r="C23" s="39" t="s">
        <v>401</v>
      </c>
      <c r="D23" s="39">
        <f t="shared" ref="D23:D30" si="2">D22</f>
        <v>1</v>
      </c>
      <c r="E23" s="39">
        <f t="shared" si="1"/>
        <v>0.125</v>
      </c>
      <c r="F23" s="39">
        <v>31.9</v>
      </c>
      <c r="G23" s="39">
        <v>1.9</v>
      </c>
    </row>
    <row r="24" spans="1:7" x14ac:dyDescent="0.25">
      <c r="A24" s="39">
        <v>2.5</v>
      </c>
      <c r="B24" s="39">
        <f t="shared" si="0"/>
        <v>0.66666666666666663</v>
      </c>
      <c r="C24" s="39" t="s">
        <v>401</v>
      </c>
      <c r="D24" s="39">
        <f t="shared" si="2"/>
        <v>1</v>
      </c>
      <c r="E24" s="39">
        <f t="shared" si="1"/>
        <v>0.29629629629629628</v>
      </c>
    </row>
    <row r="25" spans="1:7" x14ac:dyDescent="0.25">
      <c r="A25" s="39">
        <v>3.125</v>
      </c>
      <c r="B25" s="39">
        <f t="shared" si="0"/>
        <v>0.83333333333333337</v>
      </c>
      <c r="C25" s="39" t="s">
        <v>401</v>
      </c>
      <c r="D25" s="39">
        <f t="shared" si="2"/>
        <v>1</v>
      </c>
      <c r="E25" s="39">
        <f t="shared" si="1"/>
        <v>0.57870370370370383</v>
      </c>
    </row>
    <row r="26" spans="1:7" x14ac:dyDescent="0.25">
      <c r="A26" s="39">
        <v>3.75</v>
      </c>
      <c r="B26" s="39">
        <f t="shared" si="0"/>
        <v>1</v>
      </c>
      <c r="C26" s="39" t="s">
        <v>401</v>
      </c>
      <c r="D26" s="39">
        <f t="shared" si="2"/>
        <v>1</v>
      </c>
      <c r="E26" s="39">
        <f t="shared" si="1"/>
        <v>1</v>
      </c>
      <c r="F26" s="39">
        <v>267.2</v>
      </c>
      <c r="G26" s="39">
        <v>2.4</v>
      </c>
    </row>
    <row r="27" spans="1:7" x14ac:dyDescent="0.25">
      <c r="A27" s="39">
        <v>4.375</v>
      </c>
      <c r="B27" s="39">
        <f t="shared" si="0"/>
        <v>1.1666666666666667</v>
      </c>
      <c r="C27" s="39" t="s">
        <v>401</v>
      </c>
      <c r="D27" s="39">
        <f t="shared" si="2"/>
        <v>1</v>
      </c>
      <c r="E27" s="39">
        <f t="shared" si="1"/>
        <v>1.5879629629629635</v>
      </c>
    </row>
    <row r="28" spans="1:7" x14ac:dyDescent="0.25">
      <c r="A28" s="39">
        <v>5</v>
      </c>
      <c r="B28" s="39">
        <f t="shared" si="0"/>
        <v>1.3333333333333333</v>
      </c>
      <c r="C28" s="39" t="s">
        <v>401</v>
      </c>
      <c r="D28" s="39">
        <f t="shared" si="2"/>
        <v>1</v>
      </c>
      <c r="E28" s="39">
        <f t="shared" si="1"/>
        <v>2.3703703703703702</v>
      </c>
    </row>
    <row r="29" spans="1:7" x14ac:dyDescent="0.25">
      <c r="A29" s="39">
        <v>5.625</v>
      </c>
      <c r="B29" s="39">
        <f t="shared" si="0"/>
        <v>1.5</v>
      </c>
      <c r="C29" s="39" t="s">
        <v>401</v>
      </c>
      <c r="D29" s="39">
        <f t="shared" si="2"/>
        <v>1</v>
      </c>
      <c r="E29" s="39">
        <f t="shared" si="1"/>
        <v>3.375</v>
      </c>
    </row>
    <row r="30" spans="1:7" x14ac:dyDescent="0.25">
      <c r="A30" s="39">
        <v>6.25</v>
      </c>
      <c r="B30" s="39">
        <f t="shared" si="0"/>
        <v>1.6666666666666667</v>
      </c>
      <c r="C30" s="39" t="s">
        <v>401</v>
      </c>
      <c r="D30" s="39">
        <f t="shared" si="2"/>
        <v>1</v>
      </c>
      <c r="E30" s="39">
        <f t="shared" si="1"/>
        <v>4.6296296296296306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0" sqref="B10"/>
    </sheetView>
  </sheetViews>
  <sheetFormatPr defaultRowHeight="16.5" customHeight="1" x14ac:dyDescent="0.25"/>
  <cols>
    <col min="1" max="1" width="30.28515625" bestFit="1" customWidth="1"/>
    <col min="2" max="2" width="36.85546875" customWidth="1"/>
    <col min="3" max="3" width="18.85546875" bestFit="1" customWidth="1"/>
  </cols>
  <sheetData>
    <row r="1" spans="1:3" ht="16.5" customHeight="1" x14ac:dyDescent="0.25">
      <c r="A1" t="s">
        <v>404</v>
      </c>
      <c r="B1" t="s">
        <v>405</v>
      </c>
      <c r="C1" t="s">
        <v>406</v>
      </c>
    </row>
    <row r="2" spans="1:3" ht="16.5" customHeight="1" x14ac:dyDescent="0.25">
      <c r="A2" t="s">
        <v>407</v>
      </c>
      <c r="B2" t="s">
        <v>408</v>
      </c>
      <c r="C2" t="s">
        <v>409</v>
      </c>
    </row>
    <row r="3" spans="1:3" ht="16.5" customHeight="1" x14ac:dyDescent="0.25">
      <c r="A3" t="s">
        <v>410</v>
      </c>
      <c r="B3" t="s">
        <v>411</v>
      </c>
      <c r="C3" t="s">
        <v>412</v>
      </c>
    </row>
    <row r="4" spans="1:3" ht="16.5" customHeight="1" x14ac:dyDescent="0.25">
      <c r="A4" t="s">
        <v>413</v>
      </c>
      <c r="B4" t="s">
        <v>414</v>
      </c>
      <c r="C4" t="s">
        <v>415</v>
      </c>
    </row>
    <row r="5" spans="1:3" ht="16.5" customHeight="1" x14ac:dyDescent="0.25">
      <c r="A5" t="s">
        <v>416</v>
      </c>
      <c r="B5" t="s">
        <v>417</v>
      </c>
      <c r="C5" t="s">
        <v>418</v>
      </c>
    </row>
    <row r="6" spans="1:3" ht="16.5" customHeight="1" x14ac:dyDescent="0.25">
      <c r="A6" t="s">
        <v>419</v>
      </c>
      <c r="B6" t="s">
        <v>420</v>
      </c>
      <c r="C6" t="s">
        <v>421</v>
      </c>
    </row>
    <row r="7" spans="1:3" ht="16.5" customHeight="1" x14ac:dyDescent="0.25">
      <c r="A7" t="s">
        <v>422</v>
      </c>
      <c r="B7" t="s">
        <v>423</v>
      </c>
      <c r="C7" t="s">
        <v>424</v>
      </c>
    </row>
    <row r="8" spans="1:3" ht="16.5" customHeight="1" x14ac:dyDescent="0.25">
      <c r="A8" t="s">
        <v>425</v>
      </c>
      <c r="B8" t="s">
        <v>426</v>
      </c>
      <c r="C8" t="s">
        <v>427</v>
      </c>
    </row>
    <row r="9" spans="1:3" ht="16.5" customHeight="1" x14ac:dyDescent="0.25">
      <c r="A9" t="s">
        <v>428</v>
      </c>
      <c r="B9" t="s">
        <v>429</v>
      </c>
      <c r="C9" t="s">
        <v>430</v>
      </c>
    </row>
    <row r="10" spans="1:3" ht="16.5" customHeight="1" x14ac:dyDescent="0.25">
      <c r="A10" t="s">
        <v>431</v>
      </c>
      <c r="B10" t="s">
        <v>432</v>
      </c>
    </row>
    <row r="11" spans="1:3" ht="16.5" customHeight="1" x14ac:dyDescent="0.25">
      <c r="A11" t="s">
        <v>433</v>
      </c>
      <c r="B11" t="s">
        <v>434</v>
      </c>
    </row>
    <row r="12" spans="1:3" ht="16.5" customHeight="1" x14ac:dyDescent="0.25">
      <c r="A12" t="s">
        <v>435</v>
      </c>
      <c r="B12" t="s">
        <v>436</v>
      </c>
    </row>
    <row r="13" spans="1:3" ht="16.5" customHeight="1" x14ac:dyDescent="0.25">
      <c r="A13" t="s">
        <v>437</v>
      </c>
    </row>
    <row r="14" spans="1:3" ht="16.5" customHeight="1" x14ac:dyDescent="0.25">
      <c r="A14" t="s">
        <v>438</v>
      </c>
    </row>
    <row r="15" spans="1:3" ht="16.5" customHeight="1" x14ac:dyDescent="0.25">
      <c r="A15" t="s">
        <v>439</v>
      </c>
    </row>
    <row r="16" spans="1:3" ht="16.5" customHeight="1" x14ac:dyDescent="0.25">
      <c r="A16" t="s">
        <v>440</v>
      </c>
    </row>
    <row r="17" spans="1:1" ht="16.5" customHeight="1" x14ac:dyDescent="0.25">
      <c r="A17" t="s">
        <v>441</v>
      </c>
    </row>
    <row r="18" spans="1:1" ht="16.5" customHeight="1" x14ac:dyDescent="0.25">
      <c r="A18" t="s">
        <v>442</v>
      </c>
    </row>
    <row r="19" spans="1:1" ht="16.5" customHeight="1" x14ac:dyDescent="0.25">
      <c r="A19" t="s">
        <v>443</v>
      </c>
    </row>
    <row r="20" spans="1:1" ht="16.5" customHeight="1" x14ac:dyDescent="0.25">
      <c r="A20" t="s">
        <v>444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51" t="s">
        <v>76</v>
      </c>
      <c r="B1" s="51"/>
      <c r="C1" s="51"/>
      <c r="D1" s="51"/>
      <c r="E1" s="51"/>
      <c r="F1" s="51"/>
      <c r="G1" s="51"/>
      <c r="H1" s="12"/>
      <c r="I1" s="51" t="s">
        <v>76</v>
      </c>
      <c r="J1" s="51"/>
      <c r="K1" s="51"/>
      <c r="L1" s="51"/>
      <c r="M1" s="51"/>
      <c r="N1" s="51"/>
      <c r="O1" s="51"/>
      <c r="P1" s="12"/>
      <c r="Q1" s="51" t="s">
        <v>76</v>
      </c>
      <c r="R1" s="51"/>
      <c r="S1" s="51"/>
      <c r="T1" s="51"/>
      <c r="U1" s="51"/>
      <c r="V1" s="51"/>
      <c r="W1" s="51"/>
      <c r="X1" s="12"/>
      <c r="Y1" s="51" t="s">
        <v>76</v>
      </c>
      <c r="Z1" s="51"/>
      <c r="AA1" s="51"/>
      <c r="AB1" s="51"/>
      <c r="AC1" s="51"/>
      <c r="AD1" s="51"/>
      <c r="AE1" s="51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8">
        <f>E19</f>
        <v>0</v>
      </c>
      <c r="C20" s="49"/>
      <c r="D20" s="49"/>
      <c r="E20" s="49"/>
      <c r="F20" s="49"/>
      <c r="G20" s="50"/>
      <c r="H20" s="12"/>
      <c r="I20" s="16" t="s">
        <v>71</v>
      </c>
      <c r="J20" s="48">
        <f>M19</f>
        <v>0</v>
      </c>
      <c r="K20" s="49"/>
      <c r="L20" s="49"/>
      <c r="M20" s="49"/>
      <c r="N20" s="49"/>
      <c r="O20" s="50"/>
      <c r="P20" s="12"/>
      <c r="Q20" s="16" t="s">
        <v>71</v>
      </c>
      <c r="R20" s="48">
        <f>U19</f>
        <v>0</v>
      </c>
      <c r="S20" s="49"/>
      <c r="T20" s="49"/>
      <c r="U20" s="49"/>
      <c r="V20" s="49"/>
      <c r="W20" s="50"/>
      <c r="X20" s="12"/>
      <c r="Y20" s="16" t="s">
        <v>71</v>
      </c>
      <c r="Z20" s="48">
        <f>AC19</f>
        <v>0</v>
      </c>
      <c r="AA20" s="49"/>
      <c r="AB20" s="49"/>
      <c r="AC20" s="49"/>
      <c r="AD20" s="49"/>
      <c r="AE20" s="50"/>
      <c r="AF20" s="12"/>
    </row>
    <row r="21" spans="1:32" x14ac:dyDescent="0.25">
      <c r="A21" s="16" t="s">
        <v>75</v>
      </c>
      <c r="B21" s="48">
        <f>C19</f>
        <v>0</v>
      </c>
      <c r="C21" s="49"/>
      <c r="D21" s="49"/>
      <c r="E21" s="49"/>
      <c r="F21" s="49"/>
      <c r="G21" s="50"/>
      <c r="H21" s="12"/>
      <c r="I21" s="16" t="s">
        <v>75</v>
      </c>
      <c r="J21" s="48">
        <f>K19</f>
        <v>0</v>
      </c>
      <c r="K21" s="49"/>
      <c r="L21" s="49"/>
      <c r="M21" s="49"/>
      <c r="N21" s="49"/>
      <c r="O21" s="50"/>
      <c r="P21" s="12"/>
      <c r="Q21" s="16" t="s">
        <v>75</v>
      </c>
      <c r="R21" s="48">
        <f>S19</f>
        <v>0</v>
      </c>
      <c r="S21" s="49"/>
      <c r="T21" s="49"/>
      <c r="U21" s="49"/>
      <c r="V21" s="49"/>
      <c r="W21" s="50"/>
      <c r="X21" s="12"/>
      <c r="Y21" s="16" t="s">
        <v>75</v>
      </c>
      <c r="Z21" s="48">
        <f>AA19</f>
        <v>0</v>
      </c>
      <c r="AA21" s="49"/>
      <c r="AB21" s="49"/>
      <c r="AC21" s="49"/>
      <c r="AD21" s="49"/>
      <c r="AE21" s="50"/>
      <c r="AF21" s="12"/>
    </row>
    <row r="22" spans="1:32" x14ac:dyDescent="0.25">
      <c r="A22" s="16" t="s">
        <v>74</v>
      </c>
      <c r="B22" s="48">
        <f>IFERROR((G19/10/B20),0)</f>
        <v>0</v>
      </c>
      <c r="C22" s="49"/>
      <c r="D22" s="49"/>
      <c r="E22" s="49"/>
      <c r="F22" s="49"/>
      <c r="G22" s="50"/>
      <c r="H22" s="12"/>
      <c r="I22" s="16" t="s">
        <v>74</v>
      </c>
      <c r="J22" s="48">
        <f>IFERROR((O19/10/J20),0)</f>
        <v>0</v>
      </c>
      <c r="K22" s="49"/>
      <c r="L22" s="49"/>
      <c r="M22" s="49"/>
      <c r="N22" s="49"/>
      <c r="O22" s="50"/>
      <c r="P22" s="12"/>
      <c r="Q22" s="16" t="s">
        <v>74</v>
      </c>
      <c r="R22" s="48">
        <f>IFERROR((W19/10/R20),0)</f>
        <v>0</v>
      </c>
      <c r="S22" s="49"/>
      <c r="T22" s="49"/>
      <c r="U22" s="49"/>
      <c r="V22" s="49"/>
      <c r="W22" s="50"/>
      <c r="X22" s="12"/>
      <c r="Y22" s="16" t="s">
        <v>74</v>
      </c>
      <c r="Z22" s="48">
        <f>IFERROR((AE19/10/Z20),0)</f>
        <v>0</v>
      </c>
      <c r="AA22" s="49"/>
      <c r="AB22" s="49"/>
      <c r="AC22" s="49"/>
      <c r="AD22" s="49"/>
      <c r="AE22" s="50"/>
      <c r="AF22" s="12"/>
    </row>
    <row r="23" spans="1:32" x14ac:dyDescent="0.25">
      <c r="A23" s="16" t="s">
        <v>70</v>
      </c>
      <c r="B23" s="48">
        <f>IFERROR((9.82 * F19) * LN(B20/C19),0)</f>
        <v>0</v>
      </c>
      <c r="C23" s="49"/>
      <c r="D23" s="49"/>
      <c r="E23" s="49"/>
      <c r="F23" s="49"/>
      <c r="G23" s="50"/>
      <c r="H23" s="12"/>
      <c r="I23" s="16" t="s">
        <v>70</v>
      </c>
      <c r="J23" s="48">
        <f>IFERROR((9.82 * N19) * LN(J20/K19),0)</f>
        <v>0</v>
      </c>
      <c r="K23" s="49"/>
      <c r="L23" s="49"/>
      <c r="M23" s="49"/>
      <c r="N23" s="49"/>
      <c r="O23" s="50"/>
      <c r="P23" s="12"/>
      <c r="Q23" s="16" t="s">
        <v>70</v>
      </c>
      <c r="R23" s="48">
        <f>IFERROR((9.82 * V19) * LN(R20/S19),0)</f>
        <v>0</v>
      </c>
      <c r="S23" s="49"/>
      <c r="T23" s="49"/>
      <c r="U23" s="49"/>
      <c r="V23" s="49"/>
      <c r="W23" s="50"/>
      <c r="X23" s="12"/>
      <c r="Y23" s="16" t="s">
        <v>70</v>
      </c>
      <c r="Z23" s="48">
        <f>IFERROR((9.82 * AD19) * LN(Z20/AA19),0)</f>
        <v>0</v>
      </c>
      <c r="AA23" s="49"/>
      <c r="AB23" s="49"/>
      <c r="AC23" s="49"/>
      <c r="AD23" s="49"/>
      <c r="AE23" s="50"/>
      <c r="AF23" s="12"/>
    </row>
    <row r="24" spans="1:32" ht="15.75" thickBot="1" x14ac:dyDescent="0.3">
      <c r="A24" s="17" t="s">
        <v>72</v>
      </c>
      <c r="B24" s="52">
        <f>B23</f>
        <v>0</v>
      </c>
      <c r="C24" s="53"/>
      <c r="D24" s="53"/>
      <c r="E24" s="53"/>
      <c r="F24" s="53"/>
      <c r="G24" s="54"/>
      <c r="H24" s="12"/>
      <c r="I24" s="17" t="s">
        <v>72</v>
      </c>
      <c r="J24" s="52">
        <f>J23</f>
        <v>0</v>
      </c>
      <c r="K24" s="53"/>
      <c r="L24" s="53"/>
      <c r="M24" s="53"/>
      <c r="N24" s="53"/>
      <c r="O24" s="54"/>
      <c r="P24" s="12"/>
      <c r="Q24" s="17" t="s">
        <v>72</v>
      </c>
      <c r="R24" s="52">
        <f>R23</f>
        <v>0</v>
      </c>
      <c r="S24" s="53"/>
      <c r="T24" s="53"/>
      <c r="U24" s="53"/>
      <c r="V24" s="53"/>
      <c r="W24" s="54"/>
      <c r="X24" s="12"/>
      <c r="Y24" s="17" t="s">
        <v>72</v>
      </c>
      <c r="Z24" s="52">
        <f>Z23</f>
        <v>0</v>
      </c>
      <c r="AA24" s="53"/>
      <c r="AB24" s="53"/>
      <c r="AC24" s="53"/>
      <c r="AD24" s="53"/>
      <c r="AE24" s="54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8">
        <f>E43+B20</f>
        <v>10.773108687500001</v>
      </c>
      <c r="C44" s="49"/>
      <c r="D44" s="49"/>
      <c r="E44" s="49"/>
      <c r="F44" s="49"/>
      <c r="G44" s="50"/>
      <c r="H44" s="12"/>
      <c r="I44" s="16" t="s">
        <v>71</v>
      </c>
      <c r="J44" s="48">
        <f>M43+J20</f>
        <v>0</v>
      </c>
      <c r="K44" s="49"/>
      <c r="L44" s="49"/>
      <c r="M44" s="49"/>
      <c r="N44" s="49"/>
      <c r="O44" s="50"/>
      <c r="P44" s="12"/>
      <c r="Q44" s="16" t="s">
        <v>71</v>
      </c>
      <c r="R44" s="48">
        <f>U43+R20</f>
        <v>0</v>
      </c>
      <c r="S44" s="49"/>
      <c r="T44" s="49"/>
      <c r="U44" s="49"/>
      <c r="V44" s="49"/>
      <c r="W44" s="50"/>
      <c r="X44" s="12"/>
      <c r="Y44" s="16" t="s">
        <v>71</v>
      </c>
      <c r="Z44" s="48">
        <f>AC43+Z20</f>
        <v>0</v>
      </c>
      <c r="AA44" s="49"/>
      <c r="AB44" s="49"/>
      <c r="AC44" s="49"/>
      <c r="AD44" s="49"/>
      <c r="AE44" s="50"/>
      <c r="AF44" s="12"/>
    </row>
    <row r="45" spans="1:32" x14ac:dyDescent="0.25">
      <c r="A45" s="16" t="s">
        <v>75</v>
      </c>
      <c r="B45" s="48">
        <f>C43+B20</f>
        <v>1.7964924375</v>
      </c>
      <c r="C45" s="49"/>
      <c r="D45" s="49"/>
      <c r="E45" s="49"/>
      <c r="F45" s="49"/>
      <c r="G45" s="50"/>
      <c r="H45" s="12"/>
      <c r="I45" s="16" t="s">
        <v>75</v>
      </c>
      <c r="J45" s="48">
        <f>K43+J20</f>
        <v>0</v>
      </c>
      <c r="K45" s="49"/>
      <c r="L45" s="49"/>
      <c r="M45" s="49"/>
      <c r="N45" s="49"/>
      <c r="O45" s="50"/>
      <c r="P45" s="12"/>
      <c r="Q45" s="16" t="s">
        <v>75</v>
      </c>
      <c r="R45" s="48">
        <f>S43+R20</f>
        <v>0</v>
      </c>
      <c r="S45" s="49"/>
      <c r="T45" s="49"/>
      <c r="U45" s="49"/>
      <c r="V45" s="49"/>
      <c r="W45" s="50"/>
      <c r="X45" s="12"/>
      <c r="Y45" s="16" t="s">
        <v>75</v>
      </c>
      <c r="Z45" s="48">
        <f>AA43+Z20</f>
        <v>0</v>
      </c>
      <c r="AA45" s="49"/>
      <c r="AB45" s="49"/>
      <c r="AC45" s="49"/>
      <c r="AD45" s="49"/>
      <c r="AE45" s="50"/>
      <c r="AF45" s="12"/>
    </row>
    <row r="46" spans="1:32" x14ac:dyDescent="0.25">
      <c r="A46" s="16" t="s">
        <v>74</v>
      </c>
      <c r="B46" s="48">
        <f>IFERROR((G43/10/B44),0)</f>
        <v>0.4177067298338254</v>
      </c>
      <c r="C46" s="49"/>
      <c r="D46" s="49"/>
      <c r="E46" s="49"/>
      <c r="F46" s="49"/>
      <c r="G46" s="50"/>
      <c r="H46" s="12"/>
      <c r="I46" s="16" t="s">
        <v>74</v>
      </c>
      <c r="J46" s="48">
        <f>IFERROR((O43/10/J44),0)</f>
        <v>0</v>
      </c>
      <c r="K46" s="49"/>
      <c r="L46" s="49"/>
      <c r="M46" s="49"/>
      <c r="N46" s="49"/>
      <c r="O46" s="50"/>
      <c r="P46" s="12"/>
      <c r="Q46" s="16" t="s">
        <v>74</v>
      </c>
      <c r="R46" s="48">
        <f>IFERROR((W43/10/R44),0)</f>
        <v>0</v>
      </c>
      <c r="S46" s="49"/>
      <c r="T46" s="49"/>
      <c r="U46" s="49"/>
      <c r="V46" s="49"/>
      <c r="W46" s="50"/>
      <c r="X46" s="12"/>
      <c r="Y46" s="16" t="s">
        <v>74</v>
      </c>
      <c r="Z46" s="48">
        <f>IFERROR((AE43/10/Z44),0)</f>
        <v>0</v>
      </c>
      <c r="AA46" s="49"/>
      <c r="AB46" s="49"/>
      <c r="AC46" s="49"/>
      <c r="AD46" s="49"/>
      <c r="AE46" s="50"/>
      <c r="AF46" s="12"/>
    </row>
    <row r="47" spans="1:32" x14ac:dyDescent="0.25">
      <c r="A47" s="16" t="s">
        <v>70</v>
      </c>
      <c r="B47" s="48">
        <f>IFERROR((9.82 * F43) * LN(B44/B45),0)</f>
        <v>8003.3365648910458</v>
      </c>
      <c r="C47" s="49"/>
      <c r="D47" s="49"/>
      <c r="E47" s="49"/>
      <c r="F47" s="49"/>
      <c r="G47" s="50"/>
      <c r="H47" s="12"/>
      <c r="I47" s="16" t="s">
        <v>70</v>
      </c>
      <c r="J47" s="48">
        <f>IFERROR((9.82 * N43) * LN(J44/J45),0)</f>
        <v>0</v>
      </c>
      <c r="K47" s="49"/>
      <c r="L47" s="49"/>
      <c r="M47" s="49"/>
      <c r="N47" s="49"/>
      <c r="O47" s="50"/>
      <c r="P47" s="12"/>
      <c r="Q47" s="16" t="s">
        <v>70</v>
      </c>
      <c r="R47" s="48">
        <f>IFERROR((9.82 * V43) * LN(R44/R45),0)</f>
        <v>0</v>
      </c>
      <c r="S47" s="49"/>
      <c r="T47" s="49"/>
      <c r="U47" s="49"/>
      <c r="V47" s="49"/>
      <c r="W47" s="50"/>
      <c r="X47" s="12"/>
      <c r="Y47" s="16" t="s">
        <v>70</v>
      </c>
      <c r="Z47" s="48">
        <f>IFERROR((9.82 * AD43) * LN(Z44/Z45),0)</f>
        <v>0</v>
      </c>
      <c r="AA47" s="49"/>
      <c r="AB47" s="49"/>
      <c r="AC47" s="49"/>
      <c r="AD47" s="49"/>
      <c r="AE47" s="50"/>
      <c r="AF47" s="12"/>
    </row>
    <row r="48" spans="1:32" ht="15.75" thickBot="1" x14ac:dyDescent="0.3">
      <c r="A48" s="17" t="s">
        <v>72</v>
      </c>
      <c r="B48" s="52">
        <f>B47+B24</f>
        <v>8003.3365648910458</v>
      </c>
      <c r="C48" s="53"/>
      <c r="D48" s="53"/>
      <c r="E48" s="53"/>
      <c r="F48" s="53"/>
      <c r="G48" s="54"/>
      <c r="H48" s="12"/>
      <c r="I48" s="17" t="s">
        <v>72</v>
      </c>
      <c r="J48" s="52">
        <f>J47+J24</f>
        <v>0</v>
      </c>
      <c r="K48" s="53"/>
      <c r="L48" s="53"/>
      <c r="M48" s="53"/>
      <c r="N48" s="53"/>
      <c r="O48" s="54"/>
      <c r="P48" s="12"/>
      <c r="Q48" s="17" t="s">
        <v>72</v>
      </c>
      <c r="R48" s="52">
        <f>R47+R24</f>
        <v>0</v>
      </c>
      <c r="S48" s="53"/>
      <c r="T48" s="53"/>
      <c r="U48" s="53"/>
      <c r="V48" s="53"/>
      <c r="W48" s="54"/>
      <c r="X48" s="12"/>
      <c r="Y48" s="17" t="s">
        <v>72</v>
      </c>
      <c r="Z48" s="52">
        <f>Z47+Z24</f>
        <v>0</v>
      </c>
      <c r="AA48" s="53"/>
      <c r="AB48" s="53"/>
      <c r="AC48" s="53"/>
      <c r="AD48" s="53"/>
      <c r="AE48" s="54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8">
        <f>E67+B44</f>
        <v>10.773108687500001</v>
      </c>
      <c r="C68" s="49"/>
      <c r="D68" s="49"/>
      <c r="E68" s="49"/>
      <c r="F68" s="49"/>
      <c r="G68" s="50"/>
      <c r="H68" s="12"/>
      <c r="I68" s="16" t="s">
        <v>71</v>
      </c>
      <c r="J68" s="48">
        <f>M67+J44</f>
        <v>0</v>
      </c>
      <c r="K68" s="49"/>
      <c r="L68" s="49"/>
      <c r="M68" s="49"/>
      <c r="N68" s="49"/>
      <c r="O68" s="50"/>
      <c r="P68" s="12"/>
      <c r="Q68" s="16" t="s">
        <v>71</v>
      </c>
      <c r="R68" s="48">
        <f>U67+R44</f>
        <v>0</v>
      </c>
      <c r="S68" s="49"/>
      <c r="T68" s="49"/>
      <c r="U68" s="49"/>
      <c r="V68" s="49"/>
      <c r="W68" s="50"/>
      <c r="X68" s="12"/>
      <c r="Y68" s="16" t="s">
        <v>71</v>
      </c>
      <c r="Z68" s="48">
        <f>AC67+Z44</f>
        <v>0</v>
      </c>
      <c r="AA68" s="49"/>
      <c r="AB68" s="49"/>
      <c r="AC68" s="49"/>
      <c r="AD68" s="49"/>
      <c r="AE68" s="50"/>
      <c r="AF68" s="12"/>
    </row>
    <row r="69" spans="1:32" x14ac:dyDescent="0.25">
      <c r="A69" s="16" t="s">
        <v>75</v>
      </c>
      <c r="B69" s="48">
        <f>C67+B44</f>
        <v>10.773108687500001</v>
      </c>
      <c r="C69" s="49"/>
      <c r="D69" s="49"/>
      <c r="E69" s="49"/>
      <c r="F69" s="49"/>
      <c r="G69" s="50"/>
      <c r="H69" s="12"/>
      <c r="I69" s="16" t="s">
        <v>75</v>
      </c>
      <c r="J69" s="48">
        <f>K67+J44</f>
        <v>0</v>
      </c>
      <c r="K69" s="49"/>
      <c r="L69" s="49"/>
      <c r="M69" s="49"/>
      <c r="N69" s="49"/>
      <c r="O69" s="50"/>
      <c r="P69" s="12"/>
      <c r="Q69" s="16" t="s">
        <v>75</v>
      </c>
      <c r="R69" s="48">
        <f>S67+R44</f>
        <v>0</v>
      </c>
      <c r="S69" s="49"/>
      <c r="T69" s="49"/>
      <c r="U69" s="49"/>
      <c r="V69" s="49"/>
      <c r="W69" s="50"/>
      <c r="X69" s="12"/>
      <c r="Y69" s="16" t="s">
        <v>75</v>
      </c>
      <c r="Z69" s="48">
        <f>AA67+Z44</f>
        <v>0</v>
      </c>
      <c r="AA69" s="49"/>
      <c r="AB69" s="49"/>
      <c r="AC69" s="49"/>
      <c r="AD69" s="49"/>
      <c r="AE69" s="50"/>
      <c r="AF69" s="12"/>
    </row>
    <row r="70" spans="1:32" x14ac:dyDescent="0.25">
      <c r="A70" s="16" t="s">
        <v>74</v>
      </c>
      <c r="B70" s="48">
        <f>IFERROR((G67/10/B68),0)</f>
        <v>0</v>
      </c>
      <c r="C70" s="49"/>
      <c r="D70" s="49"/>
      <c r="E70" s="49"/>
      <c r="F70" s="49"/>
      <c r="G70" s="50"/>
      <c r="H70" s="12"/>
      <c r="I70" s="16" t="s">
        <v>74</v>
      </c>
      <c r="J70" s="48">
        <f>IFERROR((O67/10/J68),0)</f>
        <v>0</v>
      </c>
      <c r="K70" s="49"/>
      <c r="L70" s="49"/>
      <c r="M70" s="49"/>
      <c r="N70" s="49"/>
      <c r="O70" s="50"/>
      <c r="P70" s="12"/>
      <c r="Q70" s="16" t="s">
        <v>74</v>
      </c>
      <c r="R70" s="48">
        <f>IFERROR((W67/10/R68),0)</f>
        <v>0</v>
      </c>
      <c r="S70" s="49"/>
      <c r="T70" s="49"/>
      <c r="U70" s="49"/>
      <c r="V70" s="49"/>
      <c r="W70" s="50"/>
      <c r="X70" s="12"/>
      <c r="Y70" s="16" t="s">
        <v>74</v>
      </c>
      <c r="Z70" s="48">
        <f>IFERROR((AE67/10/Z68),0)</f>
        <v>0</v>
      </c>
      <c r="AA70" s="49"/>
      <c r="AB70" s="49"/>
      <c r="AC70" s="49"/>
      <c r="AD70" s="49"/>
      <c r="AE70" s="50"/>
      <c r="AF70" s="12"/>
    </row>
    <row r="71" spans="1:32" x14ac:dyDescent="0.25">
      <c r="A71" s="16" t="s">
        <v>70</v>
      </c>
      <c r="B71" s="48">
        <f>IFERROR((9.82 * F67) * LN(B68/B69),0)</f>
        <v>0</v>
      </c>
      <c r="C71" s="49"/>
      <c r="D71" s="49"/>
      <c r="E71" s="49"/>
      <c r="F71" s="49"/>
      <c r="G71" s="50"/>
      <c r="H71" s="12"/>
      <c r="I71" s="16" t="s">
        <v>70</v>
      </c>
      <c r="J71" s="48">
        <f>IFERROR((9.82 * N67) * LN(J68/J69),0)</f>
        <v>0</v>
      </c>
      <c r="K71" s="49"/>
      <c r="L71" s="49"/>
      <c r="M71" s="49"/>
      <c r="N71" s="49"/>
      <c r="O71" s="50"/>
      <c r="P71" s="12"/>
      <c r="Q71" s="16" t="s">
        <v>70</v>
      </c>
      <c r="R71" s="48">
        <f>IFERROR((9.82 * V67) * LN(R68/R69),0)</f>
        <v>0</v>
      </c>
      <c r="S71" s="49"/>
      <c r="T71" s="49"/>
      <c r="U71" s="49"/>
      <c r="V71" s="49"/>
      <c r="W71" s="50"/>
      <c r="X71" s="12"/>
      <c r="Y71" s="16" t="s">
        <v>70</v>
      </c>
      <c r="Z71" s="48">
        <f>IFERROR((9.82 * AD67) * LN(Z68/Z69),0)</f>
        <v>0</v>
      </c>
      <c r="AA71" s="49"/>
      <c r="AB71" s="49"/>
      <c r="AC71" s="49"/>
      <c r="AD71" s="49"/>
      <c r="AE71" s="50"/>
      <c r="AF71" s="12"/>
    </row>
    <row r="72" spans="1:32" ht="15.75" thickBot="1" x14ac:dyDescent="0.3">
      <c r="A72" s="17" t="s">
        <v>72</v>
      </c>
      <c r="B72" s="52">
        <f>B71+B48</f>
        <v>8003.3365648910458</v>
      </c>
      <c r="C72" s="53"/>
      <c r="D72" s="53"/>
      <c r="E72" s="53"/>
      <c r="F72" s="53"/>
      <c r="G72" s="54"/>
      <c r="H72" s="12"/>
      <c r="I72" s="17" t="s">
        <v>72</v>
      </c>
      <c r="J72" s="52">
        <f>J71+J48</f>
        <v>0</v>
      </c>
      <c r="K72" s="53"/>
      <c r="L72" s="53"/>
      <c r="M72" s="53"/>
      <c r="N72" s="53"/>
      <c r="O72" s="54"/>
      <c r="P72" s="12"/>
      <c r="Q72" s="17" t="s">
        <v>72</v>
      </c>
      <c r="R72" s="52">
        <f>R71+R48</f>
        <v>0</v>
      </c>
      <c r="S72" s="53"/>
      <c r="T72" s="53"/>
      <c r="U72" s="53"/>
      <c r="V72" s="53"/>
      <c r="W72" s="54"/>
      <c r="X72" s="12"/>
      <c r="Y72" s="17" t="s">
        <v>72</v>
      </c>
      <c r="Z72" s="52">
        <f>Z71+Z48</f>
        <v>0</v>
      </c>
      <c r="AA72" s="53"/>
      <c r="AB72" s="53"/>
      <c r="AC72" s="53"/>
      <c r="AD72" s="53"/>
      <c r="AE72" s="54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8">
        <f>E91+B68</f>
        <v>10.773108687500001</v>
      </c>
      <c r="C92" s="49"/>
      <c r="D92" s="49"/>
      <c r="E92" s="49"/>
      <c r="F92" s="49"/>
      <c r="G92" s="50"/>
      <c r="H92" s="12"/>
      <c r="I92" s="16" t="s">
        <v>71</v>
      </c>
      <c r="J92" s="48">
        <f>M91+J68</f>
        <v>0</v>
      </c>
      <c r="K92" s="49"/>
      <c r="L92" s="49"/>
      <c r="M92" s="49"/>
      <c r="N92" s="49"/>
      <c r="O92" s="50"/>
      <c r="P92" s="12"/>
      <c r="Q92" s="16" t="s">
        <v>71</v>
      </c>
      <c r="R92" s="48">
        <f>U91+R68</f>
        <v>0</v>
      </c>
      <c r="S92" s="49"/>
      <c r="T92" s="49"/>
      <c r="U92" s="49"/>
      <c r="V92" s="49"/>
      <c r="W92" s="50"/>
      <c r="X92" s="12"/>
      <c r="Y92" s="16" t="s">
        <v>71</v>
      </c>
      <c r="Z92" s="48">
        <f>AC91+Z68</f>
        <v>0</v>
      </c>
      <c r="AA92" s="49"/>
      <c r="AB92" s="49"/>
      <c r="AC92" s="49"/>
      <c r="AD92" s="49"/>
      <c r="AE92" s="50"/>
      <c r="AF92" s="12"/>
    </row>
    <row r="93" spans="1:32" x14ac:dyDescent="0.25">
      <c r="A93" s="16" t="s">
        <v>75</v>
      </c>
      <c r="B93" s="48">
        <f>C91+B68</f>
        <v>10.773108687500001</v>
      </c>
      <c r="C93" s="49"/>
      <c r="D93" s="49"/>
      <c r="E93" s="49"/>
      <c r="F93" s="49"/>
      <c r="G93" s="50"/>
      <c r="H93" s="12"/>
      <c r="I93" s="16" t="s">
        <v>75</v>
      </c>
      <c r="J93" s="48">
        <f>K91+J68</f>
        <v>0</v>
      </c>
      <c r="K93" s="49"/>
      <c r="L93" s="49"/>
      <c r="M93" s="49"/>
      <c r="N93" s="49"/>
      <c r="O93" s="50"/>
      <c r="P93" s="12"/>
      <c r="Q93" s="16" t="s">
        <v>75</v>
      </c>
      <c r="R93" s="48">
        <f>S91+R68</f>
        <v>0</v>
      </c>
      <c r="S93" s="49"/>
      <c r="T93" s="49"/>
      <c r="U93" s="49"/>
      <c r="V93" s="49"/>
      <c r="W93" s="50"/>
      <c r="X93" s="12"/>
      <c r="Y93" s="16" t="s">
        <v>75</v>
      </c>
      <c r="Z93" s="48">
        <f>AA91+Z68</f>
        <v>0</v>
      </c>
      <c r="AA93" s="49"/>
      <c r="AB93" s="49"/>
      <c r="AC93" s="49"/>
      <c r="AD93" s="49"/>
      <c r="AE93" s="50"/>
      <c r="AF93" s="12"/>
    </row>
    <row r="94" spans="1:32" x14ac:dyDescent="0.25">
      <c r="A94" s="16" t="s">
        <v>74</v>
      </c>
      <c r="B94" s="48">
        <f>IFERROR((G91/10/B92),0)</f>
        <v>0</v>
      </c>
      <c r="C94" s="49"/>
      <c r="D94" s="49"/>
      <c r="E94" s="49"/>
      <c r="F94" s="49"/>
      <c r="G94" s="50"/>
      <c r="H94" s="12"/>
      <c r="I94" s="16" t="s">
        <v>74</v>
      </c>
      <c r="J94" s="48">
        <f>IFERROR((O91/10/J92),0)</f>
        <v>0</v>
      </c>
      <c r="K94" s="49"/>
      <c r="L94" s="49"/>
      <c r="M94" s="49"/>
      <c r="N94" s="49"/>
      <c r="O94" s="50"/>
      <c r="P94" s="12"/>
      <c r="Q94" s="16" t="s">
        <v>74</v>
      </c>
      <c r="R94" s="48">
        <f>IFERROR((W91/10/R92),0)</f>
        <v>0</v>
      </c>
      <c r="S94" s="49"/>
      <c r="T94" s="49"/>
      <c r="U94" s="49"/>
      <c r="V94" s="49"/>
      <c r="W94" s="50"/>
      <c r="X94" s="12"/>
      <c r="Y94" s="16" t="s">
        <v>74</v>
      </c>
      <c r="Z94" s="48">
        <f>IFERROR((AE91/10/Z92),0)</f>
        <v>0</v>
      </c>
      <c r="AA94" s="49"/>
      <c r="AB94" s="49"/>
      <c r="AC94" s="49"/>
      <c r="AD94" s="49"/>
      <c r="AE94" s="50"/>
      <c r="AF94" s="12"/>
    </row>
    <row r="95" spans="1:32" x14ac:dyDescent="0.25">
      <c r="A95" s="16" t="s">
        <v>70</v>
      </c>
      <c r="B95" s="48">
        <f>IFERROR((9.82 * F91) * LN(B92/B93),0)</f>
        <v>0</v>
      </c>
      <c r="C95" s="49"/>
      <c r="D95" s="49"/>
      <c r="E95" s="49"/>
      <c r="F95" s="49"/>
      <c r="G95" s="50"/>
      <c r="H95" s="12"/>
      <c r="I95" s="16" t="s">
        <v>70</v>
      </c>
      <c r="J95" s="48">
        <f>IFERROR((9.82 * N91) * LN(J92/J93),0)</f>
        <v>0</v>
      </c>
      <c r="K95" s="49"/>
      <c r="L95" s="49"/>
      <c r="M95" s="49"/>
      <c r="N95" s="49"/>
      <c r="O95" s="50"/>
      <c r="P95" s="12"/>
      <c r="Q95" s="16" t="s">
        <v>70</v>
      </c>
      <c r="R95" s="48">
        <f>IFERROR((9.82 * V91) * LN(R92/R93),0)</f>
        <v>0</v>
      </c>
      <c r="S95" s="49"/>
      <c r="T95" s="49"/>
      <c r="U95" s="49"/>
      <c r="V95" s="49"/>
      <c r="W95" s="50"/>
      <c r="X95" s="12"/>
      <c r="Y95" s="16" t="s">
        <v>70</v>
      </c>
      <c r="Z95" s="48">
        <f>IFERROR((9.82 * AD91) * LN(Z92/Z93),0)</f>
        <v>0</v>
      </c>
      <c r="AA95" s="49"/>
      <c r="AB95" s="49"/>
      <c r="AC95" s="49"/>
      <c r="AD95" s="49"/>
      <c r="AE95" s="50"/>
      <c r="AF95" s="12"/>
    </row>
    <row r="96" spans="1:32" ht="15.75" thickBot="1" x14ac:dyDescent="0.3">
      <c r="A96" s="17" t="s">
        <v>72</v>
      </c>
      <c r="B96" s="52">
        <f>B95+B72</f>
        <v>8003.3365648910458</v>
      </c>
      <c r="C96" s="53"/>
      <c r="D96" s="53"/>
      <c r="E96" s="53"/>
      <c r="F96" s="53"/>
      <c r="G96" s="54"/>
      <c r="H96" s="12"/>
      <c r="I96" s="17" t="s">
        <v>72</v>
      </c>
      <c r="J96" s="52">
        <f>J95+J72</f>
        <v>0</v>
      </c>
      <c r="K96" s="53"/>
      <c r="L96" s="53"/>
      <c r="M96" s="53"/>
      <c r="N96" s="53"/>
      <c r="O96" s="54"/>
      <c r="P96" s="12"/>
      <c r="Q96" s="17" t="s">
        <v>72</v>
      </c>
      <c r="R96" s="52">
        <f>R95+R72</f>
        <v>0</v>
      </c>
      <c r="S96" s="53"/>
      <c r="T96" s="53"/>
      <c r="U96" s="53"/>
      <c r="V96" s="53"/>
      <c r="W96" s="54"/>
      <c r="X96" s="12"/>
      <c r="Y96" s="17" t="s">
        <v>72</v>
      </c>
      <c r="Z96" s="52">
        <f>Z95+Z72</f>
        <v>0</v>
      </c>
      <c r="AA96" s="53"/>
      <c r="AB96" s="53"/>
      <c r="AC96" s="53"/>
      <c r="AD96" s="53"/>
      <c r="AE96" s="54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8">
        <f>E115+B92</f>
        <v>10.773108687500001</v>
      </c>
      <c r="C116" s="49"/>
      <c r="D116" s="49"/>
      <c r="E116" s="49"/>
      <c r="F116" s="49"/>
      <c r="G116" s="50"/>
      <c r="H116" s="12"/>
      <c r="I116" s="16" t="s">
        <v>71</v>
      </c>
      <c r="J116" s="48">
        <f>M115+J92</f>
        <v>0</v>
      </c>
      <c r="K116" s="49"/>
      <c r="L116" s="49"/>
      <c r="M116" s="49"/>
      <c r="N116" s="49"/>
      <c r="O116" s="50"/>
      <c r="P116" s="12"/>
      <c r="Q116" s="16" t="s">
        <v>71</v>
      </c>
      <c r="R116" s="48">
        <f>U115+R92</f>
        <v>0</v>
      </c>
      <c r="S116" s="49"/>
      <c r="T116" s="49"/>
      <c r="U116" s="49"/>
      <c r="V116" s="49"/>
      <c r="W116" s="50"/>
      <c r="X116" s="12"/>
      <c r="Y116" s="16" t="s">
        <v>71</v>
      </c>
      <c r="Z116" s="48">
        <f>AC115+Z92</f>
        <v>0</v>
      </c>
      <c r="AA116" s="49"/>
      <c r="AB116" s="49"/>
      <c r="AC116" s="49"/>
      <c r="AD116" s="49"/>
      <c r="AE116" s="50"/>
      <c r="AF116" s="12"/>
    </row>
    <row r="117" spans="1:32" x14ac:dyDescent="0.25">
      <c r="A117" s="16" t="s">
        <v>75</v>
      </c>
      <c r="B117" s="48">
        <f>C115+B92</f>
        <v>10.773108687500001</v>
      </c>
      <c r="C117" s="49"/>
      <c r="D117" s="49"/>
      <c r="E117" s="49"/>
      <c r="F117" s="49"/>
      <c r="G117" s="50"/>
      <c r="H117" s="12"/>
      <c r="I117" s="16" t="s">
        <v>75</v>
      </c>
      <c r="J117" s="48">
        <f>K115+J92</f>
        <v>0</v>
      </c>
      <c r="K117" s="49"/>
      <c r="L117" s="49"/>
      <c r="M117" s="49"/>
      <c r="N117" s="49"/>
      <c r="O117" s="50"/>
      <c r="P117" s="12"/>
      <c r="Q117" s="16" t="s">
        <v>75</v>
      </c>
      <c r="R117" s="48">
        <f>S115+R92</f>
        <v>0</v>
      </c>
      <c r="S117" s="49"/>
      <c r="T117" s="49"/>
      <c r="U117" s="49"/>
      <c r="V117" s="49"/>
      <c r="W117" s="50"/>
      <c r="X117" s="12"/>
      <c r="Y117" s="16" t="s">
        <v>75</v>
      </c>
      <c r="Z117" s="48">
        <f>AA115+Z92</f>
        <v>0</v>
      </c>
      <c r="AA117" s="49"/>
      <c r="AB117" s="49"/>
      <c r="AC117" s="49"/>
      <c r="AD117" s="49"/>
      <c r="AE117" s="50"/>
      <c r="AF117" s="12"/>
    </row>
    <row r="118" spans="1:32" x14ac:dyDescent="0.25">
      <c r="A118" s="16" t="s">
        <v>74</v>
      </c>
      <c r="B118" s="48">
        <f>IFERROR((G115/10/B116),0)</f>
        <v>0</v>
      </c>
      <c r="C118" s="49"/>
      <c r="D118" s="49"/>
      <c r="E118" s="49"/>
      <c r="F118" s="49"/>
      <c r="G118" s="50"/>
      <c r="H118" s="12"/>
      <c r="I118" s="16" t="s">
        <v>74</v>
      </c>
      <c r="J118" s="48">
        <f>IFERROR((O115/10/J116),0)</f>
        <v>0</v>
      </c>
      <c r="K118" s="49"/>
      <c r="L118" s="49"/>
      <c r="M118" s="49"/>
      <c r="N118" s="49"/>
      <c r="O118" s="50"/>
      <c r="P118" s="12"/>
      <c r="Q118" s="16" t="s">
        <v>74</v>
      </c>
      <c r="R118" s="48">
        <f>IFERROR((W115/10/R116),0)</f>
        <v>0</v>
      </c>
      <c r="S118" s="49"/>
      <c r="T118" s="49"/>
      <c r="U118" s="49"/>
      <c r="V118" s="49"/>
      <c r="W118" s="50"/>
      <c r="X118" s="12"/>
      <c r="Y118" s="16" t="s">
        <v>74</v>
      </c>
      <c r="Z118" s="48">
        <f>IFERROR((AE115/10/Z116),0)</f>
        <v>0</v>
      </c>
      <c r="AA118" s="49"/>
      <c r="AB118" s="49"/>
      <c r="AC118" s="49"/>
      <c r="AD118" s="49"/>
      <c r="AE118" s="50"/>
      <c r="AF118" s="12"/>
    </row>
    <row r="119" spans="1:32" x14ac:dyDescent="0.25">
      <c r="A119" s="16" t="s">
        <v>70</v>
      </c>
      <c r="B119" s="48">
        <f>IFERROR((9.82 * F115) * LN(B116/B117),0)</f>
        <v>0</v>
      </c>
      <c r="C119" s="49"/>
      <c r="D119" s="49"/>
      <c r="E119" s="49"/>
      <c r="F119" s="49"/>
      <c r="G119" s="50"/>
      <c r="H119" s="12"/>
      <c r="I119" s="16" t="s">
        <v>70</v>
      </c>
      <c r="J119" s="48">
        <f>IFERROR((9.82 * N115) * LN(J116/J117),0)</f>
        <v>0</v>
      </c>
      <c r="K119" s="49"/>
      <c r="L119" s="49"/>
      <c r="M119" s="49"/>
      <c r="N119" s="49"/>
      <c r="O119" s="50"/>
      <c r="P119" s="12"/>
      <c r="Q119" s="16" t="s">
        <v>70</v>
      </c>
      <c r="R119" s="48">
        <f>IFERROR((9.82 * V115) * LN(R116/R117),0)</f>
        <v>0</v>
      </c>
      <c r="S119" s="49"/>
      <c r="T119" s="49"/>
      <c r="U119" s="49"/>
      <c r="V119" s="49"/>
      <c r="W119" s="50"/>
      <c r="X119" s="12"/>
      <c r="Y119" s="16" t="s">
        <v>70</v>
      </c>
      <c r="Z119" s="48">
        <f>IFERROR((9.82 * AD115) * LN(Z116/Z117),0)</f>
        <v>0</v>
      </c>
      <c r="AA119" s="49"/>
      <c r="AB119" s="49"/>
      <c r="AC119" s="49"/>
      <c r="AD119" s="49"/>
      <c r="AE119" s="50"/>
      <c r="AF119" s="12"/>
    </row>
    <row r="120" spans="1:32" ht="15.75" thickBot="1" x14ac:dyDescent="0.3">
      <c r="A120" s="17" t="s">
        <v>72</v>
      </c>
      <c r="B120" s="52">
        <f>B119+B96</f>
        <v>8003.3365648910458</v>
      </c>
      <c r="C120" s="53"/>
      <c r="D120" s="53"/>
      <c r="E120" s="53"/>
      <c r="F120" s="53"/>
      <c r="G120" s="54"/>
      <c r="H120" s="12"/>
      <c r="I120" s="17" t="s">
        <v>72</v>
      </c>
      <c r="J120" s="52">
        <f>J119+J96</f>
        <v>0</v>
      </c>
      <c r="K120" s="53"/>
      <c r="L120" s="53"/>
      <c r="M120" s="53"/>
      <c r="N120" s="53"/>
      <c r="O120" s="54"/>
      <c r="P120" s="12"/>
      <c r="Q120" s="17" t="s">
        <v>72</v>
      </c>
      <c r="R120" s="52">
        <f>R119+R96</f>
        <v>0</v>
      </c>
      <c r="S120" s="53"/>
      <c r="T120" s="53"/>
      <c r="U120" s="53"/>
      <c r="V120" s="53"/>
      <c r="W120" s="54"/>
      <c r="X120" s="12"/>
      <c r="Y120" s="17" t="s">
        <v>72</v>
      </c>
      <c r="Z120" s="52">
        <f>Z119+Z96</f>
        <v>0</v>
      </c>
      <c r="AA120" s="53"/>
      <c r="AB120" s="53"/>
      <c r="AC120" s="53"/>
      <c r="AD120" s="53"/>
      <c r="AE120" s="54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3" t="s">
        <v>118</v>
      </c>
      <c r="B122" s="44"/>
      <c r="C122" s="44"/>
      <c r="D122" s="44"/>
      <c r="E122" s="44"/>
      <c r="F122" s="44"/>
      <c r="G122" s="45"/>
      <c r="H122" s="12"/>
      <c r="I122" s="43" t="s">
        <v>118</v>
      </c>
      <c r="J122" s="44"/>
      <c r="K122" s="44"/>
      <c r="L122" s="44"/>
      <c r="M122" s="44"/>
      <c r="N122" s="44"/>
      <c r="O122" s="45"/>
      <c r="P122" s="12"/>
      <c r="Q122" s="43" t="s">
        <v>118</v>
      </c>
      <c r="R122" s="44"/>
      <c r="S122" s="44"/>
      <c r="T122" s="44"/>
      <c r="U122" s="44"/>
      <c r="V122" s="44"/>
      <c r="W122" s="45"/>
      <c r="X122" s="12"/>
      <c r="Y122" s="43" t="s">
        <v>118</v>
      </c>
      <c r="Z122" s="44"/>
      <c r="AA122" s="44"/>
      <c r="AB122" s="44"/>
      <c r="AC122" s="44"/>
      <c r="AD122" s="44"/>
      <c r="AE122" s="45"/>
      <c r="AF122" s="12"/>
    </row>
    <row r="123" spans="1:32" x14ac:dyDescent="0.25">
      <c r="A123" s="46" t="s">
        <v>73</v>
      </c>
      <c r="B123" s="46"/>
      <c r="C123" s="46"/>
      <c r="D123" s="47">
        <f>B115</f>
        <v>3</v>
      </c>
      <c r="E123" s="47"/>
      <c r="F123" s="47"/>
      <c r="G123" s="47"/>
      <c r="H123" s="12"/>
      <c r="I123" s="46" t="s">
        <v>73</v>
      </c>
      <c r="J123" s="46"/>
      <c r="K123" s="46"/>
      <c r="L123" s="47">
        <f>J115</f>
        <v>0</v>
      </c>
      <c r="M123" s="47"/>
      <c r="N123" s="47"/>
      <c r="O123" s="47"/>
      <c r="P123" s="12"/>
      <c r="Q123" s="46" t="s">
        <v>73</v>
      </c>
      <c r="R123" s="46"/>
      <c r="S123" s="46"/>
      <c r="T123" s="47">
        <f>R115</f>
        <v>0</v>
      </c>
      <c r="U123" s="47"/>
      <c r="V123" s="47"/>
      <c r="W123" s="47"/>
      <c r="X123" s="12"/>
      <c r="Y123" s="46" t="s">
        <v>73</v>
      </c>
      <c r="Z123" s="46"/>
      <c r="AA123" s="46"/>
      <c r="AB123" s="47">
        <f>Z115</f>
        <v>0</v>
      </c>
      <c r="AC123" s="47"/>
      <c r="AD123" s="47"/>
      <c r="AE123" s="47"/>
      <c r="AF123" s="12"/>
    </row>
    <row r="124" spans="1:32" x14ac:dyDescent="0.25">
      <c r="A124" s="41" t="s">
        <v>2</v>
      </c>
      <c r="B124" s="41"/>
      <c r="C124" s="41"/>
      <c r="D124" s="42">
        <f>B116</f>
        <v>10.773108687500001</v>
      </c>
      <c r="E124" s="42"/>
      <c r="F124" s="42"/>
      <c r="G124" s="42"/>
      <c r="H124" s="12"/>
      <c r="I124" s="41" t="s">
        <v>2</v>
      </c>
      <c r="J124" s="41"/>
      <c r="K124" s="41"/>
      <c r="L124" s="42">
        <f>J116</f>
        <v>0</v>
      </c>
      <c r="M124" s="42"/>
      <c r="N124" s="42"/>
      <c r="O124" s="42"/>
      <c r="P124" s="12"/>
      <c r="Q124" s="41" t="s">
        <v>2</v>
      </c>
      <c r="R124" s="41"/>
      <c r="S124" s="41"/>
      <c r="T124" s="42">
        <f>R116</f>
        <v>0</v>
      </c>
      <c r="U124" s="42"/>
      <c r="V124" s="42"/>
      <c r="W124" s="42"/>
      <c r="X124" s="12"/>
      <c r="Y124" s="41" t="s">
        <v>2</v>
      </c>
      <c r="Z124" s="41"/>
      <c r="AA124" s="41"/>
      <c r="AB124" s="42">
        <f>Z116</f>
        <v>0</v>
      </c>
      <c r="AC124" s="42"/>
      <c r="AD124" s="42"/>
      <c r="AE124" s="42"/>
      <c r="AF124" s="12"/>
    </row>
    <row r="125" spans="1:32" x14ac:dyDescent="0.25">
      <c r="A125" s="41" t="s">
        <v>4</v>
      </c>
      <c r="B125" s="41"/>
      <c r="C125" s="41"/>
      <c r="D125" s="42">
        <f>D115+D91+D67+D43+D19</f>
        <v>8.9766162500000011</v>
      </c>
      <c r="E125" s="42"/>
      <c r="F125" s="42"/>
      <c r="G125" s="42"/>
      <c r="H125" s="12"/>
      <c r="I125" s="41" t="s">
        <v>4</v>
      </c>
      <c r="J125" s="41"/>
      <c r="K125" s="41"/>
      <c r="L125" s="42">
        <f>L115+L91+L67+L43+L19</f>
        <v>0</v>
      </c>
      <c r="M125" s="42"/>
      <c r="N125" s="42"/>
      <c r="O125" s="42"/>
      <c r="P125" s="12"/>
      <c r="Q125" s="41" t="s">
        <v>4</v>
      </c>
      <c r="R125" s="41"/>
      <c r="S125" s="41"/>
      <c r="T125" s="42">
        <f>T115+T91+T67+T43+T19</f>
        <v>0</v>
      </c>
      <c r="U125" s="42"/>
      <c r="V125" s="42"/>
      <c r="W125" s="42"/>
      <c r="X125" s="12"/>
      <c r="Y125" s="41" t="s">
        <v>4</v>
      </c>
      <c r="Z125" s="41"/>
      <c r="AA125" s="41"/>
      <c r="AB125" s="42">
        <f>AB115+AB91+AB67+AB43+AB19</f>
        <v>0</v>
      </c>
      <c r="AC125" s="42"/>
      <c r="AD125" s="42"/>
      <c r="AE125" s="42"/>
      <c r="AF125" s="12"/>
    </row>
    <row r="126" spans="1:32" x14ac:dyDescent="0.25">
      <c r="A126" s="41" t="s">
        <v>1</v>
      </c>
      <c r="B126" s="41"/>
      <c r="C126" s="41"/>
      <c r="D126" s="42">
        <f>D124-D125</f>
        <v>1.7964924374999995</v>
      </c>
      <c r="E126" s="42"/>
      <c r="F126" s="42"/>
      <c r="G126" s="42"/>
      <c r="H126" s="12"/>
      <c r="I126" s="41" t="s">
        <v>1</v>
      </c>
      <c r="J126" s="41"/>
      <c r="K126" s="41"/>
      <c r="L126" s="42">
        <f>L124-L125</f>
        <v>0</v>
      </c>
      <c r="M126" s="42"/>
      <c r="N126" s="42"/>
      <c r="O126" s="42"/>
      <c r="P126" s="12"/>
      <c r="Q126" s="41" t="s">
        <v>1</v>
      </c>
      <c r="R126" s="41"/>
      <c r="S126" s="41"/>
      <c r="T126" s="42">
        <f>T124-T125</f>
        <v>0</v>
      </c>
      <c r="U126" s="42"/>
      <c r="V126" s="42"/>
      <c r="W126" s="42"/>
      <c r="X126" s="12"/>
      <c r="Y126" s="41" t="s">
        <v>1</v>
      </c>
      <c r="Z126" s="41"/>
      <c r="AA126" s="41"/>
      <c r="AB126" s="42">
        <f>AB124-AB125</f>
        <v>0</v>
      </c>
      <c r="AC126" s="42"/>
      <c r="AD126" s="42"/>
      <c r="AE126" s="42"/>
      <c r="AF126" s="12"/>
    </row>
    <row r="127" spans="1:32" x14ac:dyDescent="0.25">
      <c r="A127" s="41" t="s">
        <v>119</v>
      </c>
      <c r="B127" s="41"/>
      <c r="C127" s="41"/>
      <c r="D127" s="42">
        <f>B120</f>
        <v>8003.3365648910458</v>
      </c>
      <c r="E127" s="42"/>
      <c r="F127" s="42"/>
      <c r="G127" s="42"/>
      <c r="H127" s="12"/>
      <c r="I127" s="41" t="s">
        <v>119</v>
      </c>
      <c r="J127" s="41"/>
      <c r="K127" s="41"/>
      <c r="L127" s="42">
        <f>J120</f>
        <v>0</v>
      </c>
      <c r="M127" s="42"/>
      <c r="N127" s="42"/>
      <c r="O127" s="42"/>
      <c r="P127" s="12"/>
      <c r="Q127" s="41" t="s">
        <v>119</v>
      </c>
      <c r="R127" s="41"/>
      <c r="S127" s="41"/>
      <c r="T127" s="42">
        <f>R120</f>
        <v>0</v>
      </c>
      <c r="U127" s="42"/>
      <c r="V127" s="42"/>
      <c r="W127" s="42"/>
      <c r="X127" s="12"/>
      <c r="Y127" s="41" t="s">
        <v>119</v>
      </c>
      <c r="Z127" s="41"/>
      <c r="AA127" s="41"/>
      <c r="AB127" s="42">
        <f>Z120</f>
        <v>0</v>
      </c>
      <c r="AC127" s="42"/>
      <c r="AD127" s="42"/>
      <c r="AE127" s="42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workbookViewId="0">
      <pane ySplit="1" topLeftCell="A2" activePane="bottomLeft" state="frozen"/>
      <selection pane="bottomLeft" activeCell="W13" sqref="W13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12.5703125" bestFit="1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x14ac:dyDescent="0.25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s="39" customFormat="1" ht="15.75" thickBot="1" x14ac:dyDescent="0.3">
      <c r="A2" s="37" t="s">
        <v>446</v>
      </c>
      <c r="B2" s="37">
        <v>0.86</v>
      </c>
      <c r="C2" s="37">
        <v>82</v>
      </c>
      <c r="D2" s="37"/>
      <c r="E2" s="37" t="s">
        <v>247</v>
      </c>
      <c r="F2" s="37" t="s">
        <v>260</v>
      </c>
      <c r="G2" s="37">
        <v>10</v>
      </c>
      <c r="H2" s="37">
        <v>16</v>
      </c>
      <c r="I2" s="37">
        <f t="shared" ref="I2" si="0">G2*100/C2</f>
        <v>12.195121951219512</v>
      </c>
      <c r="J2" s="37">
        <f t="shared" ref="J2" si="1">H2*100/C2</f>
        <v>19.512195121951219</v>
      </c>
      <c r="K2" s="37">
        <v>255</v>
      </c>
      <c r="L2" s="37">
        <v>311</v>
      </c>
      <c r="M2" s="37" t="s">
        <v>249</v>
      </c>
      <c r="N2" s="37">
        <f>0.64*B2</f>
        <v>0.5504</v>
      </c>
      <c r="O2" s="37">
        <f t="shared" ref="O2" si="2">L2/K2</f>
        <v>1.219607843137255</v>
      </c>
      <c r="P2" s="37">
        <f t="shared" ref="P2" si="3">L2-$AB$6</f>
        <v>22</v>
      </c>
      <c r="Q2" s="37">
        <f t="shared" ref="Q2" si="4">P2/$AB$5</f>
        <v>0.125</v>
      </c>
      <c r="R2" s="37">
        <f>(POWER( 1- (H2-$AB$7)/$AB$10,$AB$12))*$AB$11</f>
        <v>0</v>
      </c>
      <c r="S2" s="30">
        <f t="shared" ref="S2" si="5">T2/O2</f>
        <v>243.93086816720256</v>
      </c>
      <c r="T2" s="31">
        <f t="shared" ref="T2" si="6">$AB$4 + Q2 * $AB$3</f>
        <v>297.5</v>
      </c>
      <c r="U2" s="39">
        <f t="shared" ref="U2" si="7">VLOOKUP(M2,$AC$3:$AE$7,3,FALSE)*J2</f>
        <v>4.8780487804878048</v>
      </c>
      <c r="V2" s="39">
        <f>0.64*0.64*VLOOKUP(M2,$AC$3:$AE$7,2,FALSE)*(1+R2)</f>
        <v>0.40960000000000002</v>
      </c>
      <c r="W2" s="30">
        <f t="shared" ref="W2" si="8">X2/O2</f>
        <v>5.3735305466237939</v>
      </c>
      <c r="X2" s="31">
        <f>H2*V2</f>
        <v>6.5536000000000003</v>
      </c>
      <c r="Y2" s="39">
        <f t="shared" ref="Y2" si="9">(X2*0.1)/U2</f>
        <v>0.13434880000000002</v>
      </c>
      <c r="Z2" s="39">
        <f t="shared" ref="Z2" si="10">1.5/Y2*X2</f>
        <v>73.170731707317074</v>
      </c>
    </row>
    <row r="3" spans="1:31" x14ac:dyDescent="0.25">
      <c r="A3" s="21" t="s">
        <v>246</v>
      </c>
      <c r="B3" s="22">
        <v>0.6</v>
      </c>
      <c r="C3" s="21">
        <v>52</v>
      </c>
      <c r="D3" s="22"/>
      <c r="E3" s="21" t="s">
        <v>247</v>
      </c>
      <c r="F3" s="21" t="s">
        <v>248</v>
      </c>
      <c r="G3" s="21">
        <v>20</v>
      </c>
      <c r="H3" s="21">
        <v>31</v>
      </c>
      <c r="I3" s="21">
        <f t="shared" ref="I3:I67" si="11">G3*100/C3</f>
        <v>38.46153846153846</v>
      </c>
      <c r="J3" s="21">
        <f t="shared" ref="J3:J4" si="12">H3*100/C3</f>
        <v>59.615384615384613</v>
      </c>
      <c r="K3" s="21">
        <v>265</v>
      </c>
      <c r="L3" s="21">
        <v>317</v>
      </c>
      <c r="M3" s="21" t="s">
        <v>249</v>
      </c>
      <c r="N3" s="21">
        <f>0.64*B3</f>
        <v>0.38400000000000001</v>
      </c>
      <c r="O3" s="21">
        <f t="shared" ref="O3:O67" si="13">L3/K3</f>
        <v>1.1962264150943396</v>
      </c>
      <c r="P3" s="21">
        <f t="shared" ref="P3:P67" si="14">L3-$AB$6</f>
        <v>28</v>
      </c>
      <c r="Q3" s="20">
        <f t="shared" ref="Q3:Q67" si="15">P3/$AB$5</f>
        <v>0.15909090909090909</v>
      </c>
      <c r="R3" s="20">
        <f>(POWER( 1- (H3-$AB$7)/$AB$10,$AB$12))*$AB$11</f>
        <v>0</v>
      </c>
      <c r="S3" s="30">
        <f t="shared" ref="S3:S67" si="16">T3/O3</f>
        <v>250.40866073989105</v>
      </c>
      <c r="T3" s="31">
        <f t="shared" ref="T3:T67" si="17">$AB$4 + Q3 * $AB$3</f>
        <v>299.54545454545456</v>
      </c>
      <c r="U3" s="20">
        <f t="shared" ref="U3:U67" si="18">VLOOKUP(M3,$AC$3:$AE$7,3,FALSE)*J3</f>
        <v>14.903846153846153</v>
      </c>
      <c r="V3" s="20">
        <f>0.64*0.64*VLOOKUP(M3,$AC$3:$AE$7,2,FALSE)*(1+R3)</f>
        <v>0.40960000000000002</v>
      </c>
      <c r="W3" s="30">
        <f t="shared" ref="W3:W67" si="19">X3/O3</f>
        <v>10.614712933753944</v>
      </c>
      <c r="X3" s="31">
        <f>H3*V3</f>
        <v>12.697600000000001</v>
      </c>
      <c r="Y3" s="20">
        <f t="shared" ref="Y3:Y67" si="20">(X3*0.1)/U3</f>
        <v>8.5196800000000017E-2</v>
      </c>
      <c r="Z3" s="20">
        <f t="shared" ref="Z3:Z4" si="21">1.5/Y3*X3</f>
        <v>223.55769230769226</v>
      </c>
      <c r="AA3" s="24" t="s">
        <v>250</v>
      </c>
      <c r="AB3" s="35">
        <v>60</v>
      </c>
      <c r="AC3" s="24" t="s">
        <v>233</v>
      </c>
      <c r="AD3" s="35" t="s">
        <v>251</v>
      </c>
      <c r="AE3" s="25" t="s">
        <v>252</v>
      </c>
    </row>
    <row r="4" spans="1:31" x14ac:dyDescent="0.25">
      <c r="A4" s="37" t="s">
        <v>447</v>
      </c>
      <c r="B4" s="37">
        <v>1.5</v>
      </c>
      <c r="C4" s="37">
        <v>179</v>
      </c>
      <c r="D4" s="37"/>
      <c r="E4" s="37" t="s">
        <v>247</v>
      </c>
      <c r="F4" s="37" t="s">
        <v>248</v>
      </c>
      <c r="G4" s="37">
        <v>30</v>
      </c>
      <c r="H4" s="37">
        <v>45</v>
      </c>
      <c r="I4" s="37">
        <f t="shared" si="11"/>
        <v>16.759776536312849</v>
      </c>
      <c r="J4" s="37">
        <f t="shared" si="12"/>
        <v>25.139664804469273</v>
      </c>
      <c r="K4" s="37">
        <v>255</v>
      </c>
      <c r="L4" s="37">
        <v>311</v>
      </c>
      <c r="M4" s="37" t="s">
        <v>249</v>
      </c>
      <c r="N4" s="37">
        <f>0.64*B4</f>
        <v>0.96</v>
      </c>
      <c r="O4" s="37">
        <f t="shared" si="13"/>
        <v>1.219607843137255</v>
      </c>
      <c r="P4" s="37">
        <f t="shared" si="14"/>
        <v>22</v>
      </c>
      <c r="Q4" s="37">
        <f t="shared" si="15"/>
        <v>0.125</v>
      </c>
      <c r="R4" s="37">
        <f t="shared" ref="R4:R67" si="22">(POWER( 1- (H4-$AB$7)/$AB$10,$AB$12))*$AB$11</f>
        <v>0</v>
      </c>
      <c r="S4" s="30">
        <f t="shared" si="16"/>
        <v>243.93086816720256</v>
      </c>
      <c r="T4" s="31">
        <f t="shared" si="17"/>
        <v>297.5</v>
      </c>
      <c r="U4" s="21">
        <f t="shared" si="18"/>
        <v>6.2849162011173183</v>
      </c>
      <c r="V4" s="21">
        <f t="shared" ref="V4:V67" si="23">0.64*0.64*VLOOKUP(M4,$AC$3:$AE$7,2,FALSE)*(1+R4)</f>
        <v>0.40960000000000002</v>
      </c>
      <c r="W4" s="30">
        <f t="shared" si="19"/>
        <v>15.113054662379422</v>
      </c>
      <c r="X4" s="31">
        <f t="shared" ref="X4:X67" si="24">H4*V4</f>
        <v>18.432000000000002</v>
      </c>
      <c r="Y4" s="21">
        <f t="shared" si="20"/>
        <v>0.29327360000000008</v>
      </c>
      <c r="Z4" s="20">
        <f t="shared" si="21"/>
        <v>94.273743016759767</v>
      </c>
      <c r="AA4" s="26" t="s">
        <v>254</v>
      </c>
      <c r="AB4" s="34">
        <v>290</v>
      </c>
      <c r="AC4" s="26" t="s">
        <v>163</v>
      </c>
      <c r="AD4" s="34">
        <v>1</v>
      </c>
      <c r="AE4" s="27">
        <v>0.25</v>
      </c>
    </row>
    <row r="5" spans="1:31" x14ac:dyDescent="0.25">
      <c r="A5" s="32" t="s">
        <v>253</v>
      </c>
      <c r="B5" s="32">
        <v>2.5</v>
      </c>
      <c r="C5" s="32">
        <v>250</v>
      </c>
      <c r="D5" s="32">
        <v>62.5</v>
      </c>
      <c r="E5" s="32" t="s">
        <v>247</v>
      </c>
      <c r="F5" s="32" t="s">
        <v>248</v>
      </c>
      <c r="G5" s="32">
        <v>74</v>
      </c>
      <c r="H5" s="32">
        <v>91</v>
      </c>
      <c r="I5" s="32">
        <f t="shared" ref="I5:I43" si="25">G5*100/C5</f>
        <v>29.6</v>
      </c>
      <c r="J5" s="32">
        <f t="shared" ref="J5:J38" si="26">H5*100/C5</f>
        <v>36.4</v>
      </c>
      <c r="K5" s="32">
        <v>260</v>
      </c>
      <c r="L5" s="32">
        <v>319</v>
      </c>
      <c r="M5" s="32" t="s">
        <v>249</v>
      </c>
      <c r="N5" s="32">
        <f>0.64*B5</f>
        <v>1.6</v>
      </c>
      <c r="O5" s="32">
        <f t="shared" ref="O5:O43" si="27">L5/K5</f>
        <v>1.226923076923077</v>
      </c>
      <c r="P5" s="32">
        <f t="shared" ref="P5:P43" si="28">L5-$AB$6</f>
        <v>30</v>
      </c>
      <c r="Q5" s="32">
        <f t="shared" ref="Q5:Q43" si="29">P5/$AB$5</f>
        <v>0.17045454545454544</v>
      </c>
      <c r="R5" s="32">
        <f t="shared" ref="R5:R43" si="30">(POWER( 1- (H5-$AB$7)/$AB$10,$AB$12))*$AB$11</f>
        <v>0</v>
      </c>
      <c r="S5" s="30">
        <f t="shared" ref="S5:S43" si="31">T5/O5</f>
        <v>244.69934454260473</v>
      </c>
      <c r="T5" s="31">
        <f t="shared" ref="T5:T43" si="32">$AB$4 + Q5 * $AB$3</f>
        <v>300.22727272727275</v>
      </c>
      <c r="U5" s="32">
        <f t="shared" ref="U5:U43" si="33">VLOOKUP(M5,$AC$3:$AE$7,3,FALSE)*J5</f>
        <v>9.1</v>
      </c>
      <c r="V5" s="32">
        <f t="shared" ref="V5:V43" si="34">0.64*0.64*VLOOKUP(M5,$AC$3:$AE$7,2,FALSE)*(1+R5)</f>
        <v>0.40960000000000002</v>
      </c>
      <c r="W5" s="30">
        <f t="shared" ref="W5:W43" si="35">X5/O5</f>
        <v>30.379736677115986</v>
      </c>
      <c r="X5" s="31">
        <f t="shared" ref="X5:X19" si="36">H5*V5</f>
        <v>37.273600000000002</v>
      </c>
      <c r="Y5" s="32">
        <f t="shared" ref="Y5:Y43" si="37">(X5*0.1)/U5</f>
        <v>0.40960000000000008</v>
      </c>
      <c r="Z5" s="39">
        <f t="shared" ref="Z5:Z43" si="38">1.5/Y5*X5</f>
        <v>136.49999999999997</v>
      </c>
      <c r="AA5" s="26" t="s">
        <v>256</v>
      </c>
      <c r="AB5" s="34">
        <v>176</v>
      </c>
      <c r="AC5" s="26" t="s">
        <v>257</v>
      </c>
      <c r="AD5" s="34">
        <v>1</v>
      </c>
      <c r="AE5" s="27">
        <v>0.25</v>
      </c>
    </row>
    <row r="6" spans="1:31" ht="15.75" thickBot="1" x14ac:dyDescent="0.3">
      <c r="A6" s="32" t="s">
        <v>255</v>
      </c>
      <c r="B6" s="32">
        <v>1.09375</v>
      </c>
      <c r="C6" s="32">
        <f>260*0.453592</f>
        <v>117.93392</v>
      </c>
      <c r="D6" s="32"/>
      <c r="E6" s="32" t="s">
        <v>247</v>
      </c>
      <c r="F6" s="32" t="s">
        <v>248</v>
      </c>
      <c r="G6" s="32">
        <v>20</v>
      </c>
      <c r="H6" s="32">
        <v>26.7</v>
      </c>
      <c r="I6" s="32">
        <f t="shared" si="25"/>
        <v>16.958649386029059</v>
      </c>
      <c r="J6" s="32">
        <f t="shared" si="26"/>
        <v>22.63979693034879</v>
      </c>
      <c r="K6" s="32">
        <v>260</v>
      </c>
      <c r="L6" s="32">
        <v>330</v>
      </c>
      <c r="M6" s="32" t="s">
        <v>249</v>
      </c>
      <c r="N6" s="32">
        <f>B6*0.64</f>
        <v>0.70000000000000007</v>
      </c>
      <c r="O6" s="32">
        <f t="shared" si="27"/>
        <v>1.2692307692307692</v>
      </c>
      <c r="P6" s="32">
        <f t="shared" si="28"/>
        <v>41</v>
      </c>
      <c r="Q6" s="32">
        <f t="shared" si="29"/>
        <v>0.23295454545454544</v>
      </c>
      <c r="R6" s="32">
        <f t="shared" si="30"/>
        <v>0</v>
      </c>
      <c r="S6" s="30">
        <f t="shared" si="31"/>
        <v>239.49724517906338</v>
      </c>
      <c r="T6" s="31">
        <f t="shared" si="32"/>
        <v>303.97727272727275</v>
      </c>
      <c r="U6" s="32">
        <f t="shared" si="33"/>
        <v>5.6599492325871976</v>
      </c>
      <c r="V6" s="32">
        <f t="shared" si="34"/>
        <v>0.40960000000000002</v>
      </c>
      <c r="W6" s="30">
        <f t="shared" si="35"/>
        <v>8.6164945454545467</v>
      </c>
      <c r="X6" s="31">
        <f t="shared" si="36"/>
        <v>10.93632</v>
      </c>
      <c r="Y6" s="32">
        <f t="shared" si="37"/>
        <v>0.19322293452800005</v>
      </c>
      <c r="Z6" s="39">
        <f t="shared" si="38"/>
        <v>84.899238488807953</v>
      </c>
      <c r="AA6" s="26" t="s">
        <v>261</v>
      </c>
      <c r="AB6" s="34">
        <v>289</v>
      </c>
      <c r="AC6" s="26" t="s">
        <v>262</v>
      </c>
      <c r="AD6" s="34">
        <v>1</v>
      </c>
      <c r="AE6" s="27">
        <v>0.25</v>
      </c>
    </row>
    <row r="7" spans="1:31" ht="15.75" thickBot="1" x14ac:dyDescent="0.3">
      <c r="A7" s="21" t="s">
        <v>258</v>
      </c>
      <c r="B7" s="21">
        <v>1</v>
      </c>
      <c r="C7" s="21">
        <v>165</v>
      </c>
      <c r="D7" s="21">
        <v>83.1</v>
      </c>
      <c r="E7" s="21" t="s">
        <v>259</v>
      </c>
      <c r="F7" s="21" t="s">
        <v>260</v>
      </c>
      <c r="G7" s="22">
        <f>H7/O7</f>
        <v>45.040358744394617</v>
      </c>
      <c r="H7" s="21">
        <v>64.8</v>
      </c>
      <c r="I7" s="21">
        <f t="shared" si="25"/>
        <v>27.297187117814918</v>
      </c>
      <c r="J7" s="21">
        <f t="shared" si="26"/>
        <v>39.272727272727273</v>
      </c>
      <c r="K7" s="21">
        <v>310</v>
      </c>
      <c r="L7" s="21">
        <v>446</v>
      </c>
      <c r="M7" s="21" t="s">
        <v>163</v>
      </c>
      <c r="N7" s="21">
        <f>0.64*B7</f>
        <v>0.64</v>
      </c>
      <c r="O7" s="21">
        <f t="shared" si="27"/>
        <v>1.4387096774193548</v>
      </c>
      <c r="P7" s="21">
        <f t="shared" si="28"/>
        <v>157</v>
      </c>
      <c r="Q7" s="39">
        <f t="shared" si="29"/>
        <v>0.89204545454545459</v>
      </c>
      <c r="R7" s="39">
        <f t="shared" si="30"/>
        <v>0</v>
      </c>
      <c r="S7" s="30">
        <f t="shared" si="31"/>
        <v>238.77140236445169</v>
      </c>
      <c r="T7" s="31">
        <f t="shared" si="32"/>
        <v>343.52272727272725</v>
      </c>
      <c r="U7" s="39">
        <f t="shared" si="33"/>
        <v>9.8181818181818183</v>
      </c>
      <c r="V7" s="39">
        <f t="shared" si="34"/>
        <v>0.40960000000000002</v>
      </c>
      <c r="W7" s="30">
        <f t="shared" si="35"/>
        <v>18.448530941704036</v>
      </c>
      <c r="X7" s="31">
        <f t="shared" si="36"/>
        <v>26.542079999999999</v>
      </c>
      <c r="Y7" s="39">
        <f t="shared" si="37"/>
        <v>0.27033600000000002</v>
      </c>
      <c r="Z7" s="39">
        <f t="shared" si="38"/>
        <v>147.27272727272725</v>
      </c>
      <c r="AA7" s="24" t="s">
        <v>265</v>
      </c>
      <c r="AB7" s="25">
        <f>MIN(H3:H67)</f>
        <v>26.7</v>
      </c>
      <c r="AC7" s="36" t="s">
        <v>249</v>
      </c>
      <c r="AD7" s="36">
        <v>1</v>
      </c>
      <c r="AE7" s="29">
        <v>0.25</v>
      </c>
    </row>
    <row r="8" spans="1:31" s="39" customFormat="1" x14ac:dyDescent="0.25">
      <c r="A8" s="32" t="s">
        <v>263</v>
      </c>
      <c r="B8" s="32">
        <f>(38.67/12)/3.048</f>
        <v>1.0572506561679791</v>
      </c>
      <c r="C8" s="32">
        <v>131</v>
      </c>
      <c r="D8" s="32">
        <v>64</v>
      </c>
      <c r="E8" s="32" t="s">
        <v>264</v>
      </c>
      <c r="F8" s="32" t="s">
        <v>260</v>
      </c>
      <c r="G8" s="32">
        <v>35</v>
      </c>
      <c r="H8" s="32">
        <v>66</v>
      </c>
      <c r="I8" s="32">
        <f t="shared" si="25"/>
        <v>26.717557251908396</v>
      </c>
      <c r="J8" s="32">
        <f t="shared" si="26"/>
        <v>50.381679389312978</v>
      </c>
      <c r="K8" s="32">
        <v>255</v>
      </c>
      <c r="L8" s="32">
        <v>450</v>
      </c>
      <c r="M8" s="32" t="s">
        <v>163</v>
      </c>
      <c r="N8" s="32">
        <v>0.67500000000000004</v>
      </c>
      <c r="O8" s="32">
        <f t="shared" si="27"/>
        <v>1.7647058823529411</v>
      </c>
      <c r="P8" s="32">
        <f t="shared" si="28"/>
        <v>161</v>
      </c>
      <c r="Q8" s="32">
        <f t="shared" si="29"/>
        <v>0.91477272727272729</v>
      </c>
      <c r="R8" s="32">
        <f t="shared" si="30"/>
        <v>0</v>
      </c>
      <c r="S8" s="30">
        <f t="shared" si="31"/>
        <v>195.43560606060606</v>
      </c>
      <c r="T8" s="31">
        <f t="shared" si="32"/>
        <v>344.88636363636363</v>
      </c>
      <c r="U8" s="32">
        <f t="shared" si="33"/>
        <v>12.595419847328245</v>
      </c>
      <c r="V8" s="32">
        <f t="shared" si="34"/>
        <v>0.40960000000000002</v>
      </c>
      <c r="W8" s="30">
        <f t="shared" si="35"/>
        <v>15.319040000000001</v>
      </c>
      <c r="X8" s="31">
        <f t="shared" si="36"/>
        <v>27.0336</v>
      </c>
      <c r="Y8" s="32">
        <f t="shared" si="37"/>
        <v>0.2146304</v>
      </c>
      <c r="Z8" s="39">
        <f t="shared" si="38"/>
        <v>188.93129770992365</v>
      </c>
      <c r="AA8" s="26"/>
      <c r="AB8" s="27"/>
      <c r="AC8" s="34"/>
      <c r="AD8" s="34"/>
      <c r="AE8" s="34"/>
    </row>
    <row r="9" spans="1:31" x14ac:dyDescent="0.25">
      <c r="A9" s="37" t="s">
        <v>445</v>
      </c>
      <c r="B9" s="37">
        <v>0.9</v>
      </c>
      <c r="C9" s="37">
        <v>134</v>
      </c>
      <c r="D9" s="37">
        <v>45</v>
      </c>
      <c r="E9" s="37" t="s">
        <v>259</v>
      </c>
      <c r="F9" s="37" t="s">
        <v>260</v>
      </c>
      <c r="G9" s="37">
        <v>65</v>
      </c>
      <c r="H9" s="37">
        <v>76</v>
      </c>
      <c r="I9" s="37">
        <f t="shared" si="25"/>
        <v>48.507462686567166</v>
      </c>
      <c r="J9" s="37">
        <f t="shared" si="26"/>
        <v>56.71641791044776</v>
      </c>
      <c r="K9" s="37">
        <v>255</v>
      </c>
      <c r="L9" s="37">
        <v>300</v>
      </c>
      <c r="M9" s="37" t="s">
        <v>257</v>
      </c>
      <c r="N9" s="37">
        <f>0.64*0.9</f>
        <v>0.57600000000000007</v>
      </c>
      <c r="O9" s="37">
        <f t="shared" si="27"/>
        <v>1.1764705882352942</v>
      </c>
      <c r="P9" s="37">
        <f t="shared" si="28"/>
        <v>11</v>
      </c>
      <c r="Q9" s="37">
        <f t="shared" si="29"/>
        <v>6.25E-2</v>
      </c>
      <c r="R9" s="37">
        <f t="shared" si="30"/>
        <v>0</v>
      </c>
      <c r="S9" s="30">
        <f t="shared" si="31"/>
        <v>249.6875</v>
      </c>
      <c r="T9" s="31">
        <f t="shared" si="32"/>
        <v>293.75</v>
      </c>
      <c r="U9" s="21">
        <f t="shared" si="33"/>
        <v>14.17910447761194</v>
      </c>
      <c r="V9" s="21">
        <f t="shared" si="34"/>
        <v>0.40960000000000002</v>
      </c>
      <c r="W9" s="30">
        <f t="shared" si="35"/>
        <v>26.460159999999998</v>
      </c>
      <c r="X9" s="31">
        <f t="shared" si="36"/>
        <v>31.1296</v>
      </c>
      <c r="Y9" s="21">
        <f t="shared" si="37"/>
        <v>0.21954560000000001</v>
      </c>
      <c r="Z9" s="39">
        <f t="shared" si="38"/>
        <v>212.68656716417908</v>
      </c>
      <c r="AA9" s="26" t="s">
        <v>267</v>
      </c>
      <c r="AB9" s="27">
        <f>MAX(H3:H67)</f>
        <v>10230</v>
      </c>
      <c r="AC9" s="20"/>
      <c r="AD9" s="20"/>
      <c r="AE9" s="20"/>
    </row>
    <row r="10" spans="1:31" x14ac:dyDescent="0.25">
      <c r="A10" s="32" t="s">
        <v>266</v>
      </c>
      <c r="B10" s="32">
        <v>1.25</v>
      </c>
      <c r="C10" s="32">
        <v>168</v>
      </c>
      <c r="D10" s="32">
        <v>84</v>
      </c>
      <c r="E10" s="32" t="s">
        <v>264</v>
      </c>
      <c r="F10" s="32" t="s">
        <v>260</v>
      </c>
      <c r="G10" s="32">
        <v>50</v>
      </c>
      <c r="H10" s="32">
        <v>90</v>
      </c>
      <c r="I10" s="32">
        <f t="shared" si="25"/>
        <v>29.761904761904763</v>
      </c>
      <c r="J10" s="32">
        <f t="shared" si="26"/>
        <v>53.571428571428569</v>
      </c>
      <c r="K10" s="32">
        <v>255</v>
      </c>
      <c r="L10" s="32">
        <v>457</v>
      </c>
      <c r="M10" s="32" t="s">
        <v>163</v>
      </c>
      <c r="N10" s="32">
        <f>B10*0.64</f>
        <v>0.8</v>
      </c>
      <c r="O10" s="32">
        <f t="shared" si="27"/>
        <v>1.7921568627450981</v>
      </c>
      <c r="P10" s="32">
        <f t="shared" si="28"/>
        <v>168</v>
      </c>
      <c r="Q10" s="32">
        <f t="shared" si="29"/>
        <v>0.95454545454545459</v>
      </c>
      <c r="R10" s="32">
        <f t="shared" si="30"/>
        <v>0</v>
      </c>
      <c r="S10" s="30">
        <f t="shared" si="31"/>
        <v>193.7736224388303</v>
      </c>
      <c r="T10" s="31">
        <f t="shared" si="32"/>
        <v>347.27272727272725</v>
      </c>
      <c r="U10" s="32">
        <f t="shared" si="33"/>
        <v>13.392857142857142</v>
      </c>
      <c r="V10" s="32">
        <f t="shared" si="34"/>
        <v>0.40960000000000002</v>
      </c>
      <c r="W10" s="30">
        <f t="shared" si="35"/>
        <v>20.569628008752737</v>
      </c>
      <c r="X10" s="31">
        <f t="shared" si="36"/>
        <v>36.864000000000004</v>
      </c>
      <c r="Y10" s="32">
        <f t="shared" si="37"/>
        <v>0.27525120000000008</v>
      </c>
      <c r="Z10" s="39">
        <f t="shared" si="38"/>
        <v>200.89285714285711</v>
      </c>
      <c r="AA10" s="26" t="s">
        <v>269</v>
      </c>
      <c r="AB10" s="27">
        <f>AB9-AB7</f>
        <v>10203.299999999999</v>
      </c>
      <c r="AC10" s="20"/>
      <c r="AD10" s="20"/>
      <c r="AE10" s="20"/>
    </row>
    <row r="11" spans="1:31" x14ac:dyDescent="0.25">
      <c r="A11" s="21" t="s">
        <v>268</v>
      </c>
      <c r="B11" s="21">
        <v>0.71</v>
      </c>
      <c r="C11" s="21">
        <v>242</v>
      </c>
      <c r="D11" s="21"/>
      <c r="E11" s="21" t="s">
        <v>264</v>
      </c>
      <c r="F11" s="21" t="s">
        <v>260</v>
      </c>
      <c r="G11" s="21"/>
      <c r="H11" s="21">
        <v>98</v>
      </c>
      <c r="I11" s="21">
        <f t="shared" si="25"/>
        <v>0</v>
      </c>
      <c r="J11" s="21">
        <f t="shared" si="26"/>
        <v>40.495867768595041</v>
      </c>
      <c r="K11" s="22">
        <v>350</v>
      </c>
      <c r="L11" s="21">
        <v>463</v>
      </c>
      <c r="M11" s="21" t="s">
        <v>163</v>
      </c>
      <c r="N11" s="21">
        <f>0.64*B11</f>
        <v>0.45439999999999997</v>
      </c>
      <c r="O11" s="21">
        <f t="shared" si="27"/>
        <v>1.322857142857143</v>
      </c>
      <c r="P11" s="21">
        <f t="shared" si="28"/>
        <v>174</v>
      </c>
      <c r="Q11" s="39">
        <f t="shared" si="29"/>
        <v>0.98863636363636365</v>
      </c>
      <c r="R11" s="39">
        <f t="shared" si="30"/>
        <v>0</v>
      </c>
      <c r="S11" s="30">
        <f t="shared" si="31"/>
        <v>264.06342038091498</v>
      </c>
      <c r="T11" s="31">
        <f t="shared" si="32"/>
        <v>349.31818181818181</v>
      </c>
      <c r="U11" s="39">
        <f t="shared" si="33"/>
        <v>10.12396694214876</v>
      </c>
      <c r="V11" s="39">
        <f t="shared" si="34"/>
        <v>0.40960000000000002</v>
      </c>
      <c r="W11" s="30">
        <f t="shared" si="35"/>
        <v>30.344017278617706</v>
      </c>
      <c r="X11" s="31">
        <f t="shared" si="36"/>
        <v>40.140799999999999</v>
      </c>
      <c r="Y11" s="39">
        <f t="shared" si="37"/>
        <v>0.39649279999999998</v>
      </c>
      <c r="Z11" s="39">
        <f t="shared" si="38"/>
        <v>151.85950413223142</v>
      </c>
      <c r="AA11" s="26" t="s">
        <v>271</v>
      </c>
      <c r="AB11" s="27">
        <v>0</v>
      </c>
      <c r="AC11" s="20"/>
      <c r="AD11" s="20"/>
      <c r="AE11" s="20"/>
    </row>
    <row r="12" spans="1:31" ht="15.75" thickBot="1" x14ac:dyDescent="0.3">
      <c r="A12" s="32" t="s">
        <v>270</v>
      </c>
      <c r="B12" s="32">
        <v>2.13</v>
      </c>
      <c r="C12" s="32">
        <v>277</v>
      </c>
      <c r="D12" s="32">
        <v>280</v>
      </c>
      <c r="E12" s="32" t="s">
        <v>264</v>
      </c>
      <c r="F12" s="32" t="s">
        <v>260</v>
      </c>
      <c r="G12" s="32">
        <v>60</v>
      </c>
      <c r="H12" s="32">
        <v>110</v>
      </c>
      <c r="I12" s="32">
        <f t="shared" si="25"/>
        <v>21.660649819494584</v>
      </c>
      <c r="J12" s="32">
        <f t="shared" si="26"/>
        <v>39.711191335740075</v>
      </c>
      <c r="K12" s="32">
        <v>255</v>
      </c>
      <c r="L12" s="32">
        <v>465</v>
      </c>
      <c r="M12" s="32" t="s">
        <v>163</v>
      </c>
      <c r="N12" s="32">
        <v>1.36</v>
      </c>
      <c r="O12" s="32">
        <f t="shared" si="27"/>
        <v>1.8235294117647058</v>
      </c>
      <c r="P12" s="32">
        <f t="shared" si="28"/>
        <v>176</v>
      </c>
      <c r="Q12" s="32">
        <f t="shared" si="29"/>
        <v>1</v>
      </c>
      <c r="R12" s="32">
        <f t="shared" si="30"/>
        <v>0</v>
      </c>
      <c r="S12" s="32">
        <f t="shared" si="31"/>
        <v>191.93548387096774</v>
      </c>
      <c r="T12" s="32">
        <f t="shared" si="32"/>
        <v>350</v>
      </c>
      <c r="U12" s="32">
        <f t="shared" si="33"/>
        <v>9.9277978339350188</v>
      </c>
      <c r="V12" s="32">
        <f t="shared" si="34"/>
        <v>0.40960000000000002</v>
      </c>
      <c r="W12" s="32">
        <f t="shared" si="35"/>
        <v>24.708129032258068</v>
      </c>
      <c r="X12" s="32">
        <f t="shared" si="36"/>
        <v>45.056000000000004</v>
      </c>
      <c r="Y12" s="32">
        <f t="shared" si="37"/>
        <v>0.45383679999999998</v>
      </c>
      <c r="Z12" s="39">
        <f t="shared" si="38"/>
        <v>148.91696750902528</v>
      </c>
      <c r="AA12" s="28" t="s">
        <v>273</v>
      </c>
      <c r="AB12" s="29">
        <v>1</v>
      </c>
      <c r="AC12" s="20"/>
      <c r="AD12" s="20"/>
      <c r="AE12" s="20"/>
    </row>
    <row r="13" spans="1:31" s="20" customFormat="1" x14ac:dyDescent="0.25">
      <c r="A13" s="21" t="s">
        <v>272</v>
      </c>
      <c r="B13" s="21">
        <v>2.13</v>
      </c>
      <c r="C13" s="21">
        <v>500</v>
      </c>
      <c r="D13" s="22">
        <v>285</v>
      </c>
      <c r="E13" s="21" t="s">
        <v>264</v>
      </c>
      <c r="F13" s="21" t="s">
        <v>260</v>
      </c>
      <c r="G13" s="22">
        <f>H13/O13</f>
        <v>217.52688172043011</v>
      </c>
      <c r="H13" s="21">
        <v>289</v>
      </c>
      <c r="I13" s="21">
        <f t="shared" si="25"/>
        <v>43.505376344086024</v>
      </c>
      <c r="J13" s="21">
        <f t="shared" si="26"/>
        <v>57.8</v>
      </c>
      <c r="K13" s="22">
        <v>350</v>
      </c>
      <c r="L13" s="21">
        <v>465</v>
      </c>
      <c r="M13" s="21" t="s">
        <v>163</v>
      </c>
      <c r="N13" s="21">
        <f>0.64*B13</f>
        <v>1.3632</v>
      </c>
      <c r="O13" s="21">
        <f t="shared" si="27"/>
        <v>1.3285714285714285</v>
      </c>
      <c r="P13" s="21">
        <f t="shared" si="28"/>
        <v>176</v>
      </c>
      <c r="Q13" s="39">
        <f t="shared" si="29"/>
        <v>1</v>
      </c>
      <c r="R13" s="39">
        <f t="shared" si="30"/>
        <v>0</v>
      </c>
      <c r="S13" s="30">
        <f t="shared" si="31"/>
        <v>263.44086021505376</v>
      </c>
      <c r="T13" s="31">
        <f t="shared" si="32"/>
        <v>350</v>
      </c>
      <c r="U13" s="39">
        <f t="shared" si="33"/>
        <v>14.45</v>
      </c>
      <c r="V13" s="39">
        <f t="shared" si="34"/>
        <v>0.40960000000000002</v>
      </c>
      <c r="W13" s="30">
        <f t="shared" si="35"/>
        <v>89.099010752688187</v>
      </c>
      <c r="X13" s="31">
        <f t="shared" si="36"/>
        <v>118.37440000000001</v>
      </c>
      <c r="Y13" s="39">
        <f t="shared" si="37"/>
        <v>0.81920000000000015</v>
      </c>
      <c r="Z13" s="39">
        <f t="shared" si="38"/>
        <v>216.74999999999997</v>
      </c>
      <c r="AA13" s="1"/>
      <c r="AB13" s="1"/>
    </row>
    <row r="14" spans="1:31" s="20" customFormat="1" x14ac:dyDescent="0.25">
      <c r="A14" s="32" t="s">
        <v>357</v>
      </c>
      <c r="B14" s="32">
        <v>2.2400000000000002</v>
      </c>
      <c r="C14" s="32">
        <v>408.5</v>
      </c>
      <c r="D14" s="32">
        <v>82.2</v>
      </c>
      <c r="E14" s="32" t="s">
        <v>259</v>
      </c>
      <c r="F14" s="32" t="s">
        <v>260</v>
      </c>
      <c r="G14" s="22">
        <v>207.86830357142856</v>
      </c>
      <c r="H14" s="32">
        <v>298</v>
      </c>
      <c r="I14" s="32">
        <f t="shared" si="25"/>
        <v>50.88575362825668</v>
      </c>
      <c r="J14" s="32">
        <f t="shared" si="26"/>
        <v>72.949816401468794</v>
      </c>
      <c r="K14" s="22">
        <v>280</v>
      </c>
      <c r="L14" s="32">
        <v>326</v>
      </c>
      <c r="M14" s="32" t="s">
        <v>257</v>
      </c>
      <c r="N14" s="32">
        <f t="shared" ref="N14:N15" si="39">0.64*B14</f>
        <v>1.4336000000000002</v>
      </c>
      <c r="O14" s="32">
        <f t="shared" si="27"/>
        <v>1.1642857142857144</v>
      </c>
      <c r="P14" s="32">
        <f t="shared" si="28"/>
        <v>37</v>
      </c>
      <c r="Q14" s="32">
        <f t="shared" si="29"/>
        <v>0.21022727272727273</v>
      </c>
      <c r="R14" s="32">
        <f t="shared" si="30"/>
        <v>0</v>
      </c>
      <c r="S14" s="30">
        <f t="shared" si="31"/>
        <v>259.91355270496376</v>
      </c>
      <c r="T14" s="31">
        <f t="shared" si="32"/>
        <v>302.61363636363637</v>
      </c>
      <c r="U14" s="32">
        <f t="shared" si="33"/>
        <v>18.237454100367199</v>
      </c>
      <c r="V14" s="32">
        <f t="shared" si="34"/>
        <v>0.40960000000000002</v>
      </c>
      <c r="W14" s="30">
        <f t="shared" si="35"/>
        <v>104.83749693251534</v>
      </c>
      <c r="X14" s="31">
        <f t="shared" si="36"/>
        <v>122.0608</v>
      </c>
      <c r="Y14" s="32">
        <f t="shared" si="37"/>
        <v>0.66928639999999995</v>
      </c>
      <c r="Z14" s="39">
        <f t="shared" si="38"/>
        <v>273.56181150550793</v>
      </c>
      <c r="AA14" s="1"/>
      <c r="AB14" s="1"/>
    </row>
    <row r="15" spans="1:31" x14ac:dyDescent="0.25">
      <c r="A15" s="21" t="s">
        <v>358</v>
      </c>
      <c r="B15" s="21">
        <v>2.4</v>
      </c>
      <c r="C15" s="21">
        <v>572</v>
      </c>
      <c r="D15" s="22"/>
      <c r="E15" s="21" t="s">
        <v>359</v>
      </c>
      <c r="F15" s="21" t="s">
        <v>260</v>
      </c>
      <c r="G15" s="22">
        <v>191.40625</v>
      </c>
      <c r="H15" s="21">
        <v>294</v>
      </c>
      <c r="I15" s="21">
        <f t="shared" si="25"/>
        <v>33.46263111888112</v>
      </c>
      <c r="J15" s="21">
        <f t="shared" si="26"/>
        <v>51.3986013986014</v>
      </c>
      <c r="K15" s="22">
        <v>320</v>
      </c>
      <c r="L15" s="21">
        <v>359</v>
      </c>
      <c r="M15" s="21" t="s">
        <v>257</v>
      </c>
      <c r="N15" s="21">
        <f t="shared" si="39"/>
        <v>1.536</v>
      </c>
      <c r="O15" s="21">
        <f t="shared" si="27"/>
        <v>1.121875</v>
      </c>
      <c r="P15" s="21">
        <f t="shared" si="28"/>
        <v>70</v>
      </c>
      <c r="Q15" s="39">
        <f t="shared" si="29"/>
        <v>0.39772727272727271</v>
      </c>
      <c r="R15" s="39">
        <f t="shared" si="30"/>
        <v>0</v>
      </c>
      <c r="S15" s="30">
        <f t="shared" si="31"/>
        <v>279.76702962775386</v>
      </c>
      <c r="T15" s="31">
        <f t="shared" si="32"/>
        <v>313.86363636363637</v>
      </c>
      <c r="U15" s="39">
        <f t="shared" si="33"/>
        <v>12.84965034965035</v>
      </c>
      <c r="V15" s="39">
        <f t="shared" si="34"/>
        <v>0.40960000000000002</v>
      </c>
      <c r="W15" s="30">
        <f t="shared" si="35"/>
        <v>107.3403008356546</v>
      </c>
      <c r="X15" s="31">
        <f t="shared" si="36"/>
        <v>120.42240000000001</v>
      </c>
      <c r="Y15" s="39">
        <f t="shared" si="37"/>
        <v>0.93716480000000013</v>
      </c>
      <c r="Z15" s="39">
        <f t="shared" si="38"/>
        <v>192.74475524475525</v>
      </c>
      <c r="AA15" s="20"/>
      <c r="AB15" s="20"/>
      <c r="AC15" s="20"/>
      <c r="AD15" s="20"/>
      <c r="AE15" s="20"/>
    </row>
    <row r="16" spans="1:31" x14ac:dyDescent="0.25">
      <c r="A16" s="37" t="s">
        <v>274</v>
      </c>
      <c r="B16" s="22">
        <v>1.125</v>
      </c>
      <c r="C16" s="22">
        <v>400</v>
      </c>
      <c r="D16" s="22">
        <v>14</v>
      </c>
      <c r="E16" s="37" t="s">
        <v>259</v>
      </c>
      <c r="F16" s="37" t="s">
        <v>275</v>
      </c>
      <c r="G16" s="22">
        <v>360</v>
      </c>
      <c r="H16" s="22">
        <v>400</v>
      </c>
      <c r="I16" s="37">
        <f t="shared" si="25"/>
        <v>90</v>
      </c>
      <c r="J16" s="37">
        <f t="shared" si="26"/>
        <v>100</v>
      </c>
      <c r="K16" s="22">
        <v>270</v>
      </c>
      <c r="L16" s="22">
        <v>300</v>
      </c>
      <c r="M16" s="37" t="s">
        <v>257</v>
      </c>
      <c r="N16" s="37">
        <v>0.72</v>
      </c>
      <c r="O16" s="37">
        <f t="shared" si="27"/>
        <v>1.1111111111111112</v>
      </c>
      <c r="P16" s="37">
        <f t="shared" si="28"/>
        <v>11</v>
      </c>
      <c r="Q16" s="37">
        <f t="shared" si="29"/>
        <v>6.25E-2</v>
      </c>
      <c r="R16" s="37">
        <f t="shared" si="30"/>
        <v>0</v>
      </c>
      <c r="S16" s="37">
        <f t="shared" si="31"/>
        <v>264.375</v>
      </c>
      <c r="T16" s="37">
        <f t="shared" si="32"/>
        <v>293.75</v>
      </c>
      <c r="U16" s="37">
        <f t="shared" si="33"/>
        <v>25</v>
      </c>
      <c r="V16" s="37">
        <f t="shared" si="34"/>
        <v>0.40960000000000002</v>
      </c>
      <c r="W16" s="37">
        <f t="shared" si="35"/>
        <v>147.45599999999999</v>
      </c>
      <c r="X16" s="37">
        <f t="shared" si="36"/>
        <v>163.84</v>
      </c>
      <c r="Y16" s="37">
        <f t="shared" si="37"/>
        <v>0.65536000000000005</v>
      </c>
      <c r="Z16" s="39">
        <f t="shared" si="38"/>
        <v>375</v>
      </c>
      <c r="AA16" s="20"/>
      <c r="AB16" s="20"/>
      <c r="AC16" s="20"/>
      <c r="AD16" s="20"/>
      <c r="AE16" s="20"/>
    </row>
    <row r="17" spans="1:31" x14ac:dyDescent="0.25">
      <c r="A17" s="21" t="s">
        <v>276</v>
      </c>
      <c r="B17" s="22">
        <v>1.65</v>
      </c>
      <c r="C17" s="22">
        <v>450</v>
      </c>
      <c r="D17" s="21">
        <v>18</v>
      </c>
      <c r="E17" s="21" t="s">
        <v>259</v>
      </c>
      <c r="F17" s="21" t="s">
        <v>260</v>
      </c>
      <c r="G17" s="22">
        <v>400</v>
      </c>
      <c r="H17" s="22">
        <v>450</v>
      </c>
      <c r="I17" s="21">
        <f t="shared" si="25"/>
        <v>88.888888888888886</v>
      </c>
      <c r="J17" s="21">
        <f t="shared" si="26"/>
        <v>100</v>
      </c>
      <c r="K17" s="22">
        <v>265</v>
      </c>
      <c r="L17" s="22">
        <v>335</v>
      </c>
      <c r="M17" s="23" t="s">
        <v>257</v>
      </c>
      <c r="N17" s="21">
        <f>0.64*B17</f>
        <v>1.056</v>
      </c>
      <c r="O17" s="21">
        <f t="shared" si="27"/>
        <v>1.2641509433962264</v>
      </c>
      <c r="P17" s="21">
        <f t="shared" si="28"/>
        <v>46</v>
      </c>
      <c r="Q17" s="39">
        <f t="shared" si="29"/>
        <v>0.26136363636363635</v>
      </c>
      <c r="R17" s="39">
        <f t="shared" si="30"/>
        <v>0</v>
      </c>
      <c r="S17" s="30">
        <f t="shared" si="31"/>
        <v>241.80800542740843</v>
      </c>
      <c r="T17" s="31">
        <f t="shared" si="32"/>
        <v>305.68181818181819</v>
      </c>
      <c r="U17" s="39">
        <f t="shared" si="33"/>
        <v>25</v>
      </c>
      <c r="V17" s="39">
        <f t="shared" si="34"/>
        <v>0.40960000000000002</v>
      </c>
      <c r="W17" s="30">
        <f t="shared" si="35"/>
        <v>145.80537313432839</v>
      </c>
      <c r="X17" s="31">
        <f t="shared" si="36"/>
        <v>184.32000000000002</v>
      </c>
      <c r="Y17" s="39">
        <f t="shared" si="37"/>
        <v>0.73728000000000005</v>
      </c>
      <c r="Z17" s="39">
        <f t="shared" si="38"/>
        <v>375</v>
      </c>
      <c r="AA17" s="20"/>
      <c r="AB17" s="20"/>
      <c r="AC17" s="20"/>
      <c r="AD17" s="20"/>
      <c r="AE17" s="20"/>
    </row>
    <row r="18" spans="1:31" x14ac:dyDescent="0.25">
      <c r="A18" s="21" t="s">
        <v>277</v>
      </c>
      <c r="B18" s="22">
        <v>1.25</v>
      </c>
      <c r="C18" s="22">
        <v>480</v>
      </c>
      <c r="D18" s="21">
        <v>14.5</v>
      </c>
      <c r="E18" s="21" t="s">
        <v>259</v>
      </c>
      <c r="F18" s="21" t="s">
        <v>275</v>
      </c>
      <c r="G18" s="22">
        <v>420</v>
      </c>
      <c r="H18" s="22">
        <v>480</v>
      </c>
      <c r="I18" s="21">
        <f t="shared" si="25"/>
        <v>87.5</v>
      </c>
      <c r="J18" s="21">
        <f t="shared" si="26"/>
        <v>100</v>
      </c>
      <c r="K18" s="22">
        <v>266</v>
      </c>
      <c r="L18" s="22">
        <v>305</v>
      </c>
      <c r="M18" s="23" t="s">
        <v>257</v>
      </c>
      <c r="N18" s="21">
        <v>0.8</v>
      </c>
      <c r="O18" s="21">
        <f t="shared" si="27"/>
        <v>1.1466165413533835</v>
      </c>
      <c r="P18" s="21">
        <f t="shared" si="28"/>
        <v>16</v>
      </c>
      <c r="Q18" s="39">
        <f t="shared" si="29"/>
        <v>9.0909090909090912E-2</v>
      </c>
      <c r="R18" s="39">
        <f t="shared" si="30"/>
        <v>0</v>
      </c>
      <c r="S18" s="30">
        <f t="shared" si="31"/>
        <v>257.67511177347239</v>
      </c>
      <c r="T18" s="31">
        <f t="shared" si="32"/>
        <v>295.45454545454544</v>
      </c>
      <c r="U18" s="39">
        <f t="shared" si="33"/>
        <v>25</v>
      </c>
      <c r="V18" s="39">
        <f t="shared" si="34"/>
        <v>0.40960000000000002</v>
      </c>
      <c r="W18" s="30">
        <f t="shared" si="35"/>
        <v>171.4679606557377</v>
      </c>
      <c r="X18" s="31">
        <f t="shared" si="36"/>
        <v>196.608</v>
      </c>
      <c r="Y18" s="39">
        <f t="shared" si="37"/>
        <v>0.78643200000000002</v>
      </c>
      <c r="Z18" s="39">
        <f t="shared" si="38"/>
        <v>375</v>
      </c>
      <c r="AA18" s="20"/>
      <c r="AB18" s="20"/>
      <c r="AC18" s="20"/>
      <c r="AD18" s="20"/>
      <c r="AE18" s="20"/>
    </row>
    <row r="19" spans="1:31" x14ac:dyDescent="0.25">
      <c r="A19" s="21" t="s">
        <v>278</v>
      </c>
      <c r="B19" s="22">
        <v>1.875</v>
      </c>
      <c r="C19" s="22">
        <v>520</v>
      </c>
      <c r="D19" s="21">
        <v>20</v>
      </c>
      <c r="E19" s="21" t="s">
        <v>259</v>
      </c>
      <c r="F19" s="21" t="s">
        <v>260</v>
      </c>
      <c r="G19" s="22">
        <v>440</v>
      </c>
      <c r="H19" s="22">
        <v>520</v>
      </c>
      <c r="I19" s="21">
        <f t="shared" si="25"/>
        <v>84.615384615384613</v>
      </c>
      <c r="J19" s="21">
        <f t="shared" si="26"/>
        <v>100</v>
      </c>
      <c r="K19" s="22">
        <v>275</v>
      </c>
      <c r="L19" s="22">
        <v>336</v>
      </c>
      <c r="M19" s="21" t="s">
        <v>257</v>
      </c>
      <c r="N19" s="21">
        <f>0.64*B19</f>
        <v>1.2</v>
      </c>
      <c r="O19" s="21">
        <f t="shared" si="27"/>
        <v>1.2218181818181819</v>
      </c>
      <c r="P19" s="21">
        <f t="shared" si="28"/>
        <v>47</v>
      </c>
      <c r="Q19" s="39">
        <f t="shared" si="29"/>
        <v>0.26704545454545453</v>
      </c>
      <c r="R19" s="39">
        <f t="shared" si="30"/>
        <v>0</v>
      </c>
      <c r="S19" s="30">
        <f t="shared" si="31"/>
        <v>250.46502976190473</v>
      </c>
      <c r="T19" s="31">
        <f t="shared" si="32"/>
        <v>306.02272727272725</v>
      </c>
      <c r="U19" s="39">
        <f t="shared" si="33"/>
        <v>25</v>
      </c>
      <c r="V19" s="39">
        <f t="shared" si="34"/>
        <v>0.40960000000000002</v>
      </c>
      <c r="W19" s="30">
        <f t="shared" si="35"/>
        <v>174.32380952380953</v>
      </c>
      <c r="X19" s="31">
        <f t="shared" si="36"/>
        <v>212.99200000000002</v>
      </c>
      <c r="Y19" s="39">
        <f t="shared" si="37"/>
        <v>0.85196800000000006</v>
      </c>
      <c r="Z19" s="39">
        <f t="shared" si="38"/>
        <v>375</v>
      </c>
      <c r="AA19" s="20"/>
      <c r="AB19" s="20"/>
      <c r="AC19" s="20"/>
      <c r="AD19" s="20"/>
      <c r="AE19" s="20"/>
    </row>
    <row r="20" spans="1:31" x14ac:dyDescent="0.25">
      <c r="A20" s="21" t="s">
        <v>279</v>
      </c>
      <c r="B20" s="22">
        <v>2.25</v>
      </c>
      <c r="C20" s="22">
        <v>470</v>
      </c>
      <c r="D20" s="21">
        <v>16</v>
      </c>
      <c r="E20" s="21" t="s">
        <v>259</v>
      </c>
      <c r="F20" s="21" t="s">
        <v>275</v>
      </c>
      <c r="G20" s="22">
        <v>655</v>
      </c>
      <c r="H20" s="22">
        <v>723</v>
      </c>
      <c r="I20" s="21">
        <f t="shared" si="25"/>
        <v>139.36170212765958</v>
      </c>
      <c r="J20" s="21">
        <f t="shared" si="26"/>
        <v>153.82978723404256</v>
      </c>
      <c r="K20" s="22">
        <v>282</v>
      </c>
      <c r="L20" s="22">
        <v>311</v>
      </c>
      <c r="M20" s="21" t="s">
        <v>257</v>
      </c>
      <c r="N20" s="21">
        <f>0.64*B20</f>
        <v>1.44</v>
      </c>
      <c r="O20" s="21">
        <f t="shared" si="27"/>
        <v>1.1028368794326242</v>
      </c>
      <c r="P20" s="21">
        <f t="shared" si="28"/>
        <v>22</v>
      </c>
      <c r="Q20" s="39">
        <f t="shared" si="29"/>
        <v>0.125</v>
      </c>
      <c r="R20" s="39">
        <f t="shared" si="30"/>
        <v>0</v>
      </c>
      <c r="S20" s="30">
        <f t="shared" si="31"/>
        <v>269.75884244372986</v>
      </c>
      <c r="T20" s="31">
        <f t="shared" si="32"/>
        <v>297.5</v>
      </c>
      <c r="U20" s="39">
        <f t="shared" si="33"/>
        <v>38.457446808510639</v>
      </c>
      <c r="V20" s="39">
        <f t="shared" si="34"/>
        <v>0.40960000000000002</v>
      </c>
      <c r="W20" s="30">
        <f t="shared" si="35"/>
        <v>268.52638456591637</v>
      </c>
      <c r="X20" s="31">
        <f>H20*V20</f>
        <v>296.14080000000001</v>
      </c>
      <c r="Y20" s="39">
        <f t="shared" si="37"/>
        <v>0.77004800000000007</v>
      </c>
      <c r="Z20" s="39">
        <f t="shared" si="38"/>
        <v>576.86170212765956</v>
      </c>
      <c r="AA20" s="20"/>
      <c r="AB20" s="20"/>
      <c r="AC20" s="20"/>
      <c r="AD20" s="20"/>
      <c r="AE20" s="20"/>
    </row>
    <row r="21" spans="1:31" x14ac:dyDescent="0.25">
      <c r="A21" s="21" t="s">
        <v>280</v>
      </c>
      <c r="B21" s="21">
        <v>1</v>
      </c>
      <c r="C21" s="21">
        <v>826</v>
      </c>
      <c r="D21" s="22"/>
      <c r="E21" s="21" t="s">
        <v>259</v>
      </c>
      <c r="F21" s="21" t="s">
        <v>275</v>
      </c>
      <c r="G21" s="21">
        <v>670</v>
      </c>
      <c r="H21" s="21">
        <v>750</v>
      </c>
      <c r="I21" s="21">
        <f t="shared" si="25"/>
        <v>81.1138014527845</v>
      </c>
      <c r="J21" s="21">
        <f t="shared" si="26"/>
        <v>90.799031476997584</v>
      </c>
      <c r="K21" s="22">
        <v>260</v>
      </c>
      <c r="L21" s="21">
        <v>290</v>
      </c>
      <c r="M21" s="23" t="s">
        <v>249</v>
      </c>
      <c r="N21" s="21">
        <f>0.64*B21</f>
        <v>0.64</v>
      </c>
      <c r="O21" s="21">
        <f t="shared" si="27"/>
        <v>1.1153846153846154</v>
      </c>
      <c r="P21" s="21">
        <f t="shared" si="28"/>
        <v>1</v>
      </c>
      <c r="Q21" s="39">
        <f t="shared" si="29"/>
        <v>5.681818181818182E-3</v>
      </c>
      <c r="R21" s="39">
        <f t="shared" si="30"/>
        <v>0</v>
      </c>
      <c r="S21" s="30">
        <f t="shared" si="31"/>
        <v>260.30564263322879</v>
      </c>
      <c r="T21" s="31">
        <f t="shared" si="32"/>
        <v>290.34090909090907</v>
      </c>
      <c r="U21" s="39">
        <f t="shared" si="33"/>
        <v>22.699757869249396</v>
      </c>
      <c r="V21" s="39">
        <f t="shared" si="34"/>
        <v>0.40960000000000002</v>
      </c>
      <c r="W21" s="30">
        <f t="shared" si="35"/>
        <v>275.4206896551724</v>
      </c>
      <c r="X21" s="31">
        <f t="shared" ref="X21:X43" si="40">H21*V21</f>
        <v>307.2</v>
      </c>
      <c r="Y21" s="39">
        <f t="shared" si="37"/>
        <v>1.3533183999999998</v>
      </c>
      <c r="Z21" s="39">
        <f t="shared" si="38"/>
        <v>340.49636803874097</v>
      </c>
      <c r="AA21" s="20"/>
      <c r="AB21" s="20"/>
      <c r="AC21" s="20"/>
      <c r="AD21" s="20"/>
      <c r="AE21" s="20"/>
    </row>
    <row r="22" spans="1:31" x14ac:dyDescent="0.25">
      <c r="A22" s="21" t="s">
        <v>281</v>
      </c>
      <c r="B22" s="21">
        <v>2.8</v>
      </c>
      <c r="C22" s="22">
        <v>950</v>
      </c>
      <c r="D22" s="22"/>
      <c r="E22" s="21" t="s">
        <v>259</v>
      </c>
      <c r="F22" s="21" t="s">
        <v>260</v>
      </c>
      <c r="G22" s="22"/>
      <c r="H22" s="21">
        <v>800</v>
      </c>
      <c r="I22" s="21">
        <f t="shared" si="25"/>
        <v>0</v>
      </c>
      <c r="J22" s="21">
        <f t="shared" si="26"/>
        <v>84.21052631578948</v>
      </c>
      <c r="K22" s="22">
        <v>260</v>
      </c>
      <c r="L22" s="21">
        <v>290</v>
      </c>
      <c r="M22" s="23" t="s">
        <v>249</v>
      </c>
      <c r="N22" s="21">
        <f>0.64*B22</f>
        <v>1.7919999999999998</v>
      </c>
      <c r="O22" s="21">
        <f t="shared" si="27"/>
        <v>1.1153846153846154</v>
      </c>
      <c r="P22" s="21">
        <f t="shared" si="28"/>
        <v>1</v>
      </c>
      <c r="Q22" s="39">
        <f t="shared" si="29"/>
        <v>5.681818181818182E-3</v>
      </c>
      <c r="R22" s="39">
        <f t="shared" si="30"/>
        <v>0</v>
      </c>
      <c r="S22" s="30">
        <f t="shared" si="31"/>
        <v>260.30564263322879</v>
      </c>
      <c r="T22" s="31">
        <f t="shared" si="32"/>
        <v>290.34090909090907</v>
      </c>
      <c r="U22" s="39">
        <f t="shared" si="33"/>
        <v>21.05263157894737</v>
      </c>
      <c r="V22" s="39">
        <f t="shared" si="34"/>
        <v>0.40960000000000002</v>
      </c>
      <c r="W22" s="30">
        <f t="shared" si="35"/>
        <v>293.78206896551723</v>
      </c>
      <c r="X22" s="31">
        <f t="shared" si="40"/>
        <v>327.68</v>
      </c>
      <c r="Y22" s="39">
        <f t="shared" si="37"/>
        <v>1.5564799999999999</v>
      </c>
      <c r="Z22" s="39">
        <f t="shared" si="38"/>
        <v>315.78947368421058</v>
      </c>
      <c r="AA22" s="20"/>
      <c r="AB22" s="20"/>
      <c r="AC22" s="20"/>
      <c r="AD22" s="20"/>
      <c r="AE22" s="20"/>
    </row>
    <row r="23" spans="1:31" x14ac:dyDescent="0.25">
      <c r="A23" s="21" t="s">
        <v>282</v>
      </c>
      <c r="B23" s="22">
        <v>2.8</v>
      </c>
      <c r="C23" s="22">
        <v>525</v>
      </c>
      <c r="D23" s="21">
        <v>24</v>
      </c>
      <c r="E23" s="21" t="s">
        <v>259</v>
      </c>
      <c r="F23" s="21" t="s">
        <v>260</v>
      </c>
      <c r="G23" s="22">
        <v>700</v>
      </c>
      <c r="H23" s="22">
        <v>801</v>
      </c>
      <c r="I23" s="21">
        <f t="shared" si="25"/>
        <v>133.33333333333334</v>
      </c>
      <c r="J23" s="21">
        <f t="shared" si="26"/>
        <v>152.57142857142858</v>
      </c>
      <c r="K23" s="22">
        <v>285</v>
      </c>
      <c r="L23" s="22">
        <v>348</v>
      </c>
      <c r="M23" s="21" t="s">
        <v>257</v>
      </c>
      <c r="N23" s="21">
        <f>0.64*B23</f>
        <v>1.7919999999999998</v>
      </c>
      <c r="O23" s="21">
        <f t="shared" si="27"/>
        <v>1.2210526315789474</v>
      </c>
      <c r="P23" s="21">
        <f t="shared" si="28"/>
        <v>59</v>
      </c>
      <c r="Q23" s="39">
        <f t="shared" si="29"/>
        <v>0.33522727272727271</v>
      </c>
      <c r="R23" s="39">
        <f t="shared" si="30"/>
        <v>0</v>
      </c>
      <c r="S23" s="30">
        <f t="shared" si="31"/>
        <v>253.97237460815049</v>
      </c>
      <c r="T23" s="31">
        <f t="shared" si="32"/>
        <v>310.11363636363637</v>
      </c>
      <c r="U23" s="39">
        <f t="shared" si="33"/>
        <v>38.142857142857146</v>
      </c>
      <c r="V23" s="39">
        <f t="shared" si="34"/>
        <v>0.40960000000000002</v>
      </c>
      <c r="W23" s="30">
        <f t="shared" si="35"/>
        <v>268.69406896551726</v>
      </c>
      <c r="X23" s="31">
        <f t="shared" si="40"/>
        <v>328.08960000000002</v>
      </c>
      <c r="Y23" s="39">
        <f t="shared" si="37"/>
        <v>0.86016000000000015</v>
      </c>
      <c r="Z23" s="39">
        <f t="shared" si="38"/>
        <v>572.142857142857</v>
      </c>
      <c r="AA23" s="20"/>
      <c r="AB23" s="20"/>
      <c r="AC23" s="20"/>
      <c r="AD23" s="20"/>
      <c r="AE23" s="20"/>
    </row>
    <row r="24" spans="1:31" x14ac:dyDescent="0.25">
      <c r="A24" s="32" t="s">
        <v>283</v>
      </c>
      <c r="B24" s="32">
        <f>4.9/3.048</f>
        <v>1.6076115485564306</v>
      </c>
      <c r="C24" s="32">
        <v>1000</v>
      </c>
      <c r="D24" s="32">
        <v>8</v>
      </c>
      <c r="E24" s="32" t="s">
        <v>259</v>
      </c>
      <c r="F24" s="32" t="s">
        <v>275</v>
      </c>
      <c r="G24" s="32">
        <v>836</v>
      </c>
      <c r="H24" s="32">
        <v>947</v>
      </c>
      <c r="I24" s="32">
        <f t="shared" si="25"/>
        <v>83.6</v>
      </c>
      <c r="J24" s="32">
        <f t="shared" si="26"/>
        <v>94.7</v>
      </c>
      <c r="K24" s="32">
        <v>255</v>
      </c>
      <c r="L24" s="32">
        <v>289</v>
      </c>
      <c r="M24" s="33" t="s">
        <v>257</v>
      </c>
      <c r="N24" s="32">
        <v>1</v>
      </c>
      <c r="O24" s="32">
        <f t="shared" si="27"/>
        <v>1.1333333333333333</v>
      </c>
      <c r="P24" s="32">
        <f t="shared" si="28"/>
        <v>0</v>
      </c>
      <c r="Q24" s="32">
        <f t="shared" si="29"/>
        <v>0</v>
      </c>
      <c r="R24" s="32">
        <f t="shared" si="30"/>
        <v>0</v>
      </c>
      <c r="S24" s="32">
        <f t="shared" si="31"/>
        <v>255.88235294117646</v>
      </c>
      <c r="T24" s="32">
        <f t="shared" si="32"/>
        <v>290</v>
      </c>
      <c r="U24" s="32">
        <f t="shared" si="33"/>
        <v>23.675000000000001</v>
      </c>
      <c r="V24" s="32">
        <f t="shared" si="34"/>
        <v>0.40960000000000002</v>
      </c>
      <c r="W24" s="32">
        <f t="shared" si="35"/>
        <v>342.2569411764706</v>
      </c>
      <c r="X24" s="32">
        <f t="shared" si="40"/>
        <v>387.89120000000003</v>
      </c>
      <c r="Y24" s="32">
        <f t="shared" si="37"/>
        <v>1.6384000000000001</v>
      </c>
      <c r="Z24" s="39">
        <f t="shared" si="38"/>
        <v>355.125</v>
      </c>
      <c r="AA24" s="20"/>
      <c r="AB24" s="20"/>
      <c r="AC24" s="20"/>
      <c r="AD24" s="20"/>
      <c r="AE24" s="20"/>
    </row>
    <row r="25" spans="1:31" x14ac:dyDescent="0.25">
      <c r="A25" s="32" t="s">
        <v>284</v>
      </c>
      <c r="B25" s="32">
        <v>0.73</v>
      </c>
      <c r="C25" s="32">
        <v>1190</v>
      </c>
      <c r="D25" s="32"/>
      <c r="E25" s="32" t="s">
        <v>259</v>
      </c>
      <c r="F25" s="32" t="s">
        <v>275</v>
      </c>
      <c r="G25" s="32">
        <v>839</v>
      </c>
      <c r="H25" s="32">
        <v>1019</v>
      </c>
      <c r="I25" s="32">
        <f t="shared" si="25"/>
        <v>70.504201680672267</v>
      </c>
      <c r="J25" s="32">
        <f t="shared" si="26"/>
        <v>85.630252100840337</v>
      </c>
      <c r="K25" s="32">
        <v>263</v>
      </c>
      <c r="L25" s="32">
        <v>320</v>
      </c>
      <c r="M25" s="33" t="s">
        <v>257</v>
      </c>
      <c r="N25" s="32">
        <f>0.64*B25</f>
        <v>0.4672</v>
      </c>
      <c r="O25" s="32">
        <f t="shared" si="27"/>
        <v>1.2167300380228137</v>
      </c>
      <c r="P25" s="32">
        <f t="shared" si="28"/>
        <v>31</v>
      </c>
      <c r="Q25" s="32">
        <f t="shared" si="29"/>
        <v>0.17613636363636365</v>
      </c>
      <c r="R25" s="32">
        <f t="shared" si="30"/>
        <v>0</v>
      </c>
      <c r="S25" s="32">
        <f t="shared" si="31"/>
        <v>247.02947443181819</v>
      </c>
      <c r="T25" s="32">
        <f t="shared" si="32"/>
        <v>300.56818181818181</v>
      </c>
      <c r="U25" s="32">
        <f t="shared" si="33"/>
        <v>21.407563025210084</v>
      </c>
      <c r="V25" s="32">
        <f t="shared" si="34"/>
        <v>0.40960000000000002</v>
      </c>
      <c r="W25" s="32">
        <f t="shared" si="35"/>
        <v>343.03616000000005</v>
      </c>
      <c r="X25" s="32">
        <f t="shared" si="40"/>
        <v>417.38240000000002</v>
      </c>
      <c r="Y25" s="32">
        <f t="shared" si="37"/>
        <v>1.9496960000000001</v>
      </c>
      <c r="Z25" s="39">
        <f t="shared" si="38"/>
        <v>321.11344537815125</v>
      </c>
      <c r="AA25" s="20"/>
      <c r="AB25" s="20"/>
      <c r="AC25" s="20"/>
      <c r="AD25" s="20"/>
      <c r="AE25" s="20"/>
    </row>
    <row r="26" spans="1:31" x14ac:dyDescent="0.25">
      <c r="A26" s="32" t="s">
        <v>285</v>
      </c>
      <c r="B26" s="32">
        <v>2.1</v>
      </c>
      <c r="C26" s="32">
        <v>1788</v>
      </c>
      <c r="D26" s="32">
        <v>27.5</v>
      </c>
      <c r="E26" s="32" t="s">
        <v>259</v>
      </c>
      <c r="F26" s="32" t="s">
        <v>260</v>
      </c>
      <c r="G26" s="32">
        <v>486</v>
      </c>
      <c r="H26" s="32">
        <v>1033</v>
      </c>
      <c r="I26" s="32">
        <f t="shared" si="25"/>
        <v>27.181208053691275</v>
      </c>
      <c r="J26" s="32">
        <f t="shared" si="26"/>
        <v>57.774049217002236</v>
      </c>
      <c r="K26" s="32">
        <v>200</v>
      </c>
      <c r="L26" s="32">
        <v>421</v>
      </c>
      <c r="M26" s="32" t="s">
        <v>163</v>
      </c>
      <c r="N26" s="32">
        <v>1.3</v>
      </c>
      <c r="O26" s="32">
        <f t="shared" si="27"/>
        <v>2.105</v>
      </c>
      <c r="P26" s="32">
        <f t="shared" si="28"/>
        <v>132</v>
      </c>
      <c r="Q26" s="32">
        <f t="shared" si="29"/>
        <v>0.75</v>
      </c>
      <c r="R26" s="32">
        <f t="shared" si="30"/>
        <v>0</v>
      </c>
      <c r="S26" s="30">
        <f t="shared" si="31"/>
        <v>159.14489311163896</v>
      </c>
      <c r="T26" s="31">
        <f t="shared" si="32"/>
        <v>335</v>
      </c>
      <c r="U26" s="32">
        <f t="shared" si="33"/>
        <v>14.443512304250559</v>
      </c>
      <c r="V26" s="32">
        <f t="shared" si="34"/>
        <v>0.40960000000000002</v>
      </c>
      <c r="W26" s="30">
        <f t="shared" si="35"/>
        <v>201.00560570071261</v>
      </c>
      <c r="X26" s="31">
        <f t="shared" si="40"/>
        <v>423.11680000000001</v>
      </c>
      <c r="Y26" s="32">
        <f t="shared" si="37"/>
        <v>2.9294592000000002</v>
      </c>
      <c r="Z26" s="39">
        <f t="shared" si="38"/>
        <v>216.65268456375838</v>
      </c>
      <c r="AA26" s="20"/>
      <c r="AB26" s="20"/>
      <c r="AC26" s="20"/>
      <c r="AD26" s="20"/>
      <c r="AE26" s="20"/>
    </row>
    <row r="27" spans="1:31" x14ac:dyDescent="0.25">
      <c r="A27" s="21" t="s">
        <v>286</v>
      </c>
      <c r="B27" s="21">
        <v>2.2799999999999998</v>
      </c>
      <c r="C27" s="21">
        <v>739</v>
      </c>
      <c r="D27" s="21">
        <v>8</v>
      </c>
      <c r="E27" s="22" t="s">
        <v>287</v>
      </c>
      <c r="F27" s="21" t="s">
        <v>275</v>
      </c>
      <c r="G27" s="21">
        <v>956</v>
      </c>
      <c r="H27" s="21">
        <v>1096</v>
      </c>
      <c r="I27" s="21">
        <f t="shared" si="25"/>
        <v>129.36400541271991</v>
      </c>
      <c r="J27" s="21">
        <f t="shared" si="26"/>
        <v>148.30852503382951</v>
      </c>
      <c r="K27" s="21">
        <v>259</v>
      </c>
      <c r="L27" s="21">
        <v>297</v>
      </c>
      <c r="M27" s="21" t="s">
        <v>249</v>
      </c>
      <c r="N27" s="21">
        <f>0.64*B27</f>
        <v>1.4591999999999998</v>
      </c>
      <c r="O27" s="21">
        <f t="shared" si="27"/>
        <v>1.1467181467181466</v>
      </c>
      <c r="P27" s="21">
        <f t="shared" si="28"/>
        <v>8</v>
      </c>
      <c r="Q27" s="39">
        <f t="shared" si="29"/>
        <v>4.5454545454545456E-2</v>
      </c>
      <c r="R27" s="39">
        <f t="shared" si="30"/>
        <v>0</v>
      </c>
      <c r="S27" s="30">
        <f t="shared" si="31"/>
        <v>255.27395163758803</v>
      </c>
      <c r="T27" s="31">
        <f t="shared" si="32"/>
        <v>292.72727272727275</v>
      </c>
      <c r="U27" s="39">
        <f t="shared" si="33"/>
        <v>37.077131258457378</v>
      </c>
      <c r="V27" s="39">
        <f t="shared" si="34"/>
        <v>0.40960000000000002</v>
      </c>
      <c r="W27" s="30">
        <f t="shared" si="35"/>
        <v>391.48381952861956</v>
      </c>
      <c r="X27" s="31">
        <f t="shared" si="40"/>
        <v>448.92160000000001</v>
      </c>
      <c r="Y27" s="39">
        <f t="shared" si="37"/>
        <v>1.2107776000000001</v>
      </c>
      <c r="Z27" s="39">
        <f t="shared" si="38"/>
        <v>556.15696887686067</v>
      </c>
      <c r="AA27" s="20"/>
      <c r="AB27" s="20"/>
      <c r="AC27" s="20"/>
      <c r="AD27" s="20"/>
      <c r="AE27" s="20"/>
    </row>
    <row r="28" spans="1:31" x14ac:dyDescent="0.25">
      <c r="A28" s="33" t="s">
        <v>288</v>
      </c>
      <c r="B28" s="33">
        <v>3</v>
      </c>
      <c r="C28" s="33">
        <v>2470</v>
      </c>
      <c r="D28" s="33">
        <v>92</v>
      </c>
      <c r="E28" s="33" t="s">
        <v>259</v>
      </c>
      <c r="F28" s="33" t="s">
        <v>260</v>
      </c>
      <c r="G28" s="33">
        <v>1000</v>
      </c>
      <c r="H28" s="33">
        <v>1307</v>
      </c>
      <c r="I28" s="33">
        <f t="shared" si="25"/>
        <v>40.48582995951417</v>
      </c>
      <c r="J28" s="33">
        <f t="shared" si="26"/>
        <v>52.914979757085021</v>
      </c>
      <c r="K28" s="33">
        <v>342</v>
      </c>
      <c r="L28" s="33">
        <v>448</v>
      </c>
      <c r="M28" s="33" t="s">
        <v>163</v>
      </c>
      <c r="N28" s="33">
        <v>1.95</v>
      </c>
      <c r="O28" s="33">
        <f t="shared" si="27"/>
        <v>1.3099415204678362</v>
      </c>
      <c r="P28" s="32">
        <f t="shared" si="28"/>
        <v>159</v>
      </c>
      <c r="Q28" s="32">
        <f t="shared" si="29"/>
        <v>0.90340909090909094</v>
      </c>
      <c r="R28" s="32">
        <f t="shared" si="30"/>
        <v>0</v>
      </c>
      <c r="S28" s="32">
        <f t="shared" si="31"/>
        <v>262.76329139610391</v>
      </c>
      <c r="T28" s="32">
        <f t="shared" si="32"/>
        <v>344.20454545454544</v>
      </c>
      <c r="U28" s="32">
        <f t="shared" si="33"/>
        <v>13.228744939271255</v>
      </c>
      <c r="V28" s="32">
        <f t="shared" si="34"/>
        <v>0.40960000000000002</v>
      </c>
      <c r="W28" s="32">
        <f t="shared" si="35"/>
        <v>408.68022857142864</v>
      </c>
      <c r="X28" s="32">
        <f t="shared" si="40"/>
        <v>535.34720000000004</v>
      </c>
      <c r="Y28" s="32">
        <f t="shared" si="37"/>
        <v>4.0468480000000007</v>
      </c>
      <c r="Z28" s="39">
        <f t="shared" si="38"/>
        <v>198.4311740890688</v>
      </c>
      <c r="AA28" s="20"/>
      <c r="AB28" s="20"/>
      <c r="AC28" s="20"/>
      <c r="AD28" s="20"/>
      <c r="AE28" s="20"/>
    </row>
    <row r="29" spans="1:31" x14ac:dyDescent="0.25">
      <c r="A29" s="21" t="s">
        <v>289</v>
      </c>
      <c r="B29" s="21">
        <v>2</v>
      </c>
      <c r="C29" s="21">
        <v>1240</v>
      </c>
      <c r="D29" s="21"/>
      <c r="E29" s="21" t="s">
        <v>287</v>
      </c>
      <c r="F29" s="21" t="s">
        <v>290</v>
      </c>
      <c r="G29" s="21">
        <v>1510</v>
      </c>
      <c r="H29" s="21">
        <v>1680</v>
      </c>
      <c r="I29" s="21">
        <f t="shared" si="25"/>
        <v>121.7741935483871</v>
      </c>
      <c r="J29" s="21">
        <f t="shared" si="26"/>
        <v>135.48387096774192</v>
      </c>
      <c r="K29" s="21">
        <v>297</v>
      </c>
      <c r="L29" s="21">
        <v>331</v>
      </c>
      <c r="M29" s="21" t="s">
        <v>257</v>
      </c>
      <c r="N29" s="21">
        <f>0.64*B29</f>
        <v>1.28</v>
      </c>
      <c r="O29" s="21">
        <f t="shared" si="27"/>
        <v>1.1144781144781144</v>
      </c>
      <c r="P29" s="21">
        <f t="shared" si="28"/>
        <v>42</v>
      </c>
      <c r="Q29" s="39">
        <f t="shared" si="29"/>
        <v>0.23863636363636365</v>
      </c>
      <c r="R29" s="39">
        <f t="shared" si="30"/>
        <v>0</v>
      </c>
      <c r="S29" s="30">
        <f t="shared" si="31"/>
        <v>273.05891238670694</v>
      </c>
      <c r="T29" s="31">
        <f t="shared" si="32"/>
        <v>304.31818181818181</v>
      </c>
      <c r="U29" s="39">
        <f t="shared" si="33"/>
        <v>33.87096774193548</v>
      </c>
      <c r="V29" s="39">
        <f t="shared" si="34"/>
        <v>0.40960000000000002</v>
      </c>
      <c r="W29" s="30">
        <f t="shared" si="35"/>
        <v>617.44415709969792</v>
      </c>
      <c r="X29" s="31">
        <f t="shared" si="40"/>
        <v>688.12800000000004</v>
      </c>
      <c r="Y29" s="39">
        <f t="shared" si="37"/>
        <v>2.0316160000000005</v>
      </c>
      <c r="Z29" s="39">
        <f t="shared" si="38"/>
        <v>508.0645161290322</v>
      </c>
      <c r="AA29" s="20"/>
      <c r="AB29" s="20"/>
      <c r="AC29" s="20"/>
      <c r="AD29" s="20"/>
      <c r="AE29" s="20"/>
    </row>
    <row r="30" spans="1:31" x14ac:dyDescent="0.25">
      <c r="A30" s="21" t="s">
        <v>291</v>
      </c>
      <c r="B30" s="21">
        <v>1.5</v>
      </c>
      <c r="C30" s="21">
        <v>1070</v>
      </c>
      <c r="D30" s="21">
        <v>26.2</v>
      </c>
      <c r="E30" s="21" t="s">
        <v>292</v>
      </c>
      <c r="F30" s="21" t="s">
        <v>275</v>
      </c>
      <c r="G30" s="21">
        <v>1671</v>
      </c>
      <c r="H30" s="21">
        <v>1832</v>
      </c>
      <c r="I30" s="21">
        <f t="shared" si="25"/>
        <v>156.16822429906543</v>
      </c>
      <c r="J30" s="21">
        <f t="shared" si="26"/>
        <v>171.21495327102804</v>
      </c>
      <c r="K30" s="21">
        <v>288</v>
      </c>
      <c r="L30" s="21">
        <v>316</v>
      </c>
      <c r="M30" s="21" t="s">
        <v>249</v>
      </c>
      <c r="N30" s="21">
        <f>0.64*B30</f>
        <v>0.96</v>
      </c>
      <c r="O30" s="21">
        <f t="shared" si="27"/>
        <v>1.0972222222222223</v>
      </c>
      <c r="P30" s="21">
        <f t="shared" si="28"/>
        <v>27</v>
      </c>
      <c r="Q30" s="39">
        <f t="shared" si="29"/>
        <v>0.15340909090909091</v>
      </c>
      <c r="R30" s="39">
        <f t="shared" si="30"/>
        <v>0</v>
      </c>
      <c r="S30" s="30">
        <f t="shared" si="31"/>
        <v>272.69275028768698</v>
      </c>
      <c r="T30" s="31">
        <f t="shared" si="32"/>
        <v>299.20454545454544</v>
      </c>
      <c r="U30" s="39">
        <f t="shared" si="33"/>
        <v>42.803738317757009</v>
      </c>
      <c r="V30" s="39">
        <f t="shared" si="34"/>
        <v>0.40960000000000002</v>
      </c>
      <c r="W30" s="30">
        <f t="shared" si="35"/>
        <v>683.89719493670884</v>
      </c>
      <c r="X30" s="31">
        <f t="shared" si="40"/>
        <v>750.38720000000001</v>
      </c>
      <c r="Y30" s="39">
        <f t="shared" si="37"/>
        <v>1.753088</v>
      </c>
      <c r="Z30" s="39">
        <f t="shared" si="38"/>
        <v>642.0560747663551</v>
      </c>
      <c r="AA30" s="20"/>
      <c r="AB30" s="20"/>
      <c r="AC30" s="20"/>
      <c r="AD30" s="20"/>
      <c r="AE30" s="20"/>
    </row>
    <row r="31" spans="1:31" x14ac:dyDescent="0.25">
      <c r="A31" s="32" t="s">
        <v>293</v>
      </c>
      <c r="B31" s="32">
        <v>2.4</v>
      </c>
      <c r="C31" s="32">
        <v>3526</v>
      </c>
      <c r="D31" s="32">
        <v>69</v>
      </c>
      <c r="E31" s="32" t="s">
        <v>294</v>
      </c>
      <c r="F31" s="32" t="s">
        <v>275</v>
      </c>
      <c r="G31" s="32">
        <v>1859</v>
      </c>
      <c r="H31" s="32">
        <v>2277</v>
      </c>
      <c r="I31" s="32">
        <f t="shared" si="25"/>
        <v>52.722631877481568</v>
      </c>
      <c r="J31" s="32">
        <f t="shared" si="26"/>
        <v>64.57742484401588</v>
      </c>
      <c r="K31" s="32">
        <v>365</v>
      </c>
      <c r="L31" s="32">
        <v>452</v>
      </c>
      <c r="M31" s="32" t="s">
        <v>163</v>
      </c>
      <c r="N31" s="32">
        <v>1.54</v>
      </c>
      <c r="O31" s="32">
        <f t="shared" si="27"/>
        <v>1.2383561643835617</v>
      </c>
      <c r="P31" s="32">
        <f t="shared" si="28"/>
        <v>163</v>
      </c>
      <c r="Q31" s="32">
        <f t="shared" si="29"/>
        <v>0.92613636363636365</v>
      </c>
      <c r="R31" s="32">
        <f t="shared" si="30"/>
        <v>0</v>
      </c>
      <c r="S31" s="30">
        <f t="shared" si="31"/>
        <v>279.05395213193884</v>
      </c>
      <c r="T31" s="31">
        <f t="shared" si="32"/>
        <v>345.56818181818181</v>
      </c>
      <c r="U31" s="32">
        <f t="shared" si="33"/>
        <v>16.14435621100397</v>
      </c>
      <c r="V31" s="32">
        <f t="shared" si="34"/>
        <v>0.40960000000000002</v>
      </c>
      <c r="W31" s="30">
        <f t="shared" si="35"/>
        <v>753.1429380530974</v>
      </c>
      <c r="X31" s="31">
        <f t="shared" si="40"/>
        <v>932.65920000000006</v>
      </c>
      <c r="Y31" s="32">
        <f t="shared" si="37"/>
        <v>5.776998400000001</v>
      </c>
      <c r="Z31" s="39">
        <f t="shared" si="38"/>
        <v>242.16534316505951</v>
      </c>
      <c r="AA31" s="20"/>
      <c r="AB31" s="20"/>
      <c r="AC31" s="20"/>
      <c r="AD31" s="20"/>
      <c r="AE31" s="20"/>
    </row>
    <row r="32" spans="1:31" x14ac:dyDescent="0.25">
      <c r="A32" s="21" t="s">
        <v>295</v>
      </c>
      <c r="B32" s="22"/>
      <c r="C32" s="22"/>
      <c r="D32" s="22"/>
      <c r="E32" s="21" t="s">
        <v>292</v>
      </c>
      <c r="F32" s="21" t="s">
        <v>275</v>
      </c>
      <c r="G32" s="22"/>
      <c r="H32" s="21">
        <v>2400</v>
      </c>
      <c r="I32" s="21" t="e">
        <f t="shared" si="25"/>
        <v>#DIV/0!</v>
      </c>
      <c r="J32" s="21" t="e">
        <f t="shared" si="26"/>
        <v>#DIV/0!</v>
      </c>
      <c r="K32" s="22"/>
      <c r="L32" s="22"/>
      <c r="M32" s="21" t="s">
        <v>262</v>
      </c>
      <c r="N32" s="21">
        <f>0.64*B32</f>
        <v>0</v>
      </c>
      <c r="O32" s="21" t="e">
        <f t="shared" si="27"/>
        <v>#DIV/0!</v>
      </c>
      <c r="P32" s="21">
        <f t="shared" si="28"/>
        <v>-289</v>
      </c>
      <c r="Q32" s="39">
        <f t="shared" si="29"/>
        <v>-1.6420454545454546</v>
      </c>
      <c r="R32" s="39">
        <f t="shared" si="30"/>
        <v>0</v>
      </c>
      <c r="S32" s="30" t="e">
        <f t="shared" si="31"/>
        <v>#DIV/0!</v>
      </c>
      <c r="T32" s="31">
        <f t="shared" si="32"/>
        <v>191.47727272727272</v>
      </c>
      <c r="U32" s="39" t="e">
        <f t="shared" si="33"/>
        <v>#DIV/0!</v>
      </c>
      <c r="V32" s="39">
        <f t="shared" si="34"/>
        <v>0.40960000000000002</v>
      </c>
      <c r="W32" s="30" t="e">
        <f t="shared" si="35"/>
        <v>#DIV/0!</v>
      </c>
      <c r="X32" s="31">
        <f t="shared" si="40"/>
        <v>983.04000000000008</v>
      </c>
      <c r="Y32" s="39" t="e">
        <f t="shared" si="37"/>
        <v>#DIV/0!</v>
      </c>
      <c r="Z32" s="39" t="e">
        <f t="shared" si="38"/>
        <v>#DIV/0!</v>
      </c>
      <c r="AA32" s="20"/>
      <c r="AB32" s="20"/>
      <c r="AC32" s="20"/>
      <c r="AD32" s="20"/>
      <c r="AE32" s="20"/>
    </row>
    <row r="33" spans="1:31" x14ac:dyDescent="0.25">
      <c r="A33" s="32" t="s">
        <v>296</v>
      </c>
      <c r="B33" s="32">
        <v>2.4300000000000002</v>
      </c>
      <c r="C33" s="32">
        <v>6600</v>
      </c>
      <c r="D33" s="32">
        <v>69</v>
      </c>
      <c r="E33" s="32" t="s">
        <v>259</v>
      </c>
      <c r="F33" s="32" t="s">
        <v>275</v>
      </c>
      <c r="G33" s="32">
        <v>2935</v>
      </c>
      <c r="H33" s="32">
        <v>3312</v>
      </c>
      <c r="I33" s="32">
        <f t="shared" si="25"/>
        <v>44.469696969696969</v>
      </c>
      <c r="J33" s="32">
        <f t="shared" si="26"/>
        <v>50.18181818181818</v>
      </c>
      <c r="K33" s="32">
        <v>365</v>
      </c>
      <c r="L33" s="32">
        <v>410</v>
      </c>
      <c r="M33" s="32" t="s">
        <v>163</v>
      </c>
      <c r="N33" s="32">
        <v>1.56</v>
      </c>
      <c r="O33" s="32">
        <f t="shared" si="27"/>
        <v>1.1232876712328768</v>
      </c>
      <c r="P33" s="32">
        <f t="shared" si="28"/>
        <v>121</v>
      </c>
      <c r="Q33" s="32">
        <f t="shared" si="29"/>
        <v>0.6875</v>
      </c>
      <c r="R33" s="32">
        <f t="shared" si="30"/>
        <v>0</v>
      </c>
      <c r="S33" s="32">
        <f t="shared" si="31"/>
        <v>294.89329268292681</v>
      </c>
      <c r="T33" s="32">
        <f t="shared" si="32"/>
        <v>331.25</v>
      </c>
      <c r="U33" s="32">
        <f t="shared" si="33"/>
        <v>12.545454545454545</v>
      </c>
      <c r="V33" s="32">
        <f t="shared" si="34"/>
        <v>0.40960000000000002</v>
      </c>
      <c r="W33" s="32">
        <f t="shared" si="35"/>
        <v>1207.7006048780488</v>
      </c>
      <c r="X33" s="32">
        <f t="shared" si="40"/>
        <v>1356.5952</v>
      </c>
      <c r="Y33" s="32">
        <f t="shared" si="37"/>
        <v>10.813440000000002</v>
      </c>
      <c r="Z33" s="39">
        <f t="shared" si="38"/>
        <v>188.18181818181816</v>
      </c>
      <c r="AA33" s="20"/>
      <c r="AB33" s="20"/>
      <c r="AC33" s="20"/>
      <c r="AD33" s="20"/>
      <c r="AE33" s="20"/>
    </row>
    <row r="34" spans="1:31" x14ac:dyDescent="0.25">
      <c r="A34" s="21" t="s">
        <v>297</v>
      </c>
      <c r="B34" s="21">
        <v>2.4300000000000002</v>
      </c>
      <c r="C34" s="21">
        <v>6500</v>
      </c>
      <c r="D34" s="21">
        <v>69</v>
      </c>
      <c r="E34" s="21" t="s">
        <v>259</v>
      </c>
      <c r="F34" s="21" t="s">
        <v>260</v>
      </c>
      <c r="G34" s="21">
        <v>2950</v>
      </c>
      <c r="H34" s="21">
        <v>3400</v>
      </c>
      <c r="I34" s="21">
        <f t="shared" si="25"/>
        <v>45.384615384615387</v>
      </c>
      <c r="J34" s="21">
        <f t="shared" si="26"/>
        <v>52.307692307692307</v>
      </c>
      <c r="K34" s="21">
        <v>365</v>
      </c>
      <c r="L34" s="21">
        <v>415</v>
      </c>
      <c r="M34" s="21" t="s">
        <v>163</v>
      </c>
      <c r="N34" s="21">
        <v>1.56</v>
      </c>
      <c r="O34" s="21">
        <f t="shared" si="27"/>
        <v>1.1369863013698631</v>
      </c>
      <c r="P34" s="21">
        <f t="shared" si="28"/>
        <v>126</v>
      </c>
      <c r="Q34" s="39">
        <f t="shared" si="29"/>
        <v>0.71590909090909094</v>
      </c>
      <c r="R34" s="39">
        <f t="shared" si="30"/>
        <v>0</v>
      </c>
      <c r="S34" s="30">
        <f t="shared" si="31"/>
        <v>292.83953997809414</v>
      </c>
      <c r="T34" s="31">
        <f t="shared" si="32"/>
        <v>332.95454545454544</v>
      </c>
      <c r="U34" s="39">
        <f t="shared" si="33"/>
        <v>13.076923076923077</v>
      </c>
      <c r="V34" s="39">
        <f t="shared" si="34"/>
        <v>0.40960000000000002</v>
      </c>
      <c r="W34" s="30">
        <f t="shared" si="35"/>
        <v>1224.852048192771</v>
      </c>
      <c r="X34" s="31">
        <f t="shared" si="40"/>
        <v>1392.64</v>
      </c>
      <c r="Y34" s="39">
        <f t="shared" si="37"/>
        <v>10.649600000000001</v>
      </c>
      <c r="Z34" s="39">
        <f t="shared" si="38"/>
        <v>196.15384615384616</v>
      </c>
      <c r="AA34" s="20"/>
      <c r="AB34" s="20"/>
      <c r="AC34" s="20"/>
      <c r="AD34" s="20"/>
      <c r="AE34" s="20"/>
    </row>
    <row r="35" spans="1:31" x14ac:dyDescent="0.25">
      <c r="A35" s="23" t="s">
        <v>298</v>
      </c>
      <c r="B35" s="23">
        <v>3.28125</v>
      </c>
      <c r="C35" s="23">
        <v>8500</v>
      </c>
      <c r="D35" s="23">
        <v>120</v>
      </c>
      <c r="E35" s="23" t="s">
        <v>259</v>
      </c>
      <c r="F35" s="23" t="s">
        <v>260</v>
      </c>
      <c r="G35" s="23">
        <v>3100</v>
      </c>
      <c r="H35" s="23">
        <v>3650</v>
      </c>
      <c r="I35" s="23">
        <f t="shared" si="25"/>
        <v>36.470588235294116</v>
      </c>
      <c r="J35" s="23">
        <f t="shared" si="26"/>
        <v>42.941176470588232</v>
      </c>
      <c r="K35" s="23">
        <v>365</v>
      </c>
      <c r="L35" s="23">
        <v>450</v>
      </c>
      <c r="M35" s="23" t="s">
        <v>163</v>
      </c>
      <c r="N35" s="23">
        <f>B35*0.64</f>
        <v>2.1</v>
      </c>
      <c r="O35" s="23">
        <f t="shared" si="27"/>
        <v>1.2328767123287672</v>
      </c>
      <c r="P35" s="21">
        <f t="shared" si="28"/>
        <v>161</v>
      </c>
      <c r="Q35" s="39">
        <f t="shared" si="29"/>
        <v>0.91477272727272729</v>
      </c>
      <c r="R35" s="39">
        <f t="shared" si="30"/>
        <v>0</v>
      </c>
      <c r="S35" s="30">
        <f t="shared" si="31"/>
        <v>279.74116161616161</v>
      </c>
      <c r="T35" s="31">
        <f t="shared" si="32"/>
        <v>344.88636363636363</v>
      </c>
      <c r="U35" s="39">
        <f t="shared" si="33"/>
        <v>10.735294117647058</v>
      </c>
      <c r="V35" s="39">
        <f t="shared" si="34"/>
        <v>0.40960000000000002</v>
      </c>
      <c r="W35" s="30">
        <f t="shared" si="35"/>
        <v>1212.6435555555554</v>
      </c>
      <c r="X35" s="31">
        <f t="shared" si="40"/>
        <v>1495.04</v>
      </c>
      <c r="Y35" s="39">
        <f t="shared" si="37"/>
        <v>13.926400000000001</v>
      </c>
      <c r="Z35" s="39">
        <f t="shared" si="38"/>
        <v>161.02941176470586</v>
      </c>
      <c r="AA35" s="20"/>
      <c r="AB35" s="20"/>
      <c r="AC35" s="20"/>
      <c r="AD35" s="20"/>
      <c r="AE35" s="20"/>
    </row>
    <row r="36" spans="1:31" x14ac:dyDescent="0.25">
      <c r="A36" s="21" t="s">
        <v>299</v>
      </c>
      <c r="B36" s="21">
        <v>3.15</v>
      </c>
      <c r="C36" s="21">
        <v>5480</v>
      </c>
      <c r="D36" s="21">
        <v>36.4</v>
      </c>
      <c r="E36" s="21" t="s">
        <v>292</v>
      </c>
      <c r="F36" s="21" t="s">
        <v>275</v>
      </c>
      <c r="G36" s="21">
        <v>3830</v>
      </c>
      <c r="H36" s="21">
        <v>4150</v>
      </c>
      <c r="I36" s="21">
        <f t="shared" si="25"/>
        <v>69.890510948905103</v>
      </c>
      <c r="J36" s="21">
        <f t="shared" si="26"/>
        <v>75.729927007299267</v>
      </c>
      <c r="K36" s="21">
        <v>313</v>
      </c>
      <c r="L36" s="21">
        <v>339</v>
      </c>
      <c r="M36" s="21" t="s">
        <v>257</v>
      </c>
      <c r="N36" s="21">
        <f>0.64*B36</f>
        <v>2.016</v>
      </c>
      <c r="O36" s="21">
        <f t="shared" si="27"/>
        <v>1.0830670926517572</v>
      </c>
      <c r="P36" s="21">
        <f t="shared" si="28"/>
        <v>50</v>
      </c>
      <c r="Q36" s="39">
        <f t="shared" si="29"/>
        <v>0.28409090909090912</v>
      </c>
      <c r="R36" s="39">
        <f t="shared" si="30"/>
        <v>0</v>
      </c>
      <c r="S36" s="30">
        <f t="shared" si="31"/>
        <v>283.49624564226337</v>
      </c>
      <c r="T36" s="31">
        <f t="shared" si="32"/>
        <v>307.04545454545456</v>
      </c>
      <c r="U36" s="39">
        <f t="shared" si="33"/>
        <v>18.932481751824817</v>
      </c>
      <c r="V36" s="39">
        <f t="shared" si="34"/>
        <v>0.40960000000000002</v>
      </c>
      <c r="W36" s="30">
        <f t="shared" si="35"/>
        <v>1569.4687905604721</v>
      </c>
      <c r="X36" s="31">
        <f t="shared" si="40"/>
        <v>1699.8400000000001</v>
      </c>
      <c r="Y36" s="39">
        <f t="shared" si="37"/>
        <v>8.9784320000000015</v>
      </c>
      <c r="Z36" s="39">
        <f t="shared" si="38"/>
        <v>283.98722627737226</v>
      </c>
      <c r="AA36" s="20"/>
      <c r="AB36" s="20"/>
      <c r="AC36" s="20"/>
      <c r="AD36" s="20"/>
      <c r="AE36" s="20"/>
    </row>
    <row r="37" spans="1:31" x14ac:dyDescent="0.25">
      <c r="A37" s="21" t="s">
        <v>300</v>
      </c>
      <c r="B37" s="21">
        <v>4.28</v>
      </c>
      <c r="C37" s="21">
        <v>9068</v>
      </c>
      <c r="D37" s="22"/>
      <c r="E37" s="21" t="s">
        <v>259</v>
      </c>
      <c r="F37" s="21" t="s">
        <v>260</v>
      </c>
      <c r="G37" s="21">
        <v>3864</v>
      </c>
      <c r="H37" s="21">
        <v>5335</v>
      </c>
      <c r="I37" s="21">
        <f t="shared" si="25"/>
        <v>42.611380679311864</v>
      </c>
      <c r="J37" s="21">
        <f t="shared" si="26"/>
        <v>58.833259814733125</v>
      </c>
      <c r="K37" s="21">
        <v>310</v>
      </c>
      <c r="L37" s="21">
        <v>428</v>
      </c>
      <c r="M37" s="21" t="s">
        <v>163</v>
      </c>
      <c r="N37" s="21">
        <f>0.64*B37</f>
        <v>2.7392000000000003</v>
      </c>
      <c r="O37" s="21">
        <f t="shared" si="27"/>
        <v>1.3806451612903226</v>
      </c>
      <c r="P37" s="21">
        <f t="shared" si="28"/>
        <v>139</v>
      </c>
      <c r="Q37" s="39">
        <f t="shared" si="29"/>
        <v>0.78977272727272729</v>
      </c>
      <c r="R37" s="39">
        <f t="shared" si="30"/>
        <v>0</v>
      </c>
      <c r="S37" s="30">
        <f t="shared" si="31"/>
        <v>244.36862786745965</v>
      </c>
      <c r="T37" s="31">
        <f t="shared" si="32"/>
        <v>337.38636363636363</v>
      </c>
      <c r="U37" s="39">
        <f t="shared" si="33"/>
        <v>14.708314953683281</v>
      </c>
      <c r="V37" s="39">
        <f t="shared" si="34"/>
        <v>0.40960000000000002</v>
      </c>
      <c r="W37" s="30">
        <f t="shared" si="35"/>
        <v>1582.7499065420561</v>
      </c>
      <c r="X37" s="31">
        <f t="shared" si="40"/>
        <v>2185.2159999999999</v>
      </c>
      <c r="Y37" s="39">
        <f t="shared" si="37"/>
        <v>14.857011200000001</v>
      </c>
      <c r="Z37" s="39">
        <f t="shared" si="38"/>
        <v>220.6247243052492</v>
      </c>
      <c r="AA37" s="20"/>
      <c r="AB37" s="20"/>
      <c r="AC37" s="20"/>
      <c r="AD37" s="20"/>
      <c r="AE37" s="20"/>
    </row>
    <row r="38" spans="1:31" x14ac:dyDescent="0.25">
      <c r="A38" s="21" t="s">
        <v>301</v>
      </c>
      <c r="B38" s="21">
        <v>3.4</v>
      </c>
      <c r="C38" s="21">
        <v>3370</v>
      </c>
      <c r="D38" s="22"/>
      <c r="E38" s="21" t="s">
        <v>302</v>
      </c>
      <c r="F38" s="21" t="s">
        <v>275</v>
      </c>
      <c r="G38" s="21">
        <v>6270</v>
      </c>
      <c r="H38" s="21">
        <v>6710</v>
      </c>
      <c r="I38" s="21">
        <f t="shared" si="25"/>
        <v>186.053412462908</v>
      </c>
      <c r="J38" s="21">
        <f t="shared" si="26"/>
        <v>199.10979228486647</v>
      </c>
      <c r="K38" s="21">
        <v>301</v>
      </c>
      <c r="L38" s="21">
        <v>322</v>
      </c>
      <c r="M38" s="23" t="s">
        <v>249</v>
      </c>
      <c r="N38" s="21">
        <f>0.64*B38</f>
        <v>2.1760000000000002</v>
      </c>
      <c r="O38" s="21">
        <f t="shared" si="27"/>
        <v>1.069767441860465</v>
      </c>
      <c r="P38" s="21">
        <f t="shared" si="28"/>
        <v>33</v>
      </c>
      <c r="Q38" s="39">
        <f t="shared" si="29"/>
        <v>0.1875</v>
      </c>
      <c r="R38" s="39">
        <f t="shared" si="30"/>
        <v>0</v>
      </c>
      <c r="S38" s="30">
        <f t="shared" si="31"/>
        <v>281.60326086956525</v>
      </c>
      <c r="T38" s="31">
        <f t="shared" si="32"/>
        <v>301.25</v>
      </c>
      <c r="U38" s="39">
        <f t="shared" si="33"/>
        <v>49.777448071216618</v>
      </c>
      <c r="V38" s="39">
        <f t="shared" si="34"/>
        <v>0.40960000000000002</v>
      </c>
      <c r="W38" s="30">
        <f t="shared" si="35"/>
        <v>2569.1714782608701</v>
      </c>
      <c r="X38" s="31">
        <f t="shared" si="40"/>
        <v>2748.4160000000002</v>
      </c>
      <c r="Y38" s="39">
        <f t="shared" si="37"/>
        <v>5.5214080000000001</v>
      </c>
      <c r="Z38" s="39">
        <f t="shared" si="38"/>
        <v>746.66172106824934</v>
      </c>
      <c r="AA38" s="20"/>
      <c r="AB38" s="20"/>
      <c r="AC38" s="20"/>
      <c r="AD38" s="20"/>
      <c r="AE38" s="20"/>
    </row>
    <row r="39" spans="1:31" x14ac:dyDescent="0.25">
      <c r="A39" s="32" t="s">
        <v>303</v>
      </c>
      <c r="B39" s="32">
        <v>4.0026246719160099</v>
      </c>
      <c r="C39" s="32">
        <v>8391</v>
      </c>
      <c r="D39" s="32">
        <v>16</v>
      </c>
      <c r="E39" s="32" t="s">
        <v>259</v>
      </c>
      <c r="F39" s="32" t="s">
        <v>275</v>
      </c>
      <c r="G39" s="32">
        <v>6770</v>
      </c>
      <c r="H39" s="32">
        <v>7750</v>
      </c>
      <c r="I39" s="32">
        <f t="shared" si="25"/>
        <v>80.6816827553331</v>
      </c>
      <c r="J39" s="32">
        <v>111.32477654629962</v>
      </c>
      <c r="K39" s="32">
        <v>265</v>
      </c>
      <c r="L39" s="32">
        <v>310</v>
      </c>
      <c r="M39" s="32" t="s">
        <v>257</v>
      </c>
      <c r="N39" s="32">
        <v>2.4500000000000002</v>
      </c>
      <c r="O39" s="32">
        <f t="shared" si="27"/>
        <v>1.1698113207547169</v>
      </c>
      <c r="P39" s="32">
        <f t="shared" si="28"/>
        <v>21</v>
      </c>
      <c r="Q39" s="32">
        <f t="shared" si="29"/>
        <v>0.11931818181818182</v>
      </c>
      <c r="R39" s="32">
        <f t="shared" si="30"/>
        <v>0</v>
      </c>
      <c r="S39" s="30">
        <f t="shared" si="31"/>
        <v>254.02309384164226</v>
      </c>
      <c r="T39" s="31">
        <f t="shared" si="32"/>
        <v>297.15909090909093</v>
      </c>
      <c r="U39" s="32">
        <f t="shared" si="33"/>
        <v>27.831194136574904</v>
      </c>
      <c r="V39" s="32">
        <f t="shared" si="34"/>
        <v>0.40960000000000002</v>
      </c>
      <c r="W39" s="30">
        <f t="shared" si="35"/>
        <v>2713.6000000000004</v>
      </c>
      <c r="X39" s="31">
        <f t="shared" si="40"/>
        <v>3174.4</v>
      </c>
      <c r="Y39" s="32">
        <f t="shared" si="37"/>
        <v>11.405906568084699</v>
      </c>
      <c r="Z39" s="39">
        <f t="shared" si="38"/>
        <v>417.46791204862353</v>
      </c>
      <c r="AA39" s="20"/>
      <c r="AB39" s="20"/>
      <c r="AC39" s="20"/>
      <c r="AD39" s="20"/>
      <c r="AE39" s="20"/>
    </row>
    <row r="40" spans="1:31" x14ac:dyDescent="0.25">
      <c r="A40" s="21" t="s">
        <v>304</v>
      </c>
      <c r="B40" s="21">
        <v>3.8</v>
      </c>
      <c r="C40" s="21">
        <v>10750</v>
      </c>
      <c r="D40" s="21">
        <v>36.869999999999997</v>
      </c>
      <c r="E40" s="21" t="s">
        <v>292</v>
      </c>
      <c r="F40" s="21" t="s">
        <v>275</v>
      </c>
      <c r="G40" s="21">
        <v>7257</v>
      </c>
      <c r="H40" s="21">
        <v>7904</v>
      </c>
      <c r="I40" s="21">
        <f t="shared" si="25"/>
        <v>67.506976744186048</v>
      </c>
      <c r="J40" s="21">
        <f>H40*100/C40</f>
        <v>73.525581395348837</v>
      </c>
      <c r="K40" s="21">
        <v>309</v>
      </c>
      <c r="L40" s="21">
        <v>337</v>
      </c>
      <c r="M40" s="21" t="s">
        <v>257</v>
      </c>
      <c r="N40" s="21">
        <v>2.4500000000000002</v>
      </c>
      <c r="O40" s="21">
        <f t="shared" si="27"/>
        <v>1.0906148867313916</v>
      </c>
      <c r="P40" s="21">
        <f t="shared" si="28"/>
        <v>48</v>
      </c>
      <c r="Q40" s="39">
        <f t="shared" si="29"/>
        <v>0.27272727272727271</v>
      </c>
      <c r="R40" s="39">
        <f t="shared" si="30"/>
        <v>0</v>
      </c>
      <c r="S40" s="30">
        <f t="shared" si="31"/>
        <v>280.90909090909093</v>
      </c>
      <c r="T40" s="31">
        <f t="shared" si="32"/>
        <v>306.36363636363637</v>
      </c>
      <c r="U40" s="39">
        <f t="shared" si="33"/>
        <v>18.381395348837209</v>
      </c>
      <c r="V40" s="39">
        <f t="shared" si="34"/>
        <v>0.40960000000000002</v>
      </c>
      <c r="W40" s="30">
        <f t="shared" si="35"/>
        <v>2968.4890967359047</v>
      </c>
      <c r="X40" s="31">
        <f t="shared" si="40"/>
        <v>3237.4784</v>
      </c>
      <c r="Y40" s="39">
        <f t="shared" si="37"/>
        <v>17.6128</v>
      </c>
      <c r="Z40" s="39">
        <f t="shared" si="38"/>
        <v>275.72093023255815</v>
      </c>
      <c r="AA40" s="20"/>
      <c r="AB40" s="20"/>
      <c r="AC40" s="20"/>
      <c r="AD40" s="20"/>
      <c r="AE40" s="20"/>
    </row>
    <row r="41" spans="1:31" x14ac:dyDescent="0.25">
      <c r="A41" s="21" t="s">
        <v>305</v>
      </c>
      <c r="B41" s="21">
        <v>3</v>
      </c>
      <c r="C41" s="22">
        <v>8000</v>
      </c>
      <c r="D41" s="21">
        <v>250</v>
      </c>
      <c r="E41" s="21" t="s">
        <v>302</v>
      </c>
      <c r="F41" s="21" t="s">
        <v>275</v>
      </c>
      <c r="G41" s="21">
        <v>7050</v>
      </c>
      <c r="H41" s="21">
        <v>8400</v>
      </c>
      <c r="I41" s="21">
        <f t="shared" si="25"/>
        <v>88.125</v>
      </c>
      <c r="J41" s="21">
        <f>H41*100/C41</f>
        <v>105</v>
      </c>
      <c r="K41" s="21">
        <v>321</v>
      </c>
      <c r="L41" s="21">
        <v>380</v>
      </c>
      <c r="M41" s="21" t="s">
        <v>262</v>
      </c>
      <c r="N41" s="21">
        <f>0.64*B41</f>
        <v>1.92</v>
      </c>
      <c r="O41" s="21">
        <f t="shared" si="27"/>
        <v>1.1838006230529594</v>
      </c>
      <c r="P41" s="21">
        <f t="shared" si="28"/>
        <v>91</v>
      </c>
      <c r="Q41" s="39">
        <f t="shared" si="29"/>
        <v>0.51704545454545459</v>
      </c>
      <c r="R41" s="39">
        <f t="shared" si="30"/>
        <v>0</v>
      </c>
      <c r="S41" s="30">
        <f t="shared" si="31"/>
        <v>271.17972488038276</v>
      </c>
      <c r="T41" s="31">
        <f t="shared" si="32"/>
        <v>321.02272727272725</v>
      </c>
      <c r="U41" s="39">
        <f t="shared" si="33"/>
        <v>26.25</v>
      </c>
      <c r="V41" s="39">
        <f t="shared" si="34"/>
        <v>0.40960000000000002</v>
      </c>
      <c r="W41" s="30">
        <f t="shared" si="35"/>
        <v>2906.4353684210532</v>
      </c>
      <c r="X41" s="31">
        <f t="shared" si="40"/>
        <v>3440.6400000000003</v>
      </c>
      <c r="Y41" s="39">
        <f t="shared" si="37"/>
        <v>13.107200000000002</v>
      </c>
      <c r="Z41" s="39">
        <f t="shared" si="38"/>
        <v>393.74999999999994</v>
      </c>
      <c r="AA41" s="20"/>
      <c r="AB41" s="20"/>
      <c r="AC41" s="20"/>
      <c r="AD41" s="20"/>
      <c r="AE41" s="20"/>
    </row>
    <row r="42" spans="1:31" x14ac:dyDescent="0.25">
      <c r="A42" s="32" t="s">
        <v>306</v>
      </c>
      <c r="B42" s="32">
        <v>3.3187500000000001</v>
      </c>
      <c r="C42" s="32">
        <v>8000</v>
      </c>
      <c r="D42" s="32">
        <v>10</v>
      </c>
      <c r="E42" s="32" t="s">
        <v>259</v>
      </c>
      <c r="F42" s="32" t="s">
        <v>275</v>
      </c>
      <c r="G42" s="32">
        <v>8006</v>
      </c>
      <c r="H42" s="32">
        <v>10230</v>
      </c>
      <c r="I42" s="32">
        <f t="shared" si="25"/>
        <v>100.075</v>
      </c>
      <c r="J42" s="32">
        <f>H42*100/C42</f>
        <v>127.875</v>
      </c>
      <c r="K42" s="32">
        <v>270</v>
      </c>
      <c r="L42" s="32">
        <v>305</v>
      </c>
      <c r="M42" s="33" t="s">
        <v>257</v>
      </c>
      <c r="N42" s="32">
        <v>2.125</v>
      </c>
      <c r="O42" s="32">
        <f t="shared" si="27"/>
        <v>1.1296296296296295</v>
      </c>
      <c r="P42" s="32">
        <f t="shared" si="28"/>
        <v>16</v>
      </c>
      <c r="Q42" s="32">
        <f t="shared" si="29"/>
        <v>9.0909090909090912E-2</v>
      </c>
      <c r="R42" s="32">
        <f t="shared" si="30"/>
        <v>0</v>
      </c>
      <c r="S42" s="30">
        <f t="shared" si="31"/>
        <v>261.54992548435172</v>
      </c>
      <c r="T42" s="31">
        <f t="shared" si="32"/>
        <v>295.45454545454544</v>
      </c>
      <c r="U42" s="32">
        <f t="shared" si="33"/>
        <v>31.96875</v>
      </c>
      <c r="V42" s="32">
        <f t="shared" si="34"/>
        <v>0.40960000000000002</v>
      </c>
      <c r="W42" s="30">
        <f t="shared" si="35"/>
        <v>3709.364459016394</v>
      </c>
      <c r="X42" s="31">
        <f t="shared" si="40"/>
        <v>4190.2080000000005</v>
      </c>
      <c r="Y42" s="32">
        <f t="shared" si="37"/>
        <v>13.107200000000002</v>
      </c>
      <c r="Z42" s="39">
        <f t="shared" si="38"/>
        <v>479.53124999999994</v>
      </c>
      <c r="AA42" s="20"/>
      <c r="AB42" s="20"/>
      <c r="AC42" s="20"/>
      <c r="AD42" s="20"/>
      <c r="AE42" s="20"/>
    </row>
    <row r="43" spans="1:31" x14ac:dyDescent="0.25">
      <c r="A43" s="21" t="s">
        <v>307</v>
      </c>
      <c r="B43" s="21">
        <v>1.53</v>
      </c>
      <c r="C43" s="21">
        <v>643</v>
      </c>
      <c r="D43" s="21">
        <v>8</v>
      </c>
      <c r="E43" s="21" t="s">
        <v>259</v>
      </c>
      <c r="F43" s="21" t="s">
        <v>275</v>
      </c>
      <c r="G43" s="21">
        <v>667</v>
      </c>
      <c r="H43" s="21">
        <f>G43*1.13709677</f>
        <v>758.4435455900001</v>
      </c>
      <c r="I43" s="21">
        <f t="shared" si="25"/>
        <v>103.73250388802488</v>
      </c>
      <c r="J43" s="21">
        <f t="shared" ref="J43" si="41">H43*100/C43</f>
        <v>117.95389511508556</v>
      </c>
      <c r="K43" s="21">
        <v>248</v>
      </c>
      <c r="L43" s="21">
        <v>282</v>
      </c>
      <c r="M43" s="21" t="s">
        <v>257</v>
      </c>
      <c r="N43" s="21">
        <f t="shared" ref="N43" si="42">0.64*B43</f>
        <v>0.97920000000000007</v>
      </c>
      <c r="O43" s="21">
        <f t="shared" si="27"/>
        <v>1.1370967741935485</v>
      </c>
      <c r="P43" s="21">
        <f t="shared" si="28"/>
        <v>-7</v>
      </c>
      <c r="Q43" s="39">
        <f t="shared" si="29"/>
        <v>-3.9772727272727272E-2</v>
      </c>
      <c r="R43" s="39">
        <f t="shared" si="30"/>
        <v>0</v>
      </c>
      <c r="S43" s="30">
        <f t="shared" si="31"/>
        <v>252.93681495809153</v>
      </c>
      <c r="T43" s="31">
        <f t="shared" si="32"/>
        <v>287.61363636363637</v>
      </c>
      <c r="U43" s="39">
        <f t="shared" si="33"/>
        <v>29.48847377877139</v>
      </c>
      <c r="V43" s="39">
        <f t="shared" si="34"/>
        <v>0.40960000000000002</v>
      </c>
      <c r="W43" s="30">
        <f t="shared" si="35"/>
        <v>273.20319899244214</v>
      </c>
      <c r="X43" s="31">
        <f t="shared" si="40"/>
        <v>310.65847627366406</v>
      </c>
      <c r="Y43" s="39">
        <f t="shared" si="37"/>
        <v>1.0534912000000001</v>
      </c>
      <c r="Z43" s="39">
        <f t="shared" si="38"/>
        <v>442.32710668157085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11"/>
        <v>#DIV/0!</v>
      </c>
      <c r="J44" s="21" t="e">
        <f t="shared" ref="J44:J67" si="43">H44*100/C44</f>
        <v>#DIV/0!</v>
      </c>
      <c r="K44" s="21"/>
      <c r="L44" s="21"/>
      <c r="M44" s="21"/>
      <c r="N44" s="21">
        <f t="shared" ref="N44:N67" si="44">0.64*B44</f>
        <v>0</v>
      </c>
      <c r="O44" s="21" t="e">
        <f t="shared" si="13"/>
        <v>#DIV/0!</v>
      </c>
      <c r="P44" s="21">
        <f t="shared" si="14"/>
        <v>-289</v>
      </c>
      <c r="Q44" s="20">
        <f t="shared" si="15"/>
        <v>-1.6420454545454546</v>
      </c>
      <c r="R44" s="20">
        <f t="shared" si="22"/>
        <v>0</v>
      </c>
      <c r="S44" s="30" t="e">
        <f t="shared" si="16"/>
        <v>#DIV/0!</v>
      </c>
      <c r="T44" s="31">
        <f t="shared" si="17"/>
        <v>191.47727272727272</v>
      </c>
      <c r="U44" s="20" t="e">
        <f t="shared" si="18"/>
        <v>#N/A</v>
      </c>
      <c r="V44" s="20" t="e">
        <f t="shared" si="23"/>
        <v>#N/A</v>
      </c>
      <c r="W44" s="30" t="e">
        <f t="shared" si="19"/>
        <v>#N/A</v>
      </c>
      <c r="X44" s="31" t="e">
        <f t="shared" si="24"/>
        <v>#N/A</v>
      </c>
      <c r="Y44" s="20" t="e">
        <f t="shared" si="20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11"/>
        <v>#DIV/0!</v>
      </c>
      <c r="J45" s="21" t="e">
        <f t="shared" si="43"/>
        <v>#DIV/0!</v>
      </c>
      <c r="K45" s="21"/>
      <c r="L45" s="21"/>
      <c r="M45" s="21"/>
      <c r="N45" s="21">
        <f t="shared" si="44"/>
        <v>0</v>
      </c>
      <c r="O45" s="21" t="e">
        <f t="shared" si="13"/>
        <v>#DIV/0!</v>
      </c>
      <c r="P45" s="21">
        <f t="shared" si="14"/>
        <v>-289</v>
      </c>
      <c r="Q45" s="20">
        <f t="shared" si="15"/>
        <v>-1.6420454545454546</v>
      </c>
      <c r="R45" s="20">
        <f t="shared" si="22"/>
        <v>0</v>
      </c>
      <c r="S45" s="30" t="e">
        <f t="shared" si="16"/>
        <v>#DIV/0!</v>
      </c>
      <c r="T45" s="31">
        <f t="shared" si="17"/>
        <v>191.47727272727272</v>
      </c>
      <c r="U45" s="20" t="e">
        <f t="shared" si="18"/>
        <v>#N/A</v>
      </c>
      <c r="V45" s="20" t="e">
        <f t="shared" si="23"/>
        <v>#N/A</v>
      </c>
      <c r="W45" s="30" t="e">
        <f t="shared" si="19"/>
        <v>#N/A</v>
      </c>
      <c r="X45" s="31" t="e">
        <f t="shared" si="24"/>
        <v>#N/A</v>
      </c>
      <c r="Y45" s="20" t="e">
        <f t="shared" si="20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11"/>
        <v>#DIV/0!</v>
      </c>
      <c r="J46" s="21" t="e">
        <f t="shared" si="43"/>
        <v>#DIV/0!</v>
      </c>
      <c r="K46" s="21"/>
      <c r="L46" s="21"/>
      <c r="M46" s="21"/>
      <c r="N46" s="21">
        <f t="shared" si="44"/>
        <v>0</v>
      </c>
      <c r="O46" s="21" t="e">
        <f t="shared" si="13"/>
        <v>#DIV/0!</v>
      </c>
      <c r="P46" s="21">
        <f t="shared" si="14"/>
        <v>-289</v>
      </c>
      <c r="Q46" s="20">
        <f t="shared" si="15"/>
        <v>-1.6420454545454546</v>
      </c>
      <c r="R46" s="20">
        <f t="shared" si="22"/>
        <v>0</v>
      </c>
      <c r="S46" s="30" t="e">
        <f t="shared" si="16"/>
        <v>#DIV/0!</v>
      </c>
      <c r="T46" s="31">
        <f t="shared" si="17"/>
        <v>191.47727272727272</v>
      </c>
      <c r="U46" s="20" t="e">
        <f t="shared" si="18"/>
        <v>#N/A</v>
      </c>
      <c r="V46" s="20" t="e">
        <f t="shared" si="23"/>
        <v>#N/A</v>
      </c>
      <c r="W46" s="30" t="e">
        <f t="shared" si="19"/>
        <v>#N/A</v>
      </c>
      <c r="X46" s="31" t="e">
        <f t="shared" si="24"/>
        <v>#N/A</v>
      </c>
      <c r="Y46" s="20" t="e">
        <f t="shared" si="20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11"/>
        <v>#DIV/0!</v>
      </c>
      <c r="J47" s="21" t="e">
        <f t="shared" si="43"/>
        <v>#DIV/0!</v>
      </c>
      <c r="K47" s="21"/>
      <c r="L47" s="21"/>
      <c r="M47" s="21"/>
      <c r="N47" s="21">
        <f t="shared" si="44"/>
        <v>0</v>
      </c>
      <c r="O47" s="21" t="e">
        <f t="shared" si="13"/>
        <v>#DIV/0!</v>
      </c>
      <c r="P47" s="21">
        <f t="shared" si="14"/>
        <v>-289</v>
      </c>
      <c r="Q47" s="20">
        <f t="shared" si="15"/>
        <v>-1.6420454545454546</v>
      </c>
      <c r="R47" s="20">
        <f t="shared" si="22"/>
        <v>0</v>
      </c>
      <c r="S47" s="30" t="e">
        <f t="shared" si="16"/>
        <v>#DIV/0!</v>
      </c>
      <c r="T47" s="31">
        <f t="shared" si="17"/>
        <v>191.47727272727272</v>
      </c>
      <c r="U47" s="20" t="e">
        <f t="shared" si="18"/>
        <v>#N/A</v>
      </c>
      <c r="V47" s="20" t="e">
        <f t="shared" si="23"/>
        <v>#N/A</v>
      </c>
      <c r="W47" s="30" t="e">
        <f t="shared" si="19"/>
        <v>#N/A</v>
      </c>
      <c r="X47" s="31" t="e">
        <f t="shared" si="24"/>
        <v>#N/A</v>
      </c>
      <c r="Y47" s="20" t="e">
        <f t="shared" si="20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11"/>
        <v>#DIV/0!</v>
      </c>
      <c r="J48" s="21" t="e">
        <f t="shared" si="43"/>
        <v>#DIV/0!</v>
      </c>
      <c r="K48" s="21"/>
      <c r="L48" s="21"/>
      <c r="M48" s="21"/>
      <c r="N48" s="21">
        <f t="shared" si="44"/>
        <v>0</v>
      </c>
      <c r="O48" s="21" t="e">
        <f t="shared" si="13"/>
        <v>#DIV/0!</v>
      </c>
      <c r="P48" s="21">
        <f t="shared" si="14"/>
        <v>-289</v>
      </c>
      <c r="Q48" s="20">
        <f t="shared" si="15"/>
        <v>-1.6420454545454546</v>
      </c>
      <c r="R48" s="20">
        <f t="shared" si="22"/>
        <v>0</v>
      </c>
      <c r="S48" s="30" t="e">
        <f t="shared" si="16"/>
        <v>#DIV/0!</v>
      </c>
      <c r="T48" s="31">
        <f t="shared" si="17"/>
        <v>191.47727272727272</v>
      </c>
      <c r="U48" s="20" t="e">
        <f t="shared" si="18"/>
        <v>#N/A</v>
      </c>
      <c r="V48" s="20" t="e">
        <f t="shared" si="23"/>
        <v>#N/A</v>
      </c>
      <c r="W48" s="30" t="e">
        <f t="shared" si="19"/>
        <v>#N/A</v>
      </c>
      <c r="X48" s="31" t="e">
        <f t="shared" si="24"/>
        <v>#N/A</v>
      </c>
      <c r="Y48" s="20" t="e">
        <f t="shared" si="20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11"/>
        <v>#DIV/0!</v>
      </c>
      <c r="J49" s="21" t="e">
        <f t="shared" si="43"/>
        <v>#DIV/0!</v>
      </c>
      <c r="K49" s="21"/>
      <c r="L49" s="21"/>
      <c r="M49" s="21"/>
      <c r="N49" s="21">
        <f t="shared" si="44"/>
        <v>0</v>
      </c>
      <c r="O49" s="21" t="e">
        <f t="shared" si="13"/>
        <v>#DIV/0!</v>
      </c>
      <c r="P49" s="21">
        <f t="shared" si="14"/>
        <v>-289</v>
      </c>
      <c r="Q49" s="20">
        <f t="shared" si="15"/>
        <v>-1.6420454545454546</v>
      </c>
      <c r="R49" s="20">
        <f t="shared" si="22"/>
        <v>0</v>
      </c>
      <c r="S49" s="30" t="e">
        <f t="shared" si="16"/>
        <v>#DIV/0!</v>
      </c>
      <c r="T49" s="31">
        <f t="shared" si="17"/>
        <v>191.47727272727272</v>
      </c>
      <c r="U49" s="20" t="e">
        <f t="shared" si="18"/>
        <v>#N/A</v>
      </c>
      <c r="V49" s="20" t="e">
        <f t="shared" si="23"/>
        <v>#N/A</v>
      </c>
      <c r="W49" s="30" t="e">
        <f t="shared" si="19"/>
        <v>#N/A</v>
      </c>
      <c r="X49" s="31" t="e">
        <f t="shared" si="24"/>
        <v>#N/A</v>
      </c>
      <c r="Y49" s="20" t="e">
        <f t="shared" si="20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11"/>
        <v>#DIV/0!</v>
      </c>
      <c r="J50" s="21" t="e">
        <f t="shared" si="43"/>
        <v>#DIV/0!</v>
      </c>
      <c r="K50" s="21"/>
      <c r="L50" s="21"/>
      <c r="M50" s="21"/>
      <c r="N50" s="21">
        <f t="shared" si="44"/>
        <v>0</v>
      </c>
      <c r="O50" s="21" t="e">
        <f t="shared" si="13"/>
        <v>#DIV/0!</v>
      </c>
      <c r="P50" s="21">
        <f t="shared" si="14"/>
        <v>-289</v>
      </c>
      <c r="Q50" s="20">
        <f t="shared" si="15"/>
        <v>-1.6420454545454546</v>
      </c>
      <c r="R50" s="20">
        <f t="shared" si="22"/>
        <v>0</v>
      </c>
      <c r="S50" s="30" t="e">
        <f t="shared" si="16"/>
        <v>#DIV/0!</v>
      </c>
      <c r="T50" s="31">
        <f t="shared" si="17"/>
        <v>191.47727272727272</v>
      </c>
      <c r="U50" s="20" t="e">
        <f t="shared" si="18"/>
        <v>#N/A</v>
      </c>
      <c r="V50" s="20" t="e">
        <f t="shared" si="23"/>
        <v>#N/A</v>
      </c>
      <c r="W50" s="30" t="e">
        <f t="shared" si="19"/>
        <v>#N/A</v>
      </c>
      <c r="X50" s="31" t="e">
        <f t="shared" si="24"/>
        <v>#N/A</v>
      </c>
      <c r="Y50" s="20" t="e">
        <f t="shared" si="20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11"/>
        <v>#DIV/0!</v>
      </c>
      <c r="J51" s="21" t="e">
        <f t="shared" si="43"/>
        <v>#DIV/0!</v>
      </c>
      <c r="K51" s="21"/>
      <c r="L51" s="21"/>
      <c r="M51" s="21"/>
      <c r="N51" s="21">
        <f t="shared" si="44"/>
        <v>0</v>
      </c>
      <c r="O51" s="21" t="e">
        <f t="shared" si="13"/>
        <v>#DIV/0!</v>
      </c>
      <c r="P51" s="21">
        <f t="shared" si="14"/>
        <v>-289</v>
      </c>
      <c r="Q51" s="20">
        <f t="shared" si="15"/>
        <v>-1.6420454545454546</v>
      </c>
      <c r="R51" s="20">
        <f t="shared" si="22"/>
        <v>0</v>
      </c>
      <c r="S51" s="30" t="e">
        <f t="shared" si="16"/>
        <v>#DIV/0!</v>
      </c>
      <c r="T51" s="31">
        <f t="shared" si="17"/>
        <v>191.47727272727272</v>
      </c>
      <c r="U51" s="20" t="e">
        <f t="shared" si="18"/>
        <v>#N/A</v>
      </c>
      <c r="V51" s="20" t="e">
        <f t="shared" si="23"/>
        <v>#N/A</v>
      </c>
      <c r="W51" s="30" t="e">
        <f t="shared" si="19"/>
        <v>#N/A</v>
      </c>
      <c r="X51" s="31" t="e">
        <f t="shared" si="24"/>
        <v>#N/A</v>
      </c>
      <c r="Y51" s="20" t="e">
        <f t="shared" si="20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11"/>
        <v>#DIV/0!</v>
      </c>
      <c r="J52" s="21" t="e">
        <f t="shared" si="43"/>
        <v>#DIV/0!</v>
      </c>
      <c r="K52" s="21"/>
      <c r="L52" s="21"/>
      <c r="M52" s="21"/>
      <c r="N52" s="21">
        <f t="shared" si="44"/>
        <v>0</v>
      </c>
      <c r="O52" s="21" t="e">
        <f t="shared" si="13"/>
        <v>#DIV/0!</v>
      </c>
      <c r="P52" s="21">
        <f t="shared" si="14"/>
        <v>-289</v>
      </c>
      <c r="Q52" s="20">
        <f t="shared" si="15"/>
        <v>-1.6420454545454546</v>
      </c>
      <c r="R52" s="20">
        <f t="shared" si="22"/>
        <v>0</v>
      </c>
      <c r="S52" s="30" t="e">
        <f t="shared" si="16"/>
        <v>#DIV/0!</v>
      </c>
      <c r="T52" s="31">
        <f t="shared" si="17"/>
        <v>191.47727272727272</v>
      </c>
      <c r="U52" s="20" t="e">
        <f t="shared" si="18"/>
        <v>#N/A</v>
      </c>
      <c r="V52" s="20" t="e">
        <f t="shared" si="23"/>
        <v>#N/A</v>
      </c>
      <c r="W52" s="30" t="e">
        <f t="shared" si="19"/>
        <v>#N/A</v>
      </c>
      <c r="X52" s="31" t="e">
        <f t="shared" si="24"/>
        <v>#N/A</v>
      </c>
      <c r="Y52" s="20" t="e">
        <f t="shared" si="20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11"/>
        <v>#DIV/0!</v>
      </c>
      <c r="J53" s="21" t="e">
        <f t="shared" si="43"/>
        <v>#DIV/0!</v>
      </c>
      <c r="K53" s="21"/>
      <c r="L53" s="21"/>
      <c r="M53" s="21"/>
      <c r="N53" s="21">
        <f t="shared" si="44"/>
        <v>0</v>
      </c>
      <c r="O53" s="21" t="e">
        <f t="shared" si="13"/>
        <v>#DIV/0!</v>
      </c>
      <c r="P53" s="21">
        <f t="shared" si="14"/>
        <v>-289</v>
      </c>
      <c r="Q53" s="20">
        <f t="shared" si="15"/>
        <v>-1.6420454545454546</v>
      </c>
      <c r="R53" s="20">
        <f t="shared" si="22"/>
        <v>0</v>
      </c>
      <c r="S53" s="30" t="e">
        <f t="shared" si="16"/>
        <v>#DIV/0!</v>
      </c>
      <c r="T53" s="31">
        <f t="shared" si="17"/>
        <v>191.47727272727272</v>
      </c>
      <c r="U53" s="20" t="e">
        <f t="shared" si="18"/>
        <v>#N/A</v>
      </c>
      <c r="V53" s="20" t="e">
        <f t="shared" si="23"/>
        <v>#N/A</v>
      </c>
      <c r="W53" s="30" t="e">
        <f t="shared" si="19"/>
        <v>#N/A</v>
      </c>
      <c r="X53" s="31" t="e">
        <f t="shared" si="24"/>
        <v>#N/A</v>
      </c>
      <c r="Y53" s="20" t="e">
        <f t="shared" si="20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11"/>
        <v>#DIV/0!</v>
      </c>
      <c r="J54" s="21" t="e">
        <f t="shared" si="43"/>
        <v>#DIV/0!</v>
      </c>
      <c r="K54" s="21"/>
      <c r="L54" s="21"/>
      <c r="M54" s="21"/>
      <c r="N54" s="21">
        <f t="shared" si="44"/>
        <v>0</v>
      </c>
      <c r="O54" s="21" t="e">
        <f t="shared" si="13"/>
        <v>#DIV/0!</v>
      </c>
      <c r="P54" s="21">
        <f t="shared" si="14"/>
        <v>-289</v>
      </c>
      <c r="Q54" s="20">
        <f t="shared" si="15"/>
        <v>-1.6420454545454546</v>
      </c>
      <c r="R54" s="20">
        <f t="shared" si="22"/>
        <v>0</v>
      </c>
      <c r="S54" s="30" t="e">
        <f t="shared" si="16"/>
        <v>#DIV/0!</v>
      </c>
      <c r="T54" s="31">
        <f t="shared" si="17"/>
        <v>191.47727272727272</v>
      </c>
      <c r="U54" s="20" t="e">
        <f t="shared" si="18"/>
        <v>#N/A</v>
      </c>
      <c r="V54" s="20" t="e">
        <f t="shared" si="23"/>
        <v>#N/A</v>
      </c>
      <c r="W54" s="30" t="e">
        <f t="shared" si="19"/>
        <v>#N/A</v>
      </c>
      <c r="X54" s="31" t="e">
        <f t="shared" si="24"/>
        <v>#N/A</v>
      </c>
      <c r="Y54" s="20" t="e">
        <f t="shared" si="20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11"/>
        <v>#DIV/0!</v>
      </c>
      <c r="J55" s="21" t="e">
        <f t="shared" si="43"/>
        <v>#DIV/0!</v>
      </c>
      <c r="K55" s="21"/>
      <c r="L55" s="21"/>
      <c r="M55" s="21"/>
      <c r="N55" s="21">
        <f t="shared" si="44"/>
        <v>0</v>
      </c>
      <c r="O55" s="21" t="e">
        <f t="shared" si="13"/>
        <v>#DIV/0!</v>
      </c>
      <c r="P55" s="21">
        <f t="shared" si="14"/>
        <v>-289</v>
      </c>
      <c r="Q55" s="20">
        <f t="shared" si="15"/>
        <v>-1.6420454545454546</v>
      </c>
      <c r="R55" s="20">
        <f t="shared" si="22"/>
        <v>0</v>
      </c>
      <c r="S55" s="30" t="e">
        <f t="shared" si="16"/>
        <v>#DIV/0!</v>
      </c>
      <c r="T55" s="31">
        <f t="shared" si="17"/>
        <v>191.47727272727272</v>
      </c>
      <c r="U55" s="20" t="e">
        <f t="shared" si="18"/>
        <v>#N/A</v>
      </c>
      <c r="V55" s="20" t="e">
        <f t="shared" si="23"/>
        <v>#N/A</v>
      </c>
      <c r="W55" s="30" t="e">
        <f t="shared" si="19"/>
        <v>#N/A</v>
      </c>
      <c r="X55" s="31" t="e">
        <f t="shared" si="24"/>
        <v>#N/A</v>
      </c>
      <c r="Y55" s="20" t="e">
        <f t="shared" si="20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11"/>
        <v>#DIV/0!</v>
      </c>
      <c r="J56" s="21" t="e">
        <f t="shared" si="43"/>
        <v>#DIV/0!</v>
      </c>
      <c r="K56" s="21"/>
      <c r="L56" s="21"/>
      <c r="M56" s="21"/>
      <c r="N56" s="21">
        <f t="shared" si="44"/>
        <v>0</v>
      </c>
      <c r="O56" s="21" t="e">
        <f t="shared" si="13"/>
        <v>#DIV/0!</v>
      </c>
      <c r="P56" s="21">
        <f t="shared" si="14"/>
        <v>-289</v>
      </c>
      <c r="Q56" s="20">
        <f t="shared" si="15"/>
        <v>-1.6420454545454546</v>
      </c>
      <c r="R56" s="20">
        <f t="shared" si="22"/>
        <v>0</v>
      </c>
      <c r="S56" s="30" t="e">
        <f t="shared" si="16"/>
        <v>#DIV/0!</v>
      </c>
      <c r="T56" s="31">
        <f t="shared" si="17"/>
        <v>191.47727272727272</v>
      </c>
      <c r="U56" s="20" t="e">
        <f t="shared" si="18"/>
        <v>#N/A</v>
      </c>
      <c r="V56" s="20" t="e">
        <f t="shared" si="23"/>
        <v>#N/A</v>
      </c>
      <c r="W56" s="30" t="e">
        <f t="shared" si="19"/>
        <v>#N/A</v>
      </c>
      <c r="X56" s="31" t="e">
        <f t="shared" si="24"/>
        <v>#N/A</v>
      </c>
      <c r="Y56" s="20" t="e">
        <f t="shared" si="20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11"/>
        <v>#DIV/0!</v>
      </c>
      <c r="J57" s="21" t="e">
        <f t="shared" si="43"/>
        <v>#DIV/0!</v>
      </c>
      <c r="K57" s="21"/>
      <c r="L57" s="21"/>
      <c r="M57" s="21"/>
      <c r="N57" s="21">
        <f t="shared" si="44"/>
        <v>0</v>
      </c>
      <c r="O57" s="21" t="e">
        <f t="shared" si="13"/>
        <v>#DIV/0!</v>
      </c>
      <c r="P57" s="21">
        <f t="shared" si="14"/>
        <v>-289</v>
      </c>
      <c r="Q57" s="20">
        <f t="shared" si="15"/>
        <v>-1.6420454545454546</v>
      </c>
      <c r="R57" s="20">
        <f t="shared" si="22"/>
        <v>0</v>
      </c>
      <c r="S57" s="30" t="e">
        <f t="shared" si="16"/>
        <v>#DIV/0!</v>
      </c>
      <c r="T57" s="31">
        <f t="shared" si="17"/>
        <v>191.47727272727272</v>
      </c>
      <c r="U57" s="20" t="e">
        <f t="shared" si="18"/>
        <v>#N/A</v>
      </c>
      <c r="V57" s="20" t="e">
        <f t="shared" si="23"/>
        <v>#N/A</v>
      </c>
      <c r="W57" s="30" t="e">
        <f t="shared" si="19"/>
        <v>#N/A</v>
      </c>
      <c r="X57" s="31" t="e">
        <f t="shared" si="24"/>
        <v>#N/A</v>
      </c>
      <c r="Y57" s="20" t="e">
        <f t="shared" si="20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11"/>
        <v>#DIV/0!</v>
      </c>
      <c r="J58" s="21" t="e">
        <f t="shared" si="43"/>
        <v>#DIV/0!</v>
      </c>
      <c r="K58" s="21"/>
      <c r="L58" s="21"/>
      <c r="M58" s="21"/>
      <c r="N58" s="21">
        <f t="shared" si="44"/>
        <v>0</v>
      </c>
      <c r="O58" s="21" t="e">
        <f t="shared" si="13"/>
        <v>#DIV/0!</v>
      </c>
      <c r="P58" s="21">
        <f t="shared" si="14"/>
        <v>-289</v>
      </c>
      <c r="Q58" s="20">
        <f t="shared" si="15"/>
        <v>-1.6420454545454546</v>
      </c>
      <c r="R58" s="20">
        <f t="shared" si="22"/>
        <v>0</v>
      </c>
      <c r="S58" s="30" t="e">
        <f t="shared" si="16"/>
        <v>#DIV/0!</v>
      </c>
      <c r="T58" s="31">
        <f t="shared" si="17"/>
        <v>191.47727272727272</v>
      </c>
      <c r="U58" s="20" t="e">
        <f t="shared" si="18"/>
        <v>#N/A</v>
      </c>
      <c r="V58" s="20" t="e">
        <f t="shared" si="23"/>
        <v>#N/A</v>
      </c>
      <c r="W58" s="30" t="e">
        <f t="shared" si="19"/>
        <v>#N/A</v>
      </c>
      <c r="X58" s="31" t="e">
        <f t="shared" si="24"/>
        <v>#N/A</v>
      </c>
      <c r="Y58" s="20" t="e">
        <f t="shared" si="20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11"/>
        <v>#DIV/0!</v>
      </c>
      <c r="J59" s="21" t="e">
        <f t="shared" si="43"/>
        <v>#DIV/0!</v>
      </c>
      <c r="K59" s="21"/>
      <c r="L59" s="21"/>
      <c r="M59" s="21"/>
      <c r="N59" s="21">
        <f t="shared" si="44"/>
        <v>0</v>
      </c>
      <c r="O59" s="21" t="e">
        <f t="shared" si="13"/>
        <v>#DIV/0!</v>
      </c>
      <c r="P59" s="21">
        <f t="shared" si="14"/>
        <v>-289</v>
      </c>
      <c r="Q59" s="20">
        <f t="shared" si="15"/>
        <v>-1.6420454545454546</v>
      </c>
      <c r="R59" s="20">
        <f t="shared" si="22"/>
        <v>0</v>
      </c>
      <c r="S59" s="30" t="e">
        <f t="shared" si="16"/>
        <v>#DIV/0!</v>
      </c>
      <c r="T59" s="31">
        <f t="shared" si="17"/>
        <v>191.47727272727272</v>
      </c>
      <c r="U59" s="20" t="e">
        <f t="shared" si="18"/>
        <v>#N/A</v>
      </c>
      <c r="V59" s="20" t="e">
        <f t="shared" si="23"/>
        <v>#N/A</v>
      </c>
      <c r="W59" s="30" t="e">
        <f t="shared" si="19"/>
        <v>#N/A</v>
      </c>
      <c r="X59" s="31" t="e">
        <f t="shared" si="24"/>
        <v>#N/A</v>
      </c>
      <c r="Y59" s="20" t="e">
        <f t="shared" si="20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11"/>
        <v>#DIV/0!</v>
      </c>
      <c r="J60" s="21" t="e">
        <f t="shared" si="43"/>
        <v>#DIV/0!</v>
      </c>
      <c r="K60" s="21"/>
      <c r="L60" s="21"/>
      <c r="M60" s="21"/>
      <c r="N60" s="21">
        <f t="shared" si="44"/>
        <v>0</v>
      </c>
      <c r="O60" s="21" t="e">
        <f t="shared" si="13"/>
        <v>#DIV/0!</v>
      </c>
      <c r="P60" s="21">
        <f t="shared" si="14"/>
        <v>-289</v>
      </c>
      <c r="Q60" s="20">
        <f t="shared" si="15"/>
        <v>-1.6420454545454546</v>
      </c>
      <c r="R60" s="20">
        <f t="shared" si="22"/>
        <v>0</v>
      </c>
      <c r="S60" s="30" t="e">
        <f t="shared" si="16"/>
        <v>#DIV/0!</v>
      </c>
      <c r="T60" s="31">
        <f t="shared" si="17"/>
        <v>191.47727272727272</v>
      </c>
      <c r="U60" s="20" t="e">
        <f t="shared" si="18"/>
        <v>#N/A</v>
      </c>
      <c r="V60" s="20" t="e">
        <f t="shared" si="23"/>
        <v>#N/A</v>
      </c>
      <c r="W60" s="30" t="e">
        <f t="shared" si="19"/>
        <v>#N/A</v>
      </c>
      <c r="X60" s="31" t="e">
        <f t="shared" si="24"/>
        <v>#N/A</v>
      </c>
      <c r="Y60" s="20" t="e">
        <f t="shared" si="20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11"/>
        <v>#DIV/0!</v>
      </c>
      <c r="J61" s="21" t="e">
        <f t="shared" si="43"/>
        <v>#DIV/0!</v>
      </c>
      <c r="K61" s="21"/>
      <c r="L61" s="21"/>
      <c r="M61" s="21"/>
      <c r="N61" s="21">
        <f t="shared" si="44"/>
        <v>0</v>
      </c>
      <c r="O61" s="21" t="e">
        <f t="shared" si="13"/>
        <v>#DIV/0!</v>
      </c>
      <c r="P61" s="21">
        <f t="shared" si="14"/>
        <v>-289</v>
      </c>
      <c r="Q61" s="20">
        <f t="shared" si="15"/>
        <v>-1.6420454545454546</v>
      </c>
      <c r="R61" s="20">
        <f t="shared" si="22"/>
        <v>0</v>
      </c>
      <c r="S61" s="30" t="e">
        <f t="shared" si="16"/>
        <v>#DIV/0!</v>
      </c>
      <c r="T61" s="31">
        <f t="shared" si="17"/>
        <v>191.47727272727272</v>
      </c>
      <c r="U61" s="20" t="e">
        <f t="shared" si="18"/>
        <v>#N/A</v>
      </c>
      <c r="V61" s="20" t="e">
        <f t="shared" si="23"/>
        <v>#N/A</v>
      </c>
      <c r="W61" s="30" t="e">
        <f t="shared" si="19"/>
        <v>#N/A</v>
      </c>
      <c r="X61" s="31" t="e">
        <f t="shared" si="24"/>
        <v>#N/A</v>
      </c>
      <c r="Y61" s="20" t="e">
        <f t="shared" si="20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11"/>
        <v>#DIV/0!</v>
      </c>
      <c r="J62" s="21" t="e">
        <f t="shared" si="43"/>
        <v>#DIV/0!</v>
      </c>
      <c r="K62" s="21"/>
      <c r="L62" s="21"/>
      <c r="M62" s="21"/>
      <c r="N62" s="21">
        <f t="shared" si="44"/>
        <v>0</v>
      </c>
      <c r="O62" s="21" t="e">
        <f t="shared" si="13"/>
        <v>#DIV/0!</v>
      </c>
      <c r="P62" s="21">
        <f t="shared" si="14"/>
        <v>-289</v>
      </c>
      <c r="Q62" s="20">
        <f t="shared" si="15"/>
        <v>-1.6420454545454546</v>
      </c>
      <c r="R62" s="20">
        <f t="shared" si="22"/>
        <v>0</v>
      </c>
      <c r="S62" s="30" t="e">
        <f t="shared" si="16"/>
        <v>#DIV/0!</v>
      </c>
      <c r="T62" s="31">
        <f t="shared" si="17"/>
        <v>191.47727272727272</v>
      </c>
      <c r="U62" s="20" t="e">
        <f t="shared" si="18"/>
        <v>#N/A</v>
      </c>
      <c r="V62" s="20" t="e">
        <f t="shared" si="23"/>
        <v>#N/A</v>
      </c>
      <c r="W62" s="30" t="e">
        <f t="shared" si="19"/>
        <v>#N/A</v>
      </c>
      <c r="X62" s="31" t="e">
        <f t="shared" si="24"/>
        <v>#N/A</v>
      </c>
      <c r="Y62" s="20" t="e">
        <f t="shared" si="20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11"/>
        <v>#DIV/0!</v>
      </c>
      <c r="J63" s="21" t="e">
        <f t="shared" si="43"/>
        <v>#DIV/0!</v>
      </c>
      <c r="K63" s="21"/>
      <c r="L63" s="21"/>
      <c r="M63" s="21"/>
      <c r="N63" s="21">
        <f t="shared" si="44"/>
        <v>0</v>
      </c>
      <c r="O63" s="21" t="e">
        <f t="shared" si="13"/>
        <v>#DIV/0!</v>
      </c>
      <c r="P63" s="21">
        <f t="shared" si="14"/>
        <v>-289</v>
      </c>
      <c r="Q63" s="20">
        <f t="shared" si="15"/>
        <v>-1.6420454545454546</v>
      </c>
      <c r="R63" s="20">
        <f t="shared" si="22"/>
        <v>0</v>
      </c>
      <c r="S63" s="30" t="e">
        <f t="shared" si="16"/>
        <v>#DIV/0!</v>
      </c>
      <c r="T63" s="31">
        <f t="shared" si="17"/>
        <v>191.47727272727272</v>
      </c>
      <c r="U63" s="20" t="e">
        <f t="shared" si="18"/>
        <v>#N/A</v>
      </c>
      <c r="V63" s="20" t="e">
        <f t="shared" si="23"/>
        <v>#N/A</v>
      </c>
      <c r="W63" s="30" t="e">
        <f t="shared" si="19"/>
        <v>#N/A</v>
      </c>
      <c r="X63" s="31" t="e">
        <f t="shared" si="24"/>
        <v>#N/A</v>
      </c>
      <c r="Y63" s="20" t="e">
        <f t="shared" si="20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11"/>
        <v>#DIV/0!</v>
      </c>
      <c r="J64" s="21" t="e">
        <f t="shared" si="43"/>
        <v>#DIV/0!</v>
      </c>
      <c r="K64" s="21"/>
      <c r="L64" s="21"/>
      <c r="M64" s="21"/>
      <c r="N64" s="21">
        <f t="shared" si="44"/>
        <v>0</v>
      </c>
      <c r="O64" s="21" t="e">
        <f t="shared" si="13"/>
        <v>#DIV/0!</v>
      </c>
      <c r="P64" s="21">
        <f t="shared" si="14"/>
        <v>-289</v>
      </c>
      <c r="Q64" s="20">
        <f t="shared" si="15"/>
        <v>-1.6420454545454546</v>
      </c>
      <c r="R64" s="20">
        <f t="shared" si="22"/>
        <v>0</v>
      </c>
      <c r="S64" s="30" t="e">
        <f t="shared" si="16"/>
        <v>#DIV/0!</v>
      </c>
      <c r="T64" s="31">
        <f t="shared" si="17"/>
        <v>191.47727272727272</v>
      </c>
      <c r="U64" s="20" t="e">
        <f t="shared" si="18"/>
        <v>#N/A</v>
      </c>
      <c r="V64" s="20" t="e">
        <f t="shared" si="23"/>
        <v>#N/A</v>
      </c>
      <c r="W64" s="30" t="e">
        <f t="shared" si="19"/>
        <v>#N/A</v>
      </c>
      <c r="X64" s="31" t="e">
        <f t="shared" si="24"/>
        <v>#N/A</v>
      </c>
      <c r="Y64" s="20" t="e">
        <f t="shared" si="20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11"/>
        <v>#DIV/0!</v>
      </c>
      <c r="J65" s="21" t="e">
        <f t="shared" si="43"/>
        <v>#DIV/0!</v>
      </c>
      <c r="K65" s="21"/>
      <c r="L65" s="21"/>
      <c r="M65" s="21"/>
      <c r="N65" s="21">
        <f t="shared" si="44"/>
        <v>0</v>
      </c>
      <c r="O65" s="21" t="e">
        <f t="shared" si="13"/>
        <v>#DIV/0!</v>
      </c>
      <c r="P65" s="21">
        <f t="shared" si="14"/>
        <v>-289</v>
      </c>
      <c r="Q65" s="20">
        <f t="shared" si="15"/>
        <v>-1.6420454545454546</v>
      </c>
      <c r="R65" s="20">
        <f t="shared" si="22"/>
        <v>0</v>
      </c>
      <c r="S65" s="30" t="e">
        <f t="shared" si="16"/>
        <v>#DIV/0!</v>
      </c>
      <c r="T65" s="31">
        <f t="shared" si="17"/>
        <v>191.47727272727272</v>
      </c>
      <c r="U65" s="20" t="e">
        <f t="shared" si="18"/>
        <v>#N/A</v>
      </c>
      <c r="V65" s="20" t="e">
        <f t="shared" si="23"/>
        <v>#N/A</v>
      </c>
      <c r="W65" s="30" t="e">
        <f t="shared" si="19"/>
        <v>#N/A</v>
      </c>
      <c r="X65" s="31" t="e">
        <f t="shared" si="24"/>
        <v>#N/A</v>
      </c>
      <c r="Y65" s="20" t="e">
        <f t="shared" si="20"/>
        <v>#N/A</v>
      </c>
      <c r="AA65" s="20"/>
      <c r="AB65" s="20"/>
      <c r="AC65" s="20"/>
      <c r="AD65" s="20"/>
      <c r="AE65" s="20"/>
    </row>
    <row r="66" spans="1:31" x14ac:dyDescent="0.25">
      <c r="A66" s="21"/>
      <c r="B66" s="21"/>
      <c r="C66" s="21"/>
      <c r="D66" s="21"/>
      <c r="E66" s="21"/>
      <c r="F66" s="21"/>
      <c r="G66" s="21"/>
      <c r="H66" s="21"/>
      <c r="I66" s="21" t="e">
        <f t="shared" si="11"/>
        <v>#DIV/0!</v>
      </c>
      <c r="J66" s="21" t="e">
        <f t="shared" si="43"/>
        <v>#DIV/0!</v>
      </c>
      <c r="K66" s="21"/>
      <c r="L66" s="21"/>
      <c r="M66" s="21"/>
      <c r="N66" s="21">
        <f t="shared" si="44"/>
        <v>0</v>
      </c>
      <c r="O66" s="21" t="e">
        <f t="shared" si="13"/>
        <v>#DIV/0!</v>
      </c>
      <c r="P66" s="21">
        <f t="shared" si="14"/>
        <v>-289</v>
      </c>
      <c r="Q66" s="20">
        <f t="shared" si="15"/>
        <v>-1.6420454545454546</v>
      </c>
      <c r="R66" s="20">
        <f t="shared" si="22"/>
        <v>0</v>
      </c>
      <c r="S66" s="30" t="e">
        <f t="shared" si="16"/>
        <v>#DIV/0!</v>
      </c>
      <c r="T66" s="31">
        <f t="shared" si="17"/>
        <v>191.47727272727272</v>
      </c>
      <c r="U66" s="20" t="e">
        <f t="shared" si="18"/>
        <v>#N/A</v>
      </c>
      <c r="V66" s="20" t="e">
        <f t="shared" si="23"/>
        <v>#N/A</v>
      </c>
      <c r="W66" s="30" t="e">
        <f t="shared" si="19"/>
        <v>#N/A</v>
      </c>
      <c r="X66" s="31" t="e">
        <f t="shared" si="24"/>
        <v>#N/A</v>
      </c>
      <c r="Y66" s="20" t="e">
        <f t="shared" si="20"/>
        <v>#N/A</v>
      </c>
      <c r="AA66" s="20"/>
      <c r="AB66" s="20"/>
      <c r="AC66" s="20"/>
      <c r="AD66" s="20"/>
      <c r="AE66" s="20"/>
    </row>
    <row r="67" spans="1:31" x14ac:dyDescent="0.25">
      <c r="A67" s="21"/>
      <c r="B67" s="21"/>
      <c r="C67" s="21"/>
      <c r="D67" s="21"/>
      <c r="E67" s="21"/>
      <c r="F67" s="21"/>
      <c r="G67" s="21"/>
      <c r="H67" s="21"/>
      <c r="I67" s="21" t="e">
        <f t="shared" si="11"/>
        <v>#DIV/0!</v>
      </c>
      <c r="J67" s="21" t="e">
        <f t="shared" si="43"/>
        <v>#DIV/0!</v>
      </c>
      <c r="K67" s="21"/>
      <c r="L67" s="21"/>
      <c r="M67" s="21"/>
      <c r="N67" s="21">
        <f t="shared" si="44"/>
        <v>0</v>
      </c>
      <c r="O67" s="21" t="e">
        <f t="shared" si="13"/>
        <v>#DIV/0!</v>
      </c>
      <c r="P67" s="21">
        <f t="shared" si="14"/>
        <v>-289</v>
      </c>
      <c r="Q67" s="20">
        <f t="shared" si="15"/>
        <v>-1.6420454545454546</v>
      </c>
      <c r="R67" s="20">
        <f t="shared" si="22"/>
        <v>0</v>
      </c>
      <c r="S67" s="30" t="e">
        <f t="shared" si="16"/>
        <v>#DIV/0!</v>
      </c>
      <c r="T67" s="31">
        <f t="shared" si="17"/>
        <v>191.47727272727272</v>
      </c>
      <c r="U67" s="20" t="e">
        <f t="shared" si="18"/>
        <v>#N/A</v>
      </c>
      <c r="V67" s="20" t="e">
        <f t="shared" si="23"/>
        <v>#N/A</v>
      </c>
      <c r="W67" s="30" t="e">
        <f t="shared" si="19"/>
        <v>#N/A</v>
      </c>
      <c r="X67" s="31" t="e">
        <f t="shared" si="24"/>
        <v>#N/A</v>
      </c>
      <c r="Y67" s="20" t="e">
        <f t="shared" si="20"/>
        <v>#N/A</v>
      </c>
      <c r="AA67" s="20"/>
      <c r="AB67" s="20"/>
      <c r="AC67" s="20"/>
      <c r="AD67" s="20"/>
      <c r="AE6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O17" sqref="O17"/>
    </sheetView>
  </sheetViews>
  <sheetFormatPr defaultRowHeight="15" x14ac:dyDescent="0.25"/>
  <cols>
    <col min="4" max="6" width="9.140625" style="20"/>
    <col min="10" max="12" width="9.140625" style="20"/>
    <col min="16" max="17" width="9.140625" style="20"/>
  </cols>
  <sheetData>
    <row r="1" spans="1:17" x14ac:dyDescent="0.25">
      <c r="A1" t="s">
        <v>361</v>
      </c>
      <c r="B1" t="s">
        <v>316</v>
      </c>
      <c r="C1" t="s">
        <v>364</v>
      </c>
      <c r="D1" s="20" t="s">
        <v>372</v>
      </c>
      <c r="E1" s="20" t="s">
        <v>364</v>
      </c>
      <c r="G1" t="s">
        <v>362</v>
      </c>
      <c r="H1" s="20" t="s">
        <v>316</v>
      </c>
      <c r="I1" s="20" t="s">
        <v>364</v>
      </c>
      <c r="J1" s="20" t="s">
        <v>372</v>
      </c>
      <c r="K1" s="20" t="s">
        <v>364</v>
      </c>
      <c r="M1" t="s">
        <v>363</v>
      </c>
      <c r="N1" s="20" t="s">
        <v>316</v>
      </c>
      <c r="O1" s="20" t="s">
        <v>364</v>
      </c>
      <c r="P1" s="20" t="s">
        <v>372</v>
      </c>
      <c r="Q1" s="20" t="s">
        <v>364</v>
      </c>
    </row>
    <row r="2" spans="1:17" x14ac:dyDescent="0.25">
      <c r="A2" t="s">
        <v>365</v>
      </c>
      <c r="B2">
        <v>10.1</v>
      </c>
      <c r="C2">
        <f>B2*0.64</f>
        <v>6.4639999999999995</v>
      </c>
      <c r="D2" s="20">
        <v>42.1</v>
      </c>
      <c r="E2" s="20">
        <f>D2*0.64</f>
        <v>26.944000000000003</v>
      </c>
      <c r="F2" s="20">
        <f>E2</f>
        <v>26.944000000000003</v>
      </c>
      <c r="G2" t="s">
        <v>373</v>
      </c>
      <c r="H2">
        <v>8.4</v>
      </c>
      <c r="I2" s="20">
        <f>H2*0.64</f>
        <v>5.3760000000000003</v>
      </c>
      <c r="K2" s="20">
        <f>J2*0.64</f>
        <v>0</v>
      </c>
      <c r="M2" t="s">
        <v>373</v>
      </c>
      <c r="O2" s="20">
        <f>N2*0.64</f>
        <v>0</v>
      </c>
      <c r="Q2" s="20">
        <f>P2*0.64</f>
        <v>0</v>
      </c>
    </row>
    <row r="3" spans="1:17" x14ac:dyDescent="0.25">
      <c r="A3" t="s">
        <v>366</v>
      </c>
      <c r="B3">
        <v>10.1</v>
      </c>
      <c r="C3" s="20">
        <f t="shared" ref="C3:C8" si="0">B3*0.64</f>
        <v>6.4639999999999995</v>
      </c>
      <c r="D3" s="20">
        <v>24.8</v>
      </c>
      <c r="E3" s="20">
        <f t="shared" ref="E3:E8" si="1">D3*0.64</f>
        <v>15.872000000000002</v>
      </c>
      <c r="F3" s="20">
        <f>F2+E3</f>
        <v>42.816000000000003</v>
      </c>
      <c r="G3" t="s">
        <v>374</v>
      </c>
      <c r="I3" s="20">
        <f t="shared" ref="I3:I8" si="2">H3*0.64</f>
        <v>0</v>
      </c>
      <c r="K3" s="20">
        <f t="shared" ref="K3:K8" si="3">J3*0.64</f>
        <v>0</v>
      </c>
      <c r="M3" t="s">
        <v>374</v>
      </c>
      <c r="O3" s="20">
        <f t="shared" ref="O3:O8" si="4">N3*0.64</f>
        <v>0</v>
      </c>
      <c r="Q3" s="20">
        <f t="shared" ref="Q3:Q8" si="5">P3*0.64</f>
        <v>0</v>
      </c>
    </row>
    <row r="4" spans="1:17" x14ac:dyDescent="0.25">
      <c r="A4" t="s">
        <v>367</v>
      </c>
      <c r="B4">
        <v>6.6</v>
      </c>
      <c r="C4" s="20">
        <f t="shared" si="0"/>
        <v>4.2240000000000002</v>
      </c>
      <c r="D4" s="20">
        <v>18.8</v>
      </c>
      <c r="E4" s="20">
        <f t="shared" si="1"/>
        <v>12.032</v>
      </c>
      <c r="F4" s="20">
        <f>F3+E4</f>
        <v>54.847999999999999</v>
      </c>
      <c r="G4" t="s">
        <v>375</v>
      </c>
      <c r="I4" s="20">
        <f t="shared" si="2"/>
        <v>0</v>
      </c>
      <c r="K4" s="20">
        <f t="shared" si="3"/>
        <v>0</v>
      </c>
      <c r="M4" t="s">
        <v>363</v>
      </c>
      <c r="O4" s="20">
        <f t="shared" si="4"/>
        <v>0</v>
      </c>
      <c r="Q4" s="20">
        <f t="shared" si="5"/>
        <v>0</v>
      </c>
    </row>
    <row r="5" spans="1:17" x14ac:dyDescent="0.25">
      <c r="A5" t="s">
        <v>368</v>
      </c>
      <c r="C5" s="20">
        <f t="shared" si="0"/>
        <v>0</v>
      </c>
      <c r="E5" s="20">
        <f t="shared" si="1"/>
        <v>0</v>
      </c>
      <c r="G5" t="s">
        <v>376</v>
      </c>
      <c r="I5" s="20">
        <f t="shared" si="2"/>
        <v>0</v>
      </c>
      <c r="K5" s="20">
        <f t="shared" si="3"/>
        <v>0</v>
      </c>
      <c r="O5" s="20">
        <f t="shared" si="4"/>
        <v>0</v>
      </c>
      <c r="Q5" s="20">
        <f t="shared" si="5"/>
        <v>0</v>
      </c>
    </row>
    <row r="6" spans="1:17" x14ac:dyDescent="0.25">
      <c r="A6" t="s">
        <v>369</v>
      </c>
      <c r="C6" s="20">
        <f t="shared" si="0"/>
        <v>0</v>
      </c>
      <c r="E6" s="20">
        <f t="shared" si="1"/>
        <v>0</v>
      </c>
      <c r="G6" t="s">
        <v>370</v>
      </c>
      <c r="I6" s="20">
        <f t="shared" si="2"/>
        <v>0</v>
      </c>
      <c r="K6" s="20">
        <f t="shared" si="3"/>
        <v>0</v>
      </c>
      <c r="O6" s="20">
        <f t="shared" si="4"/>
        <v>0</v>
      </c>
      <c r="Q6" s="20">
        <f t="shared" si="5"/>
        <v>0</v>
      </c>
    </row>
    <row r="7" spans="1:17" x14ac:dyDescent="0.25">
      <c r="A7" t="s">
        <v>370</v>
      </c>
      <c r="C7" s="20">
        <f t="shared" si="0"/>
        <v>0</v>
      </c>
      <c r="E7" s="20">
        <f t="shared" si="1"/>
        <v>0</v>
      </c>
      <c r="G7" t="s">
        <v>371</v>
      </c>
      <c r="I7" s="20">
        <f t="shared" si="2"/>
        <v>0</v>
      </c>
      <c r="K7" s="20">
        <f t="shared" si="3"/>
        <v>0</v>
      </c>
      <c r="O7" s="20">
        <f t="shared" si="4"/>
        <v>0</v>
      </c>
      <c r="Q7" s="20">
        <f t="shared" si="5"/>
        <v>0</v>
      </c>
    </row>
    <row r="8" spans="1:17" x14ac:dyDescent="0.25">
      <c r="A8" t="s">
        <v>371</v>
      </c>
      <c r="C8" s="20">
        <f t="shared" si="0"/>
        <v>0</v>
      </c>
      <c r="E8" s="20">
        <f t="shared" si="1"/>
        <v>0</v>
      </c>
      <c r="I8" s="20">
        <f t="shared" si="2"/>
        <v>0</v>
      </c>
      <c r="K8" s="20">
        <f t="shared" si="3"/>
        <v>0</v>
      </c>
      <c r="O8" s="20">
        <f t="shared" si="4"/>
        <v>0</v>
      </c>
      <c r="Q8" s="20">
        <f t="shared" si="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H28" sqref="H28"/>
    </sheetView>
  </sheetViews>
  <sheetFormatPr defaultRowHeight="15" x14ac:dyDescent="0.25"/>
  <cols>
    <col min="1" max="1" width="9.140625" style="39"/>
    <col min="3" max="3" width="11" bestFit="1" customWidth="1"/>
    <col min="5" max="5" width="30.42578125" customWidth="1"/>
    <col min="6" max="6" width="21.5703125" bestFit="1" customWidth="1"/>
  </cols>
  <sheetData>
    <row r="1" spans="1:8" x14ac:dyDescent="0.25">
      <c r="A1" s="39" t="s">
        <v>403</v>
      </c>
      <c r="B1" s="39" t="s">
        <v>383</v>
      </c>
      <c r="C1" s="39" t="s">
        <v>384</v>
      </c>
      <c r="D1" s="39" t="s">
        <v>385</v>
      </c>
      <c r="E1" s="39" t="s">
        <v>386</v>
      </c>
    </row>
    <row r="2" spans="1:8" x14ac:dyDescent="0.25">
      <c r="A2" s="39">
        <v>505</v>
      </c>
      <c r="B2" s="39">
        <f>A2-500</f>
        <v>5</v>
      </c>
      <c r="C2" s="39">
        <v>0</v>
      </c>
      <c r="D2" s="39">
        <v>2</v>
      </c>
      <c r="E2" s="39" t="str">
        <f>"        "&amp;"key = "&amp;B2&amp;" "&amp;ROUND(C2*D2,2)</f>
        <v xml:space="preserve">        key = 5 0</v>
      </c>
      <c r="F2" t="str">
        <f>"    "&amp;E2</f>
        <v xml:space="preserve">            key = 5 0</v>
      </c>
      <c r="G2">
        <f>B2*0.5</f>
        <v>2.5</v>
      </c>
    </row>
    <row r="3" spans="1:8" x14ac:dyDescent="0.25">
      <c r="A3" s="39">
        <v>507.5</v>
      </c>
      <c r="B3" s="39">
        <f t="shared" ref="B3:B26" si="0">A3-500</f>
        <v>7.5</v>
      </c>
      <c r="C3" s="39">
        <v>3.2</v>
      </c>
      <c r="D3" s="39">
        <f>D2</f>
        <v>2</v>
      </c>
      <c r="E3" s="39" t="str">
        <f t="shared" ref="E3:E26" si="1">"        "&amp;"key = "&amp;B3&amp;" "&amp;ROUND(C3*D3,2)</f>
        <v xml:space="preserve">        key = 7.5 6.4</v>
      </c>
      <c r="F3" s="39" t="str">
        <f t="shared" ref="F3:F26" si="2">"    "&amp;E3</f>
        <v xml:space="preserve">            key = 7.5 6.4</v>
      </c>
      <c r="G3" s="39">
        <f t="shared" ref="G3:G26" si="3">B3*0.5</f>
        <v>3.75</v>
      </c>
      <c r="H3" s="39"/>
    </row>
    <row r="4" spans="1:8" x14ac:dyDescent="0.25">
      <c r="A4" s="39">
        <v>525</v>
      </c>
      <c r="B4" s="39">
        <f t="shared" si="0"/>
        <v>25</v>
      </c>
      <c r="C4" s="39">
        <v>15</v>
      </c>
      <c r="D4" s="39">
        <f t="shared" ref="D4:D26" si="4">D3</f>
        <v>2</v>
      </c>
      <c r="E4" s="39" t="str">
        <f t="shared" si="1"/>
        <v xml:space="preserve">        key = 25 30</v>
      </c>
      <c r="F4" s="39" t="str">
        <f t="shared" si="2"/>
        <v xml:space="preserve">            key = 25 30</v>
      </c>
      <c r="G4" s="39">
        <f t="shared" si="3"/>
        <v>12.5</v>
      </c>
      <c r="H4" s="39"/>
    </row>
    <row r="5" spans="1:8" x14ac:dyDescent="0.25">
      <c r="A5" s="39">
        <v>575</v>
      </c>
      <c r="B5" s="39">
        <f t="shared" si="0"/>
        <v>75</v>
      </c>
      <c r="C5" s="39">
        <v>45</v>
      </c>
      <c r="D5" s="39">
        <f t="shared" si="4"/>
        <v>2</v>
      </c>
      <c r="E5" s="39" t="str">
        <f t="shared" si="1"/>
        <v xml:space="preserve">        key = 75 90</v>
      </c>
      <c r="F5" s="39" t="str">
        <f t="shared" si="2"/>
        <v xml:space="preserve">            key = 75 90</v>
      </c>
      <c r="G5" s="39">
        <f t="shared" si="3"/>
        <v>37.5</v>
      </c>
      <c r="H5" s="39"/>
    </row>
    <row r="6" spans="1:8" s="39" customFormat="1" x14ac:dyDescent="0.25">
      <c r="A6" s="39">
        <v>625</v>
      </c>
      <c r="B6" s="39">
        <f t="shared" si="0"/>
        <v>125</v>
      </c>
      <c r="C6" s="39">
        <v>70</v>
      </c>
      <c r="D6" s="39">
        <f t="shared" ref="D6:D7" si="5">D5</f>
        <v>2</v>
      </c>
      <c r="E6" s="39" t="str">
        <f t="shared" ref="E6:E7" si="6">"        "&amp;"key = "&amp;B6&amp;" "&amp;ROUND(C6*D6,2)</f>
        <v xml:space="preserve">        key = 125 140</v>
      </c>
      <c r="F6" s="39" t="str">
        <f t="shared" si="2"/>
        <v xml:space="preserve">            key = 125 140</v>
      </c>
      <c r="G6" s="39">
        <f t="shared" si="3"/>
        <v>62.5</v>
      </c>
    </row>
    <row r="7" spans="1:8" s="39" customFormat="1" x14ac:dyDescent="0.25">
      <c r="A7" s="39">
        <v>675</v>
      </c>
      <c r="B7" s="39">
        <f t="shared" si="0"/>
        <v>175</v>
      </c>
      <c r="C7" s="39">
        <v>120</v>
      </c>
      <c r="D7" s="39">
        <f t="shared" si="5"/>
        <v>2</v>
      </c>
      <c r="E7" s="39" t="str">
        <f t="shared" si="6"/>
        <v xml:space="preserve">        key = 175 240</v>
      </c>
      <c r="F7" s="39" t="str">
        <f t="shared" si="2"/>
        <v xml:space="preserve">            key = 175 240</v>
      </c>
      <c r="G7" s="39">
        <f t="shared" si="3"/>
        <v>87.5</v>
      </c>
    </row>
    <row r="8" spans="1:8" x14ac:dyDescent="0.25">
      <c r="A8" s="39">
        <v>750</v>
      </c>
      <c r="B8" s="39">
        <f t="shared" si="0"/>
        <v>250</v>
      </c>
      <c r="C8" s="39">
        <v>180</v>
      </c>
      <c r="D8" s="39">
        <f>D5</f>
        <v>2</v>
      </c>
      <c r="E8" s="39" t="str">
        <f t="shared" si="1"/>
        <v xml:space="preserve">        key = 250 360</v>
      </c>
      <c r="F8" s="39" t="str">
        <f t="shared" si="2"/>
        <v xml:space="preserve">            key = 250 360</v>
      </c>
      <c r="G8" s="39">
        <f t="shared" si="3"/>
        <v>125</v>
      </c>
      <c r="H8" s="39"/>
    </row>
    <row r="9" spans="1:8" s="39" customFormat="1" x14ac:dyDescent="0.25">
      <c r="A9" s="39">
        <v>812.5</v>
      </c>
      <c r="B9" s="39">
        <f t="shared" si="0"/>
        <v>312.5</v>
      </c>
      <c r="C9" s="39">
        <v>225</v>
      </c>
      <c r="D9" s="39">
        <f t="shared" ref="D9:D11" si="7">D6</f>
        <v>2</v>
      </c>
      <c r="E9" s="39" t="str">
        <f t="shared" ref="E9:E11" si="8">"        "&amp;"key = "&amp;B9&amp;" "&amp;ROUND(C9*D9,2)</f>
        <v xml:space="preserve">        key = 312.5 450</v>
      </c>
      <c r="F9" s="39" t="str">
        <f t="shared" si="2"/>
        <v xml:space="preserve">            key = 312.5 450</v>
      </c>
      <c r="G9" s="39">
        <f t="shared" si="3"/>
        <v>156.25</v>
      </c>
    </row>
    <row r="10" spans="1:8" x14ac:dyDescent="0.25">
      <c r="A10" s="39">
        <v>875</v>
      </c>
      <c r="B10" s="39">
        <f t="shared" si="0"/>
        <v>375</v>
      </c>
      <c r="C10" s="39">
        <v>300</v>
      </c>
      <c r="D10" s="39">
        <f t="shared" si="7"/>
        <v>2</v>
      </c>
      <c r="E10" s="39" t="str">
        <f t="shared" si="8"/>
        <v xml:space="preserve">        key = 375 600</v>
      </c>
      <c r="F10" s="39" t="str">
        <f t="shared" si="2"/>
        <v xml:space="preserve">            key = 375 600</v>
      </c>
      <c r="G10" s="39">
        <f t="shared" si="3"/>
        <v>187.5</v>
      </c>
      <c r="H10" s="39"/>
    </row>
    <row r="11" spans="1:8" s="39" customFormat="1" x14ac:dyDescent="0.25">
      <c r="A11" s="39">
        <v>912.5</v>
      </c>
      <c r="B11" s="39">
        <f t="shared" si="0"/>
        <v>412.5</v>
      </c>
      <c r="C11" s="39">
        <v>500</v>
      </c>
      <c r="D11" s="39">
        <f t="shared" si="7"/>
        <v>2</v>
      </c>
      <c r="E11" s="39" t="str">
        <f t="shared" si="8"/>
        <v xml:space="preserve">        key = 412.5 1000</v>
      </c>
      <c r="F11" s="39" t="str">
        <f t="shared" si="2"/>
        <v xml:space="preserve">            key = 412.5 1000</v>
      </c>
      <c r="G11" s="39">
        <f t="shared" si="3"/>
        <v>206.25</v>
      </c>
    </row>
    <row r="12" spans="1:8" s="39" customFormat="1" x14ac:dyDescent="0.25">
      <c r="A12" s="39">
        <v>950</v>
      </c>
      <c r="B12" s="39">
        <f t="shared" si="0"/>
        <v>450</v>
      </c>
      <c r="C12" s="39">
        <v>700</v>
      </c>
      <c r="D12" s="39">
        <f>D10</f>
        <v>2</v>
      </c>
      <c r="E12" s="39" t="str">
        <f t="shared" ref="E12" si="9">"        "&amp;"key = "&amp;B12&amp;" "&amp;ROUND(C12*D12,2)</f>
        <v xml:space="preserve">        key = 450 1400</v>
      </c>
      <c r="F12" s="39" t="str">
        <f t="shared" si="2"/>
        <v xml:space="preserve">            key = 450 1400</v>
      </c>
      <c r="G12" s="39">
        <f t="shared" si="3"/>
        <v>225</v>
      </c>
    </row>
    <row r="13" spans="1:8" s="39" customFormat="1" x14ac:dyDescent="0.25">
      <c r="A13" s="39">
        <v>962.5</v>
      </c>
      <c r="B13" s="39">
        <f t="shared" si="0"/>
        <v>462.5</v>
      </c>
      <c r="C13" s="39">
        <v>1100</v>
      </c>
      <c r="D13" s="39">
        <f t="shared" ref="D13:D15" si="10">D11</f>
        <v>2</v>
      </c>
      <c r="E13" s="39" t="str">
        <f t="shared" ref="E13:E15" si="11">"        "&amp;"key = "&amp;B13&amp;" "&amp;ROUND(C13*D13,2)</f>
        <v xml:space="preserve">        key = 462.5 2200</v>
      </c>
      <c r="F13" s="39" t="str">
        <f t="shared" si="2"/>
        <v xml:space="preserve">            key = 462.5 2200</v>
      </c>
      <c r="G13" s="39">
        <f t="shared" si="3"/>
        <v>231.25</v>
      </c>
    </row>
    <row r="14" spans="1:8" s="39" customFormat="1" x14ac:dyDescent="0.25">
      <c r="A14" s="39">
        <v>975</v>
      </c>
      <c r="B14" s="39">
        <f t="shared" si="0"/>
        <v>475</v>
      </c>
      <c r="C14" s="38">
        <v>1600</v>
      </c>
      <c r="D14" s="38">
        <f t="shared" si="10"/>
        <v>2</v>
      </c>
      <c r="E14" s="38" t="str">
        <f t="shared" si="11"/>
        <v xml:space="preserve">        key = 475 3200</v>
      </c>
      <c r="F14" s="38" t="str">
        <f t="shared" si="2"/>
        <v xml:space="preserve">            key = 475 3200</v>
      </c>
      <c r="G14" s="38">
        <f t="shared" si="3"/>
        <v>237.5</v>
      </c>
    </row>
    <row r="15" spans="1:8" s="39" customFormat="1" x14ac:dyDescent="0.25">
      <c r="A15" s="39">
        <v>987.5</v>
      </c>
      <c r="B15" s="39">
        <f t="shared" si="0"/>
        <v>487.5</v>
      </c>
      <c r="C15" s="38">
        <v>2375</v>
      </c>
      <c r="D15" s="38">
        <f t="shared" si="10"/>
        <v>2</v>
      </c>
      <c r="E15" s="38" t="str">
        <f t="shared" si="11"/>
        <v xml:space="preserve">        key = 487.5 4750</v>
      </c>
      <c r="F15" s="38" t="str">
        <f t="shared" si="2"/>
        <v xml:space="preserve">            key = 487.5 4750</v>
      </c>
      <c r="G15" s="38">
        <f t="shared" si="3"/>
        <v>243.75</v>
      </c>
    </row>
    <row r="16" spans="1:8" x14ac:dyDescent="0.25">
      <c r="A16" s="39">
        <v>1000</v>
      </c>
      <c r="B16" s="39">
        <f t="shared" si="0"/>
        <v>500</v>
      </c>
      <c r="C16" s="22">
        <v>2450</v>
      </c>
      <c r="D16" s="22">
        <f>D12</f>
        <v>2</v>
      </c>
      <c r="E16" s="22" t="str">
        <f t="shared" si="1"/>
        <v xml:space="preserve">        key = 500 4900</v>
      </c>
      <c r="F16" s="22" t="str">
        <f t="shared" si="2"/>
        <v xml:space="preserve">            key = 500 4900</v>
      </c>
      <c r="G16" s="22">
        <f t="shared" si="3"/>
        <v>250</v>
      </c>
      <c r="H16" s="39"/>
    </row>
    <row r="17" spans="1:8" x14ac:dyDescent="0.25">
      <c r="A17" s="39">
        <v>1050</v>
      </c>
      <c r="B17" s="39">
        <f t="shared" si="0"/>
        <v>550</v>
      </c>
      <c r="C17" s="22">
        <v>2500</v>
      </c>
      <c r="D17" s="22">
        <f t="shared" si="4"/>
        <v>2</v>
      </c>
      <c r="E17" s="22" t="str">
        <f t="shared" si="1"/>
        <v xml:space="preserve">        key = 550 5000</v>
      </c>
      <c r="F17" s="22" t="str">
        <f t="shared" si="2"/>
        <v xml:space="preserve">            key = 550 5000</v>
      </c>
      <c r="G17" s="22">
        <f t="shared" si="3"/>
        <v>275</v>
      </c>
      <c r="H17" s="39"/>
    </row>
    <row r="18" spans="1:8" x14ac:dyDescent="0.25">
      <c r="A18" s="39">
        <v>1100</v>
      </c>
      <c r="B18" s="39">
        <f t="shared" si="0"/>
        <v>600</v>
      </c>
      <c r="C18" s="22">
        <v>2550</v>
      </c>
      <c r="D18" s="22">
        <f t="shared" si="4"/>
        <v>2</v>
      </c>
      <c r="E18" s="22" t="str">
        <f t="shared" si="1"/>
        <v xml:space="preserve">        key = 600 5100</v>
      </c>
      <c r="F18" s="22" t="str">
        <f t="shared" si="2"/>
        <v xml:space="preserve">            key = 600 5100</v>
      </c>
      <c r="G18" s="22">
        <f t="shared" si="3"/>
        <v>300</v>
      </c>
      <c r="H18" s="39"/>
    </row>
    <row r="19" spans="1:8" x14ac:dyDescent="0.25">
      <c r="A19" s="39">
        <v>1150</v>
      </c>
      <c r="B19" s="39">
        <f t="shared" si="0"/>
        <v>650</v>
      </c>
      <c r="C19" s="22">
        <v>2575</v>
      </c>
      <c r="D19" s="22">
        <f t="shared" si="4"/>
        <v>2</v>
      </c>
      <c r="E19" s="22" t="str">
        <f t="shared" si="1"/>
        <v xml:space="preserve">        key = 650 5150</v>
      </c>
      <c r="F19" s="22" t="str">
        <f t="shared" si="2"/>
        <v xml:space="preserve">            key = 650 5150</v>
      </c>
      <c r="G19" s="22">
        <f t="shared" si="3"/>
        <v>325</v>
      </c>
      <c r="H19" s="39"/>
    </row>
    <row r="20" spans="1:8" x14ac:dyDescent="0.25">
      <c r="A20" s="39">
        <v>1200</v>
      </c>
      <c r="B20" s="39">
        <f t="shared" si="0"/>
        <v>700</v>
      </c>
      <c r="C20" s="40">
        <v>2600</v>
      </c>
      <c r="D20" s="40">
        <f t="shared" si="4"/>
        <v>2</v>
      </c>
      <c r="E20" s="40" t="str">
        <f t="shared" si="1"/>
        <v xml:space="preserve">        key = 700 5200</v>
      </c>
      <c r="F20" s="40" t="str">
        <f t="shared" si="2"/>
        <v xml:space="preserve">            key = 700 5200</v>
      </c>
      <c r="G20" s="40">
        <f t="shared" si="3"/>
        <v>350</v>
      </c>
      <c r="H20" s="39"/>
    </row>
    <row r="21" spans="1:8" x14ac:dyDescent="0.25">
      <c r="A21" s="39">
        <v>1250</v>
      </c>
      <c r="B21" s="39">
        <f t="shared" si="0"/>
        <v>750</v>
      </c>
      <c r="C21" s="40">
        <v>2615</v>
      </c>
      <c r="D21" s="40">
        <f t="shared" si="4"/>
        <v>2</v>
      </c>
      <c r="E21" s="40" t="str">
        <f t="shared" si="1"/>
        <v xml:space="preserve">        key = 750 5230</v>
      </c>
      <c r="F21" s="40" t="str">
        <f t="shared" si="2"/>
        <v xml:space="preserve">            key = 750 5230</v>
      </c>
      <c r="G21" s="40">
        <f t="shared" si="3"/>
        <v>375</v>
      </c>
      <c r="H21" s="39"/>
    </row>
    <row r="22" spans="1:8" x14ac:dyDescent="0.25">
      <c r="A22" s="39">
        <v>1500</v>
      </c>
      <c r="B22" s="39">
        <f t="shared" si="0"/>
        <v>1000</v>
      </c>
      <c r="C22" s="40">
        <v>2700</v>
      </c>
      <c r="D22" s="40">
        <f t="shared" si="4"/>
        <v>2</v>
      </c>
      <c r="E22" s="40" t="str">
        <f t="shared" si="1"/>
        <v xml:space="preserve">        key = 1000 5400</v>
      </c>
      <c r="F22" s="40" t="str">
        <f t="shared" si="2"/>
        <v xml:space="preserve">            key = 1000 5400</v>
      </c>
      <c r="G22" s="40">
        <f t="shared" si="3"/>
        <v>500</v>
      </c>
      <c r="H22" s="39"/>
    </row>
    <row r="23" spans="1:8" x14ac:dyDescent="0.25">
      <c r="A23" s="39">
        <v>1750</v>
      </c>
      <c r="B23" s="39">
        <f t="shared" si="0"/>
        <v>1250</v>
      </c>
      <c r="C23" s="40">
        <v>2750</v>
      </c>
      <c r="D23" s="40">
        <f t="shared" si="4"/>
        <v>2</v>
      </c>
      <c r="E23" s="40" t="str">
        <f t="shared" si="1"/>
        <v xml:space="preserve">        key = 1250 5500</v>
      </c>
      <c r="F23" s="40" t="str">
        <f t="shared" si="2"/>
        <v xml:space="preserve">            key = 1250 5500</v>
      </c>
      <c r="G23" s="40">
        <f t="shared" si="3"/>
        <v>625</v>
      </c>
      <c r="H23" s="39"/>
    </row>
    <row r="24" spans="1:8" x14ac:dyDescent="0.25">
      <c r="A24" s="39">
        <v>2000</v>
      </c>
      <c r="B24" s="39">
        <f t="shared" si="0"/>
        <v>1500</v>
      </c>
      <c r="C24" s="40">
        <v>2800</v>
      </c>
      <c r="D24" s="40">
        <f t="shared" si="4"/>
        <v>2</v>
      </c>
      <c r="E24" s="40" t="str">
        <f t="shared" si="1"/>
        <v xml:space="preserve">        key = 1500 5600</v>
      </c>
      <c r="F24" s="40" t="str">
        <f t="shared" si="2"/>
        <v xml:space="preserve">            key = 1500 5600</v>
      </c>
      <c r="G24" s="40">
        <f t="shared" si="3"/>
        <v>750</v>
      </c>
      <c r="H24" s="39"/>
    </row>
    <row r="25" spans="1:8" x14ac:dyDescent="0.25">
      <c r="A25" s="39">
        <v>2500</v>
      </c>
      <c r="B25" s="39">
        <f t="shared" si="0"/>
        <v>2000</v>
      </c>
      <c r="C25" s="40">
        <v>2900</v>
      </c>
      <c r="D25" s="40">
        <f t="shared" si="4"/>
        <v>2</v>
      </c>
      <c r="E25" s="40" t="str">
        <f t="shared" si="1"/>
        <v xml:space="preserve">        key = 2000 5800</v>
      </c>
      <c r="F25" s="40" t="str">
        <f t="shared" si="2"/>
        <v xml:space="preserve">            key = 2000 5800</v>
      </c>
      <c r="G25" s="40">
        <f t="shared" si="3"/>
        <v>1000</v>
      </c>
      <c r="H25" s="39"/>
    </row>
    <row r="26" spans="1:8" x14ac:dyDescent="0.25">
      <c r="A26" s="39">
        <v>2550</v>
      </c>
      <c r="B26" s="39">
        <f t="shared" si="0"/>
        <v>2050</v>
      </c>
      <c r="C26" s="40">
        <v>2901</v>
      </c>
      <c r="D26" s="40">
        <f t="shared" si="4"/>
        <v>2</v>
      </c>
      <c r="E26" s="40" t="str">
        <f t="shared" si="1"/>
        <v xml:space="preserve">        key = 2050 5802</v>
      </c>
      <c r="F26" s="40" t="str">
        <f t="shared" si="2"/>
        <v xml:space="preserve">            key = 2050 5802</v>
      </c>
      <c r="G26" s="40">
        <f t="shared" si="3"/>
        <v>1025</v>
      </c>
      <c r="H26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RealRocketDims</vt:lpstr>
      <vt:lpstr>HeatShieldCalc</vt:lpstr>
      <vt:lpstr>Sheet1</vt:lpstr>
      <vt:lpstr>StockEffects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2016-03-29T02:17:59Z</dcterms:modified>
</cp:coreProperties>
</file>