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LC" sheetId="2" r:id="rId2"/>
    <sheet name="dV-Calc-SC-B" sheetId="3" r:id="rId3"/>
    <sheet name="FuelTypes" sheetId="6" r:id="rId4"/>
    <sheet name="Resource Data" sheetId="5" r:id="rId5"/>
    <sheet name="TankVolumes" sheetId="8" r:id="rId6"/>
  </sheets>
  <calcPr calcId="145621"/>
</workbook>
</file>

<file path=xl/calcChain.xml><?xml version="1.0" encoding="utf-8"?>
<calcChain xmlns="http://schemas.openxmlformats.org/spreadsheetml/2006/main">
  <c r="D33" i="5" l="1"/>
  <c r="H29" i="5"/>
  <c r="I29" i="5"/>
  <c r="D29" i="5"/>
  <c r="F27" i="5" s="1"/>
  <c r="D28" i="5"/>
  <c r="B34" i="5"/>
  <c r="B35" i="5"/>
  <c r="B39" i="5"/>
  <c r="C28" i="5"/>
  <c r="B27" i="5"/>
  <c r="B24" i="8" l="1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D10" i="8" l="1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5" i="6"/>
  <c r="E2" i="6"/>
  <c r="E6" i="5" l="1"/>
  <c r="C92" i="1" l="1"/>
  <c r="C91" i="1"/>
  <c r="C90" i="1"/>
  <c r="C89" i="1"/>
  <c r="C88" i="1"/>
  <c r="C87" i="1"/>
  <c r="C86" i="1"/>
  <c r="C85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J123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R43" i="2" s="1"/>
  <c r="R67" i="2" s="1"/>
  <c r="R91" i="2" s="1"/>
  <c r="R115" i="2" s="1"/>
  <c r="T123" i="2" s="1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B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W4" i="3"/>
  <c r="V4" i="3"/>
  <c r="W3" i="3"/>
  <c r="V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O4" i="3"/>
  <c r="N4" i="3"/>
  <c r="O3" i="3"/>
  <c r="N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T151" i="1"/>
  <c r="I152" i="1"/>
  <c r="L152" i="1" s="1"/>
  <c r="J152" i="1"/>
  <c r="K152" i="1" s="1"/>
  <c r="T152" i="1"/>
  <c r="I153" i="1"/>
  <c r="L153" i="1" s="1"/>
  <c r="J153" i="1"/>
  <c r="K153" i="1" s="1"/>
  <c r="T153" i="1"/>
  <c r="I154" i="1"/>
  <c r="L154" i="1" s="1"/>
  <c r="W154" i="1" s="1"/>
  <c r="Y154" i="1" s="1"/>
  <c r="J154" i="1"/>
  <c r="K154" i="1"/>
  <c r="T154" i="1"/>
  <c r="I155" i="1"/>
  <c r="L155" i="1" s="1"/>
  <c r="J155" i="1"/>
  <c r="K155" i="1" s="1"/>
  <c r="T155" i="1"/>
  <c r="I156" i="1"/>
  <c r="L156" i="1" s="1"/>
  <c r="W156" i="1" s="1"/>
  <c r="Y156" i="1" s="1"/>
  <c r="J156" i="1"/>
  <c r="K156" i="1" s="1"/>
  <c r="T156" i="1"/>
  <c r="I157" i="1"/>
  <c r="L157" i="1" s="1"/>
  <c r="J157" i="1"/>
  <c r="K157" i="1" s="1"/>
  <c r="T157" i="1"/>
  <c r="I158" i="1"/>
  <c r="L158" i="1" s="1"/>
  <c r="W158" i="1" s="1"/>
  <c r="Y158" i="1" s="1"/>
  <c r="J158" i="1"/>
  <c r="K158" i="1"/>
  <c r="T158" i="1"/>
  <c r="I159" i="1"/>
  <c r="L159" i="1" s="1"/>
  <c r="J159" i="1"/>
  <c r="K159" i="1" s="1"/>
  <c r="T159" i="1"/>
  <c r="I160" i="1"/>
  <c r="L160" i="1" s="1"/>
  <c r="J160" i="1"/>
  <c r="K160" i="1" s="1"/>
  <c r="T160" i="1"/>
  <c r="I161" i="1"/>
  <c r="L161" i="1" s="1"/>
  <c r="J161" i="1"/>
  <c r="K161" i="1" s="1"/>
  <c r="T161" i="1"/>
  <c r="I162" i="1"/>
  <c r="L162" i="1" s="1"/>
  <c r="W162" i="1" s="1"/>
  <c r="Y162" i="1" s="1"/>
  <c r="J162" i="1"/>
  <c r="K162" i="1" s="1"/>
  <c r="T162" i="1"/>
  <c r="I163" i="1"/>
  <c r="L163" i="1" s="1"/>
  <c r="J163" i="1"/>
  <c r="K163" i="1" s="1"/>
  <c r="T163" i="1"/>
  <c r="I164" i="1"/>
  <c r="L164" i="1" s="1"/>
  <c r="J164" i="1"/>
  <c r="K164" i="1" s="1"/>
  <c r="T164" i="1"/>
  <c r="I165" i="1"/>
  <c r="L165" i="1" s="1"/>
  <c r="J165" i="1"/>
  <c r="K165" i="1" s="1"/>
  <c r="T165" i="1"/>
  <c r="I166" i="1"/>
  <c r="L166" i="1" s="1"/>
  <c r="J166" i="1"/>
  <c r="K166" i="1" s="1"/>
  <c r="T166" i="1"/>
  <c r="I167" i="1"/>
  <c r="L167" i="1" s="1"/>
  <c r="J167" i="1"/>
  <c r="K167" i="1" s="1"/>
  <c r="T167" i="1"/>
  <c r="I168" i="1"/>
  <c r="L168" i="1" s="1"/>
  <c r="W168" i="1" s="1"/>
  <c r="Y168" i="1" s="1"/>
  <c r="J168" i="1"/>
  <c r="K168" i="1" s="1"/>
  <c r="T168" i="1"/>
  <c r="I169" i="1"/>
  <c r="L169" i="1" s="1"/>
  <c r="J169" i="1"/>
  <c r="K169" i="1" s="1"/>
  <c r="T169" i="1"/>
  <c r="I170" i="1"/>
  <c r="L170" i="1" s="1"/>
  <c r="W170" i="1" s="1"/>
  <c r="Y170" i="1" s="1"/>
  <c r="J170" i="1"/>
  <c r="K170" i="1" s="1"/>
  <c r="T170" i="1"/>
  <c r="I171" i="1"/>
  <c r="L171" i="1" s="1"/>
  <c r="J171" i="1"/>
  <c r="K171" i="1" s="1"/>
  <c r="T171" i="1"/>
  <c r="I172" i="1"/>
  <c r="L172" i="1" s="1"/>
  <c r="J172" i="1"/>
  <c r="K172" i="1"/>
  <c r="T172" i="1"/>
  <c r="I173" i="1"/>
  <c r="L173" i="1" s="1"/>
  <c r="J173" i="1"/>
  <c r="K173" i="1" s="1"/>
  <c r="T173" i="1"/>
  <c r="I174" i="1"/>
  <c r="L174" i="1" s="1"/>
  <c r="J174" i="1"/>
  <c r="K174" i="1" s="1"/>
  <c r="T174" i="1"/>
  <c r="I175" i="1"/>
  <c r="L175" i="1" s="1"/>
  <c r="J175" i="1"/>
  <c r="K175" i="1" s="1"/>
  <c r="T175" i="1"/>
  <c r="I176" i="1"/>
  <c r="L176" i="1" s="1"/>
  <c r="J176" i="1"/>
  <c r="K176" i="1" s="1"/>
  <c r="T176" i="1"/>
  <c r="I177" i="1"/>
  <c r="L177" i="1" s="1"/>
  <c r="J177" i="1"/>
  <c r="K177" i="1" s="1"/>
  <c r="T177" i="1"/>
  <c r="I178" i="1"/>
  <c r="L178" i="1" s="1"/>
  <c r="W178" i="1" s="1"/>
  <c r="Y178" i="1" s="1"/>
  <c r="J178" i="1"/>
  <c r="K178" i="1"/>
  <c r="T178" i="1"/>
  <c r="I179" i="1"/>
  <c r="L179" i="1" s="1"/>
  <c r="J179" i="1"/>
  <c r="K179" i="1" s="1"/>
  <c r="T179" i="1"/>
  <c r="I180" i="1"/>
  <c r="L180" i="1" s="1"/>
  <c r="J180" i="1"/>
  <c r="K180" i="1" s="1"/>
  <c r="T180" i="1"/>
  <c r="I181" i="1"/>
  <c r="L181" i="1" s="1"/>
  <c r="J181" i="1"/>
  <c r="K181" i="1" s="1"/>
  <c r="T181" i="1"/>
  <c r="I182" i="1"/>
  <c r="L182" i="1" s="1"/>
  <c r="J182" i="1"/>
  <c r="K182" i="1" s="1"/>
  <c r="T182" i="1"/>
  <c r="I183" i="1"/>
  <c r="L183" i="1" s="1"/>
  <c r="J183" i="1"/>
  <c r="K183" i="1" s="1"/>
  <c r="T183" i="1"/>
  <c r="I184" i="1"/>
  <c r="L184" i="1" s="1"/>
  <c r="W184" i="1" s="1"/>
  <c r="Y184" i="1" s="1"/>
  <c r="J184" i="1"/>
  <c r="K184" i="1" s="1"/>
  <c r="T184" i="1"/>
  <c r="I185" i="1"/>
  <c r="L185" i="1" s="1"/>
  <c r="W185" i="1" s="1"/>
  <c r="Y185" i="1" s="1"/>
  <c r="J185" i="1"/>
  <c r="K185" i="1" s="1"/>
  <c r="T185" i="1"/>
  <c r="I186" i="1"/>
  <c r="L186" i="1" s="1"/>
  <c r="J186" i="1"/>
  <c r="K186" i="1" s="1"/>
  <c r="T186" i="1"/>
  <c r="I187" i="1"/>
  <c r="L187" i="1" s="1"/>
  <c r="W187" i="1" s="1"/>
  <c r="Y187" i="1" s="1"/>
  <c r="J187" i="1"/>
  <c r="K187" i="1" s="1"/>
  <c r="T187" i="1"/>
  <c r="I188" i="1"/>
  <c r="L188" i="1" s="1"/>
  <c r="J188" i="1"/>
  <c r="K188" i="1" s="1"/>
  <c r="Z188" i="1" s="1"/>
  <c r="T188" i="1"/>
  <c r="I189" i="1"/>
  <c r="L189" i="1" s="1"/>
  <c r="W189" i="1" s="1"/>
  <c r="Y189" i="1" s="1"/>
  <c r="J189" i="1"/>
  <c r="K189" i="1" s="1"/>
  <c r="Z189" i="1" s="1"/>
  <c r="T189" i="1"/>
  <c r="I190" i="1"/>
  <c r="L190" i="1" s="1"/>
  <c r="J190" i="1"/>
  <c r="K190" i="1" s="1"/>
  <c r="Z190" i="1" s="1"/>
  <c r="T190" i="1"/>
  <c r="I191" i="1"/>
  <c r="L191" i="1" s="1"/>
  <c r="W191" i="1" s="1"/>
  <c r="Y191" i="1" s="1"/>
  <c r="J191" i="1"/>
  <c r="K191" i="1" s="1"/>
  <c r="Z191" i="1" s="1"/>
  <c r="T191" i="1"/>
  <c r="I192" i="1"/>
  <c r="L192" i="1" s="1"/>
  <c r="J192" i="1"/>
  <c r="K192" i="1" s="1"/>
  <c r="T192" i="1"/>
  <c r="I193" i="1"/>
  <c r="L193" i="1" s="1"/>
  <c r="W193" i="1" s="1"/>
  <c r="Y193" i="1" s="1"/>
  <c r="J193" i="1"/>
  <c r="K193" i="1" s="1"/>
  <c r="Z193" i="1" s="1"/>
  <c r="T193" i="1"/>
  <c r="I194" i="1"/>
  <c r="L194" i="1" s="1"/>
  <c r="J194" i="1"/>
  <c r="K194" i="1" s="1"/>
  <c r="T194" i="1"/>
  <c r="I195" i="1"/>
  <c r="L195" i="1" s="1"/>
  <c r="W195" i="1" s="1"/>
  <c r="Y195" i="1" s="1"/>
  <c r="J195" i="1"/>
  <c r="K195" i="1" s="1"/>
  <c r="Z195" i="1" s="1"/>
  <c r="T195" i="1"/>
  <c r="I196" i="1"/>
  <c r="L196" i="1" s="1"/>
  <c r="W196" i="1" s="1"/>
  <c r="Y196" i="1" s="1"/>
  <c r="J196" i="1"/>
  <c r="K196" i="1"/>
  <c r="Z196" i="1" s="1"/>
  <c r="T196" i="1"/>
  <c r="I197" i="1"/>
  <c r="L197" i="1" s="1"/>
  <c r="W197" i="1" s="1"/>
  <c r="Y197" i="1" s="1"/>
  <c r="J197" i="1"/>
  <c r="K197" i="1" s="1"/>
  <c r="T197" i="1"/>
  <c r="I198" i="1"/>
  <c r="L198" i="1" s="1"/>
  <c r="J198" i="1"/>
  <c r="K198" i="1"/>
  <c r="Z198" i="1" s="1"/>
  <c r="T198" i="1"/>
  <c r="I199" i="1"/>
  <c r="L199" i="1" s="1"/>
  <c r="W199" i="1" s="1"/>
  <c r="Y199" i="1" s="1"/>
  <c r="J199" i="1"/>
  <c r="K199" i="1" s="1"/>
  <c r="T199" i="1"/>
  <c r="I200" i="1"/>
  <c r="L200" i="1" s="1"/>
  <c r="J200" i="1"/>
  <c r="K200" i="1"/>
  <c r="T200" i="1"/>
  <c r="I201" i="1"/>
  <c r="L201" i="1" s="1"/>
  <c r="W201" i="1" s="1"/>
  <c r="Y201" i="1" s="1"/>
  <c r="J201" i="1"/>
  <c r="K201" i="1" s="1"/>
  <c r="Z201" i="1" s="1"/>
  <c r="T201" i="1"/>
  <c r="I202" i="1"/>
  <c r="L202" i="1" s="1"/>
  <c r="J202" i="1"/>
  <c r="K202" i="1" s="1"/>
  <c r="T202" i="1"/>
  <c r="I203" i="1"/>
  <c r="L203" i="1" s="1"/>
  <c r="W203" i="1" s="1"/>
  <c r="Y203" i="1" s="1"/>
  <c r="J203" i="1"/>
  <c r="K203" i="1" s="1"/>
  <c r="Z203" i="1" s="1"/>
  <c r="T203" i="1"/>
  <c r="I204" i="1"/>
  <c r="L204" i="1" s="1"/>
  <c r="W204" i="1" s="1"/>
  <c r="Y204" i="1" s="1"/>
  <c r="J204" i="1"/>
  <c r="K204" i="1" s="1"/>
  <c r="Z204" i="1" s="1"/>
  <c r="T204" i="1"/>
  <c r="I205" i="1"/>
  <c r="L205" i="1" s="1"/>
  <c r="W205" i="1" s="1"/>
  <c r="Y205" i="1" s="1"/>
  <c r="J205" i="1"/>
  <c r="K205" i="1" s="1"/>
  <c r="T205" i="1"/>
  <c r="I206" i="1"/>
  <c r="L206" i="1" s="1"/>
  <c r="J206" i="1"/>
  <c r="K206" i="1" s="1"/>
  <c r="Z206" i="1" s="1"/>
  <c r="T206" i="1"/>
  <c r="I207" i="1"/>
  <c r="L207" i="1" s="1"/>
  <c r="W207" i="1" s="1"/>
  <c r="Y207" i="1" s="1"/>
  <c r="J207" i="1"/>
  <c r="K207" i="1" s="1"/>
  <c r="T207" i="1"/>
  <c r="I208" i="1"/>
  <c r="L208" i="1" s="1"/>
  <c r="J208" i="1"/>
  <c r="K208" i="1"/>
  <c r="Z208" i="1" s="1"/>
  <c r="T208" i="1"/>
  <c r="I209" i="1"/>
  <c r="L209" i="1" s="1"/>
  <c r="J209" i="1"/>
  <c r="K209" i="1"/>
  <c r="T209" i="1"/>
  <c r="I210" i="1"/>
  <c r="L210" i="1" s="1"/>
  <c r="J210" i="1"/>
  <c r="K210" i="1"/>
  <c r="T210" i="1"/>
  <c r="I211" i="1"/>
  <c r="L211" i="1" s="1"/>
  <c r="W211" i="1" s="1"/>
  <c r="Y211" i="1" s="1"/>
  <c r="J211" i="1"/>
  <c r="K211" i="1" s="1"/>
  <c r="R211" i="1"/>
  <c r="T211" i="1"/>
  <c r="I212" i="1"/>
  <c r="L212" i="1" s="1"/>
  <c r="W212" i="1" s="1"/>
  <c r="Y212" i="1" s="1"/>
  <c r="J212" i="1"/>
  <c r="K212" i="1"/>
  <c r="T212" i="1"/>
  <c r="I213" i="1"/>
  <c r="L213" i="1" s="1"/>
  <c r="W213" i="1" s="1"/>
  <c r="Y213" i="1" s="1"/>
  <c r="J213" i="1"/>
  <c r="K213" i="1"/>
  <c r="Z213" i="1" s="1"/>
  <c r="T213" i="1"/>
  <c r="I214" i="1"/>
  <c r="L214" i="1" s="1"/>
  <c r="J214" i="1"/>
  <c r="K214" i="1" s="1"/>
  <c r="T214" i="1"/>
  <c r="I215" i="1"/>
  <c r="J215" i="1"/>
  <c r="K215" i="1" s="1"/>
  <c r="Z215" i="1" s="1"/>
  <c r="L215" i="1"/>
  <c r="W215" i="1" s="1"/>
  <c r="Y215" i="1" s="1"/>
  <c r="T215" i="1"/>
  <c r="I216" i="1"/>
  <c r="L216" i="1" s="1"/>
  <c r="W216" i="1" s="1"/>
  <c r="Y216" i="1" s="1"/>
  <c r="J216" i="1"/>
  <c r="K216" i="1" s="1"/>
  <c r="T216" i="1"/>
  <c r="I217" i="1"/>
  <c r="L217" i="1" s="1"/>
  <c r="J217" i="1"/>
  <c r="K217" i="1" s="1"/>
  <c r="T217" i="1"/>
  <c r="I218" i="1"/>
  <c r="L218" i="1" s="1"/>
  <c r="W218" i="1" s="1"/>
  <c r="Y218" i="1" s="1"/>
  <c r="J218" i="1"/>
  <c r="K218" i="1" s="1"/>
  <c r="T218" i="1"/>
  <c r="I219" i="1"/>
  <c r="L219" i="1" s="1"/>
  <c r="W219" i="1" s="1"/>
  <c r="Y219" i="1" s="1"/>
  <c r="J219" i="1"/>
  <c r="K219" i="1" s="1"/>
  <c r="T219" i="1"/>
  <c r="I220" i="1"/>
  <c r="L220" i="1" s="1"/>
  <c r="J220" i="1"/>
  <c r="K220" i="1" s="1"/>
  <c r="T220" i="1"/>
  <c r="I221" i="1"/>
  <c r="L221" i="1" s="1"/>
  <c r="W221" i="1" s="1"/>
  <c r="Y221" i="1" s="1"/>
  <c r="J221" i="1"/>
  <c r="K221" i="1" s="1"/>
  <c r="Z221" i="1" s="1"/>
  <c r="T221" i="1"/>
  <c r="I222" i="1"/>
  <c r="L222" i="1" s="1"/>
  <c r="J222" i="1"/>
  <c r="K222" i="1" s="1"/>
  <c r="T222" i="1"/>
  <c r="I223" i="1"/>
  <c r="L223" i="1" s="1"/>
  <c r="W223" i="1" s="1"/>
  <c r="Y223" i="1" s="1"/>
  <c r="J223" i="1"/>
  <c r="K223" i="1" s="1"/>
  <c r="Z223" i="1" s="1"/>
  <c r="T223" i="1"/>
  <c r="I224" i="1"/>
  <c r="L224" i="1" s="1"/>
  <c r="W224" i="1" s="1"/>
  <c r="Y224" i="1" s="1"/>
  <c r="J224" i="1"/>
  <c r="K224" i="1"/>
  <c r="Z224" i="1" s="1"/>
  <c r="T224" i="1"/>
  <c r="I225" i="1"/>
  <c r="J225" i="1"/>
  <c r="K225" i="1" s="1"/>
  <c r="L225" i="1"/>
  <c r="W225" i="1" s="1"/>
  <c r="Y225" i="1" s="1"/>
  <c r="T225" i="1"/>
  <c r="I226" i="1"/>
  <c r="L226" i="1" s="1"/>
  <c r="J226" i="1"/>
  <c r="K226" i="1"/>
  <c r="T226" i="1"/>
  <c r="I227" i="1"/>
  <c r="L227" i="1" s="1"/>
  <c r="W227" i="1" s="1"/>
  <c r="Y227" i="1" s="1"/>
  <c r="J227" i="1"/>
  <c r="K227" i="1" s="1"/>
  <c r="Z227" i="1" s="1"/>
  <c r="T227" i="1"/>
  <c r="I228" i="1"/>
  <c r="L228" i="1" s="1"/>
  <c r="W228" i="1" s="1"/>
  <c r="Y228" i="1" s="1"/>
  <c r="J228" i="1"/>
  <c r="K228" i="1" s="1"/>
  <c r="T228" i="1"/>
  <c r="I229" i="1"/>
  <c r="L229" i="1" s="1"/>
  <c r="W229" i="1" s="1"/>
  <c r="Y229" i="1" s="1"/>
  <c r="J229" i="1"/>
  <c r="K229" i="1" s="1"/>
  <c r="Z229" i="1" s="1"/>
  <c r="T229" i="1"/>
  <c r="I230" i="1"/>
  <c r="L230" i="1" s="1"/>
  <c r="J230" i="1"/>
  <c r="K230" i="1" s="1"/>
  <c r="T230" i="1"/>
  <c r="I231" i="1"/>
  <c r="L231" i="1" s="1"/>
  <c r="J231" i="1"/>
  <c r="K231" i="1" s="1"/>
  <c r="Z231" i="1" s="1"/>
  <c r="T231" i="1"/>
  <c r="I232" i="1"/>
  <c r="L232" i="1" s="1"/>
  <c r="W232" i="1" s="1"/>
  <c r="Y232" i="1" s="1"/>
  <c r="J232" i="1"/>
  <c r="K232" i="1" s="1"/>
  <c r="T232" i="1"/>
  <c r="I233" i="1"/>
  <c r="L233" i="1" s="1"/>
  <c r="J233" i="1"/>
  <c r="K233" i="1" s="1"/>
  <c r="T233" i="1"/>
  <c r="I234" i="1"/>
  <c r="L234" i="1" s="1"/>
  <c r="W234" i="1" s="1"/>
  <c r="Y234" i="1" s="1"/>
  <c r="J234" i="1"/>
  <c r="K234" i="1"/>
  <c r="Z234" i="1" s="1"/>
  <c r="T234" i="1"/>
  <c r="I235" i="1"/>
  <c r="L235" i="1" s="1"/>
  <c r="W235" i="1" s="1"/>
  <c r="Y235" i="1" s="1"/>
  <c r="J235" i="1"/>
  <c r="K235" i="1" s="1"/>
  <c r="T235" i="1"/>
  <c r="I236" i="1"/>
  <c r="J236" i="1"/>
  <c r="K236" i="1" s="1"/>
  <c r="Z236" i="1" s="1"/>
  <c r="L236" i="1"/>
  <c r="W236" i="1" s="1"/>
  <c r="Y236" i="1" s="1"/>
  <c r="T236" i="1"/>
  <c r="I237" i="1"/>
  <c r="L237" i="1" s="1"/>
  <c r="W237" i="1" s="1"/>
  <c r="Y237" i="1" s="1"/>
  <c r="J237" i="1"/>
  <c r="K237" i="1"/>
  <c r="T237" i="1"/>
  <c r="I238" i="1"/>
  <c r="L238" i="1" s="1"/>
  <c r="J238" i="1"/>
  <c r="K238" i="1"/>
  <c r="T238" i="1"/>
  <c r="I239" i="1"/>
  <c r="L239" i="1" s="1"/>
  <c r="J239" i="1"/>
  <c r="K239" i="1" s="1"/>
  <c r="Z239" i="1" s="1"/>
  <c r="T239" i="1"/>
  <c r="I240" i="1"/>
  <c r="L240" i="1" s="1"/>
  <c r="J240" i="1"/>
  <c r="K240" i="1" s="1"/>
  <c r="T240" i="1"/>
  <c r="I241" i="1"/>
  <c r="L241" i="1" s="1"/>
  <c r="J241" i="1"/>
  <c r="K241" i="1" s="1"/>
  <c r="Z241" i="1" s="1"/>
  <c r="T241" i="1"/>
  <c r="I242" i="1"/>
  <c r="L242" i="1" s="1"/>
  <c r="J242" i="1"/>
  <c r="K242" i="1" s="1"/>
  <c r="T242" i="1"/>
  <c r="I243" i="1"/>
  <c r="L243" i="1" s="1"/>
  <c r="J243" i="1"/>
  <c r="K243" i="1"/>
  <c r="Z243" i="1" s="1"/>
  <c r="T243" i="1"/>
  <c r="I244" i="1"/>
  <c r="L244" i="1" s="1"/>
  <c r="J244" i="1"/>
  <c r="K244" i="1" s="1"/>
  <c r="T244" i="1"/>
  <c r="I245" i="1"/>
  <c r="L245" i="1" s="1"/>
  <c r="J245" i="1"/>
  <c r="K245" i="1" s="1"/>
  <c r="Z245" i="1" s="1"/>
  <c r="T245" i="1"/>
  <c r="I246" i="1"/>
  <c r="L246" i="1" s="1"/>
  <c r="J246" i="1"/>
  <c r="K246" i="1" s="1"/>
  <c r="T246" i="1"/>
  <c r="I247" i="1"/>
  <c r="L247" i="1" s="1"/>
  <c r="J247" i="1"/>
  <c r="K247" i="1"/>
  <c r="Z247" i="1" s="1"/>
  <c r="T247" i="1"/>
  <c r="I248" i="1"/>
  <c r="L248" i="1" s="1"/>
  <c r="J248" i="1"/>
  <c r="K248" i="1" s="1"/>
  <c r="T248" i="1"/>
  <c r="I249" i="1"/>
  <c r="L249" i="1" s="1"/>
  <c r="J249" i="1"/>
  <c r="K249" i="1" s="1"/>
  <c r="Z249" i="1" s="1"/>
  <c r="T249" i="1"/>
  <c r="I250" i="1"/>
  <c r="L250" i="1" s="1"/>
  <c r="J250" i="1"/>
  <c r="K250" i="1" s="1"/>
  <c r="T250" i="1"/>
  <c r="I251" i="1"/>
  <c r="L251" i="1" s="1"/>
  <c r="J251" i="1"/>
  <c r="K251" i="1" s="1"/>
  <c r="Z251" i="1" s="1"/>
  <c r="T251" i="1"/>
  <c r="I252" i="1"/>
  <c r="L252" i="1" s="1"/>
  <c r="J252" i="1"/>
  <c r="K252" i="1" s="1"/>
  <c r="T252" i="1"/>
  <c r="I253" i="1"/>
  <c r="L253" i="1" s="1"/>
  <c r="J253" i="1"/>
  <c r="K253" i="1" s="1"/>
  <c r="Z253" i="1" s="1"/>
  <c r="T253" i="1"/>
  <c r="I254" i="1"/>
  <c r="L254" i="1" s="1"/>
  <c r="J254" i="1"/>
  <c r="K254" i="1" s="1"/>
  <c r="T254" i="1"/>
  <c r="I255" i="1"/>
  <c r="L255" i="1" s="1"/>
  <c r="J255" i="1"/>
  <c r="K255" i="1" s="1"/>
  <c r="Z255" i="1" s="1"/>
  <c r="T255" i="1"/>
  <c r="I256" i="1"/>
  <c r="L256" i="1" s="1"/>
  <c r="J256" i="1"/>
  <c r="K256" i="1" s="1"/>
  <c r="T256" i="1"/>
  <c r="I257" i="1"/>
  <c r="L257" i="1" s="1"/>
  <c r="J257" i="1"/>
  <c r="K257" i="1"/>
  <c r="Z257" i="1" s="1"/>
  <c r="T257" i="1"/>
  <c r="I258" i="1"/>
  <c r="L258" i="1" s="1"/>
  <c r="J258" i="1"/>
  <c r="K258" i="1" s="1"/>
  <c r="T258" i="1"/>
  <c r="I259" i="1"/>
  <c r="L259" i="1" s="1"/>
  <c r="J259" i="1"/>
  <c r="K259" i="1" s="1"/>
  <c r="Z259" i="1" s="1"/>
  <c r="T259" i="1"/>
  <c r="I260" i="1"/>
  <c r="L260" i="1" s="1"/>
  <c r="J260" i="1"/>
  <c r="K260" i="1" s="1"/>
  <c r="T260" i="1"/>
  <c r="I261" i="1"/>
  <c r="L261" i="1" s="1"/>
  <c r="J261" i="1"/>
  <c r="K261" i="1" s="1"/>
  <c r="Z261" i="1" s="1"/>
  <c r="T261" i="1"/>
  <c r="I262" i="1"/>
  <c r="L262" i="1" s="1"/>
  <c r="J262" i="1"/>
  <c r="K262" i="1" s="1"/>
  <c r="T262" i="1"/>
  <c r="I263" i="1"/>
  <c r="L263" i="1" s="1"/>
  <c r="J263" i="1"/>
  <c r="K263" i="1" s="1"/>
  <c r="Z263" i="1" s="1"/>
  <c r="T263" i="1"/>
  <c r="I264" i="1"/>
  <c r="L264" i="1" s="1"/>
  <c r="J264" i="1"/>
  <c r="K264" i="1" s="1"/>
  <c r="T264" i="1"/>
  <c r="I265" i="1"/>
  <c r="L265" i="1" s="1"/>
  <c r="J265" i="1"/>
  <c r="K265" i="1" s="1"/>
  <c r="Z265" i="1" s="1"/>
  <c r="T265" i="1"/>
  <c r="I266" i="1"/>
  <c r="L266" i="1" s="1"/>
  <c r="J266" i="1"/>
  <c r="K266" i="1" s="1"/>
  <c r="T266" i="1"/>
  <c r="I267" i="1"/>
  <c r="L267" i="1" s="1"/>
  <c r="J267" i="1"/>
  <c r="K267" i="1"/>
  <c r="Z267" i="1" s="1"/>
  <c r="T267" i="1"/>
  <c r="I268" i="1"/>
  <c r="L268" i="1" s="1"/>
  <c r="J268" i="1"/>
  <c r="K268" i="1" s="1"/>
  <c r="T268" i="1"/>
  <c r="I269" i="1"/>
  <c r="L269" i="1" s="1"/>
  <c r="J269" i="1"/>
  <c r="K269" i="1" s="1"/>
  <c r="Z269" i="1" s="1"/>
  <c r="T269" i="1"/>
  <c r="I270" i="1"/>
  <c r="L270" i="1" s="1"/>
  <c r="J270" i="1"/>
  <c r="K270" i="1" s="1"/>
  <c r="T270" i="1"/>
  <c r="I271" i="1"/>
  <c r="L271" i="1" s="1"/>
  <c r="J271" i="1"/>
  <c r="K271" i="1" s="1"/>
  <c r="Z271" i="1" s="1"/>
  <c r="T271" i="1"/>
  <c r="I272" i="1"/>
  <c r="L272" i="1" s="1"/>
  <c r="J272" i="1"/>
  <c r="K272" i="1" s="1"/>
  <c r="T272" i="1"/>
  <c r="I273" i="1"/>
  <c r="L273" i="1" s="1"/>
  <c r="J273" i="1"/>
  <c r="K273" i="1" s="1"/>
  <c r="Z273" i="1" s="1"/>
  <c r="T273" i="1"/>
  <c r="I274" i="1"/>
  <c r="L274" i="1" s="1"/>
  <c r="J274" i="1"/>
  <c r="K274" i="1" s="1"/>
  <c r="T274" i="1"/>
  <c r="I275" i="1"/>
  <c r="L275" i="1" s="1"/>
  <c r="J275" i="1"/>
  <c r="K275" i="1" s="1"/>
  <c r="Z275" i="1" s="1"/>
  <c r="T275" i="1"/>
  <c r="I276" i="1"/>
  <c r="L276" i="1" s="1"/>
  <c r="J276" i="1"/>
  <c r="K276" i="1" s="1"/>
  <c r="T276" i="1"/>
  <c r="I277" i="1"/>
  <c r="L277" i="1" s="1"/>
  <c r="J277" i="1"/>
  <c r="K277" i="1" s="1"/>
  <c r="Z277" i="1" s="1"/>
  <c r="T277" i="1"/>
  <c r="I278" i="1"/>
  <c r="L278" i="1" s="1"/>
  <c r="J278" i="1"/>
  <c r="K278" i="1" s="1"/>
  <c r="Z278" i="1" s="1"/>
  <c r="T278" i="1"/>
  <c r="I279" i="1"/>
  <c r="L279" i="1" s="1"/>
  <c r="J279" i="1"/>
  <c r="K279" i="1" s="1"/>
  <c r="Z279" i="1" s="1"/>
  <c r="T279" i="1"/>
  <c r="I280" i="1"/>
  <c r="L280" i="1" s="1"/>
  <c r="J280" i="1"/>
  <c r="K280" i="1" s="1"/>
  <c r="T280" i="1"/>
  <c r="I281" i="1"/>
  <c r="L281" i="1" s="1"/>
  <c r="J281" i="1"/>
  <c r="K281" i="1" s="1"/>
  <c r="Z281" i="1" s="1"/>
  <c r="T281" i="1"/>
  <c r="I282" i="1"/>
  <c r="L282" i="1" s="1"/>
  <c r="J282" i="1"/>
  <c r="K282" i="1" s="1"/>
  <c r="R282" i="1"/>
  <c r="T282" i="1"/>
  <c r="I283" i="1"/>
  <c r="L283" i="1" s="1"/>
  <c r="J283" i="1"/>
  <c r="K283" i="1"/>
  <c r="Z283" i="1" s="1"/>
  <c r="T283" i="1"/>
  <c r="I284" i="1"/>
  <c r="L284" i="1" s="1"/>
  <c r="J284" i="1"/>
  <c r="K284" i="1" s="1"/>
  <c r="T284" i="1"/>
  <c r="I285" i="1"/>
  <c r="L285" i="1" s="1"/>
  <c r="J285" i="1"/>
  <c r="K285" i="1" s="1"/>
  <c r="Z285" i="1" s="1"/>
  <c r="T285" i="1"/>
  <c r="I286" i="1"/>
  <c r="L286" i="1" s="1"/>
  <c r="W286" i="1" s="1"/>
  <c r="Y286" i="1" s="1"/>
  <c r="J286" i="1"/>
  <c r="K286" i="1" s="1"/>
  <c r="R286" i="1" s="1"/>
  <c r="T286" i="1"/>
  <c r="I287" i="1"/>
  <c r="L287" i="1" s="1"/>
  <c r="J287" i="1"/>
  <c r="K287" i="1"/>
  <c r="Z287" i="1" s="1"/>
  <c r="T287" i="1"/>
  <c r="I288" i="1"/>
  <c r="L288" i="1" s="1"/>
  <c r="J288" i="1"/>
  <c r="K288" i="1" s="1"/>
  <c r="Z288" i="1" s="1"/>
  <c r="T288" i="1"/>
  <c r="I289" i="1"/>
  <c r="L289" i="1" s="1"/>
  <c r="J289" i="1"/>
  <c r="K289" i="1" s="1"/>
  <c r="T289" i="1"/>
  <c r="I290" i="1"/>
  <c r="L290" i="1" s="1"/>
  <c r="W290" i="1" s="1"/>
  <c r="Y290" i="1" s="1"/>
  <c r="J290" i="1"/>
  <c r="K290" i="1" s="1"/>
  <c r="T290" i="1"/>
  <c r="I291" i="1"/>
  <c r="L291" i="1" s="1"/>
  <c r="J291" i="1"/>
  <c r="K291" i="1" s="1"/>
  <c r="T291" i="1"/>
  <c r="I292" i="1"/>
  <c r="L292" i="1" s="1"/>
  <c r="W292" i="1" s="1"/>
  <c r="Y292" i="1" s="1"/>
  <c r="J292" i="1"/>
  <c r="K292" i="1" s="1"/>
  <c r="Z292" i="1" s="1"/>
  <c r="T292" i="1"/>
  <c r="I293" i="1"/>
  <c r="L293" i="1" s="1"/>
  <c r="J293" i="1"/>
  <c r="K293" i="1" s="1"/>
  <c r="T293" i="1"/>
  <c r="I294" i="1"/>
  <c r="L294" i="1" s="1"/>
  <c r="W294" i="1" s="1"/>
  <c r="Y294" i="1" s="1"/>
  <c r="J294" i="1"/>
  <c r="K294" i="1" s="1"/>
  <c r="T294" i="1"/>
  <c r="I295" i="1"/>
  <c r="L295" i="1" s="1"/>
  <c r="W295" i="1" s="1"/>
  <c r="Y295" i="1" s="1"/>
  <c r="J295" i="1"/>
  <c r="K295" i="1" s="1"/>
  <c r="T295" i="1"/>
  <c r="I296" i="1"/>
  <c r="L296" i="1" s="1"/>
  <c r="W296" i="1" s="1"/>
  <c r="Y296" i="1" s="1"/>
  <c r="J296" i="1"/>
  <c r="K296" i="1" s="1"/>
  <c r="Z296" i="1" s="1"/>
  <c r="T296" i="1"/>
  <c r="I297" i="1"/>
  <c r="L297" i="1" s="1"/>
  <c r="J297" i="1"/>
  <c r="K297" i="1" s="1"/>
  <c r="T297" i="1"/>
  <c r="I298" i="1"/>
  <c r="L298" i="1" s="1"/>
  <c r="W298" i="1" s="1"/>
  <c r="Y298" i="1" s="1"/>
  <c r="J298" i="1"/>
  <c r="K298" i="1" s="1"/>
  <c r="T298" i="1"/>
  <c r="I299" i="1"/>
  <c r="L299" i="1" s="1"/>
  <c r="W299" i="1" s="1"/>
  <c r="Y299" i="1" s="1"/>
  <c r="J299" i="1"/>
  <c r="K299" i="1" s="1"/>
  <c r="T299" i="1"/>
  <c r="I300" i="1"/>
  <c r="L300" i="1" s="1"/>
  <c r="W300" i="1" s="1"/>
  <c r="Y300" i="1" s="1"/>
  <c r="J300" i="1"/>
  <c r="K300" i="1" s="1"/>
  <c r="Z300" i="1" s="1"/>
  <c r="T300" i="1"/>
  <c r="I301" i="1"/>
  <c r="L301" i="1" s="1"/>
  <c r="W301" i="1" s="1"/>
  <c r="Y301" i="1" s="1"/>
  <c r="J301" i="1"/>
  <c r="K301" i="1" s="1"/>
  <c r="T301" i="1"/>
  <c r="N286" i="1" l="1"/>
  <c r="S156" i="1"/>
  <c r="Z156" i="1"/>
  <c r="S182" i="1"/>
  <c r="Z182" i="1"/>
  <c r="S230" i="1"/>
  <c r="Z230" i="1"/>
  <c r="S176" i="1"/>
  <c r="Z176" i="1"/>
  <c r="S166" i="1"/>
  <c r="Z166" i="1"/>
  <c r="S162" i="1"/>
  <c r="Z162" i="1"/>
  <c r="S256" i="1"/>
  <c r="Z256" i="1"/>
  <c r="S210" i="1"/>
  <c r="Z210" i="1"/>
  <c r="S169" i="1"/>
  <c r="Z169" i="1"/>
  <c r="S164" i="1"/>
  <c r="Z164" i="1"/>
  <c r="S158" i="1"/>
  <c r="Z158" i="1"/>
  <c r="S151" i="1"/>
  <c r="Z151" i="1"/>
  <c r="S301" i="1"/>
  <c r="Z301" i="1"/>
  <c r="S270" i="1"/>
  <c r="Z270" i="1"/>
  <c r="S250" i="1"/>
  <c r="Z250" i="1"/>
  <c r="S242" i="1"/>
  <c r="Z242" i="1"/>
  <c r="S212" i="1"/>
  <c r="Z212" i="1"/>
  <c r="S184" i="1"/>
  <c r="Z184" i="1"/>
  <c r="S177" i="1"/>
  <c r="Z177" i="1"/>
  <c r="S289" i="1"/>
  <c r="Z289" i="1"/>
  <c r="S284" i="1"/>
  <c r="Z284" i="1"/>
  <c r="S282" i="1"/>
  <c r="Z282" i="1"/>
  <c r="S274" i="1"/>
  <c r="Z274" i="1"/>
  <c r="S264" i="1"/>
  <c r="Z264" i="1"/>
  <c r="S258" i="1"/>
  <c r="Z258" i="1"/>
  <c r="S252" i="1"/>
  <c r="Z252" i="1"/>
  <c r="S244" i="1"/>
  <c r="Z244" i="1"/>
  <c r="S232" i="1"/>
  <c r="Z232" i="1"/>
  <c r="S225" i="1"/>
  <c r="Z225" i="1"/>
  <c r="S220" i="1"/>
  <c r="Z220" i="1"/>
  <c r="S216" i="1"/>
  <c r="Z216" i="1"/>
  <c r="S211" i="1"/>
  <c r="Z211" i="1"/>
  <c r="S194" i="1"/>
  <c r="Z194" i="1"/>
  <c r="S186" i="1"/>
  <c r="Z186" i="1"/>
  <c r="S185" i="1"/>
  <c r="Z185" i="1"/>
  <c r="S179" i="1"/>
  <c r="Z179" i="1"/>
  <c r="S170" i="1"/>
  <c r="Z170" i="1"/>
  <c r="S165" i="1"/>
  <c r="Z165" i="1"/>
  <c r="S159" i="1"/>
  <c r="Z159" i="1"/>
  <c r="S152" i="1"/>
  <c r="Z152" i="1"/>
  <c r="S219" i="1"/>
  <c r="Z219" i="1"/>
  <c r="S214" i="1"/>
  <c r="Z214" i="1"/>
  <c r="S209" i="1"/>
  <c r="Z209" i="1"/>
  <c r="S207" i="1"/>
  <c r="Z207" i="1"/>
  <c r="S192" i="1"/>
  <c r="Z192" i="1"/>
  <c r="S157" i="1"/>
  <c r="Z157" i="1"/>
  <c r="S297" i="1"/>
  <c r="Z297" i="1"/>
  <c r="S290" i="1"/>
  <c r="Z290" i="1"/>
  <c r="S286" i="1"/>
  <c r="Z286" i="1"/>
  <c r="S266" i="1"/>
  <c r="Z266" i="1"/>
  <c r="S260" i="1"/>
  <c r="Z260" i="1"/>
  <c r="S254" i="1"/>
  <c r="Z254" i="1"/>
  <c r="S238" i="1"/>
  <c r="Z238" i="1"/>
  <c r="S237" i="1"/>
  <c r="Z237" i="1"/>
  <c r="S217" i="1"/>
  <c r="Z217" i="1"/>
  <c r="S205" i="1"/>
  <c r="Z205" i="1"/>
  <c r="S200" i="1"/>
  <c r="Z200" i="1"/>
  <c r="S187" i="1"/>
  <c r="Z187" i="1"/>
  <c r="S174" i="1"/>
  <c r="Z174" i="1"/>
  <c r="S172" i="1"/>
  <c r="Z172" i="1"/>
  <c r="S171" i="1"/>
  <c r="Z171" i="1"/>
  <c r="S167" i="1"/>
  <c r="Z167" i="1"/>
  <c r="S154" i="1"/>
  <c r="Z154" i="1"/>
  <c r="S153" i="1"/>
  <c r="Z153" i="1"/>
  <c r="S272" i="1"/>
  <c r="Z272" i="1"/>
  <c r="S226" i="1"/>
  <c r="Z226" i="1"/>
  <c r="S183" i="1"/>
  <c r="Z183" i="1"/>
  <c r="S178" i="1"/>
  <c r="Z178" i="1"/>
  <c r="S163" i="1"/>
  <c r="Z163" i="1"/>
  <c r="S293" i="1"/>
  <c r="Z293" i="1"/>
  <c r="S298" i="1"/>
  <c r="Z298" i="1"/>
  <c r="S294" i="1"/>
  <c r="Z294" i="1"/>
  <c r="S246" i="1"/>
  <c r="Z246" i="1"/>
  <c r="S233" i="1"/>
  <c r="Z233" i="1"/>
  <c r="S228" i="1"/>
  <c r="Z228" i="1"/>
  <c r="S180" i="1"/>
  <c r="Z180" i="1"/>
  <c r="S160" i="1"/>
  <c r="Z160" i="1"/>
  <c r="S299" i="1"/>
  <c r="Z299" i="1"/>
  <c r="S295" i="1"/>
  <c r="Z295" i="1"/>
  <c r="S291" i="1"/>
  <c r="Z291" i="1"/>
  <c r="S280" i="1"/>
  <c r="Z280" i="1"/>
  <c r="S276" i="1"/>
  <c r="Z276" i="1"/>
  <c r="R272" i="1"/>
  <c r="R270" i="1"/>
  <c r="S268" i="1"/>
  <c r="Z268" i="1"/>
  <c r="S262" i="1"/>
  <c r="Z262" i="1"/>
  <c r="S248" i="1"/>
  <c r="Z248" i="1"/>
  <c r="S240" i="1"/>
  <c r="Z240" i="1"/>
  <c r="S235" i="1"/>
  <c r="Z235" i="1"/>
  <c r="S222" i="1"/>
  <c r="Z222" i="1"/>
  <c r="S218" i="1"/>
  <c r="Z218" i="1"/>
  <c r="S202" i="1"/>
  <c r="Z202" i="1"/>
  <c r="S199" i="1"/>
  <c r="Z199" i="1"/>
  <c r="S197" i="1"/>
  <c r="Z197" i="1"/>
  <c r="S181" i="1"/>
  <c r="Z181" i="1"/>
  <c r="S175" i="1"/>
  <c r="Z175" i="1"/>
  <c r="S173" i="1"/>
  <c r="Z173" i="1"/>
  <c r="S168" i="1"/>
  <c r="Z168" i="1"/>
  <c r="S161" i="1"/>
  <c r="Z161" i="1"/>
  <c r="S155" i="1"/>
  <c r="Z155" i="1"/>
  <c r="N284" i="1"/>
  <c r="W284" i="1"/>
  <c r="Y284" i="1" s="1"/>
  <c r="N276" i="1"/>
  <c r="W276" i="1"/>
  <c r="Y276" i="1" s="1"/>
  <c r="N262" i="1"/>
  <c r="W262" i="1"/>
  <c r="Y262" i="1" s="1"/>
  <c r="N222" i="1"/>
  <c r="W222" i="1"/>
  <c r="Y222" i="1" s="1"/>
  <c r="N200" i="1"/>
  <c r="W200" i="1"/>
  <c r="Y200" i="1" s="1"/>
  <c r="N181" i="1"/>
  <c r="W181" i="1"/>
  <c r="Y181" i="1" s="1"/>
  <c r="N155" i="1"/>
  <c r="W155" i="1"/>
  <c r="Y155" i="1" s="1"/>
  <c r="U293" i="1"/>
  <c r="W293" i="1"/>
  <c r="Y293" i="1" s="1"/>
  <c r="N287" i="1"/>
  <c r="W287" i="1"/>
  <c r="Y287" i="1" s="1"/>
  <c r="N283" i="1"/>
  <c r="W283" i="1"/>
  <c r="Y283" i="1" s="1"/>
  <c r="N278" i="1"/>
  <c r="W278" i="1"/>
  <c r="Y278" i="1" s="1"/>
  <c r="N264" i="1"/>
  <c r="W264" i="1"/>
  <c r="Y264" i="1" s="1"/>
  <c r="N257" i="1"/>
  <c r="W257" i="1"/>
  <c r="Y257" i="1" s="1"/>
  <c r="N251" i="1"/>
  <c r="W251" i="1"/>
  <c r="Y251" i="1" s="1"/>
  <c r="N243" i="1"/>
  <c r="W243" i="1"/>
  <c r="Y243" i="1" s="1"/>
  <c r="N239" i="1"/>
  <c r="W239" i="1"/>
  <c r="Y239" i="1" s="1"/>
  <c r="N226" i="1"/>
  <c r="W226" i="1"/>
  <c r="Y226" i="1" s="1"/>
  <c r="O208" i="1"/>
  <c r="W208" i="1"/>
  <c r="Y208" i="1" s="1"/>
  <c r="N192" i="1"/>
  <c r="W192" i="1"/>
  <c r="Y192" i="1" s="1"/>
  <c r="N179" i="1"/>
  <c r="W179" i="1"/>
  <c r="Y179" i="1" s="1"/>
  <c r="N173" i="1"/>
  <c r="W173" i="1"/>
  <c r="Y173" i="1" s="1"/>
  <c r="N165" i="1"/>
  <c r="W165" i="1"/>
  <c r="Y165" i="1" s="1"/>
  <c r="N152" i="1"/>
  <c r="W152" i="1"/>
  <c r="Y152" i="1" s="1"/>
  <c r="N280" i="1"/>
  <c r="W280" i="1"/>
  <c r="Y280" i="1" s="1"/>
  <c r="N267" i="1"/>
  <c r="W267" i="1"/>
  <c r="Y267" i="1" s="1"/>
  <c r="N255" i="1"/>
  <c r="W255" i="1"/>
  <c r="Y255" i="1" s="1"/>
  <c r="N240" i="1"/>
  <c r="W240" i="1"/>
  <c r="Y240" i="1" s="1"/>
  <c r="N202" i="1"/>
  <c r="W202" i="1"/>
  <c r="Y202" i="1" s="1"/>
  <c r="N198" i="1"/>
  <c r="W198" i="1"/>
  <c r="Y198" i="1" s="1"/>
  <c r="N175" i="1"/>
  <c r="W175" i="1"/>
  <c r="Y175" i="1" s="1"/>
  <c r="U297" i="1"/>
  <c r="W297" i="1"/>
  <c r="Y297" i="1" s="1"/>
  <c r="O289" i="1"/>
  <c r="W289" i="1"/>
  <c r="Y289" i="1" s="1"/>
  <c r="N285" i="1"/>
  <c r="W285" i="1"/>
  <c r="Y285" i="1" s="1"/>
  <c r="N282" i="1"/>
  <c r="W282" i="1"/>
  <c r="Y282" i="1" s="1"/>
  <c r="N274" i="1"/>
  <c r="W274" i="1"/>
  <c r="Y274" i="1" s="1"/>
  <c r="N258" i="1"/>
  <c r="W258" i="1"/>
  <c r="Y258" i="1" s="1"/>
  <c r="N252" i="1"/>
  <c r="W252" i="1"/>
  <c r="Y252" i="1" s="1"/>
  <c r="N244" i="1"/>
  <c r="W244" i="1"/>
  <c r="Y244" i="1" s="1"/>
  <c r="U220" i="1"/>
  <c r="W220" i="1"/>
  <c r="Y220" i="1" s="1"/>
  <c r="N210" i="1"/>
  <c r="W210" i="1"/>
  <c r="Y210" i="1" s="1"/>
  <c r="O209" i="1"/>
  <c r="W209" i="1"/>
  <c r="Y209" i="1" s="1"/>
  <c r="N194" i="1"/>
  <c r="W194" i="1"/>
  <c r="Y194" i="1" s="1"/>
  <c r="N190" i="1"/>
  <c r="W190" i="1"/>
  <c r="Y190" i="1" s="1"/>
  <c r="N186" i="1"/>
  <c r="W186" i="1"/>
  <c r="Y186" i="1" s="1"/>
  <c r="N159" i="1"/>
  <c r="W159" i="1"/>
  <c r="Y159" i="1" s="1"/>
  <c r="N279" i="1"/>
  <c r="W279" i="1"/>
  <c r="Y279" i="1" s="1"/>
  <c r="N275" i="1"/>
  <c r="W275" i="1"/>
  <c r="Y275" i="1" s="1"/>
  <c r="N266" i="1"/>
  <c r="W266" i="1"/>
  <c r="Y266" i="1" s="1"/>
  <c r="N265" i="1"/>
  <c r="W265" i="1"/>
  <c r="Y265" i="1" s="1"/>
  <c r="N260" i="1"/>
  <c r="W260" i="1"/>
  <c r="Y260" i="1" s="1"/>
  <c r="N259" i="1"/>
  <c r="W259" i="1"/>
  <c r="Y259" i="1" s="1"/>
  <c r="N254" i="1"/>
  <c r="W254" i="1"/>
  <c r="Y254" i="1" s="1"/>
  <c r="N253" i="1"/>
  <c r="W253" i="1"/>
  <c r="Y253" i="1" s="1"/>
  <c r="N246" i="1"/>
  <c r="W246" i="1"/>
  <c r="Y246" i="1" s="1"/>
  <c r="N245" i="1"/>
  <c r="W245" i="1"/>
  <c r="Y245" i="1" s="1"/>
  <c r="N233" i="1"/>
  <c r="W233" i="1"/>
  <c r="Y233" i="1" s="1"/>
  <c r="N217" i="1"/>
  <c r="W217" i="1"/>
  <c r="Y217" i="1" s="1"/>
  <c r="N180" i="1"/>
  <c r="W180" i="1"/>
  <c r="Y180" i="1" s="1"/>
  <c r="N171" i="1"/>
  <c r="W171" i="1"/>
  <c r="Y171" i="1" s="1"/>
  <c r="N167" i="1"/>
  <c r="W167" i="1"/>
  <c r="Y167" i="1" s="1"/>
  <c r="U166" i="1"/>
  <c r="W166" i="1"/>
  <c r="Y166" i="1" s="1"/>
  <c r="N163" i="1"/>
  <c r="W163" i="1"/>
  <c r="Y163" i="1" s="1"/>
  <c r="N160" i="1"/>
  <c r="W160" i="1"/>
  <c r="Y160" i="1" s="1"/>
  <c r="N153" i="1"/>
  <c r="W153" i="1"/>
  <c r="Y153" i="1" s="1"/>
  <c r="N288" i="1"/>
  <c r="W288" i="1"/>
  <c r="Y288" i="1" s="1"/>
  <c r="N268" i="1"/>
  <c r="W268" i="1"/>
  <c r="Y268" i="1" s="1"/>
  <c r="N248" i="1"/>
  <c r="W248" i="1"/>
  <c r="Y248" i="1" s="1"/>
  <c r="O238" i="1"/>
  <c r="W238" i="1"/>
  <c r="Y238" i="1" s="1"/>
  <c r="O188" i="1"/>
  <c r="W188" i="1"/>
  <c r="Y188" i="1" s="1"/>
  <c r="U174" i="1"/>
  <c r="W174" i="1"/>
  <c r="Y174" i="1" s="1"/>
  <c r="N161" i="1"/>
  <c r="W161" i="1"/>
  <c r="Y161" i="1" s="1"/>
  <c r="O291" i="1"/>
  <c r="W291" i="1"/>
  <c r="Y291" i="1" s="1"/>
  <c r="N261" i="1"/>
  <c r="W261" i="1"/>
  <c r="Y261" i="1" s="1"/>
  <c r="N247" i="1"/>
  <c r="W247" i="1"/>
  <c r="Y247" i="1" s="1"/>
  <c r="N206" i="1"/>
  <c r="W206" i="1"/>
  <c r="Y206" i="1" s="1"/>
  <c r="N172" i="1"/>
  <c r="W172" i="1"/>
  <c r="Y172" i="1" s="1"/>
  <c r="N281" i="1"/>
  <c r="W281" i="1"/>
  <c r="Y281" i="1" s="1"/>
  <c r="N277" i="1"/>
  <c r="W277" i="1"/>
  <c r="Y277" i="1" s="1"/>
  <c r="N273" i="1"/>
  <c r="W273" i="1"/>
  <c r="Y273" i="1" s="1"/>
  <c r="N272" i="1"/>
  <c r="W272" i="1"/>
  <c r="Y272" i="1" s="1"/>
  <c r="N271" i="1"/>
  <c r="W271" i="1"/>
  <c r="Y271" i="1" s="1"/>
  <c r="N270" i="1"/>
  <c r="W270" i="1"/>
  <c r="Y270" i="1" s="1"/>
  <c r="N269" i="1"/>
  <c r="W269" i="1"/>
  <c r="Y269" i="1" s="1"/>
  <c r="N263" i="1"/>
  <c r="W263" i="1"/>
  <c r="Y263" i="1" s="1"/>
  <c r="N256" i="1"/>
  <c r="W256" i="1"/>
  <c r="Y256" i="1" s="1"/>
  <c r="N250" i="1"/>
  <c r="W250" i="1"/>
  <c r="Y250" i="1" s="1"/>
  <c r="N249" i="1"/>
  <c r="W249" i="1"/>
  <c r="Y249" i="1" s="1"/>
  <c r="N242" i="1"/>
  <c r="W242" i="1"/>
  <c r="Y242" i="1" s="1"/>
  <c r="N241" i="1"/>
  <c r="W241" i="1"/>
  <c r="Y241" i="1" s="1"/>
  <c r="U231" i="1"/>
  <c r="W231" i="1"/>
  <c r="Y231" i="1" s="1"/>
  <c r="N230" i="1"/>
  <c r="W230" i="1"/>
  <c r="Y230" i="1" s="1"/>
  <c r="N214" i="1"/>
  <c r="W214" i="1"/>
  <c r="Y214" i="1" s="1"/>
  <c r="N183" i="1"/>
  <c r="W183" i="1"/>
  <c r="Y183" i="1" s="1"/>
  <c r="U182" i="1"/>
  <c r="W182" i="1"/>
  <c r="Y182" i="1" s="1"/>
  <c r="N177" i="1"/>
  <c r="W177" i="1"/>
  <c r="Y177" i="1" s="1"/>
  <c r="N176" i="1"/>
  <c r="W176" i="1"/>
  <c r="Y176" i="1" s="1"/>
  <c r="N169" i="1"/>
  <c r="W169" i="1"/>
  <c r="Y169" i="1" s="1"/>
  <c r="N164" i="1"/>
  <c r="W164" i="1"/>
  <c r="Y164" i="1" s="1"/>
  <c r="N157" i="1"/>
  <c r="W157" i="1"/>
  <c r="Y157" i="1" s="1"/>
  <c r="N151" i="1"/>
  <c r="W151" i="1"/>
  <c r="Y151" i="1" s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S198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O249" i="1"/>
  <c r="P249" i="1" s="1"/>
  <c r="O172" i="1"/>
  <c r="U253" i="1"/>
  <c r="U198" i="1"/>
  <c r="O198" i="1"/>
  <c r="N209" i="1"/>
  <c r="M198" i="1"/>
  <c r="R198" i="1" s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N67" i="3"/>
  <c r="K91" i="3"/>
  <c r="O91" i="3"/>
  <c r="L115" i="3"/>
  <c r="V67" i="3"/>
  <c r="S91" i="3"/>
  <c r="W91" i="3"/>
  <c r="T115" i="3"/>
  <c r="AC19" i="3"/>
  <c r="Z20" i="3" s="1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E67" i="3"/>
  <c r="AB91" i="3"/>
  <c r="AC115" i="3"/>
  <c r="O19" i="3"/>
  <c r="O43" i="3"/>
  <c r="L67" i="3"/>
  <c r="M91" i="3"/>
  <c r="N115" i="3"/>
  <c r="W19" i="3"/>
  <c r="W43" i="3"/>
  <c r="T67" i="3"/>
  <c r="U91" i="3"/>
  <c r="V115" i="3"/>
  <c r="AA19" i="3"/>
  <c r="Z21" i="3" s="1"/>
  <c r="AE19" i="3"/>
  <c r="M67" i="3"/>
  <c r="N91" i="3"/>
  <c r="K115" i="3"/>
  <c r="O115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E43" i="3"/>
  <c r="AB67" i="3"/>
  <c r="AC91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B19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M196" i="1"/>
  <c r="N196" i="1" s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P180" i="1" s="1"/>
  <c r="R173" i="1"/>
  <c r="R169" i="1"/>
  <c r="O164" i="1"/>
  <c r="Q164" i="1" s="1"/>
  <c r="O152" i="1"/>
  <c r="P152" i="1" s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3" i="1"/>
  <c r="Q241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P176" i="1"/>
  <c r="Q176" i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M178" i="1"/>
  <c r="M171" i="1"/>
  <c r="R171" i="1" s="1"/>
  <c r="M166" i="1"/>
  <c r="R166" i="1" s="1"/>
  <c r="N162" i="1"/>
  <c r="O162" i="1"/>
  <c r="M159" i="1"/>
  <c r="P156" i="1"/>
  <c r="M154" i="1"/>
  <c r="R154" i="1" s="1"/>
  <c r="U197" i="1"/>
  <c r="O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P160" i="1"/>
  <c r="Q160" i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N154" i="1"/>
  <c r="O154" i="1"/>
  <c r="U233" i="1"/>
  <c r="U225" i="1"/>
  <c r="U217" i="1"/>
  <c r="U209" i="1"/>
  <c r="M207" i="1"/>
  <c r="M205" i="1"/>
  <c r="M203" i="1"/>
  <c r="M201" i="1"/>
  <c r="M199" i="1"/>
  <c r="R199" i="1" s="1"/>
  <c r="M197" i="1"/>
  <c r="N197" i="1" s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R197" i="1" l="1"/>
  <c r="R196" i="1"/>
  <c r="Q152" i="1"/>
  <c r="Q180" i="1"/>
  <c r="P168" i="1"/>
  <c r="Q245" i="1"/>
  <c r="P164" i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AH69" i="3"/>
  <c r="AH71" i="3" s="1"/>
  <c r="AP93" i="3"/>
  <c r="AH70" i="3"/>
  <c r="AP69" i="3"/>
  <c r="AP71" i="3" s="1"/>
  <c r="AH46" i="3"/>
  <c r="BF68" i="3"/>
  <c r="BF92" i="3" s="1"/>
  <c r="AH47" i="3"/>
  <c r="AH48" i="3" s="1"/>
  <c r="AX69" i="3"/>
  <c r="BF47" i="3"/>
  <c r="BF48" i="3" s="1"/>
  <c r="BF69" i="3"/>
  <c r="AP92" i="3"/>
  <c r="AP47" i="3"/>
  <c r="AP48" i="3" s="1"/>
  <c r="AP46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92" i="3" l="1"/>
  <c r="AX94" i="3" s="1"/>
  <c r="AX71" i="3"/>
  <c r="AX72" i="3" s="1"/>
  <c r="AX70" i="3"/>
  <c r="AH72" i="3"/>
  <c r="BF70" i="3"/>
  <c r="AH117" i="3"/>
  <c r="AH119" i="3" s="1"/>
  <c r="AP95" i="3"/>
  <c r="AH94" i="3"/>
  <c r="AH95" i="3"/>
  <c r="AP94" i="3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J124" i="3"/>
  <c r="AJ126" i="3" s="1"/>
  <c r="AH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X95" i="3" l="1"/>
  <c r="AX96" i="3" s="1"/>
  <c r="AX116" i="3"/>
  <c r="AZ124" i="3" s="1"/>
  <c r="AZ126" i="3" s="1"/>
  <c r="AX117" i="3"/>
  <c r="AH96" i="3"/>
  <c r="AH120" i="3" s="1"/>
  <c r="AJ127" i="3" s="1"/>
  <c r="AP96" i="3"/>
  <c r="BF96" i="3"/>
  <c r="AP118" i="3"/>
  <c r="AP119" i="3"/>
  <c r="BH124" i="3"/>
  <c r="BH126" i="3" s="1"/>
  <c r="BF119" i="3"/>
  <c r="BF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X119" i="3" l="1"/>
  <c r="AX120" i="3" s="1"/>
  <c r="AZ127" i="3" s="1"/>
  <c r="AX118" i="3"/>
  <c r="AP120" i="3"/>
  <c r="AR127" i="3" s="1"/>
  <c r="BF120" i="3"/>
  <c r="BH127" i="3" s="1"/>
  <c r="I54" i="1"/>
  <c r="J54" i="1"/>
  <c r="K54" i="1" s="1"/>
  <c r="Z54" i="1" s="1"/>
  <c r="I55" i="1"/>
  <c r="L55" i="1" s="1"/>
  <c r="W55" i="1" s="1"/>
  <c r="Y55" i="1" s="1"/>
  <c r="J55" i="1"/>
  <c r="K55" i="1" s="1"/>
  <c r="Z55" i="1" s="1"/>
  <c r="I56" i="1"/>
  <c r="J56" i="1"/>
  <c r="K56" i="1" s="1"/>
  <c r="Z56" i="1" s="1"/>
  <c r="I57" i="1"/>
  <c r="L57" i="1" s="1"/>
  <c r="W57" i="1" s="1"/>
  <c r="Y57" i="1" s="1"/>
  <c r="J57" i="1"/>
  <c r="K57" i="1" s="1"/>
  <c r="Z57" i="1" s="1"/>
  <c r="I58" i="1"/>
  <c r="L58" i="1" s="1"/>
  <c r="W58" i="1" s="1"/>
  <c r="Y58" i="1" s="1"/>
  <c r="J58" i="1"/>
  <c r="K58" i="1" s="1"/>
  <c r="Z58" i="1" s="1"/>
  <c r="I59" i="1"/>
  <c r="L59" i="1" s="1"/>
  <c r="W59" i="1" s="1"/>
  <c r="Y59" i="1" s="1"/>
  <c r="J59" i="1"/>
  <c r="K59" i="1" s="1"/>
  <c r="I60" i="1"/>
  <c r="J60" i="1"/>
  <c r="K60" i="1" s="1"/>
  <c r="I61" i="1"/>
  <c r="L61" i="1" s="1"/>
  <c r="W61" i="1" s="1"/>
  <c r="Y61" i="1" s="1"/>
  <c r="J61" i="1"/>
  <c r="K61" i="1" s="1"/>
  <c r="I62" i="1"/>
  <c r="J62" i="1"/>
  <c r="K62" i="1" s="1"/>
  <c r="I63" i="1"/>
  <c r="J63" i="1"/>
  <c r="K63" i="1" s="1"/>
  <c r="I64" i="1"/>
  <c r="J64" i="1"/>
  <c r="K64" i="1" s="1"/>
  <c r="I65" i="1"/>
  <c r="L65" i="1" s="1"/>
  <c r="W65" i="1" s="1"/>
  <c r="Y65" i="1" s="1"/>
  <c r="J65" i="1"/>
  <c r="K65" i="1" s="1"/>
  <c r="I66" i="1"/>
  <c r="L66" i="1" s="1"/>
  <c r="W66" i="1" s="1"/>
  <c r="Y66" i="1" s="1"/>
  <c r="J66" i="1"/>
  <c r="K66" i="1" s="1"/>
  <c r="I67" i="1"/>
  <c r="L67" i="1" s="1"/>
  <c r="J67" i="1"/>
  <c r="K67" i="1" s="1"/>
  <c r="Z67" i="1" s="1"/>
  <c r="I68" i="1"/>
  <c r="L68" i="1" s="1"/>
  <c r="W68" i="1" s="1"/>
  <c r="Y68" i="1" s="1"/>
  <c r="J68" i="1"/>
  <c r="K68" i="1" s="1"/>
  <c r="I69" i="1"/>
  <c r="J69" i="1"/>
  <c r="K69" i="1" s="1"/>
  <c r="I70" i="1"/>
  <c r="L70" i="1" s="1"/>
  <c r="J70" i="1"/>
  <c r="K70" i="1" s="1"/>
  <c r="Z70" i="1" s="1"/>
  <c r="I71" i="1"/>
  <c r="J71" i="1"/>
  <c r="K71" i="1" s="1"/>
  <c r="I72" i="1"/>
  <c r="L72" i="1" s="1"/>
  <c r="J72" i="1"/>
  <c r="K72" i="1" s="1"/>
  <c r="I73" i="1"/>
  <c r="L73" i="1" s="1"/>
  <c r="J73" i="1"/>
  <c r="K73" i="1" s="1"/>
  <c r="I74" i="1"/>
  <c r="J74" i="1"/>
  <c r="K74" i="1" s="1"/>
  <c r="I75" i="1"/>
  <c r="L75" i="1" s="1"/>
  <c r="J75" i="1"/>
  <c r="K75" i="1" s="1"/>
  <c r="Z75" i="1" s="1"/>
  <c r="I76" i="1"/>
  <c r="L76" i="1" s="1"/>
  <c r="W76" i="1" s="1"/>
  <c r="Y76" i="1" s="1"/>
  <c r="J76" i="1"/>
  <c r="K76" i="1" s="1"/>
  <c r="I77" i="1"/>
  <c r="L77" i="1" s="1"/>
  <c r="W77" i="1" s="1"/>
  <c r="Y77" i="1" s="1"/>
  <c r="J77" i="1"/>
  <c r="K77" i="1" s="1"/>
  <c r="I78" i="1"/>
  <c r="L78" i="1" s="1"/>
  <c r="W78" i="1" s="1"/>
  <c r="Y78" i="1" s="1"/>
  <c r="J78" i="1"/>
  <c r="K78" i="1" s="1"/>
  <c r="I79" i="1"/>
  <c r="L79" i="1" s="1"/>
  <c r="W79" i="1" s="1"/>
  <c r="Y79" i="1" s="1"/>
  <c r="J79" i="1"/>
  <c r="K79" i="1" s="1"/>
  <c r="I80" i="1"/>
  <c r="L80" i="1" s="1"/>
  <c r="W80" i="1" s="1"/>
  <c r="Y80" i="1" s="1"/>
  <c r="J80" i="1"/>
  <c r="K80" i="1" s="1"/>
  <c r="I81" i="1"/>
  <c r="L81" i="1" s="1"/>
  <c r="W81" i="1" s="1"/>
  <c r="Y81" i="1" s="1"/>
  <c r="J81" i="1"/>
  <c r="K81" i="1" s="1"/>
  <c r="I82" i="1"/>
  <c r="L82" i="1" s="1"/>
  <c r="J82" i="1"/>
  <c r="K82" i="1" s="1"/>
  <c r="I83" i="1"/>
  <c r="L83" i="1" s="1"/>
  <c r="J83" i="1"/>
  <c r="K83" i="1" s="1"/>
  <c r="I84" i="1"/>
  <c r="L84" i="1" s="1"/>
  <c r="J84" i="1"/>
  <c r="K84" i="1" s="1"/>
  <c r="I85" i="1"/>
  <c r="L85" i="1" s="1"/>
  <c r="W85" i="1" s="1"/>
  <c r="Y85" i="1" s="1"/>
  <c r="J85" i="1"/>
  <c r="K85" i="1" s="1"/>
  <c r="I86" i="1"/>
  <c r="L86" i="1" s="1"/>
  <c r="W86" i="1" s="1"/>
  <c r="Y86" i="1" s="1"/>
  <c r="J86" i="1"/>
  <c r="K86" i="1" s="1"/>
  <c r="I87" i="1"/>
  <c r="L87" i="1" s="1"/>
  <c r="W87" i="1" s="1"/>
  <c r="Y87" i="1" s="1"/>
  <c r="J87" i="1"/>
  <c r="K87" i="1" s="1"/>
  <c r="I88" i="1"/>
  <c r="L88" i="1" s="1"/>
  <c r="W88" i="1" s="1"/>
  <c r="Y88" i="1" s="1"/>
  <c r="J88" i="1"/>
  <c r="K88" i="1" s="1"/>
  <c r="I89" i="1"/>
  <c r="L89" i="1" s="1"/>
  <c r="W89" i="1" s="1"/>
  <c r="Y89" i="1" s="1"/>
  <c r="J89" i="1"/>
  <c r="K89" i="1" s="1"/>
  <c r="I90" i="1"/>
  <c r="L90" i="1" s="1"/>
  <c r="W90" i="1" s="1"/>
  <c r="Y90" i="1" s="1"/>
  <c r="J90" i="1"/>
  <c r="K90" i="1" s="1"/>
  <c r="I91" i="1"/>
  <c r="L91" i="1" s="1"/>
  <c r="W91" i="1" s="1"/>
  <c r="Y91" i="1" s="1"/>
  <c r="J91" i="1"/>
  <c r="K91" i="1" s="1"/>
  <c r="I92" i="1"/>
  <c r="L92" i="1" s="1"/>
  <c r="W92" i="1" s="1"/>
  <c r="Y92" i="1" s="1"/>
  <c r="J92" i="1"/>
  <c r="K92" i="1" s="1"/>
  <c r="I93" i="1"/>
  <c r="L93" i="1" s="1"/>
  <c r="W93" i="1" s="1"/>
  <c r="Y93" i="1" s="1"/>
  <c r="J93" i="1"/>
  <c r="K93" i="1" s="1"/>
  <c r="I94" i="1"/>
  <c r="L94" i="1" s="1"/>
  <c r="W94" i="1" s="1"/>
  <c r="Y94" i="1" s="1"/>
  <c r="J94" i="1"/>
  <c r="K94" i="1" s="1"/>
  <c r="I95" i="1"/>
  <c r="L95" i="1" s="1"/>
  <c r="W95" i="1" s="1"/>
  <c r="Y95" i="1" s="1"/>
  <c r="J95" i="1"/>
  <c r="K95" i="1" s="1"/>
  <c r="I96" i="1"/>
  <c r="L96" i="1" s="1"/>
  <c r="W96" i="1" s="1"/>
  <c r="Y96" i="1" s="1"/>
  <c r="J96" i="1"/>
  <c r="K96" i="1" s="1"/>
  <c r="I97" i="1"/>
  <c r="L97" i="1" s="1"/>
  <c r="W97" i="1" s="1"/>
  <c r="Y97" i="1" s="1"/>
  <c r="J97" i="1"/>
  <c r="K97" i="1" s="1"/>
  <c r="I98" i="1"/>
  <c r="L98" i="1" s="1"/>
  <c r="W98" i="1" s="1"/>
  <c r="Y98" i="1" s="1"/>
  <c r="J98" i="1"/>
  <c r="K98" i="1" s="1"/>
  <c r="I99" i="1"/>
  <c r="L99" i="1" s="1"/>
  <c r="W99" i="1" s="1"/>
  <c r="Y99" i="1" s="1"/>
  <c r="J99" i="1"/>
  <c r="K99" i="1" s="1"/>
  <c r="I100" i="1"/>
  <c r="L100" i="1" s="1"/>
  <c r="W100" i="1" s="1"/>
  <c r="Y100" i="1" s="1"/>
  <c r="J100" i="1"/>
  <c r="K100" i="1" s="1"/>
  <c r="I101" i="1"/>
  <c r="L101" i="1" s="1"/>
  <c r="J101" i="1"/>
  <c r="K101" i="1" s="1"/>
  <c r="I102" i="1"/>
  <c r="L102" i="1" s="1"/>
  <c r="W102" i="1" s="1"/>
  <c r="Y102" i="1" s="1"/>
  <c r="J102" i="1"/>
  <c r="K102" i="1" s="1"/>
  <c r="I103" i="1"/>
  <c r="L103" i="1" s="1"/>
  <c r="W103" i="1" s="1"/>
  <c r="Y103" i="1" s="1"/>
  <c r="J103" i="1"/>
  <c r="K103" i="1" s="1"/>
  <c r="I104" i="1"/>
  <c r="L104" i="1" s="1"/>
  <c r="W104" i="1" s="1"/>
  <c r="Y104" i="1" s="1"/>
  <c r="J104" i="1"/>
  <c r="K104" i="1" s="1"/>
  <c r="I105" i="1"/>
  <c r="L105" i="1" s="1"/>
  <c r="W105" i="1" s="1"/>
  <c r="Y105" i="1" s="1"/>
  <c r="J105" i="1"/>
  <c r="K105" i="1" s="1"/>
  <c r="I106" i="1"/>
  <c r="L106" i="1" s="1"/>
  <c r="W106" i="1" s="1"/>
  <c r="Y106" i="1" s="1"/>
  <c r="J106" i="1"/>
  <c r="K106" i="1" s="1"/>
  <c r="I107" i="1"/>
  <c r="L107" i="1" s="1"/>
  <c r="W107" i="1" s="1"/>
  <c r="Y107" i="1" s="1"/>
  <c r="J107" i="1"/>
  <c r="K107" i="1" s="1"/>
  <c r="I108" i="1"/>
  <c r="L108" i="1" s="1"/>
  <c r="W108" i="1" s="1"/>
  <c r="Y108" i="1" s="1"/>
  <c r="J108" i="1"/>
  <c r="K108" i="1" s="1"/>
  <c r="I109" i="1"/>
  <c r="L109" i="1" s="1"/>
  <c r="W109" i="1" s="1"/>
  <c r="Y109" i="1" s="1"/>
  <c r="J109" i="1"/>
  <c r="K109" i="1" s="1"/>
  <c r="I110" i="1"/>
  <c r="L110" i="1" s="1"/>
  <c r="W110" i="1" s="1"/>
  <c r="Y110" i="1" s="1"/>
  <c r="J110" i="1"/>
  <c r="K110" i="1" s="1"/>
  <c r="I111" i="1"/>
  <c r="L111" i="1" s="1"/>
  <c r="W111" i="1" s="1"/>
  <c r="Y111" i="1" s="1"/>
  <c r="J111" i="1"/>
  <c r="K111" i="1" s="1"/>
  <c r="I112" i="1"/>
  <c r="L112" i="1" s="1"/>
  <c r="W112" i="1" s="1"/>
  <c r="Y112" i="1" s="1"/>
  <c r="J112" i="1"/>
  <c r="K112" i="1" s="1"/>
  <c r="I113" i="1"/>
  <c r="L113" i="1" s="1"/>
  <c r="W113" i="1" s="1"/>
  <c r="Y113" i="1" s="1"/>
  <c r="J113" i="1"/>
  <c r="K113" i="1" s="1"/>
  <c r="I114" i="1"/>
  <c r="J114" i="1"/>
  <c r="I115" i="1"/>
  <c r="L115" i="1" s="1"/>
  <c r="W115" i="1" s="1"/>
  <c r="Y115" i="1" s="1"/>
  <c r="J115" i="1"/>
  <c r="K115" i="1" s="1"/>
  <c r="I116" i="1"/>
  <c r="L116" i="1" s="1"/>
  <c r="W116" i="1" s="1"/>
  <c r="Y116" i="1" s="1"/>
  <c r="J116" i="1"/>
  <c r="K116" i="1" s="1"/>
  <c r="I117" i="1"/>
  <c r="J117" i="1"/>
  <c r="K117" i="1" s="1"/>
  <c r="I118" i="1"/>
  <c r="J118" i="1"/>
  <c r="K118" i="1" s="1"/>
  <c r="AA27" i="3" s="1"/>
  <c r="AA43" i="3" s="1"/>
  <c r="Z45" i="3" s="1"/>
  <c r="I119" i="1"/>
  <c r="L119" i="1" s="1"/>
  <c r="W119" i="1" s="1"/>
  <c r="Y119" i="1" s="1"/>
  <c r="J119" i="1"/>
  <c r="K119" i="1" s="1"/>
  <c r="I120" i="1"/>
  <c r="L120" i="1" s="1"/>
  <c r="W120" i="1" s="1"/>
  <c r="Y120" i="1" s="1"/>
  <c r="J120" i="1"/>
  <c r="K120" i="1" s="1"/>
  <c r="AA52" i="3" s="1"/>
  <c r="AA67" i="3" s="1"/>
  <c r="I121" i="1"/>
  <c r="L121" i="1" s="1"/>
  <c r="W121" i="1" s="1"/>
  <c r="Y121" i="1" s="1"/>
  <c r="J121" i="1"/>
  <c r="K121" i="1" s="1"/>
  <c r="I122" i="1"/>
  <c r="L122" i="1" s="1"/>
  <c r="W122" i="1" s="1"/>
  <c r="Y122" i="1" s="1"/>
  <c r="J122" i="1"/>
  <c r="K122" i="1" s="1"/>
  <c r="I123" i="1"/>
  <c r="L123" i="1" s="1"/>
  <c r="W123" i="1" s="1"/>
  <c r="Y123" i="1" s="1"/>
  <c r="J123" i="1"/>
  <c r="K123" i="1" s="1"/>
  <c r="I124" i="1"/>
  <c r="L124" i="1" s="1"/>
  <c r="W124" i="1" s="1"/>
  <c r="Y124" i="1" s="1"/>
  <c r="J124" i="1"/>
  <c r="K124" i="1" s="1"/>
  <c r="I125" i="1"/>
  <c r="L125" i="1" s="1"/>
  <c r="W125" i="1" s="1"/>
  <c r="Y125" i="1" s="1"/>
  <c r="J125" i="1"/>
  <c r="K125" i="1" s="1"/>
  <c r="I126" i="1"/>
  <c r="L126" i="1" s="1"/>
  <c r="W126" i="1" s="1"/>
  <c r="Y126" i="1" s="1"/>
  <c r="J126" i="1"/>
  <c r="K126" i="1" s="1"/>
  <c r="I127" i="1"/>
  <c r="L127" i="1" s="1"/>
  <c r="W127" i="1" s="1"/>
  <c r="Y127" i="1" s="1"/>
  <c r="J127" i="1"/>
  <c r="K127" i="1" s="1"/>
  <c r="I128" i="1"/>
  <c r="L128" i="1" s="1"/>
  <c r="W128" i="1" s="1"/>
  <c r="Y128" i="1" s="1"/>
  <c r="J128" i="1"/>
  <c r="K128" i="1" s="1"/>
  <c r="I129" i="1"/>
  <c r="L129" i="1" s="1"/>
  <c r="J129" i="1"/>
  <c r="K129" i="1" s="1"/>
  <c r="I130" i="1"/>
  <c r="L130" i="1" s="1"/>
  <c r="W130" i="1" s="1"/>
  <c r="Y130" i="1" s="1"/>
  <c r="J130" i="1"/>
  <c r="K130" i="1" s="1"/>
  <c r="I131" i="1"/>
  <c r="L131" i="1" s="1"/>
  <c r="W131" i="1" s="1"/>
  <c r="Y131" i="1" s="1"/>
  <c r="J131" i="1"/>
  <c r="K131" i="1" s="1"/>
  <c r="I132" i="1"/>
  <c r="L132" i="1" s="1"/>
  <c r="W132" i="1" s="1"/>
  <c r="Y132" i="1" s="1"/>
  <c r="J132" i="1"/>
  <c r="K132" i="1" s="1"/>
  <c r="I133" i="1"/>
  <c r="L133" i="1" s="1"/>
  <c r="W133" i="1" s="1"/>
  <c r="Y133" i="1" s="1"/>
  <c r="J133" i="1"/>
  <c r="K133" i="1" s="1"/>
  <c r="I134" i="1"/>
  <c r="L134" i="1" s="1"/>
  <c r="W134" i="1" s="1"/>
  <c r="Y134" i="1" s="1"/>
  <c r="J134" i="1"/>
  <c r="K134" i="1" s="1"/>
  <c r="I135" i="1"/>
  <c r="L135" i="1" s="1"/>
  <c r="W135" i="1" s="1"/>
  <c r="Y135" i="1" s="1"/>
  <c r="J135" i="1"/>
  <c r="K135" i="1" s="1"/>
  <c r="I136" i="1"/>
  <c r="L136" i="1" s="1"/>
  <c r="W136" i="1" s="1"/>
  <c r="Y136" i="1" s="1"/>
  <c r="J136" i="1"/>
  <c r="K136" i="1" s="1"/>
  <c r="I137" i="1"/>
  <c r="L137" i="1" s="1"/>
  <c r="W137" i="1" s="1"/>
  <c r="Y137" i="1" s="1"/>
  <c r="J137" i="1"/>
  <c r="K137" i="1" s="1"/>
  <c r="I138" i="1"/>
  <c r="L138" i="1" s="1"/>
  <c r="W138" i="1" s="1"/>
  <c r="Y138" i="1" s="1"/>
  <c r="J138" i="1"/>
  <c r="K138" i="1" s="1"/>
  <c r="I139" i="1"/>
  <c r="L139" i="1" s="1"/>
  <c r="W139" i="1" s="1"/>
  <c r="Y139" i="1" s="1"/>
  <c r="J139" i="1"/>
  <c r="K139" i="1" s="1"/>
  <c r="I140" i="1"/>
  <c r="L140" i="1" s="1"/>
  <c r="W140" i="1" s="1"/>
  <c r="Y140" i="1" s="1"/>
  <c r="J140" i="1"/>
  <c r="K140" i="1" s="1"/>
  <c r="Z140" i="1" s="1"/>
  <c r="I141" i="1"/>
  <c r="L141" i="1" s="1"/>
  <c r="W141" i="1" s="1"/>
  <c r="Y141" i="1" s="1"/>
  <c r="J141" i="1"/>
  <c r="K141" i="1" s="1"/>
  <c r="Z141" i="1" s="1"/>
  <c r="I142" i="1"/>
  <c r="L142" i="1" s="1"/>
  <c r="W142" i="1" s="1"/>
  <c r="Y142" i="1" s="1"/>
  <c r="J142" i="1"/>
  <c r="K142" i="1" s="1"/>
  <c r="Z142" i="1" s="1"/>
  <c r="I143" i="1"/>
  <c r="J143" i="1"/>
  <c r="K143" i="1" s="1"/>
  <c r="Z143" i="1" s="1"/>
  <c r="I144" i="1"/>
  <c r="L144" i="1" s="1"/>
  <c r="W144" i="1" s="1"/>
  <c r="Y144" i="1" s="1"/>
  <c r="J144" i="1"/>
  <c r="K144" i="1" s="1"/>
  <c r="Z144" i="1" s="1"/>
  <c r="I145" i="1"/>
  <c r="L145" i="1" s="1"/>
  <c r="W145" i="1" s="1"/>
  <c r="Y145" i="1" s="1"/>
  <c r="J145" i="1"/>
  <c r="K145" i="1" s="1"/>
  <c r="Z145" i="1" s="1"/>
  <c r="I146" i="1"/>
  <c r="L146" i="1" s="1"/>
  <c r="W146" i="1" s="1"/>
  <c r="Y146" i="1" s="1"/>
  <c r="J146" i="1"/>
  <c r="K146" i="1" s="1"/>
  <c r="I147" i="1"/>
  <c r="L147" i="1" s="1"/>
  <c r="W147" i="1" s="1"/>
  <c r="Y147" i="1" s="1"/>
  <c r="J147" i="1"/>
  <c r="K147" i="1" s="1"/>
  <c r="Z147" i="1" s="1"/>
  <c r="I148" i="1"/>
  <c r="L148" i="1" s="1"/>
  <c r="W148" i="1" s="1"/>
  <c r="Y148" i="1" s="1"/>
  <c r="J148" i="1"/>
  <c r="K148" i="1" s="1"/>
  <c r="Z148" i="1" s="1"/>
  <c r="I149" i="1"/>
  <c r="L149" i="1" s="1"/>
  <c r="W149" i="1" s="1"/>
  <c r="Y149" i="1" s="1"/>
  <c r="J149" i="1"/>
  <c r="K149" i="1" s="1"/>
  <c r="Z149" i="1" s="1"/>
  <c r="I150" i="1"/>
  <c r="L150" i="1" s="1"/>
  <c r="W150" i="1" s="1"/>
  <c r="Y150" i="1" s="1"/>
  <c r="J150" i="1"/>
  <c r="K150" i="1" s="1"/>
  <c r="S139" i="1" l="1"/>
  <c r="Z139" i="1"/>
  <c r="S135" i="1"/>
  <c r="Z135" i="1"/>
  <c r="S131" i="1"/>
  <c r="Z131" i="1"/>
  <c r="S125" i="1"/>
  <c r="Z125" i="1"/>
  <c r="W82" i="1"/>
  <c r="Y82" i="1" s="1"/>
  <c r="L27" i="3"/>
  <c r="L43" i="3" s="1"/>
  <c r="S137" i="1"/>
  <c r="Z137" i="1"/>
  <c r="S133" i="1"/>
  <c r="Z133" i="1"/>
  <c r="S129" i="1"/>
  <c r="Z129" i="1"/>
  <c r="S127" i="1"/>
  <c r="Z127" i="1"/>
  <c r="S123" i="1"/>
  <c r="Z123" i="1"/>
  <c r="S121" i="1"/>
  <c r="Z121" i="1"/>
  <c r="S119" i="1"/>
  <c r="Z119" i="1"/>
  <c r="S117" i="1"/>
  <c r="Z117" i="1"/>
  <c r="S115" i="1"/>
  <c r="Z115" i="1"/>
  <c r="S113" i="1"/>
  <c r="Z113" i="1"/>
  <c r="S111" i="1"/>
  <c r="Z111" i="1"/>
  <c r="S109" i="1"/>
  <c r="Z109" i="1"/>
  <c r="S107" i="1"/>
  <c r="Z107" i="1"/>
  <c r="S105" i="1"/>
  <c r="Z105" i="1"/>
  <c r="S103" i="1"/>
  <c r="Z103" i="1"/>
  <c r="S101" i="1"/>
  <c r="Z101" i="1"/>
  <c r="S99" i="1"/>
  <c r="Z99" i="1"/>
  <c r="S97" i="1"/>
  <c r="Z97" i="1"/>
  <c r="S95" i="1"/>
  <c r="Z95" i="1"/>
  <c r="S93" i="1"/>
  <c r="Z93" i="1"/>
  <c r="S91" i="1"/>
  <c r="Z91" i="1"/>
  <c r="S89" i="1"/>
  <c r="Z89" i="1"/>
  <c r="S87" i="1"/>
  <c r="Z87" i="1"/>
  <c r="S85" i="1"/>
  <c r="Z85" i="1"/>
  <c r="Z83" i="1"/>
  <c r="S27" i="3"/>
  <c r="S43" i="3" s="1"/>
  <c r="S81" i="1"/>
  <c r="Z81" i="1"/>
  <c r="S79" i="1"/>
  <c r="Z79" i="1"/>
  <c r="S77" i="1"/>
  <c r="Z77" i="1"/>
  <c r="S73" i="1"/>
  <c r="Z73" i="1"/>
  <c r="S71" i="1"/>
  <c r="Z71" i="1"/>
  <c r="S69" i="1"/>
  <c r="Z69" i="1"/>
  <c r="S65" i="1"/>
  <c r="Z65" i="1"/>
  <c r="S61" i="1"/>
  <c r="Z61" i="1"/>
  <c r="S59" i="1"/>
  <c r="Z59" i="1"/>
  <c r="S150" i="1"/>
  <c r="Z150" i="1"/>
  <c r="S134" i="1"/>
  <c r="Z134" i="1"/>
  <c r="S130" i="1"/>
  <c r="Z130" i="1"/>
  <c r="W83" i="1"/>
  <c r="Y83" i="1" s="1"/>
  <c r="T27" i="3"/>
  <c r="T43" i="3" s="1"/>
  <c r="S146" i="1"/>
  <c r="Z146" i="1"/>
  <c r="S138" i="1"/>
  <c r="Z138" i="1"/>
  <c r="S136" i="1"/>
  <c r="Z136" i="1"/>
  <c r="S132" i="1"/>
  <c r="Z132" i="1"/>
  <c r="S128" i="1"/>
  <c r="Z128" i="1"/>
  <c r="S126" i="1"/>
  <c r="Z126" i="1"/>
  <c r="S124" i="1"/>
  <c r="Z124" i="1"/>
  <c r="S122" i="1"/>
  <c r="Z122" i="1"/>
  <c r="S120" i="1"/>
  <c r="Z120" i="1"/>
  <c r="S118" i="1"/>
  <c r="Z118" i="1"/>
  <c r="S116" i="1"/>
  <c r="Z116" i="1"/>
  <c r="S112" i="1"/>
  <c r="Z112" i="1"/>
  <c r="S110" i="1"/>
  <c r="Z110" i="1"/>
  <c r="S108" i="1"/>
  <c r="Z108" i="1"/>
  <c r="S106" i="1"/>
  <c r="Z106" i="1"/>
  <c r="S104" i="1"/>
  <c r="Z104" i="1"/>
  <c r="S102" i="1"/>
  <c r="Z102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Z82" i="1"/>
  <c r="K27" i="3"/>
  <c r="K43" i="3" s="1"/>
  <c r="S80" i="1"/>
  <c r="Z80" i="1"/>
  <c r="S78" i="1"/>
  <c r="Z78" i="1"/>
  <c r="S76" i="1"/>
  <c r="Z76" i="1"/>
  <c r="S74" i="1"/>
  <c r="Z74" i="1"/>
  <c r="S72" i="1"/>
  <c r="Z72" i="1"/>
  <c r="S68" i="1"/>
  <c r="Z68" i="1"/>
  <c r="S66" i="1"/>
  <c r="Z66" i="1"/>
  <c r="S62" i="1"/>
  <c r="Z62" i="1"/>
  <c r="K3" i="3"/>
  <c r="S3" i="3"/>
  <c r="Z60" i="1"/>
  <c r="K5" i="3"/>
  <c r="S5" i="3"/>
  <c r="S63" i="1"/>
  <c r="Z63" i="1"/>
  <c r="S4" i="3"/>
  <c r="Z84" i="1"/>
  <c r="K4" i="3"/>
  <c r="W84" i="1"/>
  <c r="Y84" i="1" s="1"/>
  <c r="L4" i="3"/>
  <c r="S64" i="1"/>
  <c r="Z64" i="1"/>
  <c r="U72" i="1"/>
  <c r="W72" i="1"/>
  <c r="Y72" i="1" s="1"/>
  <c r="U70" i="1"/>
  <c r="W70" i="1"/>
  <c r="Y70" i="1" s="1"/>
  <c r="U129" i="1"/>
  <c r="W129" i="1"/>
  <c r="Y129" i="1" s="1"/>
  <c r="D51" i="3"/>
  <c r="W75" i="1"/>
  <c r="Y75" i="1" s="1"/>
  <c r="U73" i="1"/>
  <c r="W73" i="1"/>
  <c r="Y73" i="1" s="1"/>
  <c r="D52" i="3"/>
  <c r="W67" i="1"/>
  <c r="Y67" i="1" s="1"/>
  <c r="U101" i="1"/>
  <c r="W101" i="1"/>
  <c r="Y101" i="1" s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Y71" i="1" s="1"/>
  <c r="L69" i="1"/>
  <c r="L63" i="1"/>
  <c r="T4" i="3" s="1"/>
  <c r="O101" i="1"/>
  <c r="L143" i="1"/>
  <c r="W143" i="1" s="1"/>
  <c r="Y143" i="1" s="1"/>
  <c r="O129" i="1"/>
  <c r="P129" i="1" s="1"/>
  <c r="O72" i="1"/>
  <c r="Q72" i="1" s="1"/>
  <c r="O70" i="1"/>
  <c r="Q70" i="1" s="1"/>
  <c r="L64" i="1"/>
  <c r="L62" i="1"/>
  <c r="L60" i="1"/>
  <c r="L56" i="1"/>
  <c r="L54" i="1"/>
  <c r="W54" i="1" s="1"/>
  <c r="Y54" i="1" s="1"/>
  <c r="L118" i="1"/>
  <c r="L114" i="1"/>
  <c r="L117" i="1"/>
  <c r="W117" i="1" s="1"/>
  <c r="Y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C91" i="3"/>
  <c r="N141" i="1"/>
  <c r="N133" i="1"/>
  <c r="M141" i="1"/>
  <c r="N144" i="1"/>
  <c r="N127" i="1"/>
  <c r="M147" i="1"/>
  <c r="N131" i="1"/>
  <c r="M121" i="1"/>
  <c r="R121" i="1" s="1"/>
  <c r="M82" i="1"/>
  <c r="M79" i="1"/>
  <c r="N79" i="1" s="1"/>
  <c r="N60" i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M93" i="1"/>
  <c r="R93" i="1" s="1"/>
  <c r="M83" i="1"/>
  <c r="N68" i="1"/>
  <c r="M67" i="1"/>
  <c r="M65" i="1"/>
  <c r="R65" i="1" s="1"/>
  <c r="N129" i="1"/>
  <c r="M139" i="1"/>
  <c r="R139" i="1" s="1"/>
  <c r="M88" i="1"/>
  <c r="R88" i="1" s="1"/>
  <c r="M78" i="1"/>
  <c r="R78" i="1" s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1" i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Q139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P90" i="1"/>
  <c r="N59" i="1"/>
  <c r="M59" i="1"/>
  <c r="R59" i="1" s="1"/>
  <c r="N55" i="1"/>
  <c r="M97" i="1"/>
  <c r="R97" i="1" s="1"/>
  <c r="M89" i="1"/>
  <c r="R89" i="1" s="1"/>
  <c r="M81" i="1"/>
  <c r="R81" i="1" s="1"/>
  <c r="M73" i="1"/>
  <c r="R73" i="1" s="1"/>
  <c r="N58" i="1"/>
  <c r="N57" i="1"/>
  <c r="M57" i="1"/>
  <c r="M55" i="1"/>
  <c r="M58" i="1"/>
  <c r="R120" i="1" l="1"/>
  <c r="AC52" i="3"/>
  <c r="AC67" i="3" s="1"/>
  <c r="W118" i="1"/>
  <c r="Y118" i="1" s="1"/>
  <c r="AB27" i="3"/>
  <c r="AB43" i="3" s="1"/>
  <c r="AB125" i="3" s="1"/>
  <c r="N119" i="1"/>
  <c r="S19" i="3"/>
  <c r="R21" i="3" s="1"/>
  <c r="R82" i="1"/>
  <c r="M27" i="3"/>
  <c r="M43" i="3" s="1"/>
  <c r="T3" i="3"/>
  <c r="L3" i="3"/>
  <c r="K19" i="3"/>
  <c r="J21" i="3" s="1"/>
  <c r="S114" i="1"/>
  <c r="Z114" i="1"/>
  <c r="N83" i="1"/>
  <c r="U27" i="3"/>
  <c r="U43" i="3" s="1"/>
  <c r="L5" i="3"/>
  <c r="T5" i="3"/>
  <c r="R84" i="1"/>
  <c r="M4" i="3"/>
  <c r="BG19" i="2"/>
  <c r="BF21" i="2" s="1"/>
  <c r="M62" i="1"/>
  <c r="W62" i="1"/>
  <c r="Y62" i="1" s="1"/>
  <c r="N69" i="1"/>
  <c r="W69" i="1"/>
  <c r="Y69" i="1" s="1"/>
  <c r="Q77" i="1"/>
  <c r="Q141" i="1"/>
  <c r="U74" i="1"/>
  <c r="W74" i="1"/>
  <c r="Y74" i="1" s="1"/>
  <c r="M64" i="1"/>
  <c r="U27" i="2" s="1"/>
  <c r="U43" i="2" s="1"/>
  <c r="W64" i="1"/>
  <c r="Y64" i="1" s="1"/>
  <c r="M56" i="1"/>
  <c r="W56" i="1"/>
  <c r="Y56" i="1" s="1"/>
  <c r="U114" i="1"/>
  <c r="W114" i="1"/>
  <c r="Y114" i="1" s="1"/>
  <c r="M60" i="1"/>
  <c r="W60" i="1"/>
  <c r="Y60" i="1" s="1"/>
  <c r="M63" i="1"/>
  <c r="U4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74" i="1" s="1"/>
  <c r="R83" i="1"/>
  <c r="N82" i="1"/>
  <c r="AY19" i="2"/>
  <c r="AX21" i="2" s="1"/>
  <c r="S19" i="2"/>
  <c r="R21" i="2" s="1"/>
  <c r="P98" i="1"/>
  <c r="P70" i="1"/>
  <c r="Q80" i="1"/>
  <c r="N112" i="1"/>
  <c r="P72" i="1"/>
  <c r="BI5" i="2"/>
  <c r="BA5" i="2"/>
  <c r="E5" i="3"/>
  <c r="AK5" i="2"/>
  <c r="AC5" i="2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BA3" i="2"/>
  <c r="M3" i="2"/>
  <c r="AK3" i="2"/>
  <c r="AS3" i="2"/>
  <c r="U3" i="2"/>
  <c r="E3" i="2"/>
  <c r="AQ19" i="2"/>
  <c r="AP21" i="2" s="1"/>
  <c r="K19" i="2"/>
  <c r="J21" i="2" s="1"/>
  <c r="AK27" i="2"/>
  <c r="AK43" i="2" s="1"/>
  <c r="M27" i="2"/>
  <c r="M43" i="2" s="1"/>
  <c r="E27" i="2"/>
  <c r="E43" i="2" s="1"/>
  <c r="AS27" i="2"/>
  <c r="AS43" i="2" s="1"/>
  <c r="E27" i="3"/>
  <c r="E43" i="3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I4" i="2"/>
  <c r="BA4" i="2"/>
  <c r="AS4" i="2"/>
  <c r="AK4" i="2"/>
  <c r="AC4" i="2"/>
  <c r="E4" i="3"/>
  <c r="U4" i="2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N56" i="1"/>
  <c r="R63" i="1"/>
  <c r="R60" i="1"/>
  <c r="R62" i="1"/>
  <c r="N78" i="1"/>
  <c r="N72" i="1"/>
  <c r="R75" i="1"/>
  <c r="R80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T19" i="3" l="1"/>
  <c r="T125" i="3" s="1"/>
  <c r="R118" i="1"/>
  <c r="AC27" i="3"/>
  <c r="AC43" i="3" s="1"/>
  <c r="Z44" i="3" s="1"/>
  <c r="P118" i="1"/>
  <c r="N118" i="1"/>
  <c r="L19" i="3"/>
  <c r="L125" i="3" s="1"/>
  <c r="Q114" i="1"/>
  <c r="N74" i="1"/>
  <c r="AS5" i="2"/>
  <c r="AS19" i="2" s="1"/>
  <c r="AP20" i="2" s="1"/>
  <c r="AP22" i="2" s="1"/>
  <c r="U5" i="3"/>
  <c r="M5" i="3"/>
  <c r="AC3" i="2"/>
  <c r="AC19" i="2" s="1"/>
  <c r="Z20" i="2" s="1"/>
  <c r="Z45" i="2" s="1"/>
  <c r="U3" i="3"/>
  <c r="M3" i="3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BI19" i="2" s="1"/>
  <c r="BF20" i="2" s="1"/>
  <c r="U5" i="2"/>
  <c r="U19" i="2" s="1"/>
  <c r="R20" i="2" s="1"/>
  <c r="R44" i="2" s="1"/>
  <c r="AZ19" i="2"/>
  <c r="AZ125" i="2" s="1"/>
  <c r="D19" i="2"/>
  <c r="D125" i="2" s="1"/>
  <c r="AB19" i="2"/>
  <c r="AB125" i="2" s="1"/>
  <c r="BH19" i="2"/>
  <c r="BH125" i="2" s="1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AK19" i="2"/>
  <c r="AH20" i="2" s="1"/>
  <c r="AH23" i="2" s="1"/>
  <c r="AH24" i="2" s="1"/>
  <c r="E19" i="2"/>
  <c r="B20" i="2" s="1"/>
  <c r="B44" i="2" s="1"/>
  <c r="Q63" i="1"/>
  <c r="BA19" i="2"/>
  <c r="AX20" i="2" s="1"/>
  <c r="AX45" i="2" s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Y46" i="1" s="1"/>
  <c r="J46" i="1"/>
  <c r="K46" i="1" s="1"/>
  <c r="I47" i="1"/>
  <c r="L47" i="1" s="1"/>
  <c r="W47" i="1" s="1"/>
  <c r="Y47" i="1" s="1"/>
  <c r="J47" i="1"/>
  <c r="K47" i="1" s="1"/>
  <c r="I48" i="1"/>
  <c r="L48" i="1" s="1"/>
  <c r="W48" i="1" s="1"/>
  <c r="Y48" i="1" s="1"/>
  <c r="J48" i="1"/>
  <c r="K48" i="1" s="1"/>
  <c r="Z48" i="1" s="1"/>
  <c r="I49" i="1"/>
  <c r="L49" i="1" s="1"/>
  <c r="W49" i="1" s="1"/>
  <c r="Y49" i="1" s="1"/>
  <c r="J49" i="1"/>
  <c r="K49" i="1" s="1"/>
  <c r="Z49" i="1" s="1"/>
  <c r="I50" i="1"/>
  <c r="L50" i="1" s="1"/>
  <c r="W50" i="1" s="1"/>
  <c r="Y50" i="1" s="1"/>
  <c r="J50" i="1"/>
  <c r="K50" i="1" s="1"/>
  <c r="I51" i="1"/>
  <c r="L51" i="1" s="1"/>
  <c r="W51" i="1" s="1"/>
  <c r="Y51" i="1" s="1"/>
  <c r="J51" i="1"/>
  <c r="K51" i="1" s="1"/>
  <c r="I52" i="1"/>
  <c r="L52" i="1" s="1"/>
  <c r="W52" i="1" s="1"/>
  <c r="Y52" i="1" s="1"/>
  <c r="J52" i="1"/>
  <c r="K52" i="1" s="1"/>
  <c r="I53" i="1"/>
  <c r="L53" i="1" s="1"/>
  <c r="W53" i="1" s="1"/>
  <c r="Y53" i="1" s="1"/>
  <c r="J53" i="1"/>
  <c r="K53" i="1" s="1"/>
  <c r="Z68" i="3" l="1"/>
  <c r="Z69" i="3"/>
  <c r="Z46" i="3"/>
  <c r="Z47" i="3"/>
  <c r="Z48" i="3" s="1"/>
  <c r="M19" i="3"/>
  <c r="J20" i="3" s="1"/>
  <c r="J44" i="3" s="1"/>
  <c r="U19" i="3"/>
  <c r="R20" i="3" s="1"/>
  <c r="R45" i="3" s="1"/>
  <c r="S53" i="1"/>
  <c r="Z53" i="1"/>
  <c r="S51" i="1"/>
  <c r="Z51" i="1"/>
  <c r="S47" i="1"/>
  <c r="Z47" i="1"/>
  <c r="S52" i="1"/>
  <c r="Z52" i="1"/>
  <c r="S50" i="1"/>
  <c r="Z50" i="1"/>
  <c r="S46" i="1"/>
  <c r="Z46" i="1"/>
  <c r="BF44" i="2"/>
  <c r="BF69" i="2" s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AP44" i="2"/>
  <c r="AP46" i="2" s="1"/>
  <c r="B45" i="3"/>
  <c r="AP23" i="2"/>
  <c r="AP24" i="2" s="1"/>
  <c r="AX22" i="2"/>
  <c r="AH45" i="2"/>
  <c r="AH22" i="2"/>
  <c r="B22" i="3"/>
  <c r="AP45" i="2"/>
  <c r="J44" i="2"/>
  <c r="J46" i="2" s="1"/>
  <c r="AH44" i="2"/>
  <c r="AH46" i="2" s="1"/>
  <c r="B23" i="2"/>
  <c r="B24" i="2" s="1"/>
  <c r="Z22" i="2"/>
  <c r="B45" i="2"/>
  <c r="B47" i="2" s="1"/>
  <c r="BF22" i="2"/>
  <c r="Z44" i="2"/>
  <c r="Z68" i="2" s="1"/>
  <c r="B22" i="2"/>
  <c r="AX44" i="2"/>
  <c r="AX68" i="2" s="1"/>
  <c r="BF45" i="2"/>
  <c r="BF23" i="2"/>
  <c r="BF24" i="2" s="1"/>
  <c r="Z23" i="2"/>
  <c r="Z24" i="2" s="1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I4" i="1"/>
  <c r="L4" i="1" s="1"/>
  <c r="W4" i="1" s="1"/>
  <c r="Y4" i="1" s="1"/>
  <c r="J4" i="1"/>
  <c r="K4" i="1" s="1"/>
  <c r="I5" i="1"/>
  <c r="L5" i="1" s="1"/>
  <c r="W5" i="1" s="1"/>
  <c r="Y5" i="1" s="1"/>
  <c r="J5" i="1"/>
  <c r="K5" i="1" s="1"/>
  <c r="I6" i="1"/>
  <c r="L6" i="1" s="1"/>
  <c r="W6" i="1" s="1"/>
  <c r="Y6" i="1" s="1"/>
  <c r="J6" i="1"/>
  <c r="K6" i="1" s="1"/>
  <c r="I7" i="1"/>
  <c r="L7" i="1" s="1"/>
  <c r="W7" i="1" s="1"/>
  <c r="Y7" i="1" s="1"/>
  <c r="J7" i="1"/>
  <c r="K7" i="1" s="1"/>
  <c r="I8" i="1"/>
  <c r="L8" i="1" s="1"/>
  <c r="W8" i="1" s="1"/>
  <c r="Y8" i="1" s="1"/>
  <c r="J8" i="1"/>
  <c r="K8" i="1" s="1"/>
  <c r="I9" i="1"/>
  <c r="L9" i="1" s="1"/>
  <c r="W9" i="1" s="1"/>
  <c r="Y9" i="1" s="1"/>
  <c r="J9" i="1"/>
  <c r="K9" i="1" s="1"/>
  <c r="Z9" i="1" s="1"/>
  <c r="I10" i="1"/>
  <c r="L10" i="1" s="1"/>
  <c r="W10" i="1" s="1"/>
  <c r="Y10" i="1" s="1"/>
  <c r="J10" i="1"/>
  <c r="K10" i="1" s="1"/>
  <c r="Z10" i="1" s="1"/>
  <c r="I11" i="1"/>
  <c r="L11" i="1" s="1"/>
  <c r="W11" i="1" s="1"/>
  <c r="Y11" i="1" s="1"/>
  <c r="J11" i="1"/>
  <c r="K11" i="1" s="1"/>
  <c r="I12" i="1"/>
  <c r="L12" i="1" s="1"/>
  <c r="W12" i="1" s="1"/>
  <c r="Y12" i="1" s="1"/>
  <c r="J12" i="1"/>
  <c r="K12" i="1" s="1"/>
  <c r="I13" i="1"/>
  <c r="L13" i="1" s="1"/>
  <c r="W13" i="1" s="1"/>
  <c r="Y13" i="1" s="1"/>
  <c r="J13" i="1"/>
  <c r="K13" i="1" s="1"/>
  <c r="I14" i="1"/>
  <c r="L14" i="1" s="1"/>
  <c r="W14" i="1" s="1"/>
  <c r="Y14" i="1" s="1"/>
  <c r="J14" i="1"/>
  <c r="K14" i="1" s="1"/>
  <c r="I15" i="1"/>
  <c r="L15" i="1" s="1"/>
  <c r="W15" i="1" s="1"/>
  <c r="Y15" i="1" s="1"/>
  <c r="J15" i="1"/>
  <c r="K15" i="1" s="1"/>
  <c r="I16" i="1"/>
  <c r="J16" i="1"/>
  <c r="K16" i="1" s="1"/>
  <c r="I17" i="1"/>
  <c r="L17" i="1" s="1"/>
  <c r="W17" i="1" s="1"/>
  <c r="Y17" i="1" s="1"/>
  <c r="J17" i="1"/>
  <c r="K17" i="1" s="1"/>
  <c r="Z17" i="1" s="1"/>
  <c r="I18" i="1"/>
  <c r="L18" i="1" s="1"/>
  <c r="W18" i="1" s="1"/>
  <c r="Y18" i="1" s="1"/>
  <c r="J18" i="1"/>
  <c r="K18" i="1" s="1"/>
  <c r="Z18" i="1" s="1"/>
  <c r="I19" i="1"/>
  <c r="L19" i="1" s="1"/>
  <c r="W19" i="1" s="1"/>
  <c r="Y19" i="1" s="1"/>
  <c r="J19" i="1"/>
  <c r="K19" i="1" s="1"/>
  <c r="Z19" i="1" s="1"/>
  <c r="I20" i="1"/>
  <c r="L20" i="1" s="1"/>
  <c r="W20" i="1" s="1"/>
  <c r="Y20" i="1" s="1"/>
  <c r="J20" i="1"/>
  <c r="K20" i="1" s="1"/>
  <c r="I21" i="1"/>
  <c r="L21" i="1" s="1"/>
  <c r="W21" i="1" s="1"/>
  <c r="Y21" i="1" s="1"/>
  <c r="J21" i="1"/>
  <c r="K21" i="1" s="1"/>
  <c r="I22" i="1"/>
  <c r="L22" i="1" s="1"/>
  <c r="W22" i="1" s="1"/>
  <c r="Y22" i="1" s="1"/>
  <c r="J22" i="1"/>
  <c r="K22" i="1" s="1"/>
  <c r="I23" i="1"/>
  <c r="L23" i="1" s="1"/>
  <c r="W23" i="1" s="1"/>
  <c r="Y23" i="1" s="1"/>
  <c r="J23" i="1"/>
  <c r="K23" i="1" s="1"/>
  <c r="I24" i="1"/>
  <c r="L24" i="1" s="1"/>
  <c r="W24" i="1" s="1"/>
  <c r="Y24" i="1" s="1"/>
  <c r="J24" i="1"/>
  <c r="K24" i="1" s="1"/>
  <c r="I25" i="1"/>
  <c r="L25" i="1" s="1"/>
  <c r="W25" i="1" s="1"/>
  <c r="Y25" i="1" s="1"/>
  <c r="J25" i="1"/>
  <c r="K25" i="1" s="1"/>
  <c r="I26" i="1"/>
  <c r="L26" i="1" s="1"/>
  <c r="W26" i="1" s="1"/>
  <c r="Y26" i="1" s="1"/>
  <c r="J26" i="1"/>
  <c r="K26" i="1" s="1"/>
  <c r="I27" i="1"/>
  <c r="L27" i="1" s="1"/>
  <c r="W27" i="1" s="1"/>
  <c r="Y27" i="1" s="1"/>
  <c r="J27" i="1"/>
  <c r="K27" i="1" s="1"/>
  <c r="I28" i="1"/>
  <c r="L28" i="1" s="1"/>
  <c r="W28" i="1" s="1"/>
  <c r="Y28" i="1" s="1"/>
  <c r="J28" i="1"/>
  <c r="K28" i="1" s="1"/>
  <c r="Z28" i="1" s="1"/>
  <c r="I29" i="1"/>
  <c r="L29" i="1" s="1"/>
  <c r="W29" i="1" s="1"/>
  <c r="Y29" i="1" s="1"/>
  <c r="J29" i="1"/>
  <c r="K29" i="1" s="1"/>
  <c r="Z29" i="1" s="1"/>
  <c r="I30" i="1"/>
  <c r="L30" i="1" s="1"/>
  <c r="W30" i="1" s="1"/>
  <c r="Y30" i="1" s="1"/>
  <c r="J30" i="1"/>
  <c r="K30" i="1" s="1"/>
  <c r="I31" i="1"/>
  <c r="L31" i="1" s="1"/>
  <c r="W31" i="1" s="1"/>
  <c r="Y31" i="1" s="1"/>
  <c r="J31" i="1"/>
  <c r="K31" i="1" s="1"/>
  <c r="I32" i="1"/>
  <c r="L32" i="1" s="1"/>
  <c r="W32" i="1" s="1"/>
  <c r="Y32" i="1" s="1"/>
  <c r="J32" i="1"/>
  <c r="K32" i="1" s="1"/>
  <c r="I33" i="1"/>
  <c r="L33" i="1" s="1"/>
  <c r="W33" i="1" s="1"/>
  <c r="Y33" i="1" s="1"/>
  <c r="J33" i="1"/>
  <c r="K33" i="1" s="1"/>
  <c r="I34" i="1"/>
  <c r="L34" i="1" s="1"/>
  <c r="W34" i="1" s="1"/>
  <c r="Y34" i="1" s="1"/>
  <c r="J34" i="1"/>
  <c r="K34" i="1" s="1"/>
  <c r="I35" i="1"/>
  <c r="L35" i="1" s="1"/>
  <c r="W35" i="1" s="1"/>
  <c r="Y35" i="1" s="1"/>
  <c r="J35" i="1"/>
  <c r="K35" i="1" s="1"/>
  <c r="Z35" i="1" s="1"/>
  <c r="I36" i="1"/>
  <c r="L36" i="1" s="1"/>
  <c r="W36" i="1" s="1"/>
  <c r="Y36" i="1" s="1"/>
  <c r="J36" i="1"/>
  <c r="K36" i="1" s="1"/>
  <c r="Z36" i="1" s="1"/>
  <c r="I37" i="1"/>
  <c r="L37" i="1" s="1"/>
  <c r="W37" i="1" s="1"/>
  <c r="Y37" i="1" s="1"/>
  <c r="J37" i="1"/>
  <c r="K37" i="1" s="1"/>
  <c r="Z37" i="1" s="1"/>
  <c r="I38" i="1"/>
  <c r="L38" i="1" s="1"/>
  <c r="W38" i="1" s="1"/>
  <c r="Y38" i="1" s="1"/>
  <c r="J38" i="1"/>
  <c r="K38" i="1" s="1"/>
  <c r="Z38" i="1" s="1"/>
  <c r="I39" i="1"/>
  <c r="L39" i="1" s="1"/>
  <c r="W39" i="1" s="1"/>
  <c r="Y39" i="1" s="1"/>
  <c r="J39" i="1"/>
  <c r="K39" i="1" s="1"/>
  <c r="I40" i="1"/>
  <c r="L40" i="1" s="1"/>
  <c r="W40" i="1" s="1"/>
  <c r="Y40" i="1" s="1"/>
  <c r="J40" i="1"/>
  <c r="K40" i="1" s="1"/>
  <c r="I41" i="1"/>
  <c r="J41" i="1"/>
  <c r="K41" i="1" s="1"/>
  <c r="I42" i="1"/>
  <c r="L42" i="1" s="1"/>
  <c r="W42" i="1" s="1"/>
  <c r="Y42" i="1" s="1"/>
  <c r="J42" i="1"/>
  <c r="K42" i="1" s="1"/>
  <c r="I43" i="1"/>
  <c r="L43" i="1" s="1"/>
  <c r="W43" i="1" s="1"/>
  <c r="Y43" i="1" s="1"/>
  <c r="J43" i="1"/>
  <c r="K43" i="1" s="1"/>
  <c r="I44" i="1"/>
  <c r="L44" i="1" s="1"/>
  <c r="W44" i="1" s="1"/>
  <c r="Y44" i="1" s="1"/>
  <c r="J44" i="1"/>
  <c r="K44" i="1" s="1"/>
  <c r="I45" i="1"/>
  <c r="L45" i="1" s="1"/>
  <c r="W45" i="1" s="1"/>
  <c r="Y45" i="1" s="1"/>
  <c r="J45" i="1"/>
  <c r="K45" i="1" s="1"/>
  <c r="J2" i="1"/>
  <c r="K2" i="1" s="1"/>
  <c r="I2" i="1"/>
  <c r="L2" i="1" s="1"/>
  <c r="Z71" i="3" l="1"/>
  <c r="Z72" i="3" s="1"/>
  <c r="Z92" i="3"/>
  <c r="Z70" i="3"/>
  <c r="Z93" i="3"/>
  <c r="AX69" i="2"/>
  <c r="AX71" i="2" s="1"/>
  <c r="J22" i="3"/>
  <c r="J23" i="3"/>
  <c r="J24" i="3" s="1"/>
  <c r="J45" i="3"/>
  <c r="J47" i="3" s="1"/>
  <c r="J68" i="3"/>
  <c r="J92" i="3" s="1"/>
  <c r="J69" i="3"/>
  <c r="J46" i="3"/>
  <c r="R23" i="3"/>
  <c r="R24" i="3" s="1"/>
  <c r="R44" i="3"/>
  <c r="R46" i="3" s="1"/>
  <c r="R22" i="3"/>
  <c r="S44" i="1"/>
  <c r="Z44" i="1"/>
  <c r="S42" i="1"/>
  <c r="Z42" i="1"/>
  <c r="S40" i="1"/>
  <c r="Z40" i="1"/>
  <c r="S34" i="1"/>
  <c r="Z34" i="1"/>
  <c r="S32" i="1"/>
  <c r="Z32" i="1"/>
  <c r="S30" i="1"/>
  <c r="Z30" i="1"/>
  <c r="S26" i="1"/>
  <c r="Z26" i="1"/>
  <c r="S24" i="1"/>
  <c r="Z24" i="1"/>
  <c r="S22" i="1"/>
  <c r="Z22" i="1"/>
  <c r="S20" i="1"/>
  <c r="Z20" i="1"/>
  <c r="S16" i="1"/>
  <c r="Z16" i="1"/>
  <c r="S14" i="1"/>
  <c r="Z14" i="1"/>
  <c r="S12" i="1"/>
  <c r="Z12" i="1"/>
  <c r="S8" i="1"/>
  <c r="Z8" i="1"/>
  <c r="S6" i="1"/>
  <c r="Z6" i="1"/>
  <c r="S4" i="1"/>
  <c r="Z4" i="1"/>
  <c r="S2" i="1"/>
  <c r="Z2" i="1"/>
  <c r="S45" i="1"/>
  <c r="Z45" i="1"/>
  <c r="S43" i="1"/>
  <c r="Z43" i="1"/>
  <c r="S41" i="1"/>
  <c r="Z41" i="1"/>
  <c r="S39" i="1"/>
  <c r="Z39" i="1"/>
  <c r="S33" i="1"/>
  <c r="Z33" i="1"/>
  <c r="S31" i="1"/>
  <c r="Z31" i="1"/>
  <c r="S27" i="1"/>
  <c r="Z27" i="1"/>
  <c r="S25" i="1"/>
  <c r="Z25" i="1"/>
  <c r="S23" i="1"/>
  <c r="Z23" i="1"/>
  <c r="S21" i="1"/>
  <c r="Z21" i="1"/>
  <c r="S15" i="1"/>
  <c r="Z15" i="1"/>
  <c r="S13" i="1"/>
  <c r="Z13" i="1"/>
  <c r="S11" i="1"/>
  <c r="Z11" i="1"/>
  <c r="S7" i="1"/>
  <c r="Z7" i="1"/>
  <c r="S5" i="1"/>
  <c r="Z5" i="1"/>
  <c r="S3" i="1"/>
  <c r="Z3" i="1"/>
  <c r="BF68" i="2"/>
  <c r="BF92" i="2" s="1"/>
  <c r="BF47" i="2"/>
  <c r="BF48" i="2" s="1"/>
  <c r="BF46" i="2"/>
  <c r="R48" i="2"/>
  <c r="O3" i="1"/>
  <c r="P3" i="1" s="1"/>
  <c r="W3" i="1"/>
  <c r="Y3" i="1" s="1"/>
  <c r="O2" i="1"/>
  <c r="W2" i="1"/>
  <c r="Y2" i="1" s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AP69" i="2"/>
  <c r="AP68" i="2"/>
  <c r="AP93" i="2" s="1"/>
  <c r="B69" i="3"/>
  <c r="B47" i="3"/>
  <c r="B48" i="3" s="1"/>
  <c r="J47" i="2"/>
  <c r="J48" i="2" s="1"/>
  <c r="AP47" i="2"/>
  <c r="AP48" i="2" s="1"/>
  <c r="J69" i="2"/>
  <c r="AH47" i="2"/>
  <c r="AH48" i="2" s="1"/>
  <c r="J68" i="2"/>
  <c r="J93" i="2" s="1"/>
  <c r="AH68" i="2"/>
  <c r="AH92" i="2" s="1"/>
  <c r="Z69" i="2"/>
  <c r="Z71" i="2" s="1"/>
  <c r="AH69" i="2"/>
  <c r="Z47" i="2"/>
  <c r="Z48" i="2" s="1"/>
  <c r="B48" i="2"/>
  <c r="AX46" i="2"/>
  <c r="AX47" i="2"/>
  <c r="AX48" i="2" s="1"/>
  <c r="Z46" i="2"/>
  <c r="B70" i="2"/>
  <c r="B92" i="2"/>
  <c r="B93" i="2"/>
  <c r="B71" i="2"/>
  <c r="Z92" i="2"/>
  <c r="Z93" i="2"/>
  <c r="Z70" i="2"/>
  <c r="R92" i="2"/>
  <c r="R70" i="2"/>
  <c r="R93" i="2"/>
  <c r="R71" i="2"/>
  <c r="AX92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Y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Q3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Z95" i="3" l="1"/>
  <c r="Z96" i="3" s="1"/>
  <c r="Z116" i="3"/>
  <c r="Z94" i="3"/>
  <c r="Z117" i="3"/>
  <c r="J93" i="3"/>
  <c r="J95" i="3" s="1"/>
  <c r="J48" i="3"/>
  <c r="J70" i="3"/>
  <c r="R69" i="3"/>
  <c r="J71" i="3"/>
  <c r="R47" i="3"/>
  <c r="R48" i="3" s="1"/>
  <c r="R68" i="3"/>
  <c r="R70" i="3" s="1"/>
  <c r="R72" i="2"/>
  <c r="BF70" i="2"/>
  <c r="BF93" i="2"/>
  <c r="BF95" i="2" s="1"/>
  <c r="BF71" i="2"/>
  <c r="BF72" i="2" s="1"/>
  <c r="J116" i="3"/>
  <c r="J117" i="3"/>
  <c r="J94" i="3"/>
  <c r="Q24" i="1"/>
  <c r="M16" i="1"/>
  <c r="R16" i="1" s="1"/>
  <c r="W16" i="1"/>
  <c r="Y16" i="1" s="1"/>
  <c r="Q6" i="1"/>
  <c r="B93" i="3"/>
  <c r="B92" i="3"/>
  <c r="B117" i="3" s="1"/>
  <c r="B71" i="3"/>
  <c r="B72" i="3" s="1"/>
  <c r="Q25" i="1"/>
  <c r="AP71" i="2"/>
  <c r="AP72" i="2" s="1"/>
  <c r="AP70" i="2"/>
  <c r="AP92" i="2"/>
  <c r="AP94" i="2" s="1"/>
  <c r="AH71" i="2"/>
  <c r="AH72" i="2" s="1"/>
  <c r="J71" i="2"/>
  <c r="J72" i="2" s="1"/>
  <c r="J70" i="2"/>
  <c r="AH70" i="2"/>
  <c r="AX72" i="2"/>
  <c r="AH93" i="2"/>
  <c r="AH95" i="2" s="1"/>
  <c r="J92" i="2"/>
  <c r="J94" i="2" s="1"/>
  <c r="Z72" i="2"/>
  <c r="B72" i="2"/>
  <c r="R95" i="2"/>
  <c r="B116" i="2"/>
  <c r="B117" i="2"/>
  <c r="B94" i="2"/>
  <c r="B95" i="2"/>
  <c r="AX94" i="2"/>
  <c r="AX95" i="2"/>
  <c r="AX116" i="2"/>
  <c r="AX117" i="2"/>
  <c r="R117" i="2"/>
  <c r="R94" i="2"/>
  <c r="R116" i="2"/>
  <c r="Z117" i="2"/>
  <c r="Z94" i="2"/>
  <c r="Z95" i="2"/>
  <c r="Z116" i="2"/>
  <c r="AH116" i="2"/>
  <c r="AH117" i="2"/>
  <c r="AH94" i="2"/>
  <c r="BF116" i="2"/>
  <c r="BF117" i="2"/>
  <c r="BF94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Z119" i="3" l="1"/>
  <c r="Z120" i="3" s="1"/>
  <c r="AB127" i="3" s="1"/>
  <c r="Z118" i="3"/>
  <c r="AB124" i="3"/>
  <c r="AB126" i="3" s="1"/>
  <c r="J72" i="3"/>
  <c r="J96" i="3" s="1"/>
  <c r="R96" i="2"/>
  <c r="R92" i="3"/>
  <c r="R94" i="3" s="1"/>
  <c r="R93" i="3"/>
  <c r="R71" i="3"/>
  <c r="R72" i="3" s="1"/>
  <c r="J118" i="3"/>
  <c r="L124" i="3"/>
  <c r="L126" i="3" s="1"/>
  <c r="J119" i="3"/>
  <c r="B94" i="3"/>
  <c r="B116" i="3"/>
  <c r="B118" i="3" s="1"/>
  <c r="B95" i="3"/>
  <c r="B96" i="3" s="1"/>
  <c r="AH96" i="2"/>
  <c r="P41" i="1"/>
  <c r="Q16" i="1"/>
  <c r="J117" i="2"/>
  <c r="AP117" i="2"/>
  <c r="AP95" i="2"/>
  <c r="AP96" i="2" s="1"/>
  <c r="J116" i="2"/>
  <c r="J118" i="2" s="1"/>
  <c r="AP116" i="2"/>
  <c r="AR124" i="2" s="1"/>
  <c r="AR126" i="2" s="1"/>
  <c r="BF96" i="2"/>
  <c r="J95" i="2"/>
  <c r="J96" i="2" s="1"/>
  <c r="Z96" i="2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AB124" i="2"/>
  <c r="AB126" i="2" s="1"/>
  <c r="Z119" i="2"/>
  <c r="Z118" i="2"/>
  <c r="R119" i="2"/>
  <c r="R118" i="2"/>
  <c r="T124" i="2"/>
  <c r="T126" i="2" s="1"/>
  <c r="AX119" i="2"/>
  <c r="AX118" i="2"/>
  <c r="AZ124" i="2"/>
  <c r="AZ126" i="2" s="1"/>
  <c r="N41" i="1"/>
  <c r="R117" i="3" l="1"/>
  <c r="R116" i="3"/>
  <c r="R118" i="3" s="1"/>
  <c r="R95" i="3"/>
  <c r="R96" i="3" s="1"/>
  <c r="R120" i="2"/>
  <c r="T127" i="2" s="1"/>
  <c r="J120" i="3"/>
  <c r="L127" i="3" s="1"/>
  <c r="B119" i="3"/>
  <c r="B120" i="3" s="1"/>
  <c r="D127" i="3" s="1"/>
  <c r="D124" i="3"/>
  <c r="D126" i="3" s="1"/>
  <c r="AH120" i="2"/>
  <c r="AJ127" i="2" s="1"/>
  <c r="J119" i="2"/>
  <c r="J120" i="2" s="1"/>
  <c r="L127" i="2" s="1"/>
  <c r="L124" i="2"/>
  <c r="L126" i="2" s="1"/>
  <c r="AP119" i="2"/>
  <c r="AP120" i="2" s="1"/>
  <c r="AR127" i="2" s="1"/>
  <c r="AP118" i="2"/>
  <c r="BF120" i="2"/>
  <c r="BH127" i="2" s="1"/>
  <c r="B120" i="2"/>
  <c r="D127" i="2" s="1"/>
  <c r="AX120" i="2"/>
  <c r="AZ127" i="2" s="1"/>
  <c r="Z120" i="2"/>
  <c r="AB127" i="2" s="1"/>
  <c r="T124" i="3" l="1"/>
  <c r="T126" i="3" s="1"/>
  <c r="R119" i="3"/>
  <c r="R120" i="3" s="1"/>
  <c r="T127" i="3" s="1"/>
</calcChain>
</file>

<file path=xl/sharedStrings.xml><?xml version="1.0" encoding="utf-8"?>
<sst xmlns="http://schemas.openxmlformats.org/spreadsheetml/2006/main" count="2074" uniqueCount="324">
  <si>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</si>
  <si>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</si>
  <si>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</si>
  <si>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</si>
  <si>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</si>
  <si>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</si>
  <si>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</si>
  <si>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</si>
  <si>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</si>
  <si>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</si>
  <si>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</si>
  <si>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</si>
  <si>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</si>
  <si>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</si>
  <si>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</si>
  <si>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</si>
  <si>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</si>
  <si>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</si>
  <si>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</si>
  <si>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</si>
  <si>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</si>
  <si>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</si>
  <si>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</si>
  <si>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</si>
  <si>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</si>
  <si>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</si>
  <si>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</si>
  <si>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</si>
  <si>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</si>
  <si>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</si>
  <si>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</si>
  <si>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</si>
  <si>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</si>
  <si>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</si>
  <si>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</si>
  <si>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</si>
  <si>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</si>
  <si>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</si>
  <si>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</si>
  <si>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</si>
  <si>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</si>
  <si>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</si>
  <si>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</si>
  <si>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</si>
  <si>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</si>
  <si>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</si>
  <si>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</si>
  <si>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</si>
  <si>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</si>
  <si>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</si>
  <si>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</si>
  <si>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</si>
  <si>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</si>
  <si>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</si>
  <si>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</si>
  <si>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</si>
  <si>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</si>
  <si>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</si>
  <si>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</si>
  <si>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</si>
  <si>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</si>
  <si>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</si>
  <si>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</si>
  <si>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</si>
  <si>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</si>
  <si>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</si>
  <si>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</si>
  <si>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</si>
  <si>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</si>
  <si>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</si>
  <si>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</si>
  <si>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</si>
  <si>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</si>
  <si>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</si>
  <si>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</si>
  <si>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</si>
  <si>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</si>
  <si>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</si>
  <si>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</si>
  <si>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</si>
  <si>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</si>
  <si>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</si>
  <si>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</si>
  <si>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</si>
  <si>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</si>
  <si>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</si>
  <si>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</si>
  <si>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</si>
  <si>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</si>
  <si>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</si>
  <si>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</si>
  <si>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</si>
  <si>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</si>
  <si>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</si>
  <si>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</si>
  <si>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</si>
  <si>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</si>
  <si>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</si>
  <si>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</si>
  <si>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</si>
  <si>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</si>
  <si>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</si>
  <si>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</si>
  <si>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</si>
  <si>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</si>
  <si>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</si>
  <si>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</si>
  <si>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</si>
  <si>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</si>
  <si>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</si>
  <si>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</si>
  <si>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</si>
  <si>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</si>
  <si>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</si>
  <si>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</si>
  <si>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</si>
  <si>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</si>
  <si>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</si>
  <si>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</si>
  <si>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</si>
  <si>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</si>
  <si>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</si>
  <si>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</si>
  <si>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</si>
  <si>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</si>
  <si>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</si>
  <si>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</si>
  <si>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</si>
  <si>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</si>
  <si>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</si>
  <si>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</si>
  <si>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</si>
  <si>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</si>
  <si>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</si>
  <si>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</si>
  <si>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</si>
  <si>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</si>
  <si>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</si>
  <si>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</si>
  <si>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</si>
  <si>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</si>
  <si>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</si>
  <si>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</si>
  <si>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</si>
  <si>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</si>
  <si>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</si>
  <si>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</si>
  <si>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</si>
  <si>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</si>
  <si>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</si>
  <si>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</si>
  <si>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</si>
  <si>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</si>
  <si>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</si>
  <si>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</si>
  <si>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</si>
  <si>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</si>
  <si>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</si>
  <si>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</si>
  <si>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</si>
  <si>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</si>
  <si>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</si>
  <si>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</si>
  <si>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</si>
  <si>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</si>
  <si>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</si>
  <si>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</si>
  <si>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</si>
  <si>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</si>
  <si>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</si>
  <si>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</si>
  <si>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</si>
  <si>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</si>
  <si>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</si>
  <si>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</si>
  <si>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</si>
  <si>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</si>
  <si>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</si>
  <si>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</si>
  <si>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</si>
  <si>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</si>
  <si>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</si>
  <si>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</si>
  <si>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</si>
  <si>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</si>
  <si>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</si>
  <si>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</si>
  <si>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</si>
  <si>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</si>
  <si>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</si>
  <si>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</si>
  <si>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</si>
  <si>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</si>
  <si>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</si>
  <si>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</si>
  <si>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</si>
  <si>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</si>
  <si>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</si>
  <si>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</si>
  <si>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</si>
  <si>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</si>
  <si>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</si>
  <si>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</si>
  <si>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</si>
  <si>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</si>
  <si>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</si>
  <si>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</si>
  <si>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</si>
  <si>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</si>
  <si>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</si>
  <si>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</si>
  <si>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</si>
  <si>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</si>
  <si>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</si>
  <si>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</si>
  <si>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</si>
  <si>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</si>
  <si>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</si>
  <si>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</si>
  <si>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SC-A1-TANK1</t>
  </si>
  <si>
    <t>SC-A1-TANK2</t>
  </si>
  <si>
    <t>SC-A1-TANK3</t>
  </si>
  <si>
    <t>SC-A1-TANK4</t>
  </si>
  <si>
    <t>SC-A1-TANK5</t>
  </si>
  <si>
    <t>SC-A1-TANK6</t>
  </si>
  <si>
    <t>SC-A1-TANK7</t>
  </si>
  <si>
    <t>SC-A1-TANK8</t>
  </si>
  <si>
    <t>SC-A2-TANK1</t>
  </si>
  <si>
    <t>SC-A2-TANK2</t>
  </si>
  <si>
    <t>SC-A2-TANK3</t>
  </si>
  <si>
    <t>SC-A2-TANK4</t>
  </si>
  <si>
    <t>SC-A2-TANK5</t>
  </si>
  <si>
    <t>SC-A2-TANK6</t>
  </si>
  <si>
    <t>SC-A2-TANK7</t>
  </si>
  <si>
    <t>SC-A2-TANK8</t>
  </si>
  <si>
    <t>SC-A3-TANK1</t>
  </si>
  <si>
    <t>SC-A3-TANK2</t>
  </si>
  <si>
    <t>SC-A3-TANK3</t>
  </si>
  <si>
    <t>SC-A3-TANK4</t>
  </si>
  <si>
    <t>SC-A3-TANK5</t>
  </si>
  <si>
    <t>SC-A3-TANK6</t>
  </si>
  <si>
    <t>SC-A3-TANK7</t>
  </si>
  <si>
    <t>SC-A3-TANK8</t>
  </si>
  <si>
    <t>SC-A0-TANK1</t>
  </si>
  <si>
    <t>SC-A0-TANK2</t>
  </si>
  <si>
    <t>SC-A0-TANK3</t>
  </si>
  <si>
    <t>SC-A0-TANK4</t>
  </si>
  <si>
    <t>SC-A0-TANK5</t>
  </si>
  <si>
    <t>SC-A0-TANK6</t>
  </si>
  <si>
    <t>SC-A0-TANK7</t>
  </si>
  <si>
    <t>SC-A0-TANK8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</si>
  <si>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</si>
  <si>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</si>
  <si>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</si>
  <si>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</si>
  <si>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</si>
  <si>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</si>
  <si>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</si>
  <si>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</si>
  <si>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</si>
  <si>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</si>
  <si>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</si>
  <si>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</si>
  <si>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</si>
  <si>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</si>
  <si>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</si>
  <si>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</si>
  <si>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</si>
  <si>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</si>
  <si>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</si>
  <si>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</si>
  <si>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</si>
  <si>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</si>
  <si>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</si>
  <si>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</si>
  <si>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</si>
  <si>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</si>
  <si>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</si>
  <si>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</si>
  <si>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</si>
  <si>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</si>
  <si>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</si>
  <si>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</si>
  <si>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</si>
  <si>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</si>
  <si>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</si>
  <si>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</si>
  <si>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</si>
  <si>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</si>
  <si>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</si>
  <si>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</si>
  <si>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</si>
  <si>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</si>
  <si>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</si>
  <si>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</si>
  <si>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</si>
  <si>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</si>
  <si>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</si>
  <si>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</si>
  <si>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</si>
  <si>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</si>
  <si>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testtanklfo</t>
  </si>
  <si>
    <t>testtanklh2</t>
  </si>
  <si>
    <t>testenginelfo</t>
  </si>
  <si>
    <t>testenginelh2</t>
  </si>
  <si>
    <t>lh2/lo2</t>
  </si>
  <si>
    <t>6:1 by mass</t>
  </si>
  <si>
    <t>units of O to LH2</t>
  </si>
  <si>
    <t>o / t</t>
  </si>
  <si>
    <t>lh2 / t</t>
  </si>
  <si>
    <t>each 1t of lh2/lo2</t>
  </si>
  <si>
    <t>volume</t>
  </si>
  <si>
    <t>o2</t>
  </si>
  <si>
    <t>lh2</t>
  </si>
  <si>
    <t>each 1 m3 of lh2/o2</t>
  </si>
  <si>
    <t>total volume</t>
  </si>
  <si>
    <t>total mass</t>
  </si>
  <si>
    <t>mass / volume</t>
  </si>
  <si>
    <t>total liters</t>
  </si>
  <si>
    <t>0.28g/cc for lh2/lox mixture?</t>
  </si>
  <si>
    <t>SC-ENG-RS-25</t>
  </si>
  <si>
    <t>SC-ENG-F1</t>
  </si>
  <si>
    <t>SC-ENG-F1B</t>
  </si>
  <si>
    <t>SC-ENG-RS-68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</si>
</sst>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2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101" activePane="bottomLeft" state="frozen"/>
      <selection pane="bottomLeft" activeCell="D120" sqref="D120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customWidth="1"/>
    <col min="10" max="10" width="13.28515625" style="2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256</v>
      </c>
      <c r="X1" s="5" t="s">
        <v>259</v>
      </c>
      <c r="Y1" s="5" t="s">
        <v>260</v>
      </c>
      <c r="Z1" s="5" t="s">
        <v>255</v>
      </c>
      <c r="AA1" s="5" t="s">
        <v>261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40.800000000000004</v>
      </c>
      <c r="X13" s="3"/>
      <c r="Y13" s="3">
        <f t="shared" si="9"/>
        <v>40.800000000000004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1400</v>
      </c>
      <c r="P63" s="4">
        <f t="shared" si="11"/>
        <v>630</v>
      </c>
      <c r="Q63" s="4">
        <f t="shared" si="19"/>
        <v>770.00000000000011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1680.0000000000002</v>
      </c>
      <c r="Y63" s="3">
        <f t="shared" si="9"/>
        <v>1680.0000000000002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9100</v>
      </c>
      <c r="P70" s="4">
        <f t="shared" si="29"/>
        <v>4095</v>
      </c>
      <c r="Q70" s="4">
        <f t="shared" si="19"/>
        <v>5005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5452.7052892031243</v>
      </c>
      <c r="X70" s="2">
        <v>10000</v>
      </c>
      <c r="Y70" s="3">
        <f t="shared" si="27"/>
        <v>15452.705289203124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13640</v>
      </c>
      <c r="P71" s="4">
        <f t="shared" si="29"/>
        <v>6138</v>
      </c>
      <c r="Q71" s="4">
        <f t="shared" si="19"/>
        <v>7502.0000000000009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8179.0579338046855</v>
      </c>
      <c r="X71" s="2">
        <v>15000</v>
      </c>
      <c r="Y71" s="3">
        <f t="shared" si="27"/>
        <v>23179.057933804685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18180</v>
      </c>
      <c r="P72" s="4">
        <f t="shared" si="29"/>
        <v>8181</v>
      </c>
      <c r="Q72" s="4">
        <f t="shared" si="19"/>
        <v>9999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10905.410578406249</v>
      </c>
      <c r="X72" s="2">
        <v>20000</v>
      </c>
      <c r="Y72" s="3">
        <f t="shared" si="27"/>
        <v>30905.410578406249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22720</v>
      </c>
      <c r="P73" s="4">
        <f t="shared" si="29"/>
        <v>10224</v>
      </c>
      <c r="Q73" s="4">
        <f t="shared" si="19"/>
        <v>12496.000000000002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13631.763223007811</v>
      </c>
      <c r="X73" s="2">
        <v>25000</v>
      </c>
      <c r="Y73" s="3">
        <f t="shared" si="27"/>
        <v>38631.763223007809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252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254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253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1000</v>
      </c>
      <c r="P84" s="4">
        <f t="shared" si="29"/>
        <v>450</v>
      </c>
      <c r="Q84" s="4">
        <f t="shared" si="19"/>
        <v>550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1200</v>
      </c>
      <c r="Y84" s="3">
        <f t="shared" si="27"/>
        <v>1200</v>
      </c>
      <c r="Z84" s="3">
        <f t="shared" si="28"/>
        <v>0</v>
      </c>
    </row>
    <row r="85" spans="1:26" x14ac:dyDescent="0.25">
      <c r="A85" s="6" t="s">
        <v>243</v>
      </c>
      <c r="B85" s="6">
        <v>0</v>
      </c>
      <c r="C85" s="18">
        <f>ROUNDDOWN(PI()*0.3125*0.3125*0.625*1,2)</f>
        <v>0.19</v>
      </c>
      <c r="D85" s="6">
        <v>0.15</v>
      </c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0.1615</v>
      </c>
      <c r="J85" s="4">
        <f t="shared" si="21"/>
        <v>2.8499999999999998E-2</v>
      </c>
      <c r="K85" s="4">
        <f t="shared" si="22"/>
        <v>2.8499999999999998E-2</v>
      </c>
      <c r="L85" s="4">
        <f>IFERROR(VLOOKUP(H85,FuelTypes!$A$1:$B$32,2,FALSE)*I85,0)</f>
        <v>0.1615</v>
      </c>
      <c r="M85" s="4">
        <f t="shared" si="18"/>
        <v>0.19</v>
      </c>
      <c r="N85" s="4">
        <f t="shared" si="23"/>
        <v>0.85</v>
      </c>
      <c r="O85" s="4">
        <f>ROUNDUP((IFERROR(VLOOKUP(H85,FuelTypes!$A$2:$C$24,3,FALSE),0)*L85)/20,0)*20</f>
        <v>40</v>
      </c>
      <c r="P85" s="4">
        <f t="shared" si="29"/>
        <v>18</v>
      </c>
      <c r="Q85" s="4">
        <f t="shared" si="19"/>
        <v>22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14.825699999999999</v>
      </c>
      <c r="Y85" s="3">
        <f t="shared" si="27"/>
        <v>14.825699999999999</v>
      </c>
      <c r="Z85" s="3">
        <f t="shared" si="28"/>
        <v>0</v>
      </c>
    </row>
    <row r="86" spans="1:26" x14ac:dyDescent="0.25">
      <c r="A86" s="6" t="s">
        <v>244</v>
      </c>
      <c r="B86" s="6">
        <v>0</v>
      </c>
      <c r="C86" s="18">
        <f>ROUNDDOWN(PI()*0.3125*0.3125*0.625*2,2)</f>
        <v>0.38</v>
      </c>
      <c r="D86" s="6">
        <v>0.15</v>
      </c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0.32300000000000001</v>
      </c>
      <c r="J86" s="4">
        <f t="shared" si="21"/>
        <v>5.6999999999999995E-2</v>
      </c>
      <c r="K86" s="4">
        <f t="shared" si="22"/>
        <v>5.6999999999999995E-2</v>
      </c>
      <c r="L86" s="4">
        <f>IFERROR(VLOOKUP(H86,FuelTypes!$A$1:$B$32,2,FALSE)*I86,0)</f>
        <v>0.32300000000000001</v>
      </c>
      <c r="M86" s="4">
        <f t="shared" si="18"/>
        <v>0.38</v>
      </c>
      <c r="N86" s="4">
        <f t="shared" si="23"/>
        <v>0.85</v>
      </c>
      <c r="O86" s="4">
        <f>ROUNDUP((IFERROR(VLOOKUP(H86,FuelTypes!$A$2:$C$24,3,FALSE),0)*L86)/20,0)*20</f>
        <v>80</v>
      </c>
      <c r="P86" s="4">
        <f t="shared" si="29"/>
        <v>36</v>
      </c>
      <c r="Q86" s="4">
        <f t="shared" si="19"/>
        <v>44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29.651399999999999</v>
      </c>
      <c r="Y86" s="3">
        <f t="shared" si="27"/>
        <v>29.651399999999999</v>
      </c>
      <c r="Z86" s="3">
        <f t="shared" si="28"/>
        <v>0</v>
      </c>
    </row>
    <row r="87" spans="1:26" x14ac:dyDescent="0.25">
      <c r="A87" s="6" t="s">
        <v>245</v>
      </c>
      <c r="B87" s="6">
        <v>0</v>
      </c>
      <c r="C87" s="18">
        <f>ROUNDDOWN(PI()*0.3125*0.3125*0.625*3,2)</f>
        <v>0.56999999999999995</v>
      </c>
      <c r="D87" s="6">
        <v>0.15</v>
      </c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0.48449999999999993</v>
      </c>
      <c r="J87" s="4">
        <f t="shared" si="21"/>
        <v>8.5499999999999993E-2</v>
      </c>
      <c r="K87" s="4">
        <f t="shared" si="22"/>
        <v>8.5499999999999993E-2</v>
      </c>
      <c r="L87" s="4">
        <f>IFERROR(VLOOKUP(H87,FuelTypes!$A$1:$B$32,2,FALSE)*I87,0)</f>
        <v>0.48449999999999993</v>
      </c>
      <c r="M87" s="4">
        <f t="shared" si="18"/>
        <v>0.56999999999999995</v>
      </c>
      <c r="N87" s="4">
        <f t="shared" si="23"/>
        <v>0.85</v>
      </c>
      <c r="O87" s="4">
        <f>ROUNDUP((IFERROR(VLOOKUP(H87,FuelTypes!$A$2:$C$24,3,FALSE),0)*L87)/20,0)*20</f>
        <v>100</v>
      </c>
      <c r="P87" s="4">
        <f t="shared" si="29"/>
        <v>45</v>
      </c>
      <c r="Q87" s="4">
        <f t="shared" si="19"/>
        <v>55.000000000000007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44.477099999999993</v>
      </c>
      <c r="Y87" s="3">
        <f t="shared" si="27"/>
        <v>44.477099999999993</v>
      </c>
      <c r="Z87" s="3">
        <f t="shared" si="28"/>
        <v>0</v>
      </c>
    </row>
    <row r="88" spans="1:26" x14ac:dyDescent="0.25">
      <c r="A88" s="6" t="s">
        <v>246</v>
      </c>
      <c r="B88" s="6">
        <v>0</v>
      </c>
      <c r="C88" s="18">
        <f>ROUNDDOWN(PI()*0.3125*0.3125*0.625*4,2)</f>
        <v>0.76</v>
      </c>
      <c r="D88" s="6">
        <v>0.15</v>
      </c>
      <c r="E88" s="6">
        <v>0</v>
      </c>
      <c r="F88" s="6">
        <v>0</v>
      </c>
      <c r="G88" s="6">
        <v>0</v>
      </c>
      <c r="H88" s="6" t="s">
        <v>164</v>
      </c>
      <c r="I88" s="4">
        <f t="shared" si="20"/>
        <v>0.64600000000000002</v>
      </c>
      <c r="J88" s="4">
        <f t="shared" si="21"/>
        <v>0.11399999999999999</v>
      </c>
      <c r="K88" s="4">
        <f t="shared" si="22"/>
        <v>0.11399999999999999</v>
      </c>
      <c r="L88" s="4">
        <f>IFERROR(VLOOKUP(H88,FuelTypes!$A$1:$B$32,2,FALSE)*I88,0)</f>
        <v>0.64600000000000002</v>
      </c>
      <c r="M88" s="4">
        <f t="shared" si="18"/>
        <v>0.76</v>
      </c>
      <c r="N88" s="4">
        <f t="shared" si="23"/>
        <v>0.85</v>
      </c>
      <c r="O88" s="4">
        <f>ROUNDUP((IFERROR(VLOOKUP(H88,FuelTypes!$A$2:$C$24,3,FALSE),0)*L88)/20,0)*20</f>
        <v>140</v>
      </c>
      <c r="P88" s="4">
        <f t="shared" si="29"/>
        <v>63</v>
      </c>
      <c r="Q88" s="4">
        <f t="shared" si="19"/>
        <v>77</v>
      </c>
      <c r="R88" s="4">
        <f t="shared" si="24"/>
        <v>0</v>
      </c>
      <c r="S88" s="4">
        <f t="shared" si="25"/>
        <v>0</v>
      </c>
      <c r="T88" s="4" t="e">
        <f t="shared" si="26"/>
        <v>#DIV/0!</v>
      </c>
      <c r="U88" s="4" t="e">
        <f t="shared" si="30"/>
        <v>#DIV/0!</v>
      </c>
      <c r="W88" s="3">
        <f>IFERROR(VLOOKUP(H88,FuelTypes!$A$2:$G$40,5,FALSE)*L88,0)</f>
        <v>59.302799999999998</v>
      </c>
      <c r="Y88" s="3">
        <f t="shared" si="27"/>
        <v>59.302799999999998</v>
      </c>
      <c r="Z88" s="3">
        <f t="shared" si="28"/>
        <v>0</v>
      </c>
    </row>
    <row r="89" spans="1:26" x14ac:dyDescent="0.25">
      <c r="A89" s="6" t="s">
        <v>247</v>
      </c>
      <c r="B89" s="6">
        <v>0</v>
      </c>
      <c r="C89" s="18">
        <f>ROUNDDOWN(PI()*0.3125*0.3125*0.625*5,2)</f>
        <v>0.95</v>
      </c>
      <c r="D89" s="6">
        <v>0.15</v>
      </c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0.8075</v>
      </c>
      <c r="J89" s="4">
        <f t="shared" si="21"/>
        <v>0.14249999999999999</v>
      </c>
      <c r="K89" s="4">
        <f t="shared" si="22"/>
        <v>0.14249999999999999</v>
      </c>
      <c r="L89" s="4">
        <f>IFERROR(VLOOKUP(H89,FuelTypes!$A$1:$B$32,2,FALSE)*I89,0)</f>
        <v>0.8075</v>
      </c>
      <c r="M89" s="4">
        <f t="shared" si="18"/>
        <v>0.95</v>
      </c>
      <c r="N89" s="4">
        <f t="shared" si="23"/>
        <v>0.85000000000000009</v>
      </c>
      <c r="O89" s="4">
        <f>ROUNDUP((IFERROR(VLOOKUP(H89,FuelTypes!$A$2:$C$24,3,FALSE),0)*L89)/20,0)*20</f>
        <v>180</v>
      </c>
      <c r="P89" s="4">
        <f t="shared" si="29"/>
        <v>81</v>
      </c>
      <c r="Q89" s="4">
        <f t="shared" si="19"/>
        <v>99.000000000000014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74.128500000000003</v>
      </c>
      <c r="Y89" s="3">
        <f t="shared" si="27"/>
        <v>74.128500000000003</v>
      </c>
      <c r="Z89" s="3">
        <f t="shared" si="28"/>
        <v>0</v>
      </c>
    </row>
    <row r="90" spans="1:26" x14ac:dyDescent="0.25">
      <c r="A90" s="6" t="s">
        <v>248</v>
      </c>
      <c r="B90" s="6">
        <v>0</v>
      </c>
      <c r="C90" s="18">
        <f>ROUNDDOWN(PI()*0.3125*0.3125*0.625*6,2)</f>
        <v>1.1499999999999999</v>
      </c>
      <c r="D90" s="6">
        <v>0.15</v>
      </c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0.97749999999999992</v>
      </c>
      <c r="J90" s="4">
        <f t="shared" si="21"/>
        <v>0.17249999999999999</v>
      </c>
      <c r="K90" s="4">
        <f t="shared" si="22"/>
        <v>0.17249999999999999</v>
      </c>
      <c r="L90" s="4">
        <f>IFERROR(VLOOKUP(H90,FuelTypes!$A$1:$B$32,2,FALSE)*I90,0)</f>
        <v>0.97749999999999992</v>
      </c>
      <c r="M90" s="4">
        <f t="shared" si="18"/>
        <v>1.1499999999999999</v>
      </c>
      <c r="N90" s="4">
        <f t="shared" si="23"/>
        <v>0.85</v>
      </c>
      <c r="O90" s="4">
        <f>ROUNDUP((IFERROR(VLOOKUP(H90,FuelTypes!$A$2:$C$24,3,FALSE),0)*L90)/20,0)*20</f>
        <v>200</v>
      </c>
      <c r="P90" s="4">
        <f t="shared" si="29"/>
        <v>90</v>
      </c>
      <c r="Q90" s="4">
        <f t="shared" si="19"/>
        <v>110.00000000000001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89.734499999999997</v>
      </c>
      <c r="Y90" s="3">
        <f t="shared" si="27"/>
        <v>89.734499999999997</v>
      </c>
      <c r="Z90" s="3">
        <f t="shared" si="28"/>
        <v>0</v>
      </c>
    </row>
    <row r="91" spans="1:26" x14ac:dyDescent="0.25">
      <c r="A91" s="6" t="s">
        <v>249</v>
      </c>
      <c r="B91" s="6">
        <v>0</v>
      </c>
      <c r="C91" s="18">
        <f>ROUNDDOWN(PI()*0.3125*0.3125*0.625*7,2)</f>
        <v>1.34</v>
      </c>
      <c r="D91" s="6">
        <v>0.15</v>
      </c>
      <c r="E91" s="6">
        <v>0</v>
      </c>
      <c r="F91" s="6">
        <v>0</v>
      </c>
      <c r="G91" s="6">
        <v>0</v>
      </c>
      <c r="H91" s="6" t="s">
        <v>164</v>
      </c>
      <c r="I91" s="4">
        <f t="shared" si="20"/>
        <v>1.139</v>
      </c>
      <c r="J91" s="4">
        <f t="shared" si="21"/>
        <v>0.20100000000000001</v>
      </c>
      <c r="K91" s="4">
        <f t="shared" si="22"/>
        <v>0.20100000000000001</v>
      </c>
      <c r="L91" s="4">
        <f>IFERROR(VLOOKUP(H91,FuelTypes!$A$1:$B$32,2,FALSE)*I91,0)</f>
        <v>1.139</v>
      </c>
      <c r="M91" s="4">
        <f t="shared" si="18"/>
        <v>1.34</v>
      </c>
      <c r="N91" s="4">
        <f t="shared" si="23"/>
        <v>0.85</v>
      </c>
      <c r="O91" s="4">
        <f>ROUNDUP((IFERROR(VLOOKUP(H91,FuelTypes!$A$2:$C$24,3,FALSE),0)*L91)/20,0)*20</f>
        <v>240</v>
      </c>
      <c r="P91" s="4">
        <f t="shared" si="29"/>
        <v>108</v>
      </c>
      <c r="Q91" s="4">
        <f t="shared" si="19"/>
        <v>132</v>
      </c>
      <c r="R91" s="4">
        <f t="shared" si="24"/>
        <v>0</v>
      </c>
      <c r="S91" s="4">
        <f t="shared" si="25"/>
        <v>0</v>
      </c>
      <c r="T91" s="4" t="e">
        <f t="shared" si="26"/>
        <v>#DIV/0!</v>
      </c>
      <c r="U91" s="4" t="e">
        <f t="shared" si="30"/>
        <v>#DIV/0!</v>
      </c>
      <c r="W91" s="3">
        <f>IFERROR(VLOOKUP(H91,FuelTypes!$A$2:$G$40,5,FALSE)*L91,0)</f>
        <v>104.56019999999999</v>
      </c>
      <c r="Y91" s="3">
        <f t="shared" si="27"/>
        <v>104.56019999999999</v>
      </c>
      <c r="Z91" s="3">
        <f t="shared" si="28"/>
        <v>0</v>
      </c>
    </row>
    <row r="92" spans="1:26" x14ac:dyDescent="0.25">
      <c r="A92" s="6" t="s">
        <v>250</v>
      </c>
      <c r="B92" s="6">
        <v>0</v>
      </c>
      <c r="C92" s="18">
        <f>ROUNDDOWN(PI()*0.3125*0.3125*0.625*8,2)</f>
        <v>1.53</v>
      </c>
      <c r="D92" s="6">
        <v>0.15</v>
      </c>
      <c r="E92" s="6">
        <v>0</v>
      </c>
      <c r="F92" s="6">
        <v>0</v>
      </c>
      <c r="G92" s="6">
        <v>0</v>
      </c>
      <c r="H92" s="6" t="s">
        <v>164</v>
      </c>
      <c r="I92" s="4">
        <f t="shared" si="20"/>
        <v>1.3005</v>
      </c>
      <c r="J92" s="4">
        <f t="shared" si="21"/>
        <v>0.22949999999999998</v>
      </c>
      <c r="K92" s="4">
        <f t="shared" si="22"/>
        <v>0.22949999999999998</v>
      </c>
      <c r="L92" s="4">
        <f>IFERROR(VLOOKUP(H92,FuelTypes!$A$1:$B$32,2,FALSE)*I92,0)</f>
        <v>1.3005</v>
      </c>
      <c r="M92" s="4">
        <f t="shared" si="18"/>
        <v>1.53</v>
      </c>
      <c r="N92" s="4">
        <f t="shared" si="23"/>
        <v>0.85</v>
      </c>
      <c r="O92" s="4">
        <f>ROUNDUP((IFERROR(VLOOKUP(H92,FuelTypes!$A$2:$C$24,3,FALSE),0)*L92)/20,0)*20</f>
        <v>280</v>
      </c>
      <c r="P92" s="4">
        <f t="shared" si="29"/>
        <v>126</v>
      </c>
      <c r="Q92" s="4">
        <f t="shared" si="19"/>
        <v>154</v>
      </c>
      <c r="R92" s="4">
        <f t="shared" si="24"/>
        <v>0</v>
      </c>
      <c r="S92" s="4">
        <f t="shared" si="25"/>
        <v>0</v>
      </c>
      <c r="T92" s="4" t="e">
        <f t="shared" si="26"/>
        <v>#DIV/0!</v>
      </c>
      <c r="U92" s="4" t="e">
        <f t="shared" si="30"/>
        <v>#DIV/0!</v>
      </c>
      <c r="W92" s="3">
        <f>IFERROR(VLOOKUP(H92,FuelTypes!$A$2:$G$40,5,FALSE)*L92,0)</f>
        <v>119.38589999999999</v>
      </c>
      <c r="Y92" s="3">
        <f t="shared" si="27"/>
        <v>119.38589999999999</v>
      </c>
      <c r="Z92" s="3">
        <f t="shared" si="28"/>
        <v>0</v>
      </c>
    </row>
    <row r="93" spans="1:26" x14ac:dyDescent="0.25">
      <c r="A93" s="6" t="s">
        <v>219</v>
      </c>
      <c r="B93" s="6">
        <v>0</v>
      </c>
      <c r="C93" s="18">
        <f>ROUNDDOWN(PI()*0.625*0.625*1.25*1,1)</f>
        <v>1.5</v>
      </c>
      <c r="D93" s="6">
        <v>0.15</v>
      </c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1.2749999999999999</v>
      </c>
      <c r="J93" s="19">
        <f t="shared" si="21"/>
        <v>0.22499999999999998</v>
      </c>
      <c r="K93" s="19">
        <f t="shared" si="22"/>
        <v>0.22499999999999998</v>
      </c>
      <c r="L93" s="19">
        <f>IFERROR(VLOOKUP(H93,FuelTypes!$A$1:$B$32,2,FALSE)*I93,0)</f>
        <v>1.2749999999999999</v>
      </c>
      <c r="M93" s="19">
        <f t="shared" si="18"/>
        <v>1.5</v>
      </c>
      <c r="N93" s="19">
        <f t="shared" si="23"/>
        <v>0.85</v>
      </c>
      <c r="O93" s="19">
        <f>ROUNDUP((IFERROR(VLOOKUP(H93,FuelTypes!$A$2:$C$24,3,FALSE),0)*L93)/20,0)*20</f>
        <v>260</v>
      </c>
      <c r="P93" s="19">
        <f t="shared" si="29"/>
        <v>117</v>
      </c>
      <c r="Q93" s="19">
        <f t="shared" si="19"/>
        <v>143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117.04499999999999</v>
      </c>
      <c r="X93" s="2">
        <v>100</v>
      </c>
      <c r="Y93" s="3">
        <f t="shared" si="27"/>
        <v>217.04499999999999</v>
      </c>
      <c r="Z93" s="3">
        <f t="shared" si="28"/>
        <v>444.44444444444451</v>
      </c>
    </row>
    <row r="94" spans="1:26" x14ac:dyDescent="0.25">
      <c r="A94" s="6" t="s">
        <v>220</v>
      </c>
      <c r="B94" s="6">
        <v>0</v>
      </c>
      <c r="C94" s="18">
        <f>ROUNDDOWN(PI()*0.625*0.625*1.25*2,1)</f>
        <v>3</v>
      </c>
      <c r="D94" s="6">
        <v>0.15</v>
      </c>
      <c r="E94" s="6">
        <v>0</v>
      </c>
      <c r="F94" s="6">
        <v>0</v>
      </c>
      <c r="G94" s="6">
        <v>0</v>
      </c>
      <c r="H94" s="6" t="s">
        <v>164</v>
      </c>
      <c r="I94" s="19">
        <f t="shared" si="20"/>
        <v>2.5499999999999998</v>
      </c>
      <c r="J94" s="19">
        <f t="shared" si="21"/>
        <v>0.44999999999999996</v>
      </c>
      <c r="K94" s="19">
        <f t="shared" si="22"/>
        <v>0.44999999999999996</v>
      </c>
      <c r="L94" s="19">
        <f>IFERROR(VLOOKUP(H94,FuelTypes!$A$1:$B$32,2,FALSE)*I94,0)</f>
        <v>2.5499999999999998</v>
      </c>
      <c r="M94" s="19">
        <f t="shared" si="18"/>
        <v>3</v>
      </c>
      <c r="N94" s="19">
        <f t="shared" si="23"/>
        <v>0.85</v>
      </c>
      <c r="O94" s="19">
        <f>ROUNDUP((IFERROR(VLOOKUP(H94,FuelTypes!$A$2:$C$24,3,FALSE),0)*L94)/20,0)*20</f>
        <v>520</v>
      </c>
      <c r="P94" s="19">
        <f t="shared" si="29"/>
        <v>234</v>
      </c>
      <c r="Q94" s="19">
        <f t="shared" si="19"/>
        <v>286</v>
      </c>
      <c r="R94" s="19">
        <f t="shared" si="24"/>
        <v>0</v>
      </c>
      <c r="S94" s="4">
        <f t="shared" si="25"/>
        <v>0</v>
      </c>
      <c r="T94" s="19" t="e">
        <f t="shared" si="26"/>
        <v>#DIV/0!</v>
      </c>
      <c r="U94" s="19" t="e">
        <f t="shared" si="30"/>
        <v>#DIV/0!</v>
      </c>
      <c r="W94" s="3">
        <f>IFERROR(VLOOKUP(H94,FuelTypes!$A$2:$G$40,5,FALSE)*L94,0)</f>
        <v>234.08999999999997</v>
      </c>
      <c r="X94" s="2">
        <v>200</v>
      </c>
      <c r="Y94" s="3">
        <f t="shared" si="27"/>
        <v>434.09</v>
      </c>
      <c r="Z94" s="3">
        <f t="shared" si="28"/>
        <v>444.44444444444451</v>
      </c>
    </row>
    <row r="95" spans="1:26" x14ac:dyDescent="0.25">
      <c r="A95" s="6" t="s">
        <v>221</v>
      </c>
      <c r="B95" s="6">
        <v>0</v>
      </c>
      <c r="C95" s="18">
        <f>ROUNDDOWN(PI()*0.625*0.625*1.25*3,1)</f>
        <v>4.5999999999999996</v>
      </c>
      <c r="D95" s="6">
        <v>0.15</v>
      </c>
      <c r="E95" s="6">
        <v>0</v>
      </c>
      <c r="F95" s="6">
        <v>0</v>
      </c>
      <c r="G95" s="6">
        <v>0</v>
      </c>
      <c r="H95" s="6" t="s">
        <v>164</v>
      </c>
      <c r="I95" s="19">
        <f t="shared" si="20"/>
        <v>3.9099999999999997</v>
      </c>
      <c r="J95" s="19">
        <f t="shared" si="21"/>
        <v>0.69</v>
      </c>
      <c r="K95" s="19">
        <f t="shared" si="22"/>
        <v>0.69</v>
      </c>
      <c r="L95" s="19">
        <f>IFERROR(VLOOKUP(H95,FuelTypes!$A$1:$B$32,2,FALSE)*I95,0)</f>
        <v>3.9099999999999997</v>
      </c>
      <c r="M95" s="19">
        <f t="shared" si="18"/>
        <v>4.5999999999999996</v>
      </c>
      <c r="N95" s="19">
        <f t="shared" si="23"/>
        <v>0.85</v>
      </c>
      <c r="O95" s="19">
        <f>ROUNDUP((IFERROR(VLOOKUP(H95,FuelTypes!$A$2:$C$24,3,FALSE),0)*L95)/20,0)*20</f>
        <v>800</v>
      </c>
      <c r="P95" s="19">
        <f t="shared" si="29"/>
        <v>360</v>
      </c>
      <c r="Q95" s="19">
        <f t="shared" si="19"/>
        <v>440.00000000000006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358.93799999999999</v>
      </c>
      <c r="X95" s="2">
        <v>300</v>
      </c>
      <c r="Y95" s="3">
        <f t="shared" si="27"/>
        <v>658.93799999999999</v>
      </c>
      <c r="Z95" s="3">
        <f t="shared" si="28"/>
        <v>434.78260869565219</v>
      </c>
    </row>
    <row r="96" spans="1:26" x14ac:dyDescent="0.25">
      <c r="A96" s="6" t="s">
        <v>222</v>
      </c>
      <c r="B96" s="6">
        <v>0</v>
      </c>
      <c r="C96" s="18">
        <f>ROUNDDOWN(PI()*0.625*0.625*1.25*4,1)</f>
        <v>6.1</v>
      </c>
      <c r="D96" s="6">
        <v>0.15</v>
      </c>
      <c r="E96" s="6">
        <v>0</v>
      </c>
      <c r="F96" s="6">
        <v>0</v>
      </c>
      <c r="G96" s="6">
        <v>0</v>
      </c>
      <c r="H96" s="6" t="s">
        <v>164</v>
      </c>
      <c r="I96" s="19">
        <f t="shared" si="20"/>
        <v>5.1849999999999996</v>
      </c>
      <c r="J96" s="19">
        <f t="shared" si="21"/>
        <v>0.91499999999999992</v>
      </c>
      <c r="K96" s="19">
        <f t="shared" si="22"/>
        <v>0.91499999999999992</v>
      </c>
      <c r="L96" s="19">
        <f>IFERROR(VLOOKUP(H96,FuelTypes!$A$1:$B$32,2,FALSE)*I96,0)</f>
        <v>5.1849999999999996</v>
      </c>
      <c r="M96" s="19">
        <f t="shared" si="18"/>
        <v>6.1</v>
      </c>
      <c r="N96" s="19">
        <f t="shared" si="23"/>
        <v>0.85</v>
      </c>
      <c r="O96" s="19">
        <f>ROUNDUP((IFERROR(VLOOKUP(H96,FuelTypes!$A$2:$C$24,3,FALSE),0)*L96)/20,0)*20</f>
        <v>1040</v>
      </c>
      <c r="P96" s="19">
        <f t="shared" si="29"/>
        <v>468</v>
      </c>
      <c r="Q96" s="19">
        <f t="shared" si="19"/>
        <v>572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475.98299999999995</v>
      </c>
      <c r="X96" s="2">
        <v>400</v>
      </c>
      <c r="Y96" s="3">
        <f t="shared" si="27"/>
        <v>875.98299999999995</v>
      </c>
      <c r="Z96" s="3">
        <f t="shared" si="28"/>
        <v>437.15846994535525</v>
      </c>
    </row>
    <row r="97" spans="1:26" x14ac:dyDescent="0.25">
      <c r="A97" s="6" t="s">
        <v>223</v>
      </c>
      <c r="B97" s="6">
        <v>0</v>
      </c>
      <c r="C97" s="18">
        <f>ROUNDDOWN(PI()*0.625*0.625*1.25*5,1)</f>
        <v>7.6</v>
      </c>
      <c r="D97" s="6">
        <v>0.15</v>
      </c>
      <c r="E97" s="6">
        <v>0</v>
      </c>
      <c r="F97" s="6">
        <v>0</v>
      </c>
      <c r="G97" s="6">
        <v>0</v>
      </c>
      <c r="H97" s="6" t="s">
        <v>164</v>
      </c>
      <c r="I97" s="19">
        <f t="shared" si="20"/>
        <v>6.46</v>
      </c>
      <c r="J97" s="19">
        <f t="shared" si="21"/>
        <v>1.1399999999999999</v>
      </c>
      <c r="K97" s="19">
        <f t="shared" si="22"/>
        <v>1.1399999999999999</v>
      </c>
      <c r="L97" s="19">
        <f>IFERROR(VLOOKUP(H97,FuelTypes!$A$1:$B$32,2,FALSE)*I97,0)</f>
        <v>6.46</v>
      </c>
      <c r="M97" s="19">
        <f t="shared" si="18"/>
        <v>7.6</v>
      </c>
      <c r="N97" s="19">
        <f t="shared" si="23"/>
        <v>0.85000000000000009</v>
      </c>
      <c r="O97" s="19">
        <f>ROUNDUP((IFERROR(VLOOKUP(H97,FuelTypes!$A$2:$C$24,3,FALSE),0)*L97)/20,0)*20</f>
        <v>1300</v>
      </c>
      <c r="P97" s="19">
        <f t="shared" si="29"/>
        <v>585</v>
      </c>
      <c r="Q97" s="19">
        <f t="shared" si="19"/>
        <v>715.00000000000011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593.02800000000002</v>
      </c>
      <c r="X97" s="2">
        <v>500</v>
      </c>
      <c r="Y97" s="3">
        <f t="shared" si="27"/>
        <v>1093.028</v>
      </c>
      <c r="Z97" s="3">
        <f t="shared" si="28"/>
        <v>438.59649122807019</v>
      </c>
    </row>
    <row r="98" spans="1:26" x14ac:dyDescent="0.25">
      <c r="A98" s="6" t="s">
        <v>224</v>
      </c>
      <c r="B98" s="6">
        <v>0</v>
      </c>
      <c r="C98" s="18">
        <f>ROUNDDOWN(PI()*0.625*0.625*1.25*6,1)</f>
        <v>9.1999999999999993</v>
      </c>
      <c r="D98" s="6">
        <v>0.15</v>
      </c>
      <c r="E98" s="6">
        <v>0</v>
      </c>
      <c r="F98" s="6">
        <v>0</v>
      </c>
      <c r="G98" s="6">
        <v>0</v>
      </c>
      <c r="H98" s="6" t="s">
        <v>164</v>
      </c>
      <c r="I98" s="19">
        <f t="shared" ref="I98:I129" si="31">C98 - (D98*C98)</f>
        <v>7.8199999999999994</v>
      </c>
      <c r="J98" s="19">
        <f t="shared" ref="J98:J129" si="32">D98*C98</f>
        <v>1.38</v>
      </c>
      <c r="K98" s="19">
        <f t="shared" ref="K98:K129" si="33">J98+B98</f>
        <v>1.38</v>
      </c>
      <c r="L98" s="19">
        <f>IFERROR(VLOOKUP(H98,FuelTypes!$A$1:$B$32,2,FALSE)*I98,0)</f>
        <v>7.8199999999999994</v>
      </c>
      <c r="M98" s="19">
        <f t="shared" si="18"/>
        <v>9.1999999999999993</v>
      </c>
      <c r="N98" s="19">
        <f t="shared" ref="N98:N129" si="34">IF(L98&gt;0, L98/M98,0)</f>
        <v>0.85</v>
      </c>
      <c r="O98" s="19">
        <f>ROUNDUP((IFERROR(VLOOKUP(H98,FuelTypes!$A$2:$C$24,3,FALSE),0)*L98)/20,0)*20</f>
        <v>1580</v>
      </c>
      <c r="P98" s="19">
        <f t="shared" si="29"/>
        <v>711</v>
      </c>
      <c r="Q98" s="19">
        <f t="shared" si="19"/>
        <v>869.00000000000011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717.87599999999998</v>
      </c>
      <c r="X98" s="2">
        <v>600</v>
      </c>
      <c r="Y98" s="3">
        <f t="shared" si="27"/>
        <v>1317.876</v>
      </c>
      <c r="Z98" s="3">
        <f t="shared" si="28"/>
        <v>434.78260869565219</v>
      </c>
    </row>
    <row r="99" spans="1:26" x14ac:dyDescent="0.25">
      <c r="A99" s="6" t="s">
        <v>225</v>
      </c>
      <c r="B99" s="6">
        <v>0</v>
      </c>
      <c r="C99" s="18">
        <f>ROUNDDOWN(PI()*0.625*0.625*1.25*7,1)</f>
        <v>10.7</v>
      </c>
      <c r="D99" s="6">
        <v>0.15</v>
      </c>
      <c r="E99" s="6">
        <v>0</v>
      </c>
      <c r="F99" s="6">
        <v>0</v>
      </c>
      <c r="G99" s="6">
        <v>0</v>
      </c>
      <c r="H99" s="6" t="s">
        <v>164</v>
      </c>
      <c r="I99" s="19">
        <f t="shared" si="31"/>
        <v>9.0949999999999989</v>
      </c>
      <c r="J99" s="19">
        <f t="shared" si="32"/>
        <v>1.6049999999999998</v>
      </c>
      <c r="K99" s="19">
        <f t="shared" si="33"/>
        <v>1.6049999999999998</v>
      </c>
      <c r="L99" s="19">
        <f>IFERROR(VLOOKUP(H99,FuelTypes!$A$1:$B$32,2,FALSE)*I99,0)</f>
        <v>9.0949999999999989</v>
      </c>
      <c r="M99" s="19">
        <f t="shared" si="18"/>
        <v>10.7</v>
      </c>
      <c r="N99" s="19">
        <f t="shared" si="34"/>
        <v>0.85</v>
      </c>
      <c r="O99" s="19">
        <f>ROUNDUP((IFERROR(VLOOKUP(H99,FuelTypes!$A$2:$C$24,3,FALSE),0)*L99)/20,0)*20</f>
        <v>1820</v>
      </c>
      <c r="P99" s="19">
        <f t="shared" si="29"/>
        <v>819</v>
      </c>
      <c r="Q99" s="19">
        <f t="shared" si="19"/>
        <v>1001.0000000000001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834.92099999999982</v>
      </c>
      <c r="X99" s="2">
        <v>700</v>
      </c>
      <c r="Y99" s="3">
        <f t="shared" si="27"/>
        <v>1534.9209999999998</v>
      </c>
      <c r="Z99" s="3">
        <f t="shared" si="28"/>
        <v>436.13707165109042</v>
      </c>
    </row>
    <row r="100" spans="1:26" x14ac:dyDescent="0.25">
      <c r="A100" s="6" t="s">
        <v>226</v>
      </c>
      <c r="B100" s="6">
        <v>0</v>
      </c>
      <c r="C100" s="18">
        <f>ROUNDDOWN(PI()*0.625*0.625*1.25*8,1)</f>
        <v>12.2</v>
      </c>
      <c r="D100" s="6">
        <v>0.15</v>
      </c>
      <c r="E100" s="6">
        <v>0</v>
      </c>
      <c r="F100" s="6">
        <v>0</v>
      </c>
      <c r="G100" s="6">
        <v>0</v>
      </c>
      <c r="H100" s="6" t="s">
        <v>164</v>
      </c>
      <c r="I100" s="19">
        <f t="shared" si="31"/>
        <v>10.37</v>
      </c>
      <c r="J100" s="19">
        <f t="shared" si="32"/>
        <v>1.8299999999999998</v>
      </c>
      <c r="K100" s="19">
        <f t="shared" si="33"/>
        <v>1.8299999999999998</v>
      </c>
      <c r="L100" s="19">
        <f>IFERROR(VLOOKUP(H100,FuelTypes!$A$1:$B$32,2,FALSE)*I100,0)</f>
        <v>10.37</v>
      </c>
      <c r="M100" s="19">
        <f t="shared" si="18"/>
        <v>12.2</v>
      </c>
      <c r="N100" s="19">
        <f t="shared" si="34"/>
        <v>0.85</v>
      </c>
      <c r="O100" s="19">
        <f>ROUNDUP((IFERROR(VLOOKUP(H100,FuelTypes!$A$2:$C$24,3,FALSE),0)*L100)/20,0)*20</f>
        <v>2080</v>
      </c>
      <c r="P100" s="19">
        <f t="shared" si="29"/>
        <v>936</v>
      </c>
      <c r="Q100" s="19">
        <f t="shared" si="19"/>
        <v>1144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951.96599999999989</v>
      </c>
      <c r="X100" s="2">
        <v>800</v>
      </c>
      <c r="Y100" s="3">
        <f t="shared" si="27"/>
        <v>1751.9659999999999</v>
      </c>
      <c r="Z100" s="3">
        <f t="shared" si="28"/>
        <v>437.15846994535525</v>
      </c>
    </row>
    <row r="101" spans="1:26" x14ac:dyDescent="0.25">
      <c r="A101" s="6" t="s">
        <v>227</v>
      </c>
      <c r="B101" s="6">
        <v>0</v>
      </c>
      <c r="C101" s="18">
        <f>ROUNDDOWN(PI()*1.25*1.25*2.5*1,1)</f>
        <v>12.2</v>
      </c>
      <c r="D101" s="6">
        <v>0.15</v>
      </c>
      <c r="E101" s="6">
        <v>0</v>
      </c>
      <c r="F101" s="6">
        <v>0</v>
      </c>
      <c r="G101" s="6">
        <v>0</v>
      </c>
      <c r="H101" s="6" t="s">
        <v>164</v>
      </c>
      <c r="I101" s="4">
        <f t="shared" si="31"/>
        <v>10.37</v>
      </c>
      <c r="J101" s="4">
        <f t="shared" si="32"/>
        <v>1.8299999999999998</v>
      </c>
      <c r="K101" s="4">
        <f t="shared" si="33"/>
        <v>1.8299999999999998</v>
      </c>
      <c r="L101" s="4">
        <f>IFERROR(VLOOKUP(H101,FuelTypes!$A$1:$B$32,2,FALSE)*I101,0)</f>
        <v>10.37</v>
      </c>
      <c r="M101" s="4">
        <f t="shared" si="18"/>
        <v>12.2</v>
      </c>
      <c r="N101" s="4">
        <f t="shared" si="34"/>
        <v>0.85</v>
      </c>
      <c r="O101" s="4">
        <f>ROUNDUP((IFERROR(VLOOKUP(H101,FuelTypes!$A$2:$C$24,3,FALSE),0)*L101)/20,0)*20</f>
        <v>2080</v>
      </c>
      <c r="P101" s="4">
        <f t="shared" si="29"/>
        <v>936</v>
      </c>
      <c r="Q101" s="4">
        <f t="shared" si="19"/>
        <v>1144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951.96599999999989</v>
      </c>
      <c r="X101" s="2">
        <v>300</v>
      </c>
      <c r="Y101" s="3">
        <f t="shared" si="27"/>
        <v>1251.9659999999999</v>
      </c>
      <c r="Z101" s="3">
        <f t="shared" si="28"/>
        <v>163.9344262295082</v>
      </c>
    </row>
    <row r="102" spans="1:26" x14ac:dyDescent="0.25">
      <c r="A102" s="6" t="s">
        <v>228</v>
      </c>
      <c r="B102" s="6">
        <v>0</v>
      </c>
      <c r="C102" s="18">
        <f>ROUNDDOWN(PI()*1.25*1.25*2.5*2,1)</f>
        <v>24.5</v>
      </c>
      <c r="D102" s="6">
        <v>0.15</v>
      </c>
      <c r="E102" s="6">
        <v>0</v>
      </c>
      <c r="F102" s="6">
        <v>0</v>
      </c>
      <c r="G102" s="6">
        <v>0</v>
      </c>
      <c r="H102" s="6" t="s">
        <v>164</v>
      </c>
      <c r="I102" s="4">
        <f t="shared" si="31"/>
        <v>20.824999999999999</v>
      </c>
      <c r="J102" s="4">
        <f t="shared" si="32"/>
        <v>3.6749999999999998</v>
      </c>
      <c r="K102" s="4">
        <f t="shared" si="33"/>
        <v>3.6749999999999998</v>
      </c>
      <c r="L102" s="4">
        <f>IFERROR(VLOOKUP(H102,FuelTypes!$A$1:$B$32,2,FALSE)*I102,0)</f>
        <v>20.824999999999999</v>
      </c>
      <c r="M102" s="4">
        <f t="shared" si="18"/>
        <v>24.5</v>
      </c>
      <c r="N102" s="4">
        <f t="shared" si="34"/>
        <v>0.85</v>
      </c>
      <c r="O102" s="4">
        <f>ROUNDUP((IFERROR(VLOOKUP(H102,FuelTypes!$A$2:$C$24,3,FALSE),0)*L102)/20,0)*20</f>
        <v>4180</v>
      </c>
      <c r="P102" s="4">
        <f t="shared" si="29"/>
        <v>1881</v>
      </c>
      <c r="Q102" s="4">
        <f t="shared" si="19"/>
        <v>2299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1911.7349999999999</v>
      </c>
      <c r="X102" s="2">
        <v>600</v>
      </c>
      <c r="Y102" s="3">
        <f t="shared" si="27"/>
        <v>2511.7349999999997</v>
      </c>
      <c r="Z102" s="3">
        <f t="shared" si="28"/>
        <v>163.26530612244898</v>
      </c>
    </row>
    <row r="103" spans="1:26" x14ac:dyDescent="0.25">
      <c r="A103" s="6" t="s">
        <v>229</v>
      </c>
      <c r="B103" s="6">
        <v>0</v>
      </c>
      <c r="C103" s="18">
        <f>ROUNDDOWN(PI()*1.25*1.25*2.5*3,1)</f>
        <v>36.799999999999997</v>
      </c>
      <c r="D103" s="6">
        <v>0.15</v>
      </c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31.279999999999998</v>
      </c>
      <c r="J103" s="4">
        <f t="shared" si="32"/>
        <v>5.52</v>
      </c>
      <c r="K103" s="4">
        <f t="shared" si="33"/>
        <v>5.52</v>
      </c>
      <c r="L103" s="4">
        <f>IFERROR(VLOOKUP(H103,FuelTypes!$A$1:$B$32,2,FALSE)*I103,0)</f>
        <v>31.279999999999998</v>
      </c>
      <c r="M103" s="4">
        <f t="shared" si="18"/>
        <v>36.799999999999997</v>
      </c>
      <c r="N103" s="4">
        <f t="shared" si="34"/>
        <v>0.85</v>
      </c>
      <c r="O103" s="4">
        <f>ROUNDUP((IFERROR(VLOOKUP(H103,FuelTypes!$A$2:$C$24,3,FALSE),0)*L103)/20,0)*20</f>
        <v>6260</v>
      </c>
      <c r="P103" s="4">
        <f t="shared" si="29"/>
        <v>2817</v>
      </c>
      <c r="Q103" s="4">
        <f t="shared" si="19"/>
        <v>3443.0000000000005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2871.5039999999999</v>
      </c>
      <c r="X103" s="2">
        <v>900</v>
      </c>
      <c r="Y103" s="3">
        <f t="shared" si="27"/>
        <v>3771.5039999999999</v>
      </c>
      <c r="Z103" s="3">
        <f t="shared" si="28"/>
        <v>163.04347826086959</v>
      </c>
    </row>
    <row r="104" spans="1:26" x14ac:dyDescent="0.25">
      <c r="A104" s="6" t="s">
        <v>230</v>
      </c>
      <c r="B104" s="6">
        <v>0</v>
      </c>
      <c r="C104" s="18">
        <f>ROUNDDOWN(PI()*1.25*1.25*2.5*4,1)</f>
        <v>49</v>
      </c>
      <c r="D104" s="6">
        <v>0.15</v>
      </c>
      <c r="E104" s="6">
        <v>0</v>
      </c>
      <c r="F104" s="6">
        <v>0</v>
      </c>
      <c r="G104" s="6">
        <v>0</v>
      </c>
      <c r="H104" s="6" t="s">
        <v>164</v>
      </c>
      <c r="I104" s="4">
        <f t="shared" si="31"/>
        <v>41.65</v>
      </c>
      <c r="J104" s="4">
        <f t="shared" si="32"/>
        <v>7.35</v>
      </c>
      <c r="K104" s="4">
        <f t="shared" si="33"/>
        <v>7.35</v>
      </c>
      <c r="L104" s="4">
        <f>IFERROR(VLOOKUP(H104,FuelTypes!$A$1:$B$32,2,FALSE)*I104,0)</f>
        <v>41.65</v>
      </c>
      <c r="M104" s="4">
        <f t="shared" si="18"/>
        <v>49</v>
      </c>
      <c r="N104" s="4">
        <f t="shared" si="34"/>
        <v>0.85</v>
      </c>
      <c r="O104" s="4">
        <f>ROUNDUP((IFERROR(VLOOKUP(H104,FuelTypes!$A$2:$C$24,3,FALSE),0)*L104)/20,0)*20</f>
        <v>8340</v>
      </c>
      <c r="P104" s="4">
        <f t="shared" si="29"/>
        <v>3753</v>
      </c>
      <c r="Q104" s="4">
        <f t="shared" si="19"/>
        <v>4587</v>
      </c>
      <c r="R104" s="4">
        <f t="shared" si="24"/>
        <v>0</v>
      </c>
      <c r="S104" s="4">
        <f t="shared" si="25"/>
        <v>0</v>
      </c>
      <c r="T104" s="4" t="e">
        <f t="shared" si="26"/>
        <v>#DIV/0!</v>
      </c>
      <c r="U104" s="4" t="e">
        <f t="shared" si="30"/>
        <v>#DIV/0!</v>
      </c>
      <c r="W104" s="3">
        <f>IFERROR(VLOOKUP(H104,FuelTypes!$A$2:$G$40,5,FALSE)*L104,0)</f>
        <v>3823.47</v>
      </c>
      <c r="X104" s="2">
        <v>1200</v>
      </c>
      <c r="Y104" s="3">
        <f t="shared" si="27"/>
        <v>5023.4699999999993</v>
      </c>
      <c r="Z104" s="3">
        <f t="shared" si="28"/>
        <v>163.26530612244898</v>
      </c>
    </row>
    <row r="105" spans="1:26" x14ac:dyDescent="0.25">
      <c r="A105" s="6" t="s">
        <v>231</v>
      </c>
      <c r="B105" s="6">
        <v>0</v>
      </c>
      <c r="C105" s="18">
        <f>ROUNDDOWN(PI()*1.25*1.25*2.5*5,1)</f>
        <v>61.3</v>
      </c>
      <c r="D105" s="6">
        <v>0.15</v>
      </c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52.104999999999997</v>
      </c>
      <c r="J105" s="4">
        <f t="shared" si="32"/>
        <v>9.1949999999999985</v>
      </c>
      <c r="K105" s="4">
        <f t="shared" si="33"/>
        <v>9.1949999999999985</v>
      </c>
      <c r="L105" s="4">
        <f>IFERROR(VLOOKUP(H105,FuelTypes!$A$1:$B$32,2,FALSE)*I105,0)</f>
        <v>52.104999999999997</v>
      </c>
      <c r="M105" s="4">
        <f t="shared" si="18"/>
        <v>61.3</v>
      </c>
      <c r="N105" s="4">
        <f t="shared" si="34"/>
        <v>0.85</v>
      </c>
      <c r="O105" s="4">
        <f>ROUNDUP((IFERROR(VLOOKUP(H105,FuelTypes!$A$2:$C$24,3,FALSE),0)*L105)/20,0)*20</f>
        <v>10440</v>
      </c>
      <c r="P105" s="4">
        <f t="shared" si="29"/>
        <v>4698</v>
      </c>
      <c r="Q105" s="4">
        <f t="shared" si="19"/>
        <v>5742.0000000000009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4783.2389999999996</v>
      </c>
      <c r="X105" s="2">
        <v>1500</v>
      </c>
      <c r="Y105" s="3">
        <f t="shared" si="27"/>
        <v>6283.2389999999996</v>
      </c>
      <c r="Z105" s="3">
        <f t="shared" si="28"/>
        <v>163.13213703099512</v>
      </c>
    </row>
    <row r="106" spans="1:26" x14ac:dyDescent="0.25">
      <c r="A106" s="6" t="s">
        <v>232</v>
      </c>
      <c r="B106" s="6">
        <v>0</v>
      </c>
      <c r="C106" s="18">
        <f>ROUNDDOWN(PI()*1.25*1.25*2.5*6,1)</f>
        <v>73.599999999999994</v>
      </c>
      <c r="D106" s="6">
        <v>0.15</v>
      </c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62.559999999999995</v>
      </c>
      <c r="J106" s="4">
        <f t="shared" si="32"/>
        <v>11.04</v>
      </c>
      <c r="K106" s="4">
        <f t="shared" si="33"/>
        <v>11.04</v>
      </c>
      <c r="L106" s="4">
        <f>IFERROR(VLOOKUP(H106,FuelTypes!$A$1:$B$32,2,FALSE)*I106,0)</f>
        <v>62.559999999999995</v>
      </c>
      <c r="M106" s="4">
        <f t="shared" si="18"/>
        <v>73.599999999999994</v>
      </c>
      <c r="N106" s="4">
        <f t="shared" si="34"/>
        <v>0.85</v>
      </c>
      <c r="O106" s="4">
        <f>ROUNDUP((IFERROR(VLOOKUP(H106,FuelTypes!$A$2:$C$24,3,FALSE),0)*L106)/20,0)*20</f>
        <v>12520</v>
      </c>
      <c r="P106" s="4">
        <f t="shared" si="29"/>
        <v>5634</v>
      </c>
      <c r="Q106" s="4">
        <f t="shared" si="19"/>
        <v>6886.0000000000009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5743.0079999999998</v>
      </c>
      <c r="X106" s="2">
        <v>1800</v>
      </c>
      <c r="Y106" s="3">
        <f t="shared" si="27"/>
        <v>7543.0079999999998</v>
      </c>
      <c r="Z106" s="3">
        <f t="shared" si="28"/>
        <v>163.04347826086959</v>
      </c>
    </row>
    <row r="107" spans="1:26" x14ac:dyDescent="0.25">
      <c r="A107" s="6" t="s">
        <v>233</v>
      </c>
      <c r="B107" s="6">
        <v>0</v>
      </c>
      <c r="C107" s="18">
        <f>ROUNDDOWN(PI()*1.25*1.25*2.5*7,1)</f>
        <v>85.9</v>
      </c>
      <c r="D107" s="6">
        <v>0.15</v>
      </c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73.015000000000001</v>
      </c>
      <c r="J107" s="4">
        <f t="shared" si="32"/>
        <v>12.885</v>
      </c>
      <c r="K107" s="4">
        <f t="shared" si="33"/>
        <v>12.885</v>
      </c>
      <c r="L107" s="4">
        <f>IFERROR(VLOOKUP(H107,FuelTypes!$A$1:$B$32,2,FALSE)*I107,0)</f>
        <v>73.015000000000001</v>
      </c>
      <c r="M107" s="4">
        <f t="shared" si="18"/>
        <v>85.9</v>
      </c>
      <c r="N107" s="4">
        <f t="shared" si="34"/>
        <v>0.85</v>
      </c>
      <c r="O107" s="4">
        <f>ROUNDUP((IFERROR(VLOOKUP(H107,FuelTypes!$A$2:$C$24,3,FALSE),0)*L107)/20,0)*20</f>
        <v>14620</v>
      </c>
      <c r="P107" s="4">
        <f t="shared" si="29"/>
        <v>6579</v>
      </c>
      <c r="Q107" s="4">
        <f t="shared" si="19"/>
        <v>8041.0000000000009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6702.777</v>
      </c>
      <c r="X107" s="2">
        <v>2100</v>
      </c>
      <c r="Y107" s="3">
        <f t="shared" si="27"/>
        <v>8802.777</v>
      </c>
      <c r="Z107" s="3">
        <f t="shared" si="28"/>
        <v>162.98020954598371</v>
      </c>
    </row>
    <row r="108" spans="1:26" x14ac:dyDescent="0.25">
      <c r="A108" s="6" t="s">
        <v>234</v>
      </c>
      <c r="B108" s="6">
        <v>0</v>
      </c>
      <c r="C108" s="18">
        <f>ROUNDDOWN(PI()*1.25*1.25*2.5*8,1)</f>
        <v>98.1</v>
      </c>
      <c r="D108" s="6">
        <v>0.15</v>
      </c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83.384999999999991</v>
      </c>
      <c r="J108" s="4">
        <f t="shared" si="32"/>
        <v>14.714999999999998</v>
      </c>
      <c r="K108" s="4">
        <f t="shared" si="33"/>
        <v>14.714999999999998</v>
      </c>
      <c r="L108" s="4">
        <f>IFERROR(VLOOKUP(H108,FuelTypes!$A$1:$B$32,2,FALSE)*I108,0)</f>
        <v>83.384999999999991</v>
      </c>
      <c r="M108" s="4">
        <f t="shared" si="18"/>
        <v>98.1</v>
      </c>
      <c r="N108" s="4">
        <f t="shared" si="34"/>
        <v>0.85</v>
      </c>
      <c r="O108" s="4">
        <f>ROUNDUP((IFERROR(VLOOKUP(H108,FuelTypes!$A$2:$C$24,3,FALSE),0)*L108)/20,0)*20</f>
        <v>16680</v>
      </c>
      <c r="P108" s="4">
        <f t="shared" si="29"/>
        <v>7506</v>
      </c>
      <c r="Q108" s="4">
        <f t="shared" si="19"/>
        <v>9174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7654.7429999999986</v>
      </c>
      <c r="X108" s="2">
        <v>2400</v>
      </c>
      <c r="Y108" s="3">
        <f t="shared" si="27"/>
        <v>10054.742999999999</v>
      </c>
      <c r="Z108" s="3">
        <f t="shared" si="28"/>
        <v>163.09887869520898</v>
      </c>
    </row>
    <row r="109" spans="1:26" x14ac:dyDescent="0.25">
      <c r="A109" s="6" t="s">
        <v>235</v>
      </c>
      <c r="B109" s="6">
        <v>0</v>
      </c>
      <c r="C109" s="18">
        <f>ROUNDDOWN(PI()*1.875*1.875*3.75*1,1)</f>
        <v>41.4</v>
      </c>
      <c r="D109" s="6">
        <v>0.15</v>
      </c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35.19</v>
      </c>
      <c r="J109" s="19">
        <f t="shared" si="32"/>
        <v>6.21</v>
      </c>
      <c r="K109" s="19">
        <f t="shared" si="33"/>
        <v>6.21</v>
      </c>
      <c r="L109" s="19">
        <f>IFERROR(VLOOKUP(H109,FuelTypes!$A$1:$B$32,2,FALSE)*I109,0)</f>
        <v>35.19</v>
      </c>
      <c r="M109" s="19">
        <f t="shared" si="18"/>
        <v>41.4</v>
      </c>
      <c r="N109" s="19">
        <f t="shared" si="34"/>
        <v>0.85</v>
      </c>
      <c r="O109" s="19">
        <f>ROUNDUP((IFERROR(VLOOKUP(H109,FuelTypes!$A$2:$C$24,3,FALSE),0)*L109)/20,0)*20</f>
        <v>7040</v>
      </c>
      <c r="P109" s="19">
        <f t="shared" si="29"/>
        <v>3168</v>
      </c>
      <c r="Q109" s="19">
        <f t="shared" si="19"/>
        <v>3872.0000000000005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3230.4419999999996</v>
      </c>
      <c r="X109" s="2">
        <v>700</v>
      </c>
      <c r="Y109" s="3">
        <f t="shared" si="27"/>
        <v>3930.4419999999996</v>
      </c>
      <c r="Z109" s="3">
        <f t="shared" si="28"/>
        <v>112.72141706924316</v>
      </c>
    </row>
    <row r="110" spans="1:26" x14ac:dyDescent="0.25">
      <c r="A110" s="6" t="s">
        <v>236</v>
      </c>
      <c r="B110" s="6">
        <v>0</v>
      </c>
      <c r="C110" s="18">
        <f>ROUNDDOWN(PI()*1.875*1.875*3.75*2,1)</f>
        <v>82.8</v>
      </c>
      <c r="D110" s="6">
        <v>0.15</v>
      </c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70.38</v>
      </c>
      <c r="J110" s="19">
        <f t="shared" si="32"/>
        <v>12.42</v>
      </c>
      <c r="K110" s="19">
        <f t="shared" si="33"/>
        <v>12.42</v>
      </c>
      <c r="L110" s="19">
        <f>IFERROR(VLOOKUP(H110,FuelTypes!$A$1:$B$32,2,FALSE)*I110,0)</f>
        <v>70.38</v>
      </c>
      <c r="M110" s="19">
        <f t="shared" si="18"/>
        <v>82.8</v>
      </c>
      <c r="N110" s="19">
        <f t="shared" si="34"/>
        <v>0.85</v>
      </c>
      <c r="O110" s="19">
        <f>ROUNDUP((IFERROR(VLOOKUP(H110,FuelTypes!$A$2:$C$24,3,FALSE),0)*L110)/20,0)*20</f>
        <v>14080</v>
      </c>
      <c r="P110" s="19">
        <f t="shared" si="29"/>
        <v>6336</v>
      </c>
      <c r="Q110" s="19">
        <f t="shared" si="19"/>
        <v>7744.0000000000009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6460.8839999999991</v>
      </c>
      <c r="X110" s="2">
        <v>1400</v>
      </c>
      <c r="Y110" s="3">
        <f t="shared" si="27"/>
        <v>7860.8839999999991</v>
      </c>
      <c r="Z110" s="3">
        <f t="shared" si="28"/>
        <v>112.72141706924316</v>
      </c>
    </row>
    <row r="111" spans="1:26" x14ac:dyDescent="0.25">
      <c r="A111" s="6" t="s">
        <v>237</v>
      </c>
      <c r="B111" s="6">
        <v>0</v>
      </c>
      <c r="C111" s="18">
        <f>ROUNDDOWN(PI()*1.875*1.875*3.75*3,1)</f>
        <v>124.2</v>
      </c>
      <c r="D111" s="6">
        <v>0.15</v>
      </c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105.57000000000001</v>
      </c>
      <c r="J111" s="19">
        <f t="shared" si="32"/>
        <v>18.63</v>
      </c>
      <c r="K111" s="19">
        <f t="shared" si="33"/>
        <v>18.63</v>
      </c>
      <c r="L111" s="19">
        <f>IFERROR(VLOOKUP(H111,FuelTypes!$A$1:$B$32,2,FALSE)*I111,0)</f>
        <v>105.57000000000001</v>
      </c>
      <c r="M111" s="19">
        <f t="shared" si="18"/>
        <v>124.2</v>
      </c>
      <c r="N111" s="19">
        <f t="shared" si="34"/>
        <v>0.85000000000000009</v>
      </c>
      <c r="O111" s="19">
        <f>ROUNDUP((IFERROR(VLOOKUP(H111,FuelTypes!$A$2:$C$24,3,FALSE),0)*L111)/20,0)*20</f>
        <v>21120</v>
      </c>
      <c r="P111" s="19">
        <f t="shared" si="29"/>
        <v>9504</v>
      </c>
      <c r="Q111" s="19">
        <f t="shared" si="19"/>
        <v>11616.000000000002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9691.3260000000009</v>
      </c>
      <c r="X111" s="2">
        <v>2100</v>
      </c>
      <c r="Y111" s="3">
        <f t="shared" si="27"/>
        <v>11791.326000000001</v>
      </c>
      <c r="Z111" s="3">
        <f t="shared" si="28"/>
        <v>112.72141706924316</v>
      </c>
    </row>
    <row r="112" spans="1:26" x14ac:dyDescent="0.25">
      <c r="A112" s="6" t="s">
        <v>238</v>
      </c>
      <c r="B112" s="6">
        <v>0</v>
      </c>
      <c r="C112" s="18">
        <f>ROUNDDOWN(PI()*1.875*1.875*3.75*4,1)</f>
        <v>165.6</v>
      </c>
      <c r="D112" s="6">
        <v>0.15</v>
      </c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140.76</v>
      </c>
      <c r="J112" s="19">
        <f t="shared" si="32"/>
        <v>24.84</v>
      </c>
      <c r="K112" s="19">
        <f t="shared" si="33"/>
        <v>24.84</v>
      </c>
      <c r="L112" s="19">
        <f>IFERROR(VLOOKUP(H112,FuelTypes!$A$1:$B$32,2,FALSE)*I112,0)</f>
        <v>140.76</v>
      </c>
      <c r="M112" s="19">
        <f t="shared" si="18"/>
        <v>165.6</v>
      </c>
      <c r="N112" s="19">
        <f t="shared" si="34"/>
        <v>0.85</v>
      </c>
      <c r="O112" s="19">
        <f>ROUNDUP((IFERROR(VLOOKUP(H112,FuelTypes!$A$2:$C$24,3,FALSE),0)*L112)/20,0)*20</f>
        <v>28160</v>
      </c>
      <c r="P112" s="19">
        <f t="shared" si="29"/>
        <v>12672</v>
      </c>
      <c r="Q112" s="19">
        <f t="shared" si="19"/>
        <v>15488.000000000002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12921.767999999998</v>
      </c>
      <c r="X112" s="2">
        <v>2800</v>
      </c>
      <c r="Y112" s="3">
        <f t="shared" si="27"/>
        <v>15721.767999999998</v>
      </c>
      <c r="Z112" s="3">
        <f t="shared" si="28"/>
        <v>112.72141706924316</v>
      </c>
    </row>
    <row r="113" spans="1:26" x14ac:dyDescent="0.25">
      <c r="A113" s="6" t="s">
        <v>239</v>
      </c>
      <c r="B113" s="6">
        <v>0</v>
      </c>
      <c r="C113" s="18">
        <f>ROUNDDOWN(PI()*1.875*1.875*3.75*5,1)</f>
        <v>207</v>
      </c>
      <c r="D113" s="6">
        <v>0.15</v>
      </c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175.95</v>
      </c>
      <c r="J113" s="19">
        <f t="shared" si="32"/>
        <v>31.049999999999997</v>
      </c>
      <c r="K113" s="19">
        <f t="shared" si="33"/>
        <v>31.049999999999997</v>
      </c>
      <c r="L113" s="19">
        <f>IFERROR(VLOOKUP(H113,FuelTypes!$A$1:$B$32,2,FALSE)*I113,0)</f>
        <v>175.95</v>
      </c>
      <c r="M113" s="19">
        <f t="shared" si="18"/>
        <v>207</v>
      </c>
      <c r="N113" s="19">
        <f t="shared" si="34"/>
        <v>0.85</v>
      </c>
      <c r="O113" s="19">
        <f>ROUNDUP((IFERROR(VLOOKUP(H113,FuelTypes!$A$2:$C$24,3,FALSE),0)*L113)/20,0)*20</f>
        <v>35200</v>
      </c>
      <c r="P113" s="19">
        <f t="shared" si="29"/>
        <v>15840</v>
      </c>
      <c r="Q113" s="19">
        <f t="shared" si="19"/>
        <v>19360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16152.21</v>
      </c>
      <c r="X113" s="2">
        <v>3500</v>
      </c>
      <c r="Y113" s="3">
        <f t="shared" si="27"/>
        <v>19652.21</v>
      </c>
      <c r="Z113" s="3">
        <f t="shared" si="28"/>
        <v>112.72141706924317</v>
      </c>
    </row>
    <row r="114" spans="1:26" x14ac:dyDescent="0.25">
      <c r="A114" s="6" t="s">
        <v>240</v>
      </c>
      <c r="B114" s="6">
        <v>0</v>
      </c>
      <c r="C114" s="18">
        <f>ROUNDDOWN(PI()*1.875*1.875*3.75*6,1)</f>
        <v>248.5</v>
      </c>
      <c r="D114" s="6">
        <v>0.15</v>
      </c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211.22499999999999</v>
      </c>
      <c r="J114" s="19">
        <f t="shared" si="32"/>
        <v>37.274999999999999</v>
      </c>
      <c r="K114" s="19">
        <f t="shared" si="33"/>
        <v>37.274999999999999</v>
      </c>
      <c r="L114" s="19">
        <f>IFERROR(VLOOKUP(H114,FuelTypes!$A$1:$B$32,2,FALSE)*I114,0)</f>
        <v>211.22499999999999</v>
      </c>
      <c r="M114" s="19">
        <f t="shared" si="18"/>
        <v>248.5</v>
      </c>
      <c r="N114" s="19">
        <f t="shared" si="34"/>
        <v>0.85</v>
      </c>
      <c r="O114" s="19">
        <f>ROUNDUP((IFERROR(VLOOKUP(H114,FuelTypes!$A$2:$C$24,3,FALSE),0)*L114)/20,0)*20</f>
        <v>42260</v>
      </c>
      <c r="P114" s="19">
        <f t="shared" si="29"/>
        <v>19017</v>
      </c>
      <c r="Q114" s="19">
        <f t="shared" si="19"/>
        <v>23243.000000000004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19390.454999999998</v>
      </c>
      <c r="X114" s="2">
        <v>4200</v>
      </c>
      <c r="Y114" s="3">
        <f t="shared" si="27"/>
        <v>23590.454999999998</v>
      </c>
      <c r="Z114" s="3">
        <f t="shared" si="28"/>
        <v>112.67605633802818</v>
      </c>
    </row>
    <row r="115" spans="1:26" x14ac:dyDescent="0.25">
      <c r="A115" s="6" t="s">
        <v>241</v>
      </c>
      <c r="B115" s="6">
        <v>0</v>
      </c>
      <c r="C115" s="18">
        <f>ROUNDDOWN(PI()*1.875*1.875*3.75*7,1)</f>
        <v>289.89999999999998</v>
      </c>
      <c r="D115" s="6">
        <v>0.15</v>
      </c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246.41499999999999</v>
      </c>
      <c r="J115" s="19">
        <f t="shared" si="32"/>
        <v>43.484999999999992</v>
      </c>
      <c r="K115" s="19">
        <f t="shared" si="33"/>
        <v>43.484999999999992</v>
      </c>
      <c r="L115" s="19">
        <f>IFERROR(VLOOKUP(H115,FuelTypes!$A$1:$B$32,2,FALSE)*I115,0)</f>
        <v>246.41499999999999</v>
      </c>
      <c r="M115" s="19">
        <f t="shared" si="18"/>
        <v>289.89999999999998</v>
      </c>
      <c r="N115" s="19">
        <f t="shared" si="34"/>
        <v>0.85000000000000009</v>
      </c>
      <c r="O115" s="19">
        <f>ROUNDUP((IFERROR(VLOOKUP(H115,FuelTypes!$A$2:$C$24,3,FALSE),0)*L115)/20,0)*20</f>
        <v>49300</v>
      </c>
      <c r="P115" s="19">
        <f t="shared" si="29"/>
        <v>22185</v>
      </c>
      <c r="Q115" s="19">
        <f t="shared" si="19"/>
        <v>27115.000000000004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22620.896999999997</v>
      </c>
      <c r="X115" s="2">
        <v>4900</v>
      </c>
      <c r="Y115" s="3">
        <f t="shared" si="27"/>
        <v>27520.896999999997</v>
      </c>
      <c r="Z115" s="3">
        <f t="shared" si="28"/>
        <v>112.6825342071979</v>
      </c>
    </row>
    <row r="116" spans="1:26" x14ac:dyDescent="0.25">
      <c r="A116" s="6" t="s">
        <v>242</v>
      </c>
      <c r="B116" s="6">
        <v>0</v>
      </c>
      <c r="C116" s="18">
        <f>ROUNDDOWN(PI()*1.875*1.875*3.75*8,1)</f>
        <v>331.3</v>
      </c>
      <c r="D116" s="6">
        <v>0.15</v>
      </c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281.60500000000002</v>
      </c>
      <c r="J116" s="19">
        <f t="shared" si="32"/>
        <v>49.695</v>
      </c>
      <c r="K116" s="19">
        <f t="shared" si="33"/>
        <v>49.695</v>
      </c>
      <c r="L116" s="19">
        <f>IFERROR(VLOOKUP(H116,FuelTypes!$A$1:$B$32,2,FALSE)*I116,0)</f>
        <v>281.60500000000002</v>
      </c>
      <c r="M116" s="19">
        <f t="shared" si="18"/>
        <v>331.3</v>
      </c>
      <c r="N116" s="19">
        <f t="shared" si="34"/>
        <v>0.85</v>
      </c>
      <c r="O116" s="19">
        <f>ROUNDUP((IFERROR(VLOOKUP(H116,FuelTypes!$A$2:$C$24,3,FALSE),0)*L116)/20,0)*20</f>
        <v>56340</v>
      </c>
      <c r="P116" s="19">
        <f t="shared" si="29"/>
        <v>25353</v>
      </c>
      <c r="Q116" s="19">
        <f t="shared" si="19"/>
        <v>30987.000000000004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25851.339</v>
      </c>
      <c r="X116" s="2">
        <v>5600</v>
      </c>
      <c r="Y116" s="3">
        <f t="shared" si="27"/>
        <v>31451.339</v>
      </c>
      <c r="Z116" s="3">
        <f t="shared" si="28"/>
        <v>112.68739309789717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320</v>
      </c>
      <c r="B120" s="6">
        <v>8.66</v>
      </c>
      <c r="C120" s="6"/>
      <c r="D120" s="6"/>
      <c r="E120" s="6">
        <v>345</v>
      </c>
      <c r="F120" s="6">
        <v>1398</v>
      </c>
      <c r="G120" s="6">
        <v>250</v>
      </c>
      <c r="H120" s="6"/>
      <c r="I120" s="4">
        <f t="shared" si="31"/>
        <v>0</v>
      </c>
      <c r="J120" s="4">
        <f t="shared" si="32"/>
        <v>0</v>
      </c>
      <c r="K120" s="4">
        <f t="shared" si="33"/>
        <v>8.66</v>
      </c>
      <c r="L120" s="4">
        <f>IFERROR(VLOOKUP(H120,FuelTypes!$A$1:$B$32,2,FALSE)*I120,0)</f>
        <v>0</v>
      </c>
      <c r="M120" s="4">
        <f t="shared" si="35"/>
        <v>8.66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16.143187066974598</v>
      </c>
      <c r="S120" s="4">
        <f t="shared" si="25"/>
        <v>1.5486409155937053</v>
      </c>
      <c r="T120" s="4">
        <f t="shared" si="26"/>
        <v>0.41306563843460531</v>
      </c>
      <c r="U120" s="4">
        <f t="shared" si="30"/>
        <v>0</v>
      </c>
      <c r="W120" s="3">
        <f>IFERROR(VLOOKUP(H120,FuelTypes!$A$2:$G$40,5,FALSE)*L120,0)</f>
        <v>0</v>
      </c>
      <c r="Y120" s="3">
        <f t="shared" si="27"/>
        <v>0</v>
      </c>
      <c r="Z120" s="3">
        <f t="shared" si="28"/>
        <v>0</v>
      </c>
    </row>
    <row r="121" spans="1:26" x14ac:dyDescent="0.25">
      <c r="A121" s="6" t="s">
        <v>321</v>
      </c>
      <c r="B121" s="6">
        <v>11.404999999999999</v>
      </c>
      <c r="C121" s="6"/>
      <c r="D121" s="6"/>
      <c r="E121" s="6">
        <v>297</v>
      </c>
      <c r="F121" s="6">
        <v>3174</v>
      </c>
      <c r="G121" s="6">
        <v>425</v>
      </c>
      <c r="H121" s="6"/>
      <c r="I121" s="4">
        <f t="shared" si="31"/>
        <v>0</v>
      </c>
      <c r="J121" s="4">
        <f t="shared" si="32"/>
        <v>0</v>
      </c>
      <c r="K121" s="4">
        <f t="shared" si="33"/>
        <v>11.404999999999999</v>
      </c>
      <c r="L121" s="4">
        <f>IFERROR(VLOOKUP(H121,FuelTypes!$A$1:$B$32,2,FALSE)*I121,0)</f>
        <v>0</v>
      </c>
      <c r="M121" s="4">
        <f t="shared" si="35"/>
        <v>11.404999999999999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27.829899167032007</v>
      </c>
      <c r="S121" s="4">
        <f t="shared" si="25"/>
        <v>1.5271345305608064</v>
      </c>
      <c r="T121" s="4">
        <f t="shared" si="26"/>
        <v>1.0893851872445144</v>
      </c>
      <c r="U121" s="4">
        <f t="shared" si="30"/>
        <v>0</v>
      </c>
      <c r="W121" s="3">
        <f>IFERROR(VLOOKUP(H121,FuelTypes!$A$2:$G$40,5,FALSE)*L121,0)</f>
        <v>0</v>
      </c>
      <c r="Y121" s="3">
        <f t="shared" si="27"/>
        <v>0</v>
      </c>
      <c r="Z121" s="3">
        <f t="shared" si="28"/>
        <v>0</v>
      </c>
    </row>
    <row r="122" spans="1:26" x14ac:dyDescent="0.25">
      <c r="A122" s="6" t="s">
        <v>322</v>
      </c>
      <c r="B122" s="6">
        <v>13.1</v>
      </c>
      <c r="C122" s="6"/>
      <c r="D122" s="6"/>
      <c r="E122" s="6">
        <v>302</v>
      </c>
      <c r="F122" s="6">
        <v>4190</v>
      </c>
      <c r="G122" s="6">
        <v>475</v>
      </c>
      <c r="H122" s="6"/>
      <c r="I122" s="4">
        <f t="shared" si="31"/>
        <v>0</v>
      </c>
      <c r="J122" s="4">
        <f t="shared" si="32"/>
        <v>0</v>
      </c>
      <c r="K122" s="4">
        <f t="shared" si="33"/>
        <v>13.1</v>
      </c>
      <c r="L122" s="4">
        <f>IFERROR(VLOOKUP(H122,FuelTypes!$A$1:$B$32,2,FALSE)*I122,0)</f>
        <v>0</v>
      </c>
      <c r="M122" s="4">
        <f t="shared" si="35"/>
        <v>13.1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31.984732824427482</v>
      </c>
      <c r="S122" s="4">
        <f t="shared" si="25"/>
        <v>1.4850835322195703</v>
      </c>
      <c r="T122" s="4">
        <f t="shared" si="26"/>
        <v>1.4142887039174783</v>
      </c>
      <c r="U122" s="4">
        <f t="shared" si="30"/>
        <v>0</v>
      </c>
      <c r="W122" s="3">
        <f>IFERROR(VLOOKUP(H122,FuelTypes!$A$2:$G$40,5,FALSE)*L122,0)</f>
        <v>0</v>
      </c>
      <c r="Y122" s="3">
        <f t="shared" si="27"/>
        <v>0</v>
      </c>
      <c r="Z122" s="3">
        <f t="shared" si="28"/>
        <v>0</v>
      </c>
    </row>
    <row r="123" spans="1:26" x14ac:dyDescent="0.25">
      <c r="A123" s="6" t="s">
        <v>323</v>
      </c>
      <c r="B123" s="6">
        <v>10.81</v>
      </c>
      <c r="C123" s="6"/>
      <c r="D123" s="6"/>
      <c r="E123" s="6">
        <v>331</v>
      </c>
      <c r="F123" s="6">
        <v>1695</v>
      </c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10.81</v>
      </c>
      <c r="L123" s="4">
        <f>IFERROR(VLOOKUP(H123,FuelTypes!$A$1:$B$32,2,FALSE)*I123,0)</f>
        <v>0</v>
      </c>
      <c r="M123" s="4">
        <f t="shared" si="35"/>
        <v>10.81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15.679925994449583</v>
      </c>
      <c r="S123" s="4">
        <f t="shared" si="25"/>
        <v>0</v>
      </c>
      <c r="T123" s="4">
        <f t="shared" si="26"/>
        <v>0.52200264234965865</v>
      </c>
      <c r="U123" s="4">
        <f t="shared" si="30"/>
        <v>0</v>
      </c>
      <c r="W123" s="3">
        <f>IFERROR(VLOOKUP(H123,FuelTypes!$A$2:$G$40,5,FALSE)*L123,0)</f>
        <v>0</v>
      </c>
      <c r="Y123" s="3">
        <f t="shared" si="27"/>
        <v>0</v>
      </c>
      <c r="Z123" s="3">
        <f t="shared" si="28"/>
        <v>0</v>
      </c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 t="e">
        <f t="shared" si="26"/>
        <v>#DIV/0!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 t="e">
        <f t="shared" si="26"/>
        <v>#DIV/0!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 t="e">
        <f t="shared" si="26"/>
        <v>#DIV/0!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 t="e">
        <f t="shared" si="26"/>
        <v>#DIV/0!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 t="e">
        <f t="shared" si="26"/>
        <v>#DIV/0!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 t="e">
        <f t="shared" si="26"/>
        <v>#DIV/0!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 t="e">
        <f t="shared" si="26"/>
        <v>#DIV/0!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 t="e">
        <f t="shared" ref="T131:T150" si="43">F131 / (9.81 * E131)</f>
        <v>#DIV/0!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 t="e">
        <f t="shared" si="43"/>
        <v>#DIV/0!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 t="e">
        <f t="shared" si="43"/>
        <v>#DIV/0!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0</v>
      </c>
      <c r="L134" s="4">
        <f>IFERROR(VLOOKUP(H134,FuelTypes!$A$1:$B$32,2,FALSE)*I134,0)</f>
        <v>0</v>
      </c>
      <c r="M134" s="4">
        <f t="shared" si="35"/>
        <v>0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 t="e">
        <f t="shared" si="43"/>
        <v>#DIV/0!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 t="e">
        <f t="shared" si="45"/>
        <v>#DIV/0!</v>
      </c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 t="e">
        <f t="shared" si="43"/>
        <v>#DIV/0!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 t="e">
        <f t="shared" si="43"/>
        <v>#DIV/0!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 t="e">
        <f t="shared" si="43"/>
        <v>#DIV/0!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 t="e">
        <f t="shared" si="43"/>
        <v>#DIV/0!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0</v>
      </c>
      <c r="L139" s="4">
        <f>IFERROR(VLOOKUP(H139,FuelTypes!$A$1:$B$32,2,FALSE)*I139,0)</f>
        <v>0</v>
      </c>
      <c r="M139" s="4">
        <f t="shared" si="35"/>
        <v>0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 t="e">
        <f t="shared" si="43"/>
        <v>#DIV/0!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 t="e">
        <f t="shared" si="45"/>
        <v>#DIV/0!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 t="s">
        <v>298</v>
      </c>
      <c r="B196" s="6">
        <v>0</v>
      </c>
      <c r="C196" s="6">
        <v>100</v>
      </c>
      <c r="D196" s="6">
        <v>0.15</v>
      </c>
      <c r="E196" s="6">
        <v>0</v>
      </c>
      <c r="F196" s="6">
        <v>0</v>
      </c>
      <c r="G196" s="6">
        <v>0</v>
      </c>
      <c r="H196" s="6" t="s">
        <v>164</v>
      </c>
      <c r="I196" s="4">
        <f t="shared" si="48"/>
        <v>85</v>
      </c>
      <c r="J196" s="4">
        <f t="shared" si="49"/>
        <v>15</v>
      </c>
      <c r="K196" s="4">
        <f t="shared" si="50"/>
        <v>15</v>
      </c>
      <c r="L196" s="4">
        <f>IFERROR(VLOOKUP(H196,FuelTypes!$A$1:$B$32,2,FALSE)*I196,0)</f>
        <v>85</v>
      </c>
      <c r="M196" s="4">
        <f t="shared" si="51"/>
        <v>100</v>
      </c>
      <c r="N196" s="4">
        <f t="shared" si="52"/>
        <v>0.85</v>
      </c>
      <c r="O196" s="4">
        <f>ROUNDUP((IFERROR(VLOOKUP(H196,FuelTypes!$A$2:$C$24,3,FALSE),0)*L196)/20,0)*20</f>
        <v>17000</v>
      </c>
      <c r="P196" s="4">
        <f t="shared" si="53"/>
        <v>7650</v>
      </c>
      <c r="Q196" s="4">
        <f t="shared" si="54"/>
        <v>9350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7803</v>
      </c>
      <c r="Y196" s="3">
        <f t="shared" si="59"/>
        <v>7803</v>
      </c>
      <c r="Z196" s="3">
        <f t="shared" si="60"/>
        <v>0</v>
      </c>
    </row>
    <row r="197" spans="1:26" x14ac:dyDescent="0.25">
      <c r="A197" s="6" t="s">
        <v>299</v>
      </c>
      <c r="B197" s="6">
        <v>0</v>
      </c>
      <c r="C197" s="6">
        <v>100</v>
      </c>
      <c r="D197" s="6">
        <v>3.5000000000000003E-2</v>
      </c>
      <c r="E197" s="6">
        <v>0</v>
      </c>
      <c r="F197" s="6">
        <v>0</v>
      </c>
      <c r="G197" s="6">
        <v>0</v>
      </c>
      <c r="H197" s="6" t="s">
        <v>300</v>
      </c>
      <c r="I197" s="4">
        <f t="shared" si="48"/>
        <v>96.5</v>
      </c>
      <c r="J197" s="4">
        <f t="shared" si="49"/>
        <v>3.5000000000000004</v>
      </c>
      <c r="K197" s="4">
        <f t="shared" si="50"/>
        <v>3.5000000000000004</v>
      </c>
      <c r="L197" s="4">
        <f>IFERROR(VLOOKUP(H197,FuelTypes!$A$1:$B$32,2,FALSE)*I197,0)</f>
        <v>27.020000000000003</v>
      </c>
      <c r="M197" s="4">
        <f t="shared" si="51"/>
        <v>30.520000000000003</v>
      </c>
      <c r="N197" s="4">
        <f t="shared" si="52"/>
        <v>0.88532110091743121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>
        <f t="shared" si="60"/>
        <v>0</v>
      </c>
    </row>
    <row r="198" spans="1:26" x14ac:dyDescent="0.25">
      <c r="A198" s="6" t="s">
        <v>303</v>
      </c>
      <c r="B198" s="6">
        <v>2</v>
      </c>
      <c r="C198" s="6">
        <v>0</v>
      </c>
      <c r="D198" s="6">
        <v>0</v>
      </c>
      <c r="E198" s="6">
        <v>360</v>
      </c>
      <c r="F198" s="6">
        <v>400</v>
      </c>
      <c r="G198" s="6">
        <v>250</v>
      </c>
      <c r="H198" s="6"/>
      <c r="I198" s="4">
        <f t="shared" si="48"/>
        <v>0</v>
      </c>
      <c r="J198" s="4">
        <f t="shared" si="49"/>
        <v>0</v>
      </c>
      <c r="K198" s="4">
        <f t="shared" si="50"/>
        <v>2</v>
      </c>
      <c r="L198" s="4">
        <f>IFERROR(VLOOKUP(H198,FuelTypes!$A$1:$B$32,2,FALSE)*I198,0)</f>
        <v>0</v>
      </c>
      <c r="M198" s="4">
        <f t="shared" si="51"/>
        <v>2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20</v>
      </c>
      <c r="S198" s="4">
        <f t="shared" si="58"/>
        <v>1.25</v>
      </c>
      <c r="T198" s="4">
        <f t="shared" si="56"/>
        <v>0.11326311020500622</v>
      </c>
      <c r="U198" s="4">
        <f t="shared" si="57"/>
        <v>0</v>
      </c>
      <c r="W198" s="3">
        <f>IFERROR(VLOOKUP(H198,FuelTypes!$A$2:$G$40,5,FALSE)*L198,0)</f>
        <v>0</v>
      </c>
      <c r="Y198" s="3">
        <f t="shared" si="59"/>
        <v>0</v>
      </c>
      <c r="Z198" s="3">
        <f t="shared" si="60"/>
        <v>0</v>
      </c>
    </row>
    <row r="199" spans="1:26" x14ac:dyDescent="0.25">
      <c r="A199" s="6" t="s">
        <v>304</v>
      </c>
      <c r="B199" s="6">
        <v>2</v>
      </c>
      <c r="C199" s="6">
        <v>0</v>
      </c>
      <c r="D199" s="6">
        <v>0</v>
      </c>
      <c r="E199" s="6">
        <v>460</v>
      </c>
      <c r="F199" s="6">
        <v>200</v>
      </c>
      <c r="G199" s="6">
        <v>250</v>
      </c>
      <c r="H199" s="6"/>
      <c r="I199" s="4">
        <f t="shared" si="48"/>
        <v>0</v>
      </c>
      <c r="J199" s="4">
        <f t="shared" si="49"/>
        <v>0</v>
      </c>
      <c r="K199" s="4">
        <f t="shared" si="50"/>
        <v>2</v>
      </c>
      <c r="L199" s="4">
        <f>IFERROR(VLOOKUP(H199,FuelTypes!$A$1:$B$32,2,FALSE)*I199,0)</f>
        <v>0</v>
      </c>
      <c r="M199" s="4">
        <f t="shared" si="51"/>
        <v>2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10</v>
      </c>
      <c r="S199" s="4">
        <f t="shared" si="58"/>
        <v>2.5</v>
      </c>
      <c r="T199" s="4">
        <f t="shared" si="56"/>
        <v>4.432034747152417E-2</v>
      </c>
      <c r="U199" s="4">
        <f t="shared" si="57"/>
        <v>0</v>
      </c>
      <c r="W199" s="3">
        <f>IFERROR(VLOOKUP(H199,FuelTypes!$A$2:$G$40,5,FALSE)*L199,0)</f>
        <v>0</v>
      </c>
      <c r="Y199" s="3">
        <f t="shared" si="59"/>
        <v>0</v>
      </c>
      <c r="Z199" s="3">
        <f t="shared" si="60"/>
        <v>0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zoomScale="90" zoomScaleNormal="90" workbookViewId="0">
      <selection activeCell="I30" sqref="I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4" t="s">
        <v>84</v>
      </c>
      <c r="B1" s="34"/>
      <c r="C1" s="34"/>
      <c r="D1" s="34"/>
      <c r="E1" s="34"/>
      <c r="F1" s="34"/>
      <c r="G1" s="34"/>
      <c r="H1" s="12"/>
      <c r="I1" s="34" t="s">
        <v>85</v>
      </c>
      <c r="J1" s="34"/>
      <c r="K1" s="34"/>
      <c r="L1" s="34"/>
      <c r="M1" s="34"/>
      <c r="N1" s="34"/>
      <c r="O1" s="34"/>
      <c r="P1" s="12"/>
      <c r="Q1" s="34" t="s">
        <v>86</v>
      </c>
      <c r="R1" s="34"/>
      <c r="S1" s="34"/>
      <c r="T1" s="34"/>
      <c r="U1" s="34"/>
      <c r="V1" s="34"/>
      <c r="W1" s="34"/>
      <c r="X1" s="12"/>
      <c r="Y1" s="34" t="s">
        <v>87</v>
      </c>
      <c r="Z1" s="34"/>
      <c r="AA1" s="34"/>
      <c r="AB1" s="34"/>
      <c r="AC1" s="34"/>
      <c r="AD1" s="34"/>
      <c r="AE1" s="34"/>
      <c r="AF1" s="12"/>
      <c r="AG1" s="34" t="s">
        <v>93</v>
      </c>
      <c r="AH1" s="34"/>
      <c r="AI1" s="34"/>
      <c r="AJ1" s="34"/>
      <c r="AK1" s="34"/>
      <c r="AL1" s="34"/>
      <c r="AM1" s="34"/>
      <c r="AN1" s="12"/>
      <c r="AO1" s="34" t="s">
        <v>92</v>
      </c>
      <c r="AP1" s="34"/>
      <c r="AQ1" s="34"/>
      <c r="AR1" s="34"/>
      <c r="AS1" s="34"/>
      <c r="AT1" s="34"/>
      <c r="AU1" s="34"/>
      <c r="AV1" s="12"/>
      <c r="AW1" s="34" t="s">
        <v>91</v>
      </c>
      <c r="AX1" s="34"/>
      <c r="AY1" s="34"/>
      <c r="AZ1" s="34"/>
      <c r="BA1" s="34"/>
      <c r="BB1" s="34"/>
      <c r="BC1" s="34"/>
      <c r="BD1" s="12"/>
      <c r="BE1" s="34" t="s">
        <v>96</v>
      </c>
      <c r="BF1" s="34"/>
      <c r="BG1" s="34"/>
      <c r="BH1" s="34"/>
      <c r="BI1" s="34"/>
      <c r="BJ1" s="34"/>
      <c r="BK1" s="34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301</v>
      </c>
      <c r="B3" s="6">
        <v>1</v>
      </c>
      <c r="C3" s="4">
        <f>IFERROR(VLOOKUP(A3,parts!$A$2:$Z$300,11,FALSE)*B3,0)</f>
        <v>15</v>
      </c>
      <c r="D3" s="4">
        <f>IFERROR(VLOOKUP(A3,parts!$A$2:$Z$300,12,FALSE)*B3,0)</f>
        <v>85</v>
      </c>
      <c r="E3" s="4">
        <f>IFERROR(VLOOKUP(A3,parts!$A$2:$Z$300,13,FALSE)*B3,0)</f>
        <v>100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302</v>
      </c>
      <c r="J3" s="6">
        <v>1</v>
      </c>
      <c r="K3" s="4">
        <f>IFERROR(VLOOKUP(I3,parts!$A$2:$Z$300,11,FALSE)*J3,0)</f>
        <v>3.5000000000000004</v>
      </c>
      <c r="L3" s="4">
        <f>IFERROR(VLOOKUP(I3,parts!$A$2:$Z$300,12,FALSE)*J3,0)</f>
        <v>27.020000000000003</v>
      </c>
      <c r="M3" s="4">
        <f>IFERROR(VLOOKUP(I3,parts!$A$2:$Z$300,13,FALSE)*J3,0)</f>
        <v>30.520000000000003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303</v>
      </c>
      <c r="B4" s="6">
        <v>1</v>
      </c>
      <c r="C4" s="4">
        <f>IFERROR(VLOOKUP(A4,parts!$A$2:$Z$300,11,FALSE)*B4,0)</f>
        <v>2</v>
      </c>
      <c r="D4" s="4">
        <f>IFERROR(VLOOKUP(A4,parts!$A$2:$Z$300,12,FALSE)*B4,0)</f>
        <v>0</v>
      </c>
      <c r="E4" s="4">
        <f>IFERROR(VLOOKUP(A4,parts!$A$2:$Z$300,13,FALSE)*B4,0)</f>
        <v>2</v>
      </c>
      <c r="F4" s="4">
        <f>IFERROR(VLOOKUP(A4,parts!$A$2:$Z$300,5,FALSE),0)</f>
        <v>360</v>
      </c>
      <c r="G4" s="4">
        <f>IFERROR(VLOOKUP(A4,parts!$A$2:$Z$300,6,FALSE)*B4,0)</f>
        <v>400</v>
      </c>
      <c r="H4" s="12"/>
      <c r="I4" s="11" t="s">
        <v>304</v>
      </c>
      <c r="J4" s="6">
        <v>1</v>
      </c>
      <c r="K4" s="4">
        <f>IFERROR(VLOOKUP(I4,parts!$A$2:$Z$300,11,FALSE)*J4,0)</f>
        <v>2</v>
      </c>
      <c r="L4" s="4">
        <f>IFERROR(VLOOKUP(I4,parts!$A$2:$Z$300,12,FALSE)*J4,0)</f>
        <v>0</v>
      </c>
      <c r="M4" s="4">
        <f>IFERROR(VLOOKUP(I4,parts!$A$2:$Z$300,13,FALSE)*J4,0)</f>
        <v>2</v>
      </c>
      <c r="N4" s="4">
        <f>IFERROR(VLOOKUP(I4,parts!$A$2:$Z$300,5,FALSE),0)</f>
        <v>460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/>
      <c r="B5" s="6"/>
      <c r="C5" s="4">
        <f>IFERROR(VLOOKUP(A5,parts!$A$2:$Z$300,11,FALSE)*B5,0)</f>
        <v>0</v>
      </c>
      <c r="D5" s="4">
        <f>IFERROR(VLOOKUP(A5,parts!$A$2:$Z$300,12,FALSE)*B5,0)</f>
        <v>0</v>
      </c>
      <c r="E5" s="4">
        <f>IFERROR(VLOOKUP(A5,parts!$A$2:$Z$300,13,FALSE)*B5,0)</f>
        <v>0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/>
      <c r="J5" s="6"/>
      <c r="K5" s="4">
        <f>IFERROR(VLOOKUP(I5,parts!$A$2:$Z$300,11,FALSE)*J5,0)</f>
        <v>0</v>
      </c>
      <c r="L5" s="4">
        <f>IFERROR(VLOOKUP(I5,parts!$A$2:$Z$300,12,FALSE)*J5,0)</f>
        <v>0</v>
      </c>
      <c r="M5" s="4">
        <f>IFERROR(VLOOKUP(I5,parts!$A$2:$Z$300,13,FALSE)*J5,0)</f>
        <v>0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2</v>
      </c>
      <c r="C19" s="4">
        <f>SUM(C3:C17)</f>
        <v>17</v>
      </c>
      <c r="D19" s="4">
        <f>SUM(D3:D17)</f>
        <v>85</v>
      </c>
      <c r="E19" s="4">
        <f>SUM(E3:E17)</f>
        <v>102</v>
      </c>
      <c r="F19" s="4">
        <f>LARGE(F3:F17,1)</f>
        <v>360</v>
      </c>
      <c r="G19" s="10">
        <f>SUM(G3:G17)</f>
        <v>400</v>
      </c>
      <c r="H19" s="12"/>
      <c r="I19" s="16" t="s">
        <v>76</v>
      </c>
      <c r="J19" s="4">
        <f>SUM(J3:J17)</f>
        <v>2</v>
      </c>
      <c r="K19" s="4">
        <f>SUM(K3:K17)</f>
        <v>5.5</v>
      </c>
      <c r="L19" s="4">
        <f>SUM(L3:L17)</f>
        <v>27.020000000000003</v>
      </c>
      <c r="M19" s="4">
        <f>SUM(M3:M17)</f>
        <v>32.520000000000003</v>
      </c>
      <c r="N19" s="4">
        <f>LARGE(N3:N17,1)</f>
        <v>460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28">
        <f>E19</f>
        <v>102</v>
      </c>
      <c r="C20" s="29"/>
      <c r="D20" s="29"/>
      <c r="E20" s="29"/>
      <c r="F20" s="29"/>
      <c r="G20" s="30"/>
      <c r="H20" s="12"/>
      <c r="I20" s="16" t="s">
        <v>79</v>
      </c>
      <c r="J20" s="28">
        <f>M19</f>
        <v>32.520000000000003</v>
      </c>
      <c r="K20" s="29"/>
      <c r="L20" s="29"/>
      <c r="M20" s="29"/>
      <c r="N20" s="29"/>
      <c r="O20" s="30"/>
      <c r="P20" s="12"/>
      <c r="Q20" s="16" t="s">
        <v>79</v>
      </c>
      <c r="R20" s="28">
        <f>U19</f>
        <v>17.75</v>
      </c>
      <c r="S20" s="29"/>
      <c r="T20" s="29"/>
      <c r="U20" s="29"/>
      <c r="V20" s="29"/>
      <c r="W20" s="30"/>
      <c r="X20" s="12"/>
      <c r="Y20" s="16" t="s">
        <v>79</v>
      </c>
      <c r="Z20" s="28">
        <f>AC19</f>
        <v>17.75</v>
      </c>
      <c r="AA20" s="29"/>
      <c r="AB20" s="29"/>
      <c r="AC20" s="29"/>
      <c r="AD20" s="29"/>
      <c r="AE20" s="30"/>
      <c r="AF20" s="12"/>
      <c r="AG20" s="16" t="s">
        <v>79</v>
      </c>
      <c r="AH20" s="28">
        <f>AK19</f>
        <v>17.75</v>
      </c>
      <c r="AI20" s="29"/>
      <c r="AJ20" s="29"/>
      <c r="AK20" s="29"/>
      <c r="AL20" s="29"/>
      <c r="AM20" s="30"/>
      <c r="AN20" s="12"/>
      <c r="AO20" s="16" t="s">
        <v>79</v>
      </c>
      <c r="AP20" s="28">
        <f>AS19</f>
        <v>17.75</v>
      </c>
      <c r="AQ20" s="29"/>
      <c r="AR20" s="29"/>
      <c r="AS20" s="29"/>
      <c r="AT20" s="29"/>
      <c r="AU20" s="30"/>
      <c r="AV20" s="12"/>
      <c r="AW20" s="16" t="s">
        <v>79</v>
      </c>
      <c r="AX20" s="28">
        <f>BA19</f>
        <v>17.75</v>
      </c>
      <c r="AY20" s="29"/>
      <c r="AZ20" s="29"/>
      <c r="BA20" s="29"/>
      <c r="BB20" s="29"/>
      <c r="BC20" s="30"/>
      <c r="BD20" s="12"/>
      <c r="BE20" s="16" t="s">
        <v>79</v>
      </c>
      <c r="BF20" s="28">
        <f>BI19</f>
        <v>17.75</v>
      </c>
      <c r="BG20" s="29"/>
      <c r="BH20" s="29"/>
      <c r="BI20" s="29"/>
      <c r="BJ20" s="29"/>
      <c r="BK20" s="30"/>
      <c r="BL20" s="12"/>
    </row>
    <row r="21" spans="1:64" x14ac:dyDescent="0.25">
      <c r="A21" s="16" t="s">
        <v>83</v>
      </c>
      <c r="B21" s="28">
        <f>C19</f>
        <v>17</v>
      </c>
      <c r="C21" s="29"/>
      <c r="D21" s="29"/>
      <c r="E21" s="29"/>
      <c r="F21" s="29"/>
      <c r="G21" s="30"/>
      <c r="H21" s="12"/>
      <c r="I21" s="16" t="s">
        <v>83</v>
      </c>
      <c r="J21" s="28">
        <f>K19</f>
        <v>5.5</v>
      </c>
      <c r="K21" s="29"/>
      <c r="L21" s="29"/>
      <c r="M21" s="29"/>
      <c r="N21" s="29"/>
      <c r="O21" s="30"/>
      <c r="P21" s="12"/>
      <c r="Q21" s="16" t="s">
        <v>83</v>
      </c>
      <c r="R21" s="28">
        <f>S19</f>
        <v>12.15</v>
      </c>
      <c r="S21" s="29"/>
      <c r="T21" s="29"/>
      <c r="U21" s="29"/>
      <c r="V21" s="29"/>
      <c r="W21" s="30"/>
      <c r="X21" s="12"/>
      <c r="Y21" s="16" t="s">
        <v>83</v>
      </c>
      <c r="Z21" s="28">
        <f>AA19</f>
        <v>12.15</v>
      </c>
      <c r="AA21" s="29"/>
      <c r="AB21" s="29"/>
      <c r="AC21" s="29"/>
      <c r="AD21" s="29"/>
      <c r="AE21" s="30"/>
      <c r="AF21" s="12"/>
      <c r="AG21" s="16" t="s">
        <v>83</v>
      </c>
      <c r="AH21" s="28">
        <f>AI19</f>
        <v>12.15</v>
      </c>
      <c r="AI21" s="29"/>
      <c r="AJ21" s="29"/>
      <c r="AK21" s="29"/>
      <c r="AL21" s="29"/>
      <c r="AM21" s="30"/>
      <c r="AN21" s="12"/>
      <c r="AO21" s="16" t="s">
        <v>83</v>
      </c>
      <c r="AP21" s="28">
        <f>AQ19</f>
        <v>12.15</v>
      </c>
      <c r="AQ21" s="29"/>
      <c r="AR21" s="29"/>
      <c r="AS21" s="29"/>
      <c r="AT21" s="29"/>
      <c r="AU21" s="30"/>
      <c r="AV21" s="12"/>
      <c r="AW21" s="16" t="s">
        <v>83</v>
      </c>
      <c r="AX21" s="28">
        <f>AY19</f>
        <v>12.15</v>
      </c>
      <c r="AY21" s="29"/>
      <c r="AZ21" s="29"/>
      <c r="BA21" s="29"/>
      <c r="BB21" s="29"/>
      <c r="BC21" s="30"/>
      <c r="BD21" s="12"/>
      <c r="BE21" s="16" t="s">
        <v>83</v>
      </c>
      <c r="BF21" s="28">
        <f>BG19</f>
        <v>12.15</v>
      </c>
      <c r="BG21" s="29"/>
      <c r="BH21" s="29"/>
      <c r="BI21" s="29"/>
      <c r="BJ21" s="29"/>
      <c r="BK21" s="30"/>
      <c r="BL21" s="12"/>
    </row>
    <row r="22" spans="1:64" x14ac:dyDescent="0.25">
      <c r="A22" s="16" t="s">
        <v>82</v>
      </c>
      <c r="B22" s="28">
        <f>IFERROR((G19/10/B20),0)</f>
        <v>0.39215686274509803</v>
      </c>
      <c r="C22" s="29"/>
      <c r="D22" s="29"/>
      <c r="E22" s="29"/>
      <c r="F22" s="29"/>
      <c r="G22" s="30"/>
      <c r="H22" s="12"/>
      <c r="I22" s="16" t="s">
        <v>82</v>
      </c>
      <c r="J22" s="28">
        <f>IFERROR((O19/10/J20),0)</f>
        <v>0.6150061500615005</v>
      </c>
      <c r="K22" s="29"/>
      <c r="L22" s="29"/>
      <c r="M22" s="29"/>
      <c r="N22" s="29"/>
      <c r="O22" s="30"/>
      <c r="P22" s="12"/>
      <c r="Q22" s="16" t="s">
        <v>82</v>
      </c>
      <c r="R22" s="28">
        <f>IFERROR((W19/10/R20),0)</f>
        <v>1.408450704225352</v>
      </c>
      <c r="S22" s="29"/>
      <c r="T22" s="29"/>
      <c r="U22" s="29"/>
      <c r="V22" s="29"/>
      <c r="W22" s="30"/>
      <c r="X22" s="12"/>
      <c r="Y22" s="16" t="s">
        <v>82</v>
      </c>
      <c r="Z22" s="28">
        <f>IFERROR((AE19/10/Z20),0)</f>
        <v>1.408450704225352</v>
      </c>
      <c r="AA22" s="29"/>
      <c r="AB22" s="29"/>
      <c r="AC22" s="29"/>
      <c r="AD22" s="29"/>
      <c r="AE22" s="30"/>
      <c r="AF22" s="12"/>
      <c r="AG22" s="16" t="s">
        <v>82</v>
      </c>
      <c r="AH22" s="28">
        <f>IFERROR((AM19/10/AH20),0)</f>
        <v>1.408450704225352</v>
      </c>
      <c r="AI22" s="29"/>
      <c r="AJ22" s="29"/>
      <c r="AK22" s="29"/>
      <c r="AL22" s="29"/>
      <c r="AM22" s="30"/>
      <c r="AN22" s="12"/>
      <c r="AO22" s="16" t="s">
        <v>82</v>
      </c>
      <c r="AP22" s="28">
        <f>IFERROR((AU19/10/AP20),0)</f>
        <v>1.408450704225352</v>
      </c>
      <c r="AQ22" s="29"/>
      <c r="AR22" s="29"/>
      <c r="AS22" s="29"/>
      <c r="AT22" s="29"/>
      <c r="AU22" s="30"/>
      <c r="AV22" s="12"/>
      <c r="AW22" s="16" t="s">
        <v>82</v>
      </c>
      <c r="AX22" s="28">
        <f>IFERROR((BC19/10/AX20),0)</f>
        <v>1.408450704225352</v>
      </c>
      <c r="AY22" s="29"/>
      <c r="AZ22" s="29"/>
      <c r="BA22" s="29"/>
      <c r="BB22" s="29"/>
      <c r="BC22" s="30"/>
      <c r="BD22" s="12"/>
      <c r="BE22" s="16" t="s">
        <v>82</v>
      </c>
      <c r="BF22" s="28">
        <f>IFERROR((BK19/10/BF20),0)</f>
        <v>1.408450704225352</v>
      </c>
      <c r="BG22" s="29"/>
      <c r="BH22" s="29"/>
      <c r="BI22" s="29"/>
      <c r="BJ22" s="29"/>
      <c r="BK22" s="30"/>
      <c r="BL22" s="12"/>
    </row>
    <row r="23" spans="1:64" x14ac:dyDescent="0.25">
      <c r="A23" s="16" t="s">
        <v>78</v>
      </c>
      <c r="B23" s="28">
        <f>IFERROR((9.82 * F19) * LN(B20/C19),0)</f>
        <v>6334.2280756150203</v>
      </c>
      <c r="C23" s="29"/>
      <c r="D23" s="29"/>
      <c r="E23" s="29"/>
      <c r="F23" s="29"/>
      <c r="G23" s="30"/>
      <c r="H23" s="12"/>
      <c r="I23" s="16" t="s">
        <v>78</v>
      </c>
      <c r="J23" s="28">
        <f>IFERROR((9.82 * N19) * LN(J20/K19),0)</f>
        <v>8027.5486096953191</v>
      </c>
      <c r="K23" s="29"/>
      <c r="L23" s="29"/>
      <c r="M23" s="29"/>
      <c r="N23" s="29"/>
      <c r="O23" s="30"/>
      <c r="P23" s="12"/>
      <c r="Q23" s="16" t="s">
        <v>78</v>
      </c>
      <c r="R23" s="28">
        <f>IFERROR((9.82 * V19) * LN(R20/S19),0)</f>
        <v>1165.0903288608963</v>
      </c>
      <c r="S23" s="29"/>
      <c r="T23" s="29"/>
      <c r="U23" s="29"/>
      <c r="V23" s="29"/>
      <c r="W23" s="30"/>
      <c r="X23" s="12"/>
      <c r="Y23" s="16" t="s">
        <v>78</v>
      </c>
      <c r="Z23" s="28">
        <f>IFERROR((9.82 * AD19) * LN(Z20/AA19),0)</f>
        <v>1165.0903288608963</v>
      </c>
      <c r="AA23" s="29"/>
      <c r="AB23" s="29"/>
      <c r="AC23" s="29"/>
      <c r="AD23" s="29"/>
      <c r="AE23" s="30"/>
      <c r="AF23" s="12"/>
      <c r="AG23" s="16" t="s">
        <v>78</v>
      </c>
      <c r="AH23" s="28">
        <f>IFERROR((9.82 * AL19) * LN(AH20/AI19),0)</f>
        <v>1165.0903288608963</v>
      </c>
      <c r="AI23" s="29"/>
      <c r="AJ23" s="29"/>
      <c r="AK23" s="29"/>
      <c r="AL23" s="29"/>
      <c r="AM23" s="30"/>
      <c r="AN23" s="12"/>
      <c r="AO23" s="16" t="s">
        <v>78</v>
      </c>
      <c r="AP23" s="28">
        <f>IFERROR((9.82 * AT19) * LN(AP20/AQ19),0)</f>
        <v>1165.0903288608963</v>
      </c>
      <c r="AQ23" s="29"/>
      <c r="AR23" s="29"/>
      <c r="AS23" s="29"/>
      <c r="AT23" s="29"/>
      <c r="AU23" s="30"/>
      <c r="AV23" s="12"/>
      <c r="AW23" s="16" t="s">
        <v>78</v>
      </c>
      <c r="AX23" s="28">
        <f>IFERROR((9.82 * BB19) * LN(AX20/AY19),0)</f>
        <v>1165.0903288608963</v>
      </c>
      <c r="AY23" s="29"/>
      <c r="AZ23" s="29"/>
      <c r="BA23" s="29"/>
      <c r="BB23" s="29"/>
      <c r="BC23" s="30"/>
      <c r="BD23" s="12"/>
      <c r="BE23" s="16" t="s">
        <v>78</v>
      </c>
      <c r="BF23" s="28">
        <f>IFERROR((9.82 * BJ19) * LN(BF20/BG19),0)</f>
        <v>1165.0903288608963</v>
      </c>
      <c r="BG23" s="29"/>
      <c r="BH23" s="29"/>
      <c r="BI23" s="29"/>
      <c r="BJ23" s="29"/>
      <c r="BK23" s="30"/>
      <c r="BL23" s="12"/>
    </row>
    <row r="24" spans="1:64" ht="15.75" thickBot="1" x14ac:dyDescent="0.3">
      <c r="A24" s="17" t="s">
        <v>80</v>
      </c>
      <c r="B24" s="31">
        <f>B23</f>
        <v>6334.2280756150203</v>
      </c>
      <c r="C24" s="32"/>
      <c r="D24" s="32"/>
      <c r="E24" s="32"/>
      <c r="F24" s="32"/>
      <c r="G24" s="33"/>
      <c r="H24" s="12"/>
      <c r="I24" s="17" t="s">
        <v>80</v>
      </c>
      <c r="J24" s="31">
        <f>J23</f>
        <v>8027.5486096953191</v>
      </c>
      <c r="K24" s="32"/>
      <c r="L24" s="32"/>
      <c r="M24" s="32"/>
      <c r="N24" s="32"/>
      <c r="O24" s="33"/>
      <c r="P24" s="12"/>
      <c r="Q24" s="17" t="s">
        <v>80</v>
      </c>
      <c r="R24" s="31">
        <f>R23</f>
        <v>1165.0903288608963</v>
      </c>
      <c r="S24" s="32"/>
      <c r="T24" s="32"/>
      <c r="U24" s="32"/>
      <c r="V24" s="32"/>
      <c r="W24" s="33"/>
      <c r="X24" s="12"/>
      <c r="Y24" s="17" t="s">
        <v>80</v>
      </c>
      <c r="Z24" s="31">
        <f>Z23</f>
        <v>1165.0903288608963</v>
      </c>
      <c r="AA24" s="32"/>
      <c r="AB24" s="32"/>
      <c r="AC24" s="32"/>
      <c r="AD24" s="32"/>
      <c r="AE24" s="33"/>
      <c r="AF24" s="12"/>
      <c r="AG24" s="17" t="s">
        <v>80</v>
      </c>
      <c r="AH24" s="31">
        <f>AH23</f>
        <v>1165.0903288608963</v>
      </c>
      <c r="AI24" s="32"/>
      <c r="AJ24" s="32"/>
      <c r="AK24" s="32"/>
      <c r="AL24" s="32"/>
      <c r="AM24" s="33"/>
      <c r="AN24" s="12"/>
      <c r="AO24" s="17" t="s">
        <v>80</v>
      </c>
      <c r="AP24" s="31">
        <f>AP23</f>
        <v>1165.0903288608963</v>
      </c>
      <c r="AQ24" s="32"/>
      <c r="AR24" s="32"/>
      <c r="AS24" s="32"/>
      <c r="AT24" s="32"/>
      <c r="AU24" s="33"/>
      <c r="AV24" s="12"/>
      <c r="AW24" s="17" t="s">
        <v>80</v>
      </c>
      <c r="AX24" s="31">
        <f>AX23</f>
        <v>1165.0903288608963</v>
      </c>
      <c r="AY24" s="32"/>
      <c r="AZ24" s="32"/>
      <c r="BA24" s="32"/>
      <c r="BB24" s="32"/>
      <c r="BC24" s="33"/>
      <c r="BD24" s="12"/>
      <c r="BE24" s="17" t="s">
        <v>80</v>
      </c>
      <c r="BF24" s="31">
        <f>BF23</f>
        <v>1165.0903288608963</v>
      </c>
      <c r="BG24" s="32"/>
      <c r="BH24" s="32"/>
      <c r="BI24" s="32"/>
      <c r="BJ24" s="32"/>
      <c r="BK24" s="3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IFERROR(VLOOKUP(A27,parts!$A$2:$Z$300,11,FALSE)*B27,0)</f>
        <v>0</v>
      </c>
      <c r="D27" s="4">
        <f>IFERROR(VLOOKUP(A27,parts!$A$2:$Z$300,12,FALSE)*B27,0)</f>
        <v>0</v>
      </c>
      <c r="E27" s="4">
        <f>IFERROR(VLOOKUP(A27,parts!$A$2:$Z$300,13,FALSE)*B27,0)</f>
        <v>0</v>
      </c>
      <c r="F27" s="4">
        <f>IFERROR(VLOOKUP(A27,parts!$A$2:$Z$300,5,FALSE),0)</f>
        <v>0</v>
      </c>
      <c r="G27" s="4">
        <f>IFERROR(VLOOKUP(A27,parts!$A$2:$Z$300,6,FALSE)*B27,0)</f>
        <v>0</v>
      </c>
      <c r="H27" s="12"/>
      <c r="I27" s="11"/>
      <c r="J27" s="6"/>
      <c r="K27" s="4">
        <f>IFERROR(VLOOKUP(I27,parts!$A$2:$Z$300,11,FALSE)*J27,0)</f>
        <v>0</v>
      </c>
      <c r="L27" s="4">
        <f>IFERROR(VLOOKUP(I27,parts!$A$2:$Z$300,12,FALSE)*J27,0)</f>
        <v>0</v>
      </c>
      <c r="M27" s="4">
        <f>IFERROR(VLOOKUP(I27,parts!$A$2:$Z$300,13,FALSE)*J27,0)</f>
        <v>0</v>
      </c>
      <c r="N27" s="4">
        <f>IFERROR(VLOOKUP(I27,parts!$A$2:$Z$300,5,FALSE),0)</f>
        <v>0</v>
      </c>
      <c r="O27" s="4">
        <f>IFERROR(VLOOKUP(I27,parts!$A$2:$Z$300,6,FALSE)*J27,0)</f>
        <v>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2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76</v>
      </c>
      <c r="J43" s="4">
        <f>SUM(J27:J41)+J19</f>
        <v>2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28">
        <f>E43+B20</f>
        <v>102</v>
      </c>
      <c r="C44" s="29"/>
      <c r="D44" s="29"/>
      <c r="E44" s="29"/>
      <c r="F44" s="29"/>
      <c r="G44" s="30"/>
      <c r="H44" s="12"/>
      <c r="I44" s="16" t="s">
        <v>79</v>
      </c>
      <c r="J44" s="28">
        <f>M43+J20</f>
        <v>32.520000000000003</v>
      </c>
      <c r="K44" s="29"/>
      <c r="L44" s="29"/>
      <c r="M44" s="29"/>
      <c r="N44" s="29"/>
      <c r="O44" s="30"/>
      <c r="P44" s="12"/>
      <c r="Q44" s="16" t="s">
        <v>79</v>
      </c>
      <c r="R44" s="28">
        <f>U43+R20</f>
        <v>59.75</v>
      </c>
      <c r="S44" s="29"/>
      <c r="T44" s="29"/>
      <c r="U44" s="29"/>
      <c r="V44" s="29"/>
      <c r="W44" s="30"/>
      <c r="X44" s="12"/>
      <c r="Y44" s="16" t="s">
        <v>79</v>
      </c>
      <c r="Z44" s="28">
        <f>AC43+Z20</f>
        <v>59.75</v>
      </c>
      <c r="AA44" s="29"/>
      <c r="AB44" s="29"/>
      <c r="AC44" s="29"/>
      <c r="AD44" s="29"/>
      <c r="AE44" s="30"/>
      <c r="AF44" s="12"/>
      <c r="AG44" s="16" t="s">
        <v>79</v>
      </c>
      <c r="AH44" s="28">
        <f>AK43+AH20</f>
        <v>59.75</v>
      </c>
      <c r="AI44" s="29"/>
      <c r="AJ44" s="29"/>
      <c r="AK44" s="29"/>
      <c r="AL44" s="29"/>
      <c r="AM44" s="30"/>
      <c r="AN44" s="12"/>
      <c r="AO44" s="16" t="s">
        <v>79</v>
      </c>
      <c r="AP44" s="28">
        <f>AS43+AP20</f>
        <v>59.75</v>
      </c>
      <c r="AQ44" s="29"/>
      <c r="AR44" s="29"/>
      <c r="AS44" s="29"/>
      <c r="AT44" s="29"/>
      <c r="AU44" s="30"/>
      <c r="AV44" s="12"/>
      <c r="AW44" s="16" t="s">
        <v>79</v>
      </c>
      <c r="AX44" s="28">
        <f>BA43+AX20</f>
        <v>59.75</v>
      </c>
      <c r="AY44" s="29"/>
      <c r="AZ44" s="29"/>
      <c r="BA44" s="29"/>
      <c r="BB44" s="29"/>
      <c r="BC44" s="30"/>
      <c r="BD44" s="12"/>
      <c r="BE44" s="16" t="s">
        <v>79</v>
      </c>
      <c r="BF44" s="28">
        <f>BI43+BF20</f>
        <v>59.75</v>
      </c>
      <c r="BG44" s="29"/>
      <c r="BH44" s="29"/>
      <c r="BI44" s="29"/>
      <c r="BJ44" s="29"/>
      <c r="BK44" s="30"/>
      <c r="BL44" s="12"/>
    </row>
    <row r="45" spans="1:64" x14ac:dyDescent="0.25">
      <c r="A45" s="16" t="s">
        <v>83</v>
      </c>
      <c r="B45" s="28">
        <f>C43+B20</f>
        <v>102</v>
      </c>
      <c r="C45" s="29"/>
      <c r="D45" s="29"/>
      <c r="E45" s="29"/>
      <c r="F45" s="29"/>
      <c r="G45" s="30"/>
      <c r="H45" s="12"/>
      <c r="I45" s="16" t="s">
        <v>83</v>
      </c>
      <c r="J45" s="28">
        <f>K43+J20</f>
        <v>32.520000000000003</v>
      </c>
      <c r="K45" s="29"/>
      <c r="L45" s="29"/>
      <c r="M45" s="29"/>
      <c r="N45" s="29"/>
      <c r="O45" s="30"/>
      <c r="P45" s="12"/>
      <c r="Q45" s="16" t="s">
        <v>83</v>
      </c>
      <c r="R45" s="28">
        <f>S43+R20</f>
        <v>28.3</v>
      </c>
      <c r="S45" s="29"/>
      <c r="T45" s="29"/>
      <c r="U45" s="29"/>
      <c r="V45" s="29"/>
      <c r="W45" s="30"/>
      <c r="X45" s="12"/>
      <c r="Y45" s="16" t="s">
        <v>83</v>
      </c>
      <c r="Z45" s="28">
        <f>AA43+Z20</f>
        <v>28.3</v>
      </c>
      <c r="AA45" s="29"/>
      <c r="AB45" s="29"/>
      <c r="AC45" s="29"/>
      <c r="AD45" s="29"/>
      <c r="AE45" s="30"/>
      <c r="AF45" s="12"/>
      <c r="AG45" s="16" t="s">
        <v>83</v>
      </c>
      <c r="AH45" s="28">
        <f>AI43+AH20</f>
        <v>28.3</v>
      </c>
      <c r="AI45" s="29"/>
      <c r="AJ45" s="29"/>
      <c r="AK45" s="29"/>
      <c r="AL45" s="29"/>
      <c r="AM45" s="30"/>
      <c r="AN45" s="12"/>
      <c r="AO45" s="16" t="s">
        <v>83</v>
      </c>
      <c r="AP45" s="28">
        <f>AQ43+AP20</f>
        <v>28.3</v>
      </c>
      <c r="AQ45" s="29"/>
      <c r="AR45" s="29"/>
      <c r="AS45" s="29"/>
      <c r="AT45" s="29"/>
      <c r="AU45" s="30"/>
      <c r="AV45" s="12"/>
      <c r="AW45" s="16" t="s">
        <v>83</v>
      </c>
      <c r="AX45" s="28">
        <f>AY43+AX20</f>
        <v>28.3</v>
      </c>
      <c r="AY45" s="29"/>
      <c r="AZ45" s="29"/>
      <c r="BA45" s="29"/>
      <c r="BB45" s="29"/>
      <c r="BC45" s="30"/>
      <c r="BD45" s="12"/>
      <c r="BE45" s="16" t="s">
        <v>83</v>
      </c>
      <c r="BF45" s="28">
        <f>BG43+BF20</f>
        <v>28.3</v>
      </c>
      <c r="BG45" s="29"/>
      <c r="BH45" s="29"/>
      <c r="BI45" s="29"/>
      <c r="BJ45" s="29"/>
      <c r="BK45" s="30"/>
      <c r="BL45" s="12"/>
    </row>
    <row r="46" spans="1:64" x14ac:dyDescent="0.25">
      <c r="A46" s="16" t="s">
        <v>82</v>
      </c>
      <c r="B46" s="28">
        <f>IFERROR((G43/10/B44),0)</f>
        <v>0</v>
      </c>
      <c r="C46" s="29"/>
      <c r="D46" s="29"/>
      <c r="E46" s="29"/>
      <c r="F46" s="29"/>
      <c r="G46" s="30"/>
      <c r="H46" s="12"/>
      <c r="I46" s="16" t="s">
        <v>82</v>
      </c>
      <c r="J46" s="28">
        <f>IFERROR((O43/10/J44),0)</f>
        <v>0</v>
      </c>
      <c r="K46" s="29"/>
      <c r="L46" s="29"/>
      <c r="M46" s="29"/>
      <c r="N46" s="29"/>
      <c r="O46" s="30"/>
      <c r="P46" s="12"/>
      <c r="Q46" s="16" t="s">
        <v>82</v>
      </c>
      <c r="R46" s="28">
        <f>IFERROR((W43/10/R44),0)</f>
        <v>1.2552301255230125</v>
      </c>
      <c r="S46" s="29"/>
      <c r="T46" s="29"/>
      <c r="U46" s="29"/>
      <c r="V46" s="29"/>
      <c r="W46" s="30"/>
      <c r="X46" s="12"/>
      <c r="Y46" s="16" t="s">
        <v>82</v>
      </c>
      <c r="Z46" s="28">
        <f>IFERROR((AE43/10/Z44),0)</f>
        <v>1.2552301255230125</v>
      </c>
      <c r="AA46" s="29"/>
      <c r="AB46" s="29"/>
      <c r="AC46" s="29"/>
      <c r="AD46" s="29"/>
      <c r="AE46" s="30"/>
      <c r="AF46" s="12"/>
      <c r="AG46" s="16" t="s">
        <v>82</v>
      </c>
      <c r="AH46" s="28">
        <f>IFERROR((AM43/10/AH44),0)</f>
        <v>1.2552301255230125</v>
      </c>
      <c r="AI46" s="29"/>
      <c r="AJ46" s="29"/>
      <c r="AK46" s="29"/>
      <c r="AL46" s="29"/>
      <c r="AM46" s="30"/>
      <c r="AN46" s="12"/>
      <c r="AO46" s="16" t="s">
        <v>82</v>
      </c>
      <c r="AP46" s="28">
        <f>IFERROR((AU43/10/AP44),0)</f>
        <v>1.2552301255230125</v>
      </c>
      <c r="AQ46" s="29"/>
      <c r="AR46" s="29"/>
      <c r="AS46" s="29"/>
      <c r="AT46" s="29"/>
      <c r="AU46" s="30"/>
      <c r="AV46" s="12"/>
      <c r="AW46" s="16" t="s">
        <v>82</v>
      </c>
      <c r="AX46" s="28">
        <f>IFERROR((BC43/10/AX44),0)</f>
        <v>1.2552301255230125</v>
      </c>
      <c r="AY46" s="29"/>
      <c r="AZ46" s="29"/>
      <c r="BA46" s="29"/>
      <c r="BB46" s="29"/>
      <c r="BC46" s="30"/>
      <c r="BD46" s="12"/>
      <c r="BE46" s="16" t="s">
        <v>82</v>
      </c>
      <c r="BF46" s="28">
        <f>IFERROR((BK43/10/BF44),0)</f>
        <v>1.2552301255230125</v>
      </c>
      <c r="BG46" s="29"/>
      <c r="BH46" s="29"/>
      <c r="BI46" s="29"/>
      <c r="BJ46" s="29"/>
      <c r="BK46" s="30"/>
      <c r="BL46" s="12"/>
    </row>
    <row r="47" spans="1:64" x14ac:dyDescent="0.25">
      <c r="A47" s="16" t="s">
        <v>78</v>
      </c>
      <c r="B47" s="28">
        <f>IFERROR((9.82 * F43) * LN(B44/B45),0)</f>
        <v>0</v>
      </c>
      <c r="C47" s="29"/>
      <c r="D47" s="29"/>
      <c r="E47" s="29"/>
      <c r="F47" s="29"/>
      <c r="G47" s="30"/>
      <c r="H47" s="12"/>
      <c r="I47" s="16" t="s">
        <v>78</v>
      </c>
      <c r="J47" s="28">
        <f>IFERROR((9.82 * N43) * LN(J44/J45),0)</f>
        <v>0</v>
      </c>
      <c r="K47" s="29"/>
      <c r="L47" s="29"/>
      <c r="M47" s="29"/>
      <c r="N47" s="29"/>
      <c r="O47" s="30"/>
      <c r="P47" s="12"/>
      <c r="Q47" s="16" t="s">
        <v>78</v>
      </c>
      <c r="R47" s="28">
        <f>IFERROR((9.82 * V43) * LN(R44/R45),0)</f>
        <v>2531.8026935796902</v>
      </c>
      <c r="S47" s="29"/>
      <c r="T47" s="29"/>
      <c r="U47" s="29"/>
      <c r="V47" s="29"/>
      <c r="W47" s="30"/>
      <c r="X47" s="12"/>
      <c r="Y47" s="16" t="s">
        <v>78</v>
      </c>
      <c r="Z47" s="28">
        <f>IFERROR((9.82 * AD43) * LN(Z44/Z45),0)</f>
        <v>2531.8026935796902</v>
      </c>
      <c r="AA47" s="29"/>
      <c r="AB47" s="29"/>
      <c r="AC47" s="29"/>
      <c r="AD47" s="29"/>
      <c r="AE47" s="30"/>
      <c r="AF47" s="12"/>
      <c r="AG47" s="16" t="s">
        <v>78</v>
      </c>
      <c r="AH47" s="28">
        <f>IFERROR((9.82 * AL43) * LN(AH44/AH45),0)</f>
        <v>2531.8026935796902</v>
      </c>
      <c r="AI47" s="29"/>
      <c r="AJ47" s="29"/>
      <c r="AK47" s="29"/>
      <c r="AL47" s="29"/>
      <c r="AM47" s="30"/>
      <c r="AN47" s="12"/>
      <c r="AO47" s="16" t="s">
        <v>78</v>
      </c>
      <c r="AP47" s="28">
        <f>IFERROR((9.82 * AT43) * LN(AP44/AP45),0)</f>
        <v>2531.8026935796902</v>
      </c>
      <c r="AQ47" s="29"/>
      <c r="AR47" s="29"/>
      <c r="AS47" s="29"/>
      <c r="AT47" s="29"/>
      <c r="AU47" s="30"/>
      <c r="AV47" s="12"/>
      <c r="AW47" s="16" t="s">
        <v>78</v>
      </c>
      <c r="AX47" s="28">
        <f>IFERROR((9.82 * BB43) * LN(AX44/AX45),0)</f>
        <v>2531.8026935796902</v>
      </c>
      <c r="AY47" s="29"/>
      <c r="AZ47" s="29"/>
      <c r="BA47" s="29"/>
      <c r="BB47" s="29"/>
      <c r="BC47" s="30"/>
      <c r="BD47" s="12"/>
      <c r="BE47" s="16" t="s">
        <v>78</v>
      </c>
      <c r="BF47" s="28">
        <f>IFERROR((9.82 * BJ43) * LN(BF44/BF45),0)</f>
        <v>2531.8026935796902</v>
      </c>
      <c r="BG47" s="29"/>
      <c r="BH47" s="29"/>
      <c r="BI47" s="29"/>
      <c r="BJ47" s="29"/>
      <c r="BK47" s="30"/>
      <c r="BL47" s="12"/>
    </row>
    <row r="48" spans="1:64" ht="15.75" thickBot="1" x14ac:dyDescent="0.3">
      <c r="A48" s="17" t="s">
        <v>80</v>
      </c>
      <c r="B48" s="31">
        <f>B47+B24</f>
        <v>6334.2280756150203</v>
      </c>
      <c r="C48" s="32"/>
      <c r="D48" s="32"/>
      <c r="E48" s="32"/>
      <c r="F48" s="32"/>
      <c r="G48" s="33"/>
      <c r="H48" s="12"/>
      <c r="I48" s="17" t="s">
        <v>80</v>
      </c>
      <c r="J48" s="31">
        <f>J47+J24</f>
        <v>8027.5486096953191</v>
      </c>
      <c r="K48" s="32"/>
      <c r="L48" s="32"/>
      <c r="M48" s="32"/>
      <c r="N48" s="32"/>
      <c r="O48" s="33"/>
      <c r="P48" s="12"/>
      <c r="Q48" s="17" t="s">
        <v>80</v>
      </c>
      <c r="R48" s="31">
        <f>R47+R24</f>
        <v>3696.8930224405867</v>
      </c>
      <c r="S48" s="32"/>
      <c r="T48" s="32"/>
      <c r="U48" s="32"/>
      <c r="V48" s="32"/>
      <c r="W48" s="33"/>
      <c r="X48" s="12"/>
      <c r="Y48" s="17" t="s">
        <v>80</v>
      </c>
      <c r="Z48" s="31">
        <f>Z47+Z24</f>
        <v>3696.8930224405867</v>
      </c>
      <c r="AA48" s="32"/>
      <c r="AB48" s="32"/>
      <c r="AC48" s="32"/>
      <c r="AD48" s="32"/>
      <c r="AE48" s="33"/>
      <c r="AF48" s="12"/>
      <c r="AG48" s="17" t="s">
        <v>80</v>
      </c>
      <c r="AH48" s="31">
        <f>AH47+AH24</f>
        <v>3696.8930224405867</v>
      </c>
      <c r="AI48" s="32"/>
      <c r="AJ48" s="32"/>
      <c r="AK48" s="32"/>
      <c r="AL48" s="32"/>
      <c r="AM48" s="33"/>
      <c r="AN48" s="12"/>
      <c r="AO48" s="17" t="s">
        <v>80</v>
      </c>
      <c r="AP48" s="31">
        <f>AP47+AP24</f>
        <v>3696.8930224405867</v>
      </c>
      <c r="AQ48" s="32"/>
      <c r="AR48" s="32"/>
      <c r="AS48" s="32"/>
      <c r="AT48" s="32"/>
      <c r="AU48" s="33"/>
      <c r="AV48" s="12"/>
      <c r="AW48" s="17" t="s">
        <v>80</v>
      </c>
      <c r="AX48" s="31">
        <f>AX47+AX24</f>
        <v>3696.8930224405867</v>
      </c>
      <c r="AY48" s="32"/>
      <c r="AZ48" s="32"/>
      <c r="BA48" s="32"/>
      <c r="BB48" s="32"/>
      <c r="BC48" s="33"/>
      <c r="BD48" s="12"/>
      <c r="BE48" s="17" t="s">
        <v>80</v>
      </c>
      <c r="BF48" s="31">
        <f>BF47+BF24</f>
        <v>3696.8930224405867</v>
      </c>
      <c r="BG48" s="32"/>
      <c r="BH48" s="32"/>
      <c r="BI48" s="32"/>
      <c r="BJ48" s="32"/>
      <c r="BK48" s="3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7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7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8">
        <f>E67+B44</f>
        <v>102</v>
      </c>
      <c r="C68" s="29"/>
      <c r="D68" s="29"/>
      <c r="E68" s="29"/>
      <c r="F68" s="29"/>
      <c r="G68" s="30"/>
      <c r="H68" s="12"/>
      <c r="I68" s="16" t="s">
        <v>79</v>
      </c>
      <c r="J68" s="28">
        <f>M67+J44</f>
        <v>32.520000000000003</v>
      </c>
      <c r="K68" s="29"/>
      <c r="L68" s="29"/>
      <c r="M68" s="29"/>
      <c r="N68" s="29"/>
      <c r="O68" s="30"/>
      <c r="P68" s="12"/>
      <c r="Q68" s="16" t="s">
        <v>79</v>
      </c>
      <c r="R68" s="28">
        <f>U67+R44</f>
        <v>59.75</v>
      </c>
      <c r="S68" s="29"/>
      <c r="T68" s="29"/>
      <c r="U68" s="29"/>
      <c r="V68" s="29"/>
      <c r="W68" s="30"/>
      <c r="X68" s="12"/>
      <c r="Y68" s="16" t="s">
        <v>79</v>
      </c>
      <c r="Z68" s="28">
        <f>AC67+Z44</f>
        <v>59.75</v>
      </c>
      <c r="AA68" s="29"/>
      <c r="AB68" s="29"/>
      <c r="AC68" s="29"/>
      <c r="AD68" s="29"/>
      <c r="AE68" s="30"/>
      <c r="AF68" s="12"/>
      <c r="AG68" s="16" t="s">
        <v>79</v>
      </c>
      <c r="AH68" s="28">
        <f>AK67+AH44</f>
        <v>59.75</v>
      </c>
      <c r="AI68" s="29"/>
      <c r="AJ68" s="29"/>
      <c r="AK68" s="29"/>
      <c r="AL68" s="29"/>
      <c r="AM68" s="30"/>
      <c r="AN68" s="12"/>
      <c r="AO68" s="16" t="s">
        <v>79</v>
      </c>
      <c r="AP68" s="28">
        <f>AS67+AP44</f>
        <v>59.75</v>
      </c>
      <c r="AQ68" s="29"/>
      <c r="AR68" s="29"/>
      <c r="AS68" s="29"/>
      <c r="AT68" s="29"/>
      <c r="AU68" s="30"/>
      <c r="AV68" s="12"/>
      <c r="AW68" s="16" t="s">
        <v>79</v>
      </c>
      <c r="AX68" s="28">
        <f>BA67+AX44</f>
        <v>59.75</v>
      </c>
      <c r="AY68" s="29"/>
      <c r="AZ68" s="29"/>
      <c r="BA68" s="29"/>
      <c r="BB68" s="29"/>
      <c r="BC68" s="30"/>
      <c r="BD68" s="12"/>
      <c r="BE68" s="16" t="s">
        <v>79</v>
      </c>
      <c r="BF68" s="28">
        <f>BI67+BF44</f>
        <v>59.75</v>
      </c>
      <c r="BG68" s="29"/>
      <c r="BH68" s="29"/>
      <c r="BI68" s="29"/>
      <c r="BJ68" s="29"/>
      <c r="BK68" s="30"/>
      <c r="BL68" s="12"/>
    </row>
    <row r="69" spans="1:64" x14ac:dyDescent="0.25">
      <c r="A69" s="16" t="s">
        <v>83</v>
      </c>
      <c r="B69" s="28">
        <f>C67+B44</f>
        <v>102</v>
      </c>
      <c r="C69" s="29"/>
      <c r="D69" s="29"/>
      <c r="E69" s="29"/>
      <c r="F69" s="29"/>
      <c r="G69" s="30"/>
      <c r="H69" s="12"/>
      <c r="I69" s="16" t="s">
        <v>83</v>
      </c>
      <c r="J69" s="28">
        <f>K67+J44</f>
        <v>32.520000000000003</v>
      </c>
      <c r="K69" s="29"/>
      <c r="L69" s="29"/>
      <c r="M69" s="29"/>
      <c r="N69" s="29"/>
      <c r="O69" s="30"/>
      <c r="P69" s="12"/>
      <c r="Q69" s="16" t="s">
        <v>83</v>
      </c>
      <c r="R69" s="28">
        <f>S67+R44</f>
        <v>59.75</v>
      </c>
      <c r="S69" s="29"/>
      <c r="T69" s="29"/>
      <c r="U69" s="29"/>
      <c r="V69" s="29"/>
      <c r="W69" s="30"/>
      <c r="X69" s="12"/>
      <c r="Y69" s="16" t="s">
        <v>83</v>
      </c>
      <c r="Z69" s="28">
        <f>AA67+Z44</f>
        <v>59.75</v>
      </c>
      <c r="AA69" s="29"/>
      <c r="AB69" s="29"/>
      <c r="AC69" s="29"/>
      <c r="AD69" s="29"/>
      <c r="AE69" s="30"/>
      <c r="AF69" s="12"/>
      <c r="AG69" s="16" t="s">
        <v>83</v>
      </c>
      <c r="AH69" s="28">
        <f>AI67+AH44</f>
        <v>59.75</v>
      </c>
      <c r="AI69" s="29"/>
      <c r="AJ69" s="29"/>
      <c r="AK69" s="29"/>
      <c r="AL69" s="29"/>
      <c r="AM69" s="30"/>
      <c r="AN69" s="12"/>
      <c r="AO69" s="16" t="s">
        <v>83</v>
      </c>
      <c r="AP69" s="28">
        <f>AQ67+AP44</f>
        <v>59.75</v>
      </c>
      <c r="AQ69" s="29"/>
      <c r="AR69" s="29"/>
      <c r="AS69" s="29"/>
      <c r="AT69" s="29"/>
      <c r="AU69" s="30"/>
      <c r="AV69" s="12"/>
      <c r="AW69" s="16" t="s">
        <v>83</v>
      </c>
      <c r="AX69" s="28">
        <f>AY67+AX44</f>
        <v>59.75</v>
      </c>
      <c r="AY69" s="29"/>
      <c r="AZ69" s="29"/>
      <c r="BA69" s="29"/>
      <c r="BB69" s="29"/>
      <c r="BC69" s="30"/>
      <c r="BD69" s="12"/>
      <c r="BE69" s="16" t="s">
        <v>83</v>
      </c>
      <c r="BF69" s="28">
        <f>BG67+BF44</f>
        <v>59.75</v>
      </c>
      <c r="BG69" s="29"/>
      <c r="BH69" s="29"/>
      <c r="BI69" s="29"/>
      <c r="BJ69" s="29"/>
      <c r="BK69" s="30"/>
      <c r="BL69" s="12"/>
    </row>
    <row r="70" spans="1:64" x14ac:dyDescent="0.25">
      <c r="A70" s="16" t="s">
        <v>82</v>
      </c>
      <c r="B70" s="28">
        <f>IFERROR((G67/10/B68),0)</f>
        <v>0</v>
      </c>
      <c r="C70" s="29"/>
      <c r="D70" s="29"/>
      <c r="E70" s="29"/>
      <c r="F70" s="29"/>
      <c r="G70" s="30"/>
      <c r="H70" s="12"/>
      <c r="I70" s="16" t="s">
        <v>82</v>
      </c>
      <c r="J70" s="28">
        <f>IFERROR((O67/10/J68),0)</f>
        <v>0</v>
      </c>
      <c r="K70" s="29"/>
      <c r="L70" s="29"/>
      <c r="M70" s="29"/>
      <c r="N70" s="29"/>
      <c r="O70" s="30"/>
      <c r="P70" s="12"/>
      <c r="Q70" s="16" t="s">
        <v>82</v>
      </c>
      <c r="R70" s="28">
        <f>IFERROR((W67/10/R68),0)</f>
        <v>0</v>
      </c>
      <c r="S70" s="29"/>
      <c r="T70" s="29"/>
      <c r="U70" s="29"/>
      <c r="V70" s="29"/>
      <c r="W70" s="30"/>
      <c r="X70" s="12"/>
      <c r="Y70" s="16" t="s">
        <v>82</v>
      </c>
      <c r="Z70" s="28">
        <f>IFERROR((AE67/10/Z68),0)</f>
        <v>0</v>
      </c>
      <c r="AA70" s="29"/>
      <c r="AB70" s="29"/>
      <c r="AC70" s="29"/>
      <c r="AD70" s="29"/>
      <c r="AE70" s="30"/>
      <c r="AF70" s="12"/>
      <c r="AG70" s="16" t="s">
        <v>82</v>
      </c>
      <c r="AH70" s="28">
        <f>IFERROR((AM67/10/AH68),0)</f>
        <v>0</v>
      </c>
      <c r="AI70" s="29"/>
      <c r="AJ70" s="29"/>
      <c r="AK70" s="29"/>
      <c r="AL70" s="29"/>
      <c r="AM70" s="30"/>
      <c r="AN70" s="12"/>
      <c r="AO70" s="16" t="s">
        <v>82</v>
      </c>
      <c r="AP70" s="28">
        <f>IFERROR((AU67/10/AP68),0)</f>
        <v>0</v>
      </c>
      <c r="AQ70" s="29"/>
      <c r="AR70" s="29"/>
      <c r="AS70" s="29"/>
      <c r="AT70" s="29"/>
      <c r="AU70" s="30"/>
      <c r="AV70" s="12"/>
      <c r="AW70" s="16" t="s">
        <v>82</v>
      </c>
      <c r="AX70" s="28">
        <f>IFERROR((BC67/10/AX68),0)</f>
        <v>0</v>
      </c>
      <c r="AY70" s="29"/>
      <c r="AZ70" s="29"/>
      <c r="BA70" s="29"/>
      <c r="BB70" s="29"/>
      <c r="BC70" s="30"/>
      <c r="BD70" s="12"/>
      <c r="BE70" s="16" t="s">
        <v>82</v>
      </c>
      <c r="BF70" s="28">
        <f>IFERROR((BK67/10/BF68),0)</f>
        <v>0</v>
      </c>
      <c r="BG70" s="29"/>
      <c r="BH70" s="29"/>
      <c r="BI70" s="29"/>
      <c r="BJ70" s="29"/>
      <c r="BK70" s="30"/>
      <c r="BL70" s="12"/>
    </row>
    <row r="71" spans="1:64" x14ac:dyDescent="0.25">
      <c r="A71" s="16" t="s">
        <v>78</v>
      </c>
      <c r="B71" s="28">
        <f>IFERROR((9.82 * F67) * LN(B68/B69),0)</f>
        <v>0</v>
      </c>
      <c r="C71" s="29"/>
      <c r="D71" s="29"/>
      <c r="E71" s="29"/>
      <c r="F71" s="29"/>
      <c r="G71" s="30"/>
      <c r="H71" s="12"/>
      <c r="I71" s="16" t="s">
        <v>78</v>
      </c>
      <c r="J71" s="28">
        <f>IFERROR((9.82 * N67) * LN(J68/J69),0)</f>
        <v>0</v>
      </c>
      <c r="K71" s="29"/>
      <c r="L71" s="29"/>
      <c r="M71" s="29"/>
      <c r="N71" s="29"/>
      <c r="O71" s="30"/>
      <c r="P71" s="12"/>
      <c r="Q71" s="16" t="s">
        <v>78</v>
      </c>
      <c r="R71" s="28">
        <f>IFERROR((9.82 * V67) * LN(R68/R69),0)</f>
        <v>0</v>
      </c>
      <c r="S71" s="29"/>
      <c r="T71" s="29"/>
      <c r="U71" s="29"/>
      <c r="V71" s="29"/>
      <c r="W71" s="30"/>
      <c r="X71" s="12"/>
      <c r="Y71" s="16" t="s">
        <v>78</v>
      </c>
      <c r="Z71" s="28">
        <f>IFERROR((9.82 * AD67) * LN(Z68/Z69),0)</f>
        <v>0</v>
      </c>
      <c r="AA71" s="29"/>
      <c r="AB71" s="29"/>
      <c r="AC71" s="29"/>
      <c r="AD71" s="29"/>
      <c r="AE71" s="30"/>
      <c r="AF71" s="12"/>
      <c r="AG71" s="16" t="s">
        <v>78</v>
      </c>
      <c r="AH71" s="28">
        <f>IFERROR((9.82 * AL67) * LN(AH68/AH69),0)</f>
        <v>0</v>
      </c>
      <c r="AI71" s="29"/>
      <c r="AJ71" s="29"/>
      <c r="AK71" s="29"/>
      <c r="AL71" s="29"/>
      <c r="AM71" s="30"/>
      <c r="AN71" s="12"/>
      <c r="AO71" s="16" t="s">
        <v>78</v>
      </c>
      <c r="AP71" s="28">
        <f>IFERROR((9.82 * AT67) * LN(AP68/AP69),0)</f>
        <v>0</v>
      </c>
      <c r="AQ71" s="29"/>
      <c r="AR71" s="29"/>
      <c r="AS71" s="29"/>
      <c r="AT71" s="29"/>
      <c r="AU71" s="30"/>
      <c r="AV71" s="12"/>
      <c r="AW71" s="16" t="s">
        <v>78</v>
      </c>
      <c r="AX71" s="28">
        <f>IFERROR((9.82 * BB67) * LN(AX68/AX69),0)</f>
        <v>0</v>
      </c>
      <c r="AY71" s="29"/>
      <c r="AZ71" s="29"/>
      <c r="BA71" s="29"/>
      <c r="BB71" s="29"/>
      <c r="BC71" s="30"/>
      <c r="BD71" s="12"/>
      <c r="BE71" s="16" t="s">
        <v>78</v>
      </c>
      <c r="BF71" s="28">
        <f>IFERROR((9.82 * BJ67) * LN(BF68/BF69),0)</f>
        <v>0</v>
      </c>
      <c r="BG71" s="29"/>
      <c r="BH71" s="29"/>
      <c r="BI71" s="29"/>
      <c r="BJ71" s="29"/>
      <c r="BK71" s="30"/>
      <c r="BL71" s="12"/>
    </row>
    <row r="72" spans="1:64" ht="15.75" thickBot="1" x14ac:dyDescent="0.3">
      <c r="A72" s="17" t="s">
        <v>80</v>
      </c>
      <c r="B72" s="31">
        <f>B71+B48</f>
        <v>6334.2280756150203</v>
      </c>
      <c r="C72" s="32"/>
      <c r="D72" s="32"/>
      <c r="E72" s="32"/>
      <c r="F72" s="32"/>
      <c r="G72" s="33"/>
      <c r="H72" s="12"/>
      <c r="I72" s="17" t="s">
        <v>80</v>
      </c>
      <c r="J72" s="31">
        <f>J71+J48</f>
        <v>8027.5486096953191</v>
      </c>
      <c r="K72" s="32"/>
      <c r="L72" s="32"/>
      <c r="M72" s="32"/>
      <c r="N72" s="32"/>
      <c r="O72" s="33"/>
      <c r="P72" s="12"/>
      <c r="Q72" s="17" t="s">
        <v>80</v>
      </c>
      <c r="R72" s="31">
        <f>R71+R48</f>
        <v>3696.8930224405867</v>
      </c>
      <c r="S72" s="32"/>
      <c r="T72" s="32"/>
      <c r="U72" s="32"/>
      <c r="V72" s="32"/>
      <c r="W72" s="33"/>
      <c r="X72" s="12"/>
      <c r="Y72" s="17" t="s">
        <v>80</v>
      </c>
      <c r="Z72" s="31">
        <f>Z71+Z48</f>
        <v>3696.8930224405867</v>
      </c>
      <c r="AA72" s="32"/>
      <c r="AB72" s="32"/>
      <c r="AC72" s="32"/>
      <c r="AD72" s="32"/>
      <c r="AE72" s="33"/>
      <c r="AF72" s="12"/>
      <c r="AG72" s="17" t="s">
        <v>80</v>
      </c>
      <c r="AH72" s="31">
        <f>AH71+AH48</f>
        <v>3696.8930224405867</v>
      </c>
      <c r="AI72" s="32"/>
      <c r="AJ72" s="32"/>
      <c r="AK72" s="32"/>
      <c r="AL72" s="32"/>
      <c r="AM72" s="33"/>
      <c r="AN72" s="12"/>
      <c r="AO72" s="17" t="s">
        <v>80</v>
      </c>
      <c r="AP72" s="31">
        <f>AP71+AP48</f>
        <v>3696.8930224405867</v>
      </c>
      <c r="AQ72" s="32"/>
      <c r="AR72" s="32"/>
      <c r="AS72" s="32"/>
      <c r="AT72" s="32"/>
      <c r="AU72" s="33"/>
      <c r="AV72" s="12"/>
      <c r="AW72" s="17" t="s">
        <v>80</v>
      </c>
      <c r="AX72" s="31">
        <f>AX71+AX48</f>
        <v>3696.8930224405867</v>
      </c>
      <c r="AY72" s="32"/>
      <c r="AZ72" s="32"/>
      <c r="BA72" s="32"/>
      <c r="BB72" s="32"/>
      <c r="BC72" s="33"/>
      <c r="BD72" s="12"/>
      <c r="BE72" s="17" t="s">
        <v>80</v>
      </c>
      <c r="BF72" s="31">
        <f>BF71+BF48</f>
        <v>3696.8930224405867</v>
      </c>
      <c r="BG72" s="32"/>
      <c r="BH72" s="32"/>
      <c r="BI72" s="32"/>
      <c r="BJ72" s="32"/>
      <c r="BK72" s="3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9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9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8">
        <f>E91+B68</f>
        <v>102</v>
      </c>
      <c r="C92" s="29"/>
      <c r="D92" s="29"/>
      <c r="E92" s="29"/>
      <c r="F92" s="29"/>
      <c r="G92" s="30"/>
      <c r="H92" s="12"/>
      <c r="I92" s="16" t="s">
        <v>79</v>
      </c>
      <c r="J92" s="28">
        <f>M91+J68</f>
        <v>32.520000000000003</v>
      </c>
      <c r="K92" s="29"/>
      <c r="L92" s="29"/>
      <c r="M92" s="29"/>
      <c r="N92" s="29"/>
      <c r="O92" s="30"/>
      <c r="P92" s="12"/>
      <c r="Q92" s="16" t="s">
        <v>79</v>
      </c>
      <c r="R92" s="28">
        <f>U91+R68</f>
        <v>59.75</v>
      </c>
      <c r="S92" s="29"/>
      <c r="T92" s="29"/>
      <c r="U92" s="29"/>
      <c r="V92" s="29"/>
      <c r="W92" s="30"/>
      <c r="X92" s="12"/>
      <c r="Y92" s="16" t="s">
        <v>79</v>
      </c>
      <c r="Z92" s="28">
        <f>AC91+Z68</f>
        <v>59.75</v>
      </c>
      <c r="AA92" s="29"/>
      <c r="AB92" s="29"/>
      <c r="AC92" s="29"/>
      <c r="AD92" s="29"/>
      <c r="AE92" s="30"/>
      <c r="AF92" s="12"/>
      <c r="AG92" s="16" t="s">
        <v>79</v>
      </c>
      <c r="AH92" s="28">
        <f>AK91+AH68</f>
        <v>59.75</v>
      </c>
      <c r="AI92" s="29"/>
      <c r="AJ92" s="29"/>
      <c r="AK92" s="29"/>
      <c r="AL92" s="29"/>
      <c r="AM92" s="30"/>
      <c r="AN92" s="12"/>
      <c r="AO92" s="16" t="s">
        <v>79</v>
      </c>
      <c r="AP92" s="28">
        <f>AS91+AP68</f>
        <v>59.75</v>
      </c>
      <c r="AQ92" s="29"/>
      <c r="AR92" s="29"/>
      <c r="AS92" s="29"/>
      <c r="AT92" s="29"/>
      <c r="AU92" s="30"/>
      <c r="AV92" s="12"/>
      <c r="AW92" s="16" t="s">
        <v>79</v>
      </c>
      <c r="AX92" s="28">
        <f>BA91+AX68</f>
        <v>59.75</v>
      </c>
      <c r="AY92" s="29"/>
      <c r="AZ92" s="29"/>
      <c r="BA92" s="29"/>
      <c r="BB92" s="29"/>
      <c r="BC92" s="30"/>
      <c r="BD92" s="12"/>
      <c r="BE92" s="16" t="s">
        <v>79</v>
      </c>
      <c r="BF92" s="28">
        <f>BI91+BF68</f>
        <v>59.75</v>
      </c>
      <c r="BG92" s="29"/>
      <c r="BH92" s="29"/>
      <c r="BI92" s="29"/>
      <c r="BJ92" s="29"/>
      <c r="BK92" s="30"/>
      <c r="BL92" s="12"/>
    </row>
    <row r="93" spans="1:64" x14ac:dyDescent="0.25">
      <c r="A93" s="16" t="s">
        <v>83</v>
      </c>
      <c r="B93" s="28">
        <f>C91+B68</f>
        <v>102</v>
      </c>
      <c r="C93" s="29"/>
      <c r="D93" s="29"/>
      <c r="E93" s="29"/>
      <c r="F93" s="29"/>
      <c r="G93" s="30"/>
      <c r="H93" s="12"/>
      <c r="I93" s="16" t="s">
        <v>83</v>
      </c>
      <c r="J93" s="28">
        <f>K91+J68</f>
        <v>32.520000000000003</v>
      </c>
      <c r="K93" s="29"/>
      <c r="L93" s="29"/>
      <c r="M93" s="29"/>
      <c r="N93" s="29"/>
      <c r="O93" s="30"/>
      <c r="P93" s="12"/>
      <c r="Q93" s="16" t="s">
        <v>83</v>
      </c>
      <c r="R93" s="28">
        <f>S91+R68</f>
        <v>59.75</v>
      </c>
      <c r="S93" s="29"/>
      <c r="T93" s="29"/>
      <c r="U93" s="29"/>
      <c r="V93" s="29"/>
      <c r="W93" s="30"/>
      <c r="X93" s="12"/>
      <c r="Y93" s="16" t="s">
        <v>83</v>
      </c>
      <c r="Z93" s="28">
        <f>AA91+Z68</f>
        <v>59.75</v>
      </c>
      <c r="AA93" s="29"/>
      <c r="AB93" s="29"/>
      <c r="AC93" s="29"/>
      <c r="AD93" s="29"/>
      <c r="AE93" s="30"/>
      <c r="AF93" s="12"/>
      <c r="AG93" s="16" t="s">
        <v>83</v>
      </c>
      <c r="AH93" s="28">
        <f>AI91+AH68</f>
        <v>59.75</v>
      </c>
      <c r="AI93" s="29"/>
      <c r="AJ93" s="29"/>
      <c r="AK93" s="29"/>
      <c r="AL93" s="29"/>
      <c r="AM93" s="30"/>
      <c r="AN93" s="12"/>
      <c r="AO93" s="16" t="s">
        <v>83</v>
      </c>
      <c r="AP93" s="28">
        <f>AQ91+AP68</f>
        <v>59.75</v>
      </c>
      <c r="AQ93" s="29"/>
      <c r="AR93" s="29"/>
      <c r="AS93" s="29"/>
      <c r="AT93" s="29"/>
      <c r="AU93" s="30"/>
      <c r="AV93" s="12"/>
      <c r="AW93" s="16" t="s">
        <v>83</v>
      </c>
      <c r="AX93" s="28">
        <f>AY91+AX68</f>
        <v>59.75</v>
      </c>
      <c r="AY93" s="29"/>
      <c r="AZ93" s="29"/>
      <c r="BA93" s="29"/>
      <c r="BB93" s="29"/>
      <c r="BC93" s="30"/>
      <c r="BD93" s="12"/>
      <c r="BE93" s="16" t="s">
        <v>83</v>
      </c>
      <c r="BF93" s="28">
        <f>BG91+BF68</f>
        <v>59.75</v>
      </c>
      <c r="BG93" s="29"/>
      <c r="BH93" s="29"/>
      <c r="BI93" s="29"/>
      <c r="BJ93" s="29"/>
      <c r="BK93" s="30"/>
      <c r="BL93" s="12"/>
    </row>
    <row r="94" spans="1:64" x14ac:dyDescent="0.25">
      <c r="A94" s="16" t="s">
        <v>82</v>
      </c>
      <c r="B94" s="28">
        <f>IFERROR((G91/10/B92),0)</f>
        <v>0</v>
      </c>
      <c r="C94" s="29"/>
      <c r="D94" s="29"/>
      <c r="E94" s="29"/>
      <c r="F94" s="29"/>
      <c r="G94" s="30"/>
      <c r="H94" s="12"/>
      <c r="I94" s="16" t="s">
        <v>82</v>
      </c>
      <c r="J94" s="28">
        <f>IFERROR((O91/10/J92),0)</f>
        <v>0</v>
      </c>
      <c r="K94" s="29"/>
      <c r="L94" s="29"/>
      <c r="M94" s="29"/>
      <c r="N94" s="29"/>
      <c r="O94" s="30"/>
      <c r="P94" s="12"/>
      <c r="Q94" s="16" t="s">
        <v>82</v>
      </c>
      <c r="R94" s="28">
        <f>IFERROR((W91/10/R92),0)</f>
        <v>0</v>
      </c>
      <c r="S94" s="29"/>
      <c r="T94" s="29"/>
      <c r="U94" s="29"/>
      <c r="V94" s="29"/>
      <c r="W94" s="30"/>
      <c r="X94" s="12"/>
      <c r="Y94" s="16" t="s">
        <v>82</v>
      </c>
      <c r="Z94" s="28">
        <f>IFERROR((AE91/10/Z92),0)</f>
        <v>0</v>
      </c>
      <c r="AA94" s="29"/>
      <c r="AB94" s="29"/>
      <c r="AC94" s="29"/>
      <c r="AD94" s="29"/>
      <c r="AE94" s="30"/>
      <c r="AF94" s="12"/>
      <c r="AG94" s="16" t="s">
        <v>82</v>
      </c>
      <c r="AH94" s="28">
        <f>IFERROR((AM91/10/AH92),0)</f>
        <v>0</v>
      </c>
      <c r="AI94" s="29"/>
      <c r="AJ94" s="29"/>
      <c r="AK94" s="29"/>
      <c r="AL94" s="29"/>
      <c r="AM94" s="30"/>
      <c r="AN94" s="12"/>
      <c r="AO94" s="16" t="s">
        <v>82</v>
      </c>
      <c r="AP94" s="28">
        <f>IFERROR((AU91/10/AP92),0)</f>
        <v>0</v>
      </c>
      <c r="AQ94" s="29"/>
      <c r="AR94" s="29"/>
      <c r="AS94" s="29"/>
      <c r="AT94" s="29"/>
      <c r="AU94" s="30"/>
      <c r="AV94" s="12"/>
      <c r="AW94" s="16" t="s">
        <v>82</v>
      </c>
      <c r="AX94" s="28">
        <f>IFERROR((BC91/10/AX92),0)</f>
        <v>0</v>
      </c>
      <c r="AY94" s="29"/>
      <c r="AZ94" s="29"/>
      <c r="BA94" s="29"/>
      <c r="BB94" s="29"/>
      <c r="BC94" s="30"/>
      <c r="BD94" s="12"/>
      <c r="BE94" s="16" t="s">
        <v>82</v>
      </c>
      <c r="BF94" s="28">
        <f>IFERROR((BK91/10/BF92),0)</f>
        <v>0</v>
      </c>
      <c r="BG94" s="29"/>
      <c r="BH94" s="29"/>
      <c r="BI94" s="29"/>
      <c r="BJ94" s="29"/>
      <c r="BK94" s="30"/>
      <c r="BL94" s="12"/>
    </row>
    <row r="95" spans="1:64" x14ac:dyDescent="0.25">
      <c r="A95" s="16" t="s">
        <v>78</v>
      </c>
      <c r="B95" s="28">
        <f>IFERROR((9.82 * F91) * LN(B92/B93),0)</f>
        <v>0</v>
      </c>
      <c r="C95" s="29"/>
      <c r="D95" s="29"/>
      <c r="E95" s="29"/>
      <c r="F95" s="29"/>
      <c r="G95" s="30"/>
      <c r="H95" s="12"/>
      <c r="I95" s="16" t="s">
        <v>78</v>
      </c>
      <c r="J95" s="28">
        <f>IFERROR((9.82 * N91) * LN(J92/J93),0)</f>
        <v>0</v>
      </c>
      <c r="K95" s="29"/>
      <c r="L95" s="29"/>
      <c r="M95" s="29"/>
      <c r="N95" s="29"/>
      <c r="O95" s="30"/>
      <c r="P95" s="12"/>
      <c r="Q95" s="16" t="s">
        <v>78</v>
      </c>
      <c r="R95" s="28">
        <f>IFERROR((9.82 * V91) * LN(R92/R93),0)</f>
        <v>0</v>
      </c>
      <c r="S95" s="29"/>
      <c r="T95" s="29"/>
      <c r="U95" s="29"/>
      <c r="V95" s="29"/>
      <c r="W95" s="30"/>
      <c r="X95" s="12"/>
      <c r="Y95" s="16" t="s">
        <v>78</v>
      </c>
      <c r="Z95" s="28">
        <f>IFERROR((9.82 * AD91) * LN(Z92/Z93),0)</f>
        <v>0</v>
      </c>
      <c r="AA95" s="29"/>
      <c r="AB95" s="29"/>
      <c r="AC95" s="29"/>
      <c r="AD95" s="29"/>
      <c r="AE95" s="30"/>
      <c r="AF95" s="12"/>
      <c r="AG95" s="16" t="s">
        <v>78</v>
      </c>
      <c r="AH95" s="28">
        <f>IFERROR((9.82 * AL91) * LN(AH92/AH93),0)</f>
        <v>0</v>
      </c>
      <c r="AI95" s="29"/>
      <c r="AJ95" s="29"/>
      <c r="AK95" s="29"/>
      <c r="AL95" s="29"/>
      <c r="AM95" s="30"/>
      <c r="AN95" s="12"/>
      <c r="AO95" s="16" t="s">
        <v>78</v>
      </c>
      <c r="AP95" s="28">
        <f>IFERROR((9.82 * AT91) * LN(AP92/AP93),0)</f>
        <v>0</v>
      </c>
      <c r="AQ95" s="29"/>
      <c r="AR95" s="29"/>
      <c r="AS95" s="29"/>
      <c r="AT95" s="29"/>
      <c r="AU95" s="30"/>
      <c r="AV95" s="12"/>
      <c r="AW95" s="16" t="s">
        <v>78</v>
      </c>
      <c r="AX95" s="28">
        <f>IFERROR((9.82 * BB91) * LN(AX92/AX93),0)</f>
        <v>0</v>
      </c>
      <c r="AY95" s="29"/>
      <c r="AZ95" s="29"/>
      <c r="BA95" s="29"/>
      <c r="BB95" s="29"/>
      <c r="BC95" s="30"/>
      <c r="BD95" s="12"/>
      <c r="BE95" s="16" t="s">
        <v>78</v>
      </c>
      <c r="BF95" s="28">
        <f>IFERROR((9.82 * BJ91) * LN(BF92/BF93),0)</f>
        <v>0</v>
      </c>
      <c r="BG95" s="29"/>
      <c r="BH95" s="29"/>
      <c r="BI95" s="29"/>
      <c r="BJ95" s="29"/>
      <c r="BK95" s="30"/>
      <c r="BL95" s="12"/>
    </row>
    <row r="96" spans="1:64" ht="15.75" thickBot="1" x14ac:dyDescent="0.3">
      <c r="A96" s="17" t="s">
        <v>80</v>
      </c>
      <c r="B96" s="31">
        <f>B95+B72</f>
        <v>6334.2280756150203</v>
      </c>
      <c r="C96" s="32"/>
      <c r="D96" s="32"/>
      <c r="E96" s="32"/>
      <c r="F96" s="32"/>
      <c r="G96" s="33"/>
      <c r="H96" s="12"/>
      <c r="I96" s="17" t="s">
        <v>80</v>
      </c>
      <c r="J96" s="31">
        <f>J95+J72</f>
        <v>8027.5486096953191</v>
      </c>
      <c r="K96" s="32"/>
      <c r="L96" s="32"/>
      <c r="M96" s="32"/>
      <c r="N96" s="32"/>
      <c r="O96" s="33"/>
      <c r="P96" s="12"/>
      <c r="Q96" s="17" t="s">
        <v>80</v>
      </c>
      <c r="R96" s="31">
        <f>R95+R72</f>
        <v>3696.8930224405867</v>
      </c>
      <c r="S96" s="32"/>
      <c r="T96" s="32"/>
      <c r="U96" s="32"/>
      <c r="V96" s="32"/>
      <c r="W96" s="33"/>
      <c r="X96" s="12"/>
      <c r="Y96" s="17" t="s">
        <v>80</v>
      </c>
      <c r="Z96" s="31">
        <f>Z95+Z72</f>
        <v>3696.8930224405867</v>
      </c>
      <c r="AA96" s="32"/>
      <c r="AB96" s="32"/>
      <c r="AC96" s="32"/>
      <c r="AD96" s="32"/>
      <c r="AE96" s="33"/>
      <c r="AF96" s="12"/>
      <c r="AG96" s="17" t="s">
        <v>80</v>
      </c>
      <c r="AH96" s="31">
        <f>AH95+AH72</f>
        <v>3696.8930224405867</v>
      </c>
      <c r="AI96" s="32"/>
      <c r="AJ96" s="32"/>
      <c r="AK96" s="32"/>
      <c r="AL96" s="32"/>
      <c r="AM96" s="33"/>
      <c r="AN96" s="12"/>
      <c r="AO96" s="17" t="s">
        <v>80</v>
      </c>
      <c r="AP96" s="31">
        <f>AP95+AP72</f>
        <v>3696.8930224405867</v>
      </c>
      <c r="AQ96" s="32"/>
      <c r="AR96" s="32"/>
      <c r="AS96" s="32"/>
      <c r="AT96" s="32"/>
      <c r="AU96" s="33"/>
      <c r="AV96" s="12"/>
      <c r="AW96" s="17" t="s">
        <v>80</v>
      </c>
      <c r="AX96" s="31">
        <f>AX95+AX72</f>
        <v>3696.8930224405867</v>
      </c>
      <c r="AY96" s="32"/>
      <c r="AZ96" s="32"/>
      <c r="BA96" s="32"/>
      <c r="BB96" s="32"/>
      <c r="BC96" s="33"/>
      <c r="BD96" s="12"/>
      <c r="BE96" s="17" t="s">
        <v>80</v>
      </c>
      <c r="BF96" s="31">
        <f>BF95+BF72</f>
        <v>3696.8930224405867</v>
      </c>
      <c r="BG96" s="32"/>
      <c r="BH96" s="32"/>
      <c r="BI96" s="32"/>
      <c r="BJ96" s="32"/>
      <c r="BK96" s="3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9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9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8">
        <f>E115+B92</f>
        <v>102</v>
      </c>
      <c r="C116" s="29"/>
      <c r="D116" s="29"/>
      <c r="E116" s="29"/>
      <c r="F116" s="29"/>
      <c r="G116" s="30"/>
      <c r="H116" s="12"/>
      <c r="I116" s="16" t="s">
        <v>79</v>
      </c>
      <c r="J116" s="28">
        <f>M115+J92</f>
        <v>32.520000000000003</v>
      </c>
      <c r="K116" s="29"/>
      <c r="L116" s="29"/>
      <c r="M116" s="29"/>
      <c r="N116" s="29"/>
      <c r="O116" s="30"/>
      <c r="P116" s="12"/>
      <c r="Q116" s="16" t="s">
        <v>79</v>
      </c>
      <c r="R116" s="28">
        <f>U115+R92</f>
        <v>59.75</v>
      </c>
      <c r="S116" s="29"/>
      <c r="T116" s="29"/>
      <c r="U116" s="29"/>
      <c r="V116" s="29"/>
      <c r="W116" s="30"/>
      <c r="X116" s="12"/>
      <c r="Y116" s="16" t="s">
        <v>79</v>
      </c>
      <c r="Z116" s="28">
        <f>AC115+Z92</f>
        <v>59.75</v>
      </c>
      <c r="AA116" s="29"/>
      <c r="AB116" s="29"/>
      <c r="AC116" s="29"/>
      <c r="AD116" s="29"/>
      <c r="AE116" s="30"/>
      <c r="AF116" s="12"/>
      <c r="AG116" s="16" t="s">
        <v>79</v>
      </c>
      <c r="AH116" s="28">
        <f>AK115+AH92</f>
        <v>59.75</v>
      </c>
      <c r="AI116" s="29"/>
      <c r="AJ116" s="29"/>
      <c r="AK116" s="29"/>
      <c r="AL116" s="29"/>
      <c r="AM116" s="30"/>
      <c r="AN116" s="12"/>
      <c r="AO116" s="16" t="s">
        <v>79</v>
      </c>
      <c r="AP116" s="28">
        <f>AS115+AP92</f>
        <v>59.75</v>
      </c>
      <c r="AQ116" s="29"/>
      <c r="AR116" s="29"/>
      <c r="AS116" s="29"/>
      <c r="AT116" s="29"/>
      <c r="AU116" s="30"/>
      <c r="AV116" s="12"/>
      <c r="AW116" s="16" t="s">
        <v>79</v>
      </c>
      <c r="AX116" s="28">
        <f>BA115+AX92</f>
        <v>59.75</v>
      </c>
      <c r="AY116" s="29"/>
      <c r="AZ116" s="29"/>
      <c r="BA116" s="29"/>
      <c r="BB116" s="29"/>
      <c r="BC116" s="30"/>
      <c r="BD116" s="12"/>
      <c r="BE116" s="16" t="s">
        <v>79</v>
      </c>
      <c r="BF116" s="28">
        <f>BI115+BF92</f>
        <v>59.75</v>
      </c>
      <c r="BG116" s="29"/>
      <c r="BH116" s="29"/>
      <c r="BI116" s="29"/>
      <c r="BJ116" s="29"/>
      <c r="BK116" s="30"/>
      <c r="BL116" s="12"/>
    </row>
    <row r="117" spans="1:64" x14ac:dyDescent="0.25">
      <c r="A117" s="16" t="s">
        <v>83</v>
      </c>
      <c r="B117" s="28">
        <f>C115+B92</f>
        <v>102</v>
      </c>
      <c r="C117" s="29"/>
      <c r="D117" s="29"/>
      <c r="E117" s="29"/>
      <c r="F117" s="29"/>
      <c r="G117" s="30"/>
      <c r="H117" s="12"/>
      <c r="I117" s="16" t="s">
        <v>83</v>
      </c>
      <c r="J117" s="28">
        <f>K115+J92</f>
        <v>32.520000000000003</v>
      </c>
      <c r="K117" s="29"/>
      <c r="L117" s="29"/>
      <c r="M117" s="29"/>
      <c r="N117" s="29"/>
      <c r="O117" s="30"/>
      <c r="P117" s="12"/>
      <c r="Q117" s="16" t="s">
        <v>83</v>
      </c>
      <c r="R117" s="28">
        <f>S115+R92</f>
        <v>59.75</v>
      </c>
      <c r="S117" s="29"/>
      <c r="T117" s="29"/>
      <c r="U117" s="29"/>
      <c r="V117" s="29"/>
      <c r="W117" s="30"/>
      <c r="X117" s="12"/>
      <c r="Y117" s="16" t="s">
        <v>83</v>
      </c>
      <c r="Z117" s="28">
        <f>AA115+Z92</f>
        <v>59.75</v>
      </c>
      <c r="AA117" s="29"/>
      <c r="AB117" s="29"/>
      <c r="AC117" s="29"/>
      <c r="AD117" s="29"/>
      <c r="AE117" s="30"/>
      <c r="AF117" s="12"/>
      <c r="AG117" s="16" t="s">
        <v>83</v>
      </c>
      <c r="AH117" s="28">
        <f>AI115+AH92</f>
        <v>59.75</v>
      </c>
      <c r="AI117" s="29"/>
      <c r="AJ117" s="29"/>
      <c r="AK117" s="29"/>
      <c r="AL117" s="29"/>
      <c r="AM117" s="30"/>
      <c r="AN117" s="12"/>
      <c r="AO117" s="16" t="s">
        <v>83</v>
      </c>
      <c r="AP117" s="28">
        <f>AQ115+AP92</f>
        <v>59.75</v>
      </c>
      <c r="AQ117" s="29"/>
      <c r="AR117" s="29"/>
      <c r="AS117" s="29"/>
      <c r="AT117" s="29"/>
      <c r="AU117" s="30"/>
      <c r="AV117" s="12"/>
      <c r="AW117" s="16" t="s">
        <v>83</v>
      </c>
      <c r="AX117" s="28">
        <f>AY115+AX92</f>
        <v>59.75</v>
      </c>
      <c r="AY117" s="29"/>
      <c r="AZ117" s="29"/>
      <c r="BA117" s="29"/>
      <c r="BB117" s="29"/>
      <c r="BC117" s="30"/>
      <c r="BD117" s="12"/>
      <c r="BE117" s="16" t="s">
        <v>83</v>
      </c>
      <c r="BF117" s="28">
        <f>BG115+BF92</f>
        <v>59.75</v>
      </c>
      <c r="BG117" s="29"/>
      <c r="BH117" s="29"/>
      <c r="BI117" s="29"/>
      <c r="BJ117" s="29"/>
      <c r="BK117" s="30"/>
      <c r="BL117" s="12"/>
    </row>
    <row r="118" spans="1:64" x14ac:dyDescent="0.25">
      <c r="A118" s="16" t="s">
        <v>82</v>
      </c>
      <c r="B118" s="28">
        <f>IFERROR((G115/10/B116),0)</f>
        <v>0</v>
      </c>
      <c r="C118" s="29"/>
      <c r="D118" s="29"/>
      <c r="E118" s="29"/>
      <c r="F118" s="29"/>
      <c r="G118" s="30"/>
      <c r="H118" s="12"/>
      <c r="I118" s="16" t="s">
        <v>82</v>
      </c>
      <c r="J118" s="28">
        <f>IFERROR((O115/10/J116),0)</f>
        <v>0</v>
      </c>
      <c r="K118" s="29"/>
      <c r="L118" s="29"/>
      <c r="M118" s="29"/>
      <c r="N118" s="29"/>
      <c r="O118" s="30"/>
      <c r="P118" s="12"/>
      <c r="Q118" s="16" t="s">
        <v>82</v>
      </c>
      <c r="R118" s="28">
        <f>IFERROR((W115/10/R116),0)</f>
        <v>0</v>
      </c>
      <c r="S118" s="29"/>
      <c r="T118" s="29"/>
      <c r="U118" s="29"/>
      <c r="V118" s="29"/>
      <c r="W118" s="30"/>
      <c r="X118" s="12"/>
      <c r="Y118" s="16" t="s">
        <v>82</v>
      </c>
      <c r="Z118" s="28">
        <f>IFERROR((AE115/10/Z116),0)</f>
        <v>0</v>
      </c>
      <c r="AA118" s="29"/>
      <c r="AB118" s="29"/>
      <c r="AC118" s="29"/>
      <c r="AD118" s="29"/>
      <c r="AE118" s="30"/>
      <c r="AF118" s="12"/>
      <c r="AG118" s="16" t="s">
        <v>82</v>
      </c>
      <c r="AH118" s="28">
        <f>IFERROR((AM115/10/AH116),0)</f>
        <v>0</v>
      </c>
      <c r="AI118" s="29"/>
      <c r="AJ118" s="29"/>
      <c r="AK118" s="29"/>
      <c r="AL118" s="29"/>
      <c r="AM118" s="30"/>
      <c r="AN118" s="12"/>
      <c r="AO118" s="16" t="s">
        <v>82</v>
      </c>
      <c r="AP118" s="28">
        <f>IFERROR((AU115/10/AP116),0)</f>
        <v>0</v>
      </c>
      <c r="AQ118" s="29"/>
      <c r="AR118" s="29"/>
      <c r="AS118" s="29"/>
      <c r="AT118" s="29"/>
      <c r="AU118" s="30"/>
      <c r="AV118" s="12"/>
      <c r="AW118" s="16" t="s">
        <v>82</v>
      </c>
      <c r="AX118" s="28">
        <f>IFERROR((BC115/10/AX116),0)</f>
        <v>0</v>
      </c>
      <c r="AY118" s="29"/>
      <c r="AZ118" s="29"/>
      <c r="BA118" s="29"/>
      <c r="BB118" s="29"/>
      <c r="BC118" s="30"/>
      <c r="BD118" s="12"/>
      <c r="BE118" s="16" t="s">
        <v>82</v>
      </c>
      <c r="BF118" s="28">
        <f>IFERROR((BK115/10/BF116),0)</f>
        <v>0</v>
      </c>
      <c r="BG118" s="29"/>
      <c r="BH118" s="29"/>
      <c r="BI118" s="29"/>
      <c r="BJ118" s="29"/>
      <c r="BK118" s="30"/>
      <c r="BL118" s="12"/>
    </row>
    <row r="119" spans="1:64" x14ac:dyDescent="0.25">
      <c r="A119" s="16" t="s">
        <v>78</v>
      </c>
      <c r="B119" s="28">
        <f>IFERROR((9.82 * F115) * LN(B116/B117),0)</f>
        <v>0</v>
      </c>
      <c r="C119" s="29"/>
      <c r="D119" s="29"/>
      <c r="E119" s="29"/>
      <c r="F119" s="29"/>
      <c r="G119" s="30"/>
      <c r="H119" s="12"/>
      <c r="I119" s="16" t="s">
        <v>78</v>
      </c>
      <c r="J119" s="28">
        <f>IFERROR((9.82 * N115) * LN(J116/J117),0)</f>
        <v>0</v>
      </c>
      <c r="K119" s="29"/>
      <c r="L119" s="29"/>
      <c r="M119" s="29"/>
      <c r="N119" s="29"/>
      <c r="O119" s="30"/>
      <c r="P119" s="12"/>
      <c r="Q119" s="16" t="s">
        <v>78</v>
      </c>
      <c r="R119" s="28">
        <f>IFERROR((9.82 * V115) * LN(R116/R117),0)</f>
        <v>0</v>
      </c>
      <c r="S119" s="29"/>
      <c r="T119" s="29"/>
      <c r="U119" s="29"/>
      <c r="V119" s="29"/>
      <c r="W119" s="30"/>
      <c r="X119" s="12"/>
      <c r="Y119" s="16" t="s">
        <v>78</v>
      </c>
      <c r="Z119" s="28">
        <f>IFERROR((9.82 * AD115) * LN(Z116/Z117),0)</f>
        <v>0</v>
      </c>
      <c r="AA119" s="29"/>
      <c r="AB119" s="29"/>
      <c r="AC119" s="29"/>
      <c r="AD119" s="29"/>
      <c r="AE119" s="30"/>
      <c r="AF119" s="12"/>
      <c r="AG119" s="16" t="s">
        <v>78</v>
      </c>
      <c r="AH119" s="28">
        <f>IFERROR((9.82 * AL115) * LN(AH116/AH117),0)</f>
        <v>0</v>
      </c>
      <c r="AI119" s="29"/>
      <c r="AJ119" s="29"/>
      <c r="AK119" s="29"/>
      <c r="AL119" s="29"/>
      <c r="AM119" s="30"/>
      <c r="AN119" s="12"/>
      <c r="AO119" s="16" t="s">
        <v>78</v>
      </c>
      <c r="AP119" s="28">
        <f>IFERROR((9.82 * AT115) * LN(AP116/AP117),0)</f>
        <v>0</v>
      </c>
      <c r="AQ119" s="29"/>
      <c r="AR119" s="29"/>
      <c r="AS119" s="29"/>
      <c r="AT119" s="29"/>
      <c r="AU119" s="30"/>
      <c r="AV119" s="12"/>
      <c r="AW119" s="16" t="s">
        <v>78</v>
      </c>
      <c r="AX119" s="28">
        <f>IFERROR((9.82 * BB115) * LN(AX116/AX117),0)</f>
        <v>0</v>
      </c>
      <c r="AY119" s="29"/>
      <c r="AZ119" s="29"/>
      <c r="BA119" s="29"/>
      <c r="BB119" s="29"/>
      <c r="BC119" s="30"/>
      <c r="BD119" s="12"/>
      <c r="BE119" s="16" t="s">
        <v>78</v>
      </c>
      <c r="BF119" s="28">
        <f>IFERROR((9.82 * BJ115) * LN(BF116/BF117),0)</f>
        <v>0</v>
      </c>
      <c r="BG119" s="29"/>
      <c r="BH119" s="29"/>
      <c r="BI119" s="29"/>
      <c r="BJ119" s="29"/>
      <c r="BK119" s="30"/>
      <c r="BL119" s="12"/>
    </row>
    <row r="120" spans="1:64" ht="15.75" thickBot="1" x14ac:dyDescent="0.3">
      <c r="A120" s="17" t="s">
        <v>80</v>
      </c>
      <c r="B120" s="31">
        <f>B119+B96</f>
        <v>6334.2280756150203</v>
      </c>
      <c r="C120" s="32"/>
      <c r="D120" s="32"/>
      <c r="E120" s="32"/>
      <c r="F120" s="32"/>
      <c r="G120" s="33"/>
      <c r="H120" s="12"/>
      <c r="I120" s="17" t="s">
        <v>80</v>
      </c>
      <c r="J120" s="31">
        <f>J119+J96</f>
        <v>8027.5486096953191</v>
      </c>
      <c r="K120" s="32"/>
      <c r="L120" s="32"/>
      <c r="M120" s="32"/>
      <c r="N120" s="32"/>
      <c r="O120" s="33"/>
      <c r="P120" s="12"/>
      <c r="Q120" s="17" t="s">
        <v>80</v>
      </c>
      <c r="R120" s="31">
        <f>R119+R96</f>
        <v>3696.8930224405867</v>
      </c>
      <c r="S120" s="32"/>
      <c r="T120" s="32"/>
      <c r="U120" s="32"/>
      <c r="V120" s="32"/>
      <c r="W120" s="33"/>
      <c r="X120" s="12"/>
      <c r="Y120" s="17" t="s">
        <v>80</v>
      </c>
      <c r="Z120" s="31">
        <f>Z119+Z96</f>
        <v>3696.8930224405867</v>
      </c>
      <c r="AA120" s="32"/>
      <c r="AB120" s="32"/>
      <c r="AC120" s="32"/>
      <c r="AD120" s="32"/>
      <c r="AE120" s="33"/>
      <c r="AF120" s="12"/>
      <c r="AG120" s="17" t="s">
        <v>80</v>
      </c>
      <c r="AH120" s="31">
        <f>AH119+AH96</f>
        <v>3696.8930224405867</v>
      </c>
      <c r="AI120" s="32"/>
      <c r="AJ120" s="32"/>
      <c r="AK120" s="32"/>
      <c r="AL120" s="32"/>
      <c r="AM120" s="33"/>
      <c r="AN120" s="12"/>
      <c r="AO120" s="17" t="s">
        <v>80</v>
      </c>
      <c r="AP120" s="31">
        <f>AP119+AP96</f>
        <v>3696.8930224405867</v>
      </c>
      <c r="AQ120" s="32"/>
      <c r="AR120" s="32"/>
      <c r="AS120" s="32"/>
      <c r="AT120" s="32"/>
      <c r="AU120" s="33"/>
      <c r="AV120" s="12"/>
      <c r="AW120" s="17" t="s">
        <v>80</v>
      </c>
      <c r="AX120" s="31">
        <f>AX119+AX96</f>
        <v>3696.8930224405867</v>
      </c>
      <c r="AY120" s="32"/>
      <c r="AZ120" s="32"/>
      <c r="BA120" s="32"/>
      <c r="BB120" s="32"/>
      <c r="BC120" s="33"/>
      <c r="BD120" s="12"/>
      <c r="BE120" s="17" t="s">
        <v>80</v>
      </c>
      <c r="BF120" s="31">
        <f>BF119+BF96</f>
        <v>3696.8930224405867</v>
      </c>
      <c r="BG120" s="32"/>
      <c r="BH120" s="32"/>
      <c r="BI120" s="32"/>
      <c r="BJ120" s="32"/>
      <c r="BK120" s="33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3" t="s">
        <v>181</v>
      </c>
      <c r="B122" s="24"/>
      <c r="C122" s="24"/>
      <c r="D122" s="24"/>
      <c r="E122" s="24"/>
      <c r="F122" s="24"/>
      <c r="G122" s="25"/>
      <c r="H122" s="12"/>
      <c r="I122" s="23" t="s">
        <v>181</v>
      </c>
      <c r="J122" s="24"/>
      <c r="K122" s="24"/>
      <c r="L122" s="24"/>
      <c r="M122" s="24"/>
      <c r="N122" s="24"/>
      <c r="O122" s="25"/>
      <c r="P122" s="12"/>
      <c r="Q122" s="23" t="s">
        <v>181</v>
      </c>
      <c r="R122" s="24"/>
      <c r="S122" s="24"/>
      <c r="T122" s="24"/>
      <c r="U122" s="24"/>
      <c r="V122" s="24"/>
      <c r="W122" s="25"/>
      <c r="X122" s="12"/>
      <c r="Y122" s="23" t="s">
        <v>181</v>
      </c>
      <c r="Z122" s="24"/>
      <c r="AA122" s="24"/>
      <c r="AB122" s="24"/>
      <c r="AC122" s="24"/>
      <c r="AD122" s="24"/>
      <c r="AE122" s="25"/>
      <c r="AF122" s="12"/>
      <c r="AG122" s="23" t="s">
        <v>181</v>
      </c>
      <c r="AH122" s="24"/>
      <c r="AI122" s="24"/>
      <c r="AJ122" s="24"/>
      <c r="AK122" s="24"/>
      <c r="AL122" s="24"/>
      <c r="AM122" s="25"/>
      <c r="AN122" s="12"/>
      <c r="AO122" s="23" t="s">
        <v>181</v>
      </c>
      <c r="AP122" s="24"/>
      <c r="AQ122" s="24"/>
      <c r="AR122" s="24"/>
      <c r="AS122" s="24"/>
      <c r="AT122" s="24"/>
      <c r="AU122" s="25"/>
      <c r="AV122" s="12"/>
      <c r="AW122" s="23" t="s">
        <v>181</v>
      </c>
      <c r="AX122" s="24"/>
      <c r="AY122" s="24"/>
      <c r="AZ122" s="24"/>
      <c r="BA122" s="24"/>
      <c r="BB122" s="24"/>
      <c r="BC122" s="25"/>
      <c r="BD122" s="12"/>
      <c r="BE122" s="23" t="s">
        <v>181</v>
      </c>
      <c r="BF122" s="24"/>
      <c r="BG122" s="24"/>
      <c r="BH122" s="24"/>
      <c r="BI122" s="24"/>
      <c r="BJ122" s="24"/>
      <c r="BK122" s="25"/>
      <c r="BL122" s="12"/>
    </row>
    <row r="123" spans="1:64" x14ac:dyDescent="0.25">
      <c r="A123" s="26" t="s">
        <v>81</v>
      </c>
      <c r="B123" s="26"/>
      <c r="C123" s="26"/>
      <c r="D123" s="27">
        <f>B115</f>
        <v>9</v>
      </c>
      <c r="E123" s="27"/>
      <c r="F123" s="27"/>
      <c r="G123" s="27"/>
      <c r="H123" s="12"/>
      <c r="I123" s="26" t="s">
        <v>81</v>
      </c>
      <c r="J123" s="26"/>
      <c r="K123" s="26"/>
      <c r="L123" s="27">
        <f>J115</f>
        <v>9</v>
      </c>
      <c r="M123" s="27"/>
      <c r="N123" s="27"/>
      <c r="O123" s="27"/>
      <c r="P123" s="12"/>
      <c r="Q123" s="26" t="s">
        <v>81</v>
      </c>
      <c r="R123" s="26"/>
      <c r="S123" s="26"/>
      <c r="T123" s="27">
        <f>R115</f>
        <v>11</v>
      </c>
      <c r="U123" s="27"/>
      <c r="V123" s="27"/>
      <c r="W123" s="27"/>
      <c r="X123" s="12"/>
      <c r="Y123" s="26" t="s">
        <v>81</v>
      </c>
      <c r="Z123" s="26"/>
      <c r="AA123" s="26"/>
      <c r="AB123" s="27">
        <f>Z115</f>
        <v>11</v>
      </c>
      <c r="AC123" s="27"/>
      <c r="AD123" s="27"/>
      <c r="AE123" s="27"/>
      <c r="AF123" s="12"/>
      <c r="AG123" s="26" t="s">
        <v>81</v>
      </c>
      <c r="AH123" s="26"/>
      <c r="AI123" s="26"/>
      <c r="AJ123" s="27">
        <f>AH115</f>
        <v>11</v>
      </c>
      <c r="AK123" s="27"/>
      <c r="AL123" s="27"/>
      <c r="AM123" s="27"/>
      <c r="AN123" s="12"/>
      <c r="AO123" s="26" t="s">
        <v>81</v>
      </c>
      <c r="AP123" s="26"/>
      <c r="AQ123" s="26"/>
      <c r="AR123" s="27">
        <f>AP115</f>
        <v>11</v>
      </c>
      <c r="AS123" s="27"/>
      <c r="AT123" s="27"/>
      <c r="AU123" s="27"/>
      <c r="AV123" s="12"/>
      <c r="AW123" s="26" t="s">
        <v>81</v>
      </c>
      <c r="AX123" s="26"/>
      <c r="AY123" s="26"/>
      <c r="AZ123" s="27">
        <f>AX115</f>
        <v>11</v>
      </c>
      <c r="BA123" s="27"/>
      <c r="BB123" s="27"/>
      <c r="BC123" s="27"/>
      <c r="BD123" s="12"/>
      <c r="BE123" s="26" t="s">
        <v>81</v>
      </c>
      <c r="BF123" s="26"/>
      <c r="BG123" s="26"/>
      <c r="BH123" s="27">
        <f>BF115</f>
        <v>11</v>
      </c>
      <c r="BI123" s="27"/>
      <c r="BJ123" s="27"/>
      <c r="BK123" s="27"/>
      <c r="BL123" s="12"/>
    </row>
    <row r="124" spans="1:64" x14ac:dyDescent="0.25">
      <c r="A124" s="21" t="s">
        <v>2</v>
      </c>
      <c r="B124" s="21"/>
      <c r="C124" s="21"/>
      <c r="D124" s="22">
        <f>B116</f>
        <v>102</v>
      </c>
      <c r="E124" s="22"/>
      <c r="F124" s="22"/>
      <c r="G124" s="22"/>
      <c r="H124" s="12"/>
      <c r="I124" s="21" t="s">
        <v>2</v>
      </c>
      <c r="J124" s="21"/>
      <c r="K124" s="21"/>
      <c r="L124" s="22">
        <f>J116</f>
        <v>32.520000000000003</v>
      </c>
      <c r="M124" s="22"/>
      <c r="N124" s="22"/>
      <c r="O124" s="22"/>
      <c r="P124" s="12"/>
      <c r="Q124" s="21" t="s">
        <v>2</v>
      </c>
      <c r="R124" s="21"/>
      <c r="S124" s="21"/>
      <c r="T124" s="22">
        <f>R116</f>
        <v>59.75</v>
      </c>
      <c r="U124" s="22"/>
      <c r="V124" s="22"/>
      <c r="W124" s="22"/>
      <c r="X124" s="12"/>
      <c r="Y124" s="21" t="s">
        <v>2</v>
      </c>
      <c r="Z124" s="21"/>
      <c r="AA124" s="21"/>
      <c r="AB124" s="22">
        <f>Z116</f>
        <v>59.75</v>
      </c>
      <c r="AC124" s="22"/>
      <c r="AD124" s="22"/>
      <c r="AE124" s="22"/>
      <c r="AF124" s="12"/>
      <c r="AG124" s="21" t="s">
        <v>2</v>
      </c>
      <c r="AH124" s="21"/>
      <c r="AI124" s="21"/>
      <c r="AJ124" s="22">
        <f>AH116</f>
        <v>59.75</v>
      </c>
      <c r="AK124" s="22"/>
      <c r="AL124" s="22"/>
      <c r="AM124" s="22"/>
      <c r="AN124" s="12"/>
      <c r="AO124" s="21" t="s">
        <v>2</v>
      </c>
      <c r="AP124" s="21"/>
      <c r="AQ124" s="21"/>
      <c r="AR124" s="22">
        <f>AP116</f>
        <v>59.75</v>
      </c>
      <c r="AS124" s="22"/>
      <c r="AT124" s="22"/>
      <c r="AU124" s="22"/>
      <c r="AV124" s="12"/>
      <c r="AW124" s="21" t="s">
        <v>2</v>
      </c>
      <c r="AX124" s="21"/>
      <c r="AY124" s="21"/>
      <c r="AZ124" s="22">
        <f>AX116</f>
        <v>59.75</v>
      </c>
      <c r="BA124" s="22"/>
      <c r="BB124" s="22"/>
      <c r="BC124" s="22"/>
      <c r="BD124" s="12"/>
      <c r="BE124" s="21" t="s">
        <v>2</v>
      </c>
      <c r="BF124" s="21"/>
      <c r="BG124" s="21"/>
      <c r="BH124" s="22">
        <f>BF116</f>
        <v>59.75</v>
      </c>
      <c r="BI124" s="22"/>
      <c r="BJ124" s="22"/>
      <c r="BK124" s="22"/>
      <c r="BL124" s="12"/>
    </row>
    <row r="125" spans="1:64" x14ac:dyDescent="0.25">
      <c r="A125" s="21" t="s">
        <v>4</v>
      </c>
      <c r="B125" s="21"/>
      <c r="C125" s="21"/>
      <c r="D125" s="22">
        <f>D115+D91+D67+D43+D19</f>
        <v>85</v>
      </c>
      <c r="E125" s="22"/>
      <c r="F125" s="22"/>
      <c r="G125" s="22"/>
      <c r="H125" s="12"/>
      <c r="I125" s="21" t="s">
        <v>4</v>
      </c>
      <c r="J125" s="21"/>
      <c r="K125" s="21"/>
      <c r="L125" s="22">
        <f>L115+L91+L67+L43+L19</f>
        <v>27.020000000000003</v>
      </c>
      <c r="M125" s="22"/>
      <c r="N125" s="22"/>
      <c r="O125" s="22"/>
      <c r="P125" s="12"/>
      <c r="Q125" s="21" t="s">
        <v>4</v>
      </c>
      <c r="R125" s="21"/>
      <c r="S125" s="21"/>
      <c r="T125" s="22">
        <f>T115+T91+T67+T43+T19</f>
        <v>37.049999999999997</v>
      </c>
      <c r="U125" s="22"/>
      <c r="V125" s="22"/>
      <c r="W125" s="22"/>
      <c r="X125" s="12"/>
      <c r="Y125" s="21" t="s">
        <v>4</v>
      </c>
      <c r="Z125" s="21"/>
      <c r="AA125" s="21"/>
      <c r="AB125" s="22">
        <f>AB115+AB91+AB67+AB43+AB19</f>
        <v>37.049999999999997</v>
      </c>
      <c r="AC125" s="22"/>
      <c r="AD125" s="22"/>
      <c r="AE125" s="22"/>
      <c r="AF125" s="12"/>
      <c r="AG125" s="21" t="s">
        <v>4</v>
      </c>
      <c r="AH125" s="21"/>
      <c r="AI125" s="21"/>
      <c r="AJ125" s="22">
        <f>AJ115+AJ91+AJ67+AJ43+AJ19</f>
        <v>37.049999999999997</v>
      </c>
      <c r="AK125" s="22"/>
      <c r="AL125" s="22"/>
      <c r="AM125" s="22"/>
      <c r="AN125" s="12"/>
      <c r="AO125" s="21" t="s">
        <v>4</v>
      </c>
      <c r="AP125" s="21"/>
      <c r="AQ125" s="21"/>
      <c r="AR125" s="22">
        <f>AR115+AR91+AR67+AR43+AR19</f>
        <v>37.049999999999997</v>
      </c>
      <c r="AS125" s="22"/>
      <c r="AT125" s="22"/>
      <c r="AU125" s="22"/>
      <c r="AV125" s="12"/>
      <c r="AW125" s="21" t="s">
        <v>4</v>
      </c>
      <c r="AX125" s="21"/>
      <c r="AY125" s="21"/>
      <c r="AZ125" s="22">
        <f>AZ115+AZ91+AZ67+AZ43+AZ19</f>
        <v>37.049999999999997</v>
      </c>
      <c r="BA125" s="22"/>
      <c r="BB125" s="22"/>
      <c r="BC125" s="22"/>
      <c r="BD125" s="12"/>
      <c r="BE125" s="21" t="s">
        <v>4</v>
      </c>
      <c r="BF125" s="21"/>
      <c r="BG125" s="21"/>
      <c r="BH125" s="22">
        <f>BH115+BH91+BH67+BH43+BH19</f>
        <v>37.049999999999997</v>
      </c>
      <c r="BI125" s="22"/>
      <c r="BJ125" s="22"/>
      <c r="BK125" s="22"/>
      <c r="BL125" s="12"/>
    </row>
    <row r="126" spans="1:64" x14ac:dyDescent="0.25">
      <c r="A126" s="21" t="s">
        <v>1</v>
      </c>
      <c r="B126" s="21"/>
      <c r="C126" s="21"/>
      <c r="D126" s="22">
        <f>D124-D125</f>
        <v>17</v>
      </c>
      <c r="E126" s="22"/>
      <c r="F126" s="22"/>
      <c r="G126" s="22"/>
      <c r="H126" s="12"/>
      <c r="I126" s="21" t="s">
        <v>1</v>
      </c>
      <c r="J126" s="21"/>
      <c r="K126" s="21"/>
      <c r="L126" s="22">
        <f>L124-L125</f>
        <v>5.5</v>
      </c>
      <c r="M126" s="22"/>
      <c r="N126" s="22"/>
      <c r="O126" s="22"/>
      <c r="P126" s="12"/>
      <c r="Q126" s="21" t="s">
        <v>1</v>
      </c>
      <c r="R126" s="21"/>
      <c r="S126" s="21"/>
      <c r="T126" s="22">
        <f>T124-T125</f>
        <v>22.700000000000003</v>
      </c>
      <c r="U126" s="22"/>
      <c r="V126" s="22"/>
      <c r="W126" s="22"/>
      <c r="X126" s="12"/>
      <c r="Y126" s="21" t="s">
        <v>1</v>
      </c>
      <c r="Z126" s="21"/>
      <c r="AA126" s="21"/>
      <c r="AB126" s="22">
        <f>AB124-AB125</f>
        <v>22.700000000000003</v>
      </c>
      <c r="AC126" s="22"/>
      <c r="AD126" s="22"/>
      <c r="AE126" s="22"/>
      <c r="AF126" s="12"/>
      <c r="AG126" s="21" t="s">
        <v>1</v>
      </c>
      <c r="AH126" s="21"/>
      <c r="AI126" s="21"/>
      <c r="AJ126" s="22">
        <f>AJ124-AJ125</f>
        <v>22.700000000000003</v>
      </c>
      <c r="AK126" s="22"/>
      <c r="AL126" s="22"/>
      <c r="AM126" s="22"/>
      <c r="AN126" s="12"/>
      <c r="AO126" s="21" t="s">
        <v>1</v>
      </c>
      <c r="AP126" s="21"/>
      <c r="AQ126" s="21"/>
      <c r="AR126" s="22">
        <f>AR124-AR125</f>
        <v>22.700000000000003</v>
      </c>
      <c r="AS126" s="22"/>
      <c r="AT126" s="22"/>
      <c r="AU126" s="22"/>
      <c r="AV126" s="12"/>
      <c r="AW126" s="21" t="s">
        <v>1</v>
      </c>
      <c r="AX126" s="21"/>
      <c r="AY126" s="21"/>
      <c r="AZ126" s="22">
        <f>AZ124-AZ125</f>
        <v>22.700000000000003</v>
      </c>
      <c r="BA126" s="22"/>
      <c r="BB126" s="22"/>
      <c r="BC126" s="22"/>
      <c r="BD126" s="12"/>
      <c r="BE126" s="21" t="s">
        <v>1</v>
      </c>
      <c r="BF126" s="21"/>
      <c r="BG126" s="21"/>
      <c r="BH126" s="22">
        <f>BH124-BH125</f>
        <v>22.700000000000003</v>
      </c>
      <c r="BI126" s="22"/>
      <c r="BJ126" s="22"/>
      <c r="BK126" s="22"/>
      <c r="BL126" s="12"/>
    </row>
    <row r="127" spans="1:64" x14ac:dyDescent="0.25">
      <c r="A127" s="21" t="s">
        <v>182</v>
      </c>
      <c r="B127" s="21"/>
      <c r="C127" s="21"/>
      <c r="D127" s="22">
        <f>B120</f>
        <v>6334.2280756150203</v>
      </c>
      <c r="E127" s="22"/>
      <c r="F127" s="22"/>
      <c r="G127" s="22"/>
      <c r="H127" s="12"/>
      <c r="I127" s="21" t="s">
        <v>182</v>
      </c>
      <c r="J127" s="21"/>
      <c r="K127" s="21"/>
      <c r="L127" s="22">
        <f>J120</f>
        <v>8027.5486096953191</v>
      </c>
      <c r="M127" s="22"/>
      <c r="N127" s="22"/>
      <c r="O127" s="22"/>
      <c r="P127" s="12"/>
      <c r="Q127" s="21" t="s">
        <v>182</v>
      </c>
      <c r="R127" s="21"/>
      <c r="S127" s="21"/>
      <c r="T127" s="22">
        <f>R120</f>
        <v>3696.8930224405867</v>
      </c>
      <c r="U127" s="22"/>
      <c r="V127" s="22"/>
      <c r="W127" s="22"/>
      <c r="X127" s="12"/>
      <c r="Y127" s="21" t="s">
        <v>182</v>
      </c>
      <c r="Z127" s="21"/>
      <c r="AA127" s="21"/>
      <c r="AB127" s="22">
        <f>Z120</f>
        <v>3696.8930224405867</v>
      </c>
      <c r="AC127" s="22"/>
      <c r="AD127" s="22"/>
      <c r="AE127" s="22"/>
      <c r="AF127" s="12"/>
      <c r="AG127" s="21" t="s">
        <v>182</v>
      </c>
      <c r="AH127" s="21"/>
      <c r="AI127" s="21"/>
      <c r="AJ127" s="22">
        <f>AH120</f>
        <v>3696.8930224405867</v>
      </c>
      <c r="AK127" s="22"/>
      <c r="AL127" s="22"/>
      <c r="AM127" s="22"/>
      <c r="AN127" s="12"/>
      <c r="AO127" s="21" t="s">
        <v>182</v>
      </c>
      <c r="AP127" s="21"/>
      <c r="AQ127" s="21"/>
      <c r="AR127" s="22">
        <f>AP120</f>
        <v>3696.8930224405867</v>
      </c>
      <c r="AS127" s="22"/>
      <c r="AT127" s="22"/>
      <c r="AU127" s="22"/>
      <c r="AV127" s="12"/>
      <c r="AW127" s="21" t="s">
        <v>182</v>
      </c>
      <c r="AX127" s="21"/>
      <c r="AY127" s="21"/>
      <c r="AZ127" s="22">
        <f>AX120</f>
        <v>3696.8930224405867</v>
      </c>
      <c r="BA127" s="22"/>
      <c r="BB127" s="22"/>
      <c r="BC127" s="22"/>
      <c r="BD127" s="12"/>
      <c r="BE127" s="21" t="s">
        <v>182</v>
      </c>
      <c r="BF127" s="21"/>
      <c r="BG127" s="21"/>
      <c r="BH127" s="22">
        <f>BF120</f>
        <v>3696.8930224405867</v>
      </c>
      <c r="BI127" s="22"/>
      <c r="BJ127" s="22"/>
      <c r="BK127" s="22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opLeftCell="A10" zoomScale="80" zoomScaleNormal="80" workbookViewId="0">
      <selection activeCell="Z28" sqref="Z28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7.2851562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4" t="s">
        <v>84</v>
      </c>
      <c r="B1" s="34"/>
      <c r="C1" s="34"/>
      <c r="D1" s="34"/>
      <c r="E1" s="34"/>
      <c r="F1" s="34"/>
      <c r="G1" s="34"/>
      <c r="H1" s="12"/>
      <c r="I1" s="34" t="s">
        <v>179</v>
      </c>
      <c r="J1" s="34"/>
      <c r="K1" s="34"/>
      <c r="L1" s="34"/>
      <c r="M1" s="34"/>
      <c r="N1" s="34"/>
      <c r="O1" s="34"/>
      <c r="P1" s="12"/>
      <c r="Q1" s="34" t="s">
        <v>174</v>
      </c>
      <c r="R1" s="34"/>
      <c r="S1" s="34"/>
      <c r="T1" s="34"/>
      <c r="U1" s="34"/>
      <c r="V1" s="34"/>
      <c r="W1" s="34"/>
      <c r="X1" s="12"/>
      <c r="Y1" s="34" t="s">
        <v>178</v>
      </c>
      <c r="Z1" s="34"/>
      <c r="AA1" s="34"/>
      <c r="AB1" s="34"/>
      <c r="AC1" s="34"/>
      <c r="AD1" s="34"/>
      <c r="AE1" s="34"/>
      <c r="AF1" s="12"/>
      <c r="AG1" s="34" t="s">
        <v>175</v>
      </c>
      <c r="AH1" s="34"/>
      <c r="AI1" s="34"/>
      <c r="AJ1" s="34"/>
      <c r="AK1" s="34"/>
      <c r="AL1" s="34"/>
      <c r="AM1" s="34"/>
      <c r="AN1" s="12"/>
      <c r="AO1" s="34" t="s">
        <v>176</v>
      </c>
      <c r="AP1" s="34"/>
      <c r="AQ1" s="34"/>
      <c r="AR1" s="34"/>
      <c r="AS1" s="34"/>
      <c r="AT1" s="34"/>
      <c r="AU1" s="34"/>
      <c r="AV1" s="12"/>
      <c r="AW1" s="34" t="s">
        <v>177</v>
      </c>
      <c r="AX1" s="34"/>
      <c r="AY1" s="34"/>
      <c r="AZ1" s="34"/>
      <c r="BA1" s="34"/>
      <c r="BB1" s="34"/>
      <c r="BC1" s="34"/>
      <c r="BD1" s="12"/>
      <c r="BE1" s="34" t="s">
        <v>180</v>
      </c>
      <c r="BF1" s="34"/>
      <c r="BG1" s="34"/>
      <c r="BH1" s="34"/>
      <c r="BI1" s="34"/>
      <c r="BJ1" s="34"/>
      <c r="BK1" s="34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106</v>
      </c>
      <c r="Z3" s="6">
        <v>1</v>
      </c>
      <c r="AA3" s="4">
        <f>IFERROR(VLOOKUP(Y3,parts!$A$2:$Z$300,11,FALSE)*Z3,0)</f>
        <v>150</v>
      </c>
      <c r="AB3" s="4">
        <f>IFERROR(VLOOKUP(Y3,parts!$A$2:$Z$300,12,FALSE)*Z3,0)</f>
        <v>0</v>
      </c>
      <c r="AC3" s="4">
        <f>IFERROR(VLOOKUP(Y3,parts!$A$2:$Z$300,13,FALSE)*Z3,0)</f>
        <v>150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253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1</v>
      </c>
      <c r="AA19" s="4">
        <f>SUM(AA3:AA17)</f>
        <v>150</v>
      </c>
      <c r="AB19" s="4">
        <f>SUM(AB3:AB17)</f>
        <v>0</v>
      </c>
      <c r="AC19" s="4">
        <f>SUM(AC3:AC17)</f>
        <v>150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28">
        <f>E19</f>
        <v>17.75</v>
      </c>
      <c r="C20" s="29"/>
      <c r="D20" s="29"/>
      <c r="E20" s="29"/>
      <c r="F20" s="29"/>
      <c r="G20" s="30"/>
      <c r="H20" s="12"/>
      <c r="I20" s="16" t="s">
        <v>79</v>
      </c>
      <c r="J20" s="28">
        <f>M19</f>
        <v>15.15</v>
      </c>
      <c r="K20" s="29"/>
      <c r="L20" s="29"/>
      <c r="M20" s="29"/>
      <c r="N20" s="29"/>
      <c r="O20" s="30"/>
      <c r="P20" s="12"/>
      <c r="Q20" s="16" t="s">
        <v>79</v>
      </c>
      <c r="R20" s="28">
        <f>U19</f>
        <v>17.75</v>
      </c>
      <c r="S20" s="29"/>
      <c r="T20" s="29"/>
      <c r="U20" s="29"/>
      <c r="V20" s="29"/>
      <c r="W20" s="30"/>
      <c r="X20" s="12"/>
      <c r="Y20" s="16" t="s">
        <v>79</v>
      </c>
      <c r="Z20" s="28">
        <f>AC19</f>
        <v>150</v>
      </c>
      <c r="AA20" s="29"/>
      <c r="AB20" s="29"/>
      <c r="AC20" s="29"/>
      <c r="AD20" s="29"/>
      <c r="AE20" s="30"/>
      <c r="AF20" s="12"/>
      <c r="AG20" s="16" t="s">
        <v>79</v>
      </c>
      <c r="AH20" s="28">
        <f>AK19</f>
        <v>0</v>
      </c>
      <c r="AI20" s="29"/>
      <c r="AJ20" s="29"/>
      <c r="AK20" s="29"/>
      <c r="AL20" s="29"/>
      <c r="AM20" s="30"/>
      <c r="AN20" s="12"/>
      <c r="AO20" s="16" t="s">
        <v>79</v>
      </c>
      <c r="AP20" s="28">
        <f>AS19</f>
        <v>0</v>
      </c>
      <c r="AQ20" s="29"/>
      <c r="AR20" s="29"/>
      <c r="AS20" s="29"/>
      <c r="AT20" s="29"/>
      <c r="AU20" s="30"/>
      <c r="AV20" s="12"/>
      <c r="AW20" s="16" t="s">
        <v>79</v>
      </c>
      <c r="AX20" s="28">
        <f>BA19</f>
        <v>0</v>
      </c>
      <c r="AY20" s="29"/>
      <c r="AZ20" s="29"/>
      <c r="BA20" s="29"/>
      <c r="BB20" s="29"/>
      <c r="BC20" s="30"/>
      <c r="BD20" s="12"/>
      <c r="BE20" s="16" t="s">
        <v>79</v>
      </c>
      <c r="BF20" s="28">
        <f>BI19</f>
        <v>0</v>
      </c>
      <c r="BG20" s="29"/>
      <c r="BH20" s="29"/>
      <c r="BI20" s="29"/>
      <c r="BJ20" s="29"/>
      <c r="BK20" s="30"/>
      <c r="BL20" s="12"/>
    </row>
    <row r="21" spans="1:64" x14ac:dyDescent="0.25">
      <c r="A21" s="16" t="s">
        <v>83</v>
      </c>
      <c r="B21" s="28">
        <f>C19</f>
        <v>12.15</v>
      </c>
      <c r="C21" s="29"/>
      <c r="D21" s="29"/>
      <c r="E21" s="29"/>
      <c r="F21" s="29"/>
      <c r="G21" s="30"/>
      <c r="H21" s="12"/>
      <c r="I21" s="16" t="s">
        <v>83</v>
      </c>
      <c r="J21" s="28">
        <f>K19</f>
        <v>11.15</v>
      </c>
      <c r="K21" s="29"/>
      <c r="L21" s="29"/>
      <c r="M21" s="29"/>
      <c r="N21" s="29"/>
      <c r="O21" s="30"/>
      <c r="P21" s="12"/>
      <c r="Q21" s="16" t="s">
        <v>83</v>
      </c>
      <c r="R21" s="28">
        <f>S19</f>
        <v>12.15</v>
      </c>
      <c r="S21" s="29"/>
      <c r="T21" s="29"/>
      <c r="U21" s="29"/>
      <c r="V21" s="29"/>
      <c r="W21" s="30"/>
      <c r="X21" s="12"/>
      <c r="Y21" s="16" t="s">
        <v>83</v>
      </c>
      <c r="Z21" s="28">
        <f>AA19</f>
        <v>150</v>
      </c>
      <c r="AA21" s="29"/>
      <c r="AB21" s="29"/>
      <c r="AC21" s="29"/>
      <c r="AD21" s="29"/>
      <c r="AE21" s="30"/>
      <c r="AF21" s="12"/>
      <c r="AG21" s="16" t="s">
        <v>83</v>
      </c>
      <c r="AH21" s="28">
        <f>AI19</f>
        <v>0</v>
      </c>
      <c r="AI21" s="29"/>
      <c r="AJ21" s="29"/>
      <c r="AK21" s="29"/>
      <c r="AL21" s="29"/>
      <c r="AM21" s="30"/>
      <c r="AN21" s="12"/>
      <c r="AO21" s="16" t="s">
        <v>83</v>
      </c>
      <c r="AP21" s="28">
        <f>AQ19</f>
        <v>0</v>
      </c>
      <c r="AQ21" s="29"/>
      <c r="AR21" s="29"/>
      <c r="AS21" s="29"/>
      <c r="AT21" s="29"/>
      <c r="AU21" s="30"/>
      <c r="AV21" s="12"/>
      <c r="AW21" s="16" t="s">
        <v>83</v>
      </c>
      <c r="AX21" s="28">
        <f>AY19</f>
        <v>0</v>
      </c>
      <c r="AY21" s="29"/>
      <c r="AZ21" s="29"/>
      <c r="BA21" s="29"/>
      <c r="BB21" s="29"/>
      <c r="BC21" s="30"/>
      <c r="BD21" s="12"/>
      <c r="BE21" s="16" t="s">
        <v>83</v>
      </c>
      <c r="BF21" s="28">
        <f>BG19</f>
        <v>0</v>
      </c>
      <c r="BG21" s="29"/>
      <c r="BH21" s="29"/>
      <c r="BI21" s="29"/>
      <c r="BJ21" s="29"/>
      <c r="BK21" s="30"/>
      <c r="BL21" s="12"/>
    </row>
    <row r="22" spans="1:64" x14ac:dyDescent="0.25">
      <c r="A22" s="16" t="s">
        <v>82</v>
      </c>
      <c r="B22" s="28">
        <f>IFERROR((G19/10/B20),0)</f>
        <v>1.408450704225352</v>
      </c>
      <c r="C22" s="29"/>
      <c r="D22" s="29"/>
      <c r="E22" s="29"/>
      <c r="F22" s="29"/>
      <c r="G22" s="30"/>
      <c r="H22" s="12"/>
      <c r="I22" s="16" t="s">
        <v>82</v>
      </c>
      <c r="J22" s="28">
        <f>IFERROR((O19/10/J20),0)</f>
        <v>1.3201320132013201</v>
      </c>
      <c r="K22" s="29"/>
      <c r="L22" s="29"/>
      <c r="M22" s="29"/>
      <c r="N22" s="29"/>
      <c r="O22" s="30"/>
      <c r="P22" s="12"/>
      <c r="Q22" s="16" t="s">
        <v>82</v>
      </c>
      <c r="R22" s="28">
        <f>IFERROR((W19/10/R20),0)</f>
        <v>1.408450704225352</v>
      </c>
      <c r="S22" s="29"/>
      <c r="T22" s="29"/>
      <c r="U22" s="29"/>
      <c r="V22" s="29"/>
      <c r="W22" s="30"/>
      <c r="X22" s="12"/>
      <c r="Y22" s="16" t="s">
        <v>82</v>
      </c>
      <c r="Z22" s="28">
        <f>IFERROR((AE19/10/Z20),0)</f>
        <v>0</v>
      </c>
      <c r="AA22" s="29"/>
      <c r="AB22" s="29"/>
      <c r="AC22" s="29"/>
      <c r="AD22" s="29"/>
      <c r="AE22" s="30"/>
      <c r="AF22" s="12"/>
      <c r="AG22" s="16" t="s">
        <v>82</v>
      </c>
      <c r="AH22" s="28">
        <f>IFERROR((AM19/10/AH20),0)</f>
        <v>0</v>
      </c>
      <c r="AI22" s="29"/>
      <c r="AJ22" s="29"/>
      <c r="AK22" s="29"/>
      <c r="AL22" s="29"/>
      <c r="AM22" s="30"/>
      <c r="AN22" s="12"/>
      <c r="AO22" s="16" t="s">
        <v>82</v>
      </c>
      <c r="AP22" s="28">
        <f>IFERROR((AU19/10/AP20),0)</f>
        <v>0</v>
      </c>
      <c r="AQ22" s="29"/>
      <c r="AR22" s="29"/>
      <c r="AS22" s="29"/>
      <c r="AT22" s="29"/>
      <c r="AU22" s="30"/>
      <c r="AV22" s="12"/>
      <c r="AW22" s="16" t="s">
        <v>82</v>
      </c>
      <c r="AX22" s="28">
        <f>IFERROR((BC19/10/AX20),0)</f>
        <v>0</v>
      </c>
      <c r="AY22" s="29"/>
      <c r="AZ22" s="29"/>
      <c r="BA22" s="29"/>
      <c r="BB22" s="29"/>
      <c r="BC22" s="30"/>
      <c r="BD22" s="12"/>
      <c r="BE22" s="16" t="s">
        <v>82</v>
      </c>
      <c r="BF22" s="28">
        <f>IFERROR((BK19/10/BF20),0)</f>
        <v>0</v>
      </c>
      <c r="BG22" s="29"/>
      <c r="BH22" s="29"/>
      <c r="BI22" s="29"/>
      <c r="BJ22" s="29"/>
      <c r="BK22" s="30"/>
      <c r="BL22" s="12"/>
    </row>
    <row r="23" spans="1:64" x14ac:dyDescent="0.25">
      <c r="A23" s="16" t="s">
        <v>78</v>
      </c>
      <c r="B23" s="28">
        <f>IFERROR((9.82 * F19) * LN(B20/C19),0)</f>
        <v>1165.0903288608963</v>
      </c>
      <c r="C23" s="29"/>
      <c r="D23" s="29"/>
      <c r="E23" s="29"/>
      <c r="F23" s="29"/>
      <c r="G23" s="30"/>
      <c r="H23" s="12"/>
      <c r="I23" s="16" t="s">
        <v>78</v>
      </c>
      <c r="J23" s="28">
        <f>IFERROR((9.82 * N19) * LN(J20/K19),0)</f>
        <v>948.28524662454618</v>
      </c>
      <c r="K23" s="29"/>
      <c r="L23" s="29"/>
      <c r="M23" s="29"/>
      <c r="N23" s="29"/>
      <c r="O23" s="30"/>
      <c r="P23" s="12"/>
      <c r="Q23" s="16" t="s">
        <v>78</v>
      </c>
      <c r="R23" s="28">
        <f>IFERROR((9.82 * V19) * LN(R20/S19),0)</f>
        <v>1165.0903288608963</v>
      </c>
      <c r="S23" s="29"/>
      <c r="T23" s="29"/>
      <c r="U23" s="29"/>
      <c r="V23" s="29"/>
      <c r="W23" s="30"/>
      <c r="X23" s="12"/>
      <c r="Y23" s="16" t="s">
        <v>78</v>
      </c>
      <c r="Z23" s="28">
        <f>IFERROR((9.82 * AD19) * LN(Z20/AA19),0)</f>
        <v>0</v>
      </c>
      <c r="AA23" s="29"/>
      <c r="AB23" s="29"/>
      <c r="AC23" s="29"/>
      <c r="AD23" s="29"/>
      <c r="AE23" s="30"/>
      <c r="AF23" s="12"/>
      <c r="AG23" s="16" t="s">
        <v>78</v>
      </c>
      <c r="AH23" s="28">
        <f>IFERROR((9.82 * AL19) * LN(AH20/AI19),0)</f>
        <v>0</v>
      </c>
      <c r="AI23" s="29"/>
      <c r="AJ23" s="29"/>
      <c r="AK23" s="29"/>
      <c r="AL23" s="29"/>
      <c r="AM23" s="30"/>
      <c r="AN23" s="12"/>
      <c r="AO23" s="16" t="s">
        <v>78</v>
      </c>
      <c r="AP23" s="28">
        <f>IFERROR((9.82 * AT19) * LN(AP20/AQ19),0)</f>
        <v>0</v>
      </c>
      <c r="AQ23" s="29"/>
      <c r="AR23" s="29"/>
      <c r="AS23" s="29"/>
      <c r="AT23" s="29"/>
      <c r="AU23" s="30"/>
      <c r="AV23" s="12"/>
      <c r="AW23" s="16" t="s">
        <v>78</v>
      </c>
      <c r="AX23" s="28">
        <f>IFERROR((9.82 * BB19) * LN(AX20/AY19),0)</f>
        <v>0</v>
      </c>
      <c r="AY23" s="29"/>
      <c r="AZ23" s="29"/>
      <c r="BA23" s="29"/>
      <c r="BB23" s="29"/>
      <c r="BC23" s="30"/>
      <c r="BD23" s="12"/>
      <c r="BE23" s="16" t="s">
        <v>78</v>
      </c>
      <c r="BF23" s="28">
        <f>IFERROR((9.82 * BJ19) * LN(BF20/BG19),0)</f>
        <v>0</v>
      </c>
      <c r="BG23" s="29"/>
      <c r="BH23" s="29"/>
      <c r="BI23" s="29"/>
      <c r="BJ23" s="29"/>
      <c r="BK23" s="30"/>
      <c r="BL23" s="12"/>
    </row>
    <row r="24" spans="1:64" ht="15.75" thickBot="1" x14ac:dyDescent="0.3">
      <c r="A24" s="17" t="s">
        <v>80</v>
      </c>
      <c r="B24" s="31">
        <f>B23</f>
        <v>1165.0903288608963</v>
      </c>
      <c r="C24" s="32"/>
      <c r="D24" s="32"/>
      <c r="E24" s="32"/>
      <c r="F24" s="32"/>
      <c r="G24" s="33"/>
      <c r="H24" s="12"/>
      <c r="I24" s="17" t="s">
        <v>80</v>
      </c>
      <c r="J24" s="31">
        <f>J23</f>
        <v>948.28524662454618</v>
      </c>
      <c r="K24" s="32"/>
      <c r="L24" s="32"/>
      <c r="M24" s="32"/>
      <c r="N24" s="32"/>
      <c r="O24" s="33"/>
      <c r="P24" s="12"/>
      <c r="Q24" s="17" t="s">
        <v>80</v>
      </c>
      <c r="R24" s="31">
        <f>R23</f>
        <v>1165.0903288608963</v>
      </c>
      <c r="S24" s="32"/>
      <c r="T24" s="32"/>
      <c r="U24" s="32"/>
      <c r="V24" s="32"/>
      <c r="W24" s="33"/>
      <c r="X24" s="12"/>
      <c r="Y24" s="17" t="s">
        <v>80</v>
      </c>
      <c r="Z24" s="31">
        <f>Z23</f>
        <v>0</v>
      </c>
      <c r="AA24" s="32"/>
      <c r="AB24" s="32"/>
      <c r="AC24" s="32"/>
      <c r="AD24" s="32"/>
      <c r="AE24" s="33"/>
      <c r="AF24" s="12"/>
      <c r="AG24" s="17" t="s">
        <v>80</v>
      </c>
      <c r="AH24" s="31">
        <f>AH23</f>
        <v>0</v>
      </c>
      <c r="AI24" s="32"/>
      <c r="AJ24" s="32"/>
      <c r="AK24" s="32"/>
      <c r="AL24" s="32"/>
      <c r="AM24" s="33"/>
      <c r="AN24" s="12"/>
      <c r="AO24" s="17" t="s">
        <v>80</v>
      </c>
      <c r="AP24" s="31">
        <f>AP23</f>
        <v>0</v>
      </c>
      <c r="AQ24" s="32"/>
      <c r="AR24" s="32"/>
      <c r="AS24" s="32"/>
      <c r="AT24" s="32"/>
      <c r="AU24" s="33"/>
      <c r="AV24" s="12"/>
      <c r="AW24" s="17" t="s">
        <v>80</v>
      </c>
      <c r="AX24" s="31">
        <f>AX23</f>
        <v>0</v>
      </c>
      <c r="AY24" s="32"/>
      <c r="AZ24" s="32"/>
      <c r="BA24" s="32"/>
      <c r="BB24" s="32"/>
      <c r="BC24" s="33"/>
      <c r="BD24" s="12"/>
      <c r="BE24" s="17" t="s">
        <v>80</v>
      </c>
      <c r="BF24" s="31">
        <f>BF23</f>
        <v>0</v>
      </c>
      <c r="BG24" s="32"/>
      <c r="BH24" s="32"/>
      <c r="BI24" s="32"/>
      <c r="BJ24" s="32"/>
      <c r="BK24" s="3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68</v>
      </c>
      <c r="B27" s="6">
        <v>1</v>
      </c>
      <c r="C27" s="4">
        <f>IFERROR(VLOOKUP(A27,parts!$A$2:$Z$300,11,FALSE)*B27,0)</f>
        <v>10.55</v>
      </c>
      <c r="D27" s="4">
        <f>IFERROR(VLOOKUP(A27,parts!$A$2:$Z$300,12,FALSE)*B27,0)</f>
        <v>31.45</v>
      </c>
      <c r="E27" s="4">
        <f>IFERROR(VLOOKUP(A27,parts!$A$2:$Z$300,13,FALSE)*B27,0)</f>
        <v>42</v>
      </c>
      <c r="F27" s="4">
        <f>IFERROR(VLOOKUP(A27,parts!$A$2:$Z$300,5,FALSE),0)</f>
        <v>345</v>
      </c>
      <c r="G27" s="4">
        <f>IFERROR(VLOOKUP(A27,parts!$A$2:$Z$300,6,FALSE)*B27,0)</f>
        <v>750</v>
      </c>
      <c r="H27" s="12"/>
      <c r="I27" s="11" t="s">
        <v>252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254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 t="s">
        <v>69</v>
      </c>
      <c r="Z27" s="6">
        <v>1</v>
      </c>
      <c r="AA27" s="4">
        <f>IFERROR(VLOOKUP(Y27,parts!$A$2:$Z$300,11,FALSE)*Z27,0)</f>
        <v>19.299999999999997</v>
      </c>
      <c r="AB27" s="4">
        <f>IFERROR(VLOOKUP(Y27,parts!$A$2:$Z$300,12,FALSE)*Z27,0)</f>
        <v>86.7</v>
      </c>
      <c r="AC27" s="4">
        <f>IFERROR(VLOOKUP(Y27,parts!$A$2:$Z$300,13,FALSE)*Z27,0)</f>
        <v>106</v>
      </c>
      <c r="AD27" s="4">
        <f>IFERROR(VLOOKUP(Y27,parts!$A$2:$Z$300,5,FALSE),0)</f>
        <v>345</v>
      </c>
      <c r="AE27" s="4">
        <f>IFERROR(VLOOKUP(Y27,parts!$A$2:$Z$300,6,FALSE)*Z27,0)</f>
        <v>2050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10.55</v>
      </c>
      <c r="D43" s="4">
        <f>SUM(D27:D41)</f>
        <v>31.45</v>
      </c>
      <c r="E43" s="4">
        <f>SUM(E27:E41)</f>
        <v>42</v>
      </c>
      <c r="F43" s="4">
        <f>LARGE(F27:F41,1)</f>
        <v>345</v>
      </c>
      <c r="G43" s="10">
        <f>SUM(G27:G41)</f>
        <v>750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2</v>
      </c>
      <c r="AA43" s="4">
        <f>SUM(AA27:AA41)</f>
        <v>19.299999999999997</v>
      </c>
      <c r="AB43" s="4">
        <f>SUM(AB27:AB41)</f>
        <v>86.7</v>
      </c>
      <c r="AC43" s="4">
        <f>SUM(AC27:AC41)</f>
        <v>106</v>
      </c>
      <c r="AD43" s="4">
        <f>LARGE(AD27:AD41,1)</f>
        <v>345</v>
      </c>
      <c r="AE43" s="10">
        <f>SUM(AE27:AE41)</f>
        <v>2050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28">
        <f>E43+B20</f>
        <v>59.75</v>
      </c>
      <c r="C44" s="29"/>
      <c r="D44" s="29"/>
      <c r="E44" s="29"/>
      <c r="F44" s="29"/>
      <c r="G44" s="30"/>
      <c r="H44" s="12"/>
      <c r="I44" s="16" t="s">
        <v>79</v>
      </c>
      <c r="J44" s="28">
        <f>M43+J20</f>
        <v>26.25</v>
      </c>
      <c r="K44" s="29"/>
      <c r="L44" s="29"/>
      <c r="M44" s="29"/>
      <c r="N44" s="29"/>
      <c r="O44" s="30"/>
      <c r="P44" s="12"/>
      <c r="Q44" s="16" t="s">
        <v>79</v>
      </c>
      <c r="R44" s="28">
        <f>U43+R20</f>
        <v>24.55</v>
      </c>
      <c r="S44" s="29"/>
      <c r="T44" s="29"/>
      <c r="U44" s="29"/>
      <c r="V44" s="29"/>
      <c r="W44" s="30"/>
      <c r="X44" s="12"/>
      <c r="Y44" s="16" t="s">
        <v>79</v>
      </c>
      <c r="Z44" s="28">
        <f>AC43+Z20</f>
        <v>256</v>
      </c>
      <c r="AA44" s="29"/>
      <c r="AB44" s="29"/>
      <c r="AC44" s="29"/>
      <c r="AD44" s="29"/>
      <c r="AE44" s="30"/>
      <c r="AF44" s="12"/>
      <c r="AG44" s="16" t="s">
        <v>79</v>
      </c>
      <c r="AH44" s="28">
        <f>AK43+AH20</f>
        <v>0</v>
      </c>
      <c r="AI44" s="29"/>
      <c r="AJ44" s="29"/>
      <c r="AK44" s="29"/>
      <c r="AL44" s="29"/>
      <c r="AM44" s="30"/>
      <c r="AN44" s="12"/>
      <c r="AO44" s="16" t="s">
        <v>79</v>
      </c>
      <c r="AP44" s="28">
        <f>AS43+AP20</f>
        <v>0</v>
      </c>
      <c r="AQ44" s="29"/>
      <c r="AR44" s="29"/>
      <c r="AS44" s="29"/>
      <c r="AT44" s="29"/>
      <c r="AU44" s="30"/>
      <c r="AV44" s="12"/>
      <c r="AW44" s="16" t="s">
        <v>79</v>
      </c>
      <c r="AX44" s="28">
        <f>BA43+AX20</f>
        <v>0</v>
      </c>
      <c r="AY44" s="29"/>
      <c r="AZ44" s="29"/>
      <c r="BA44" s="29"/>
      <c r="BB44" s="29"/>
      <c r="BC44" s="30"/>
      <c r="BD44" s="12"/>
      <c r="BE44" s="16" t="s">
        <v>79</v>
      </c>
      <c r="BF44" s="28">
        <f>BI43+BF20</f>
        <v>0</v>
      </c>
      <c r="BG44" s="29"/>
      <c r="BH44" s="29"/>
      <c r="BI44" s="29"/>
      <c r="BJ44" s="29"/>
      <c r="BK44" s="30"/>
      <c r="BL44" s="12"/>
    </row>
    <row r="45" spans="1:64" x14ac:dyDescent="0.25">
      <c r="A45" s="16" t="s">
        <v>83</v>
      </c>
      <c r="B45" s="28">
        <f>C43+B20</f>
        <v>28.3</v>
      </c>
      <c r="C45" s="29"/>
      <c r="D45" s="29"/>
      <c r="E45" s="29"/>
      <c r="F45" s="29"/>
      <c r="G45" s="30"/>
      <c r="H45" s="12"/>
      <c r="I45" s="16" t="s">
        <v>83</v>
      </c>
      <c r="J45" s="28">
        <f>K43+J20</f>
        <v>17.75</v>
      </c>
      <c r="K45" s="29"/>
      <c r="L45" s="29"/>
      <c r="M45" s="29"/>
      <c r="N45" s="29"/>
      <c r="O45" s="30"/>
      <c r="P45" s="12"/>
      <c r="Q45" s="16" t="s">
        <v>83</v>
      </c>
      <c r="R45" s="28">
        <f>S43+R20</f>
        <v>19.45</v>
      </c>
      <c r="S45" s="29"/>
      <c r="T45" s="29"/>
      <c r="U45" s="29"/>
      <c r="V45" s="29"/>
      <c r="W45" s="30"/>
      <c r="X45" s="12"/>
      <c r="Y45" s="16" t="s">
        <v>83</v>
      </c>
      <c r="Z45" s="28">
        <f>AA43+Z20</f>
        <v>169.3</v>
      </c>
      <c r="AA45" s="29"/>
      <c r="AB45" s="29"/>
      <c r="AC45" s="29"/>
      <c r="AD45" s="29"/>
      <c r="AE45" s="30"/>
      <c r="AF45" s="12"/>
      <c r="AG45" s="16" t="s">
        <v>83</v>
      </c>
      <c r="AH45" s="28">
        <f>AI43+AH20</f>
        <v>0</v>
      </c>
      <c r="AI45" s="29"/>
      <c r="AJ45" s="29"/>
      <c r="AK45" s="29"/>
      <c r="AL45" s="29"/>
      <c r="AM45" s="30"/>
      <c r="AN45" s="12"/>
      <c r="AO45" s="16" t="s">
        <v>83</v>
      </c>
      <c r="AP45" s="28">
        <f>AQ43+AP20</f>
        <v>0</v>
      </c>
      <c r="AQ45" s="29"/>
      <c r="AR45" s="29"/>
      <c r="AS45" s="29"/>
      <c r="AT45" s="29"/>
      <c r="AU45" s="30"/>
      <c r="AV45" s="12"/>
      <c r="AW45" s="16" t="s">
        <v>83</v>
      </c>
      <c r="AX45" s="28">
        <f>AY43+AX20</f>
        <v>0</v>
      </c>
      <c r="AY45" s="29"/>
      <c r="AZ45" s="29"/>
      <c r="BA45" s="29"/>
      <c r="BB45" s="29"/>
      <c r="BC45" s="30"/>
      <c r="BD45" s="12"/>
      <c r="BE45" s="16" t="s">
        <v>83</v>
      </c>
      <c r="BF45" s="28">
        <f>BG43+BF20</f>
        <v>0</v>
      </c>
      <c r="BG45" s="29"/>
      <c r="BH45" s="29"/>
      <c r="BI45" s="29"/>
      <c r="BJ45" s="29"/>
      <c r="BK45" s="30"/>
      <c r="BL45" s="12"/>
    </row>
    <row r="46" spans="1:64" x14ac:dyDescent="0.25">
      <c r="A46" s="16" t="s">
        <v>82</v>
      </c>
      <c r="B46" s="28">
        <f>IFERROR((G43/10/B44),0)</f>
        <v>1.2552301255230125</v>
      </c>
      <c r="C46" s="29"/>
      <c r="D46" s="29"/>
      <c r="E46" s="29"/>
      <c r="F46" s="29"/>
      <c r="G46" s="30"/>
      <c r="H46" s="12"/>
      <c r="I46" s="16" t="s">
        <v>82</v>
      </c>
      <c r="J46" s="28">
        <f>IFERROR((O43/10/J44),0)</f>
        <v>0.95238095238095233</v>
      </c>
      <c r="K46" s="29"/>
      <c r="L46" s="29"/>
      <c r="M46" s="29"/>
      <c r="N46" s="29"/>
      <c r="O46" s="30"/>
      <c r="P46" s="12"/>
      <c r="Q46" s="16" t="s">
        <v>82</v>
      </c>
      <c r="R46" s="28">
        <f>IFERROR((W43/10/R44),0)</f>
        <v>1.0183299389002036</v>
      </c>
      <c r="S46" s="29"/>
      <c r="T46" s="29"/>
      <c r="U46" s="29"/>
      <c r="V46" s="29"/>
      <c r="W46" s="30"/>
      <c r="X46" s="12"/>
      <c r="Y46" s="16" t="s">
        <v>82</v>
      </c>
      <c r="Z46" s="28">
        <f>IFERROR((AE43/10/Z44),0)</f>
        <v>0.80078125</v>
      </c>
      <c r="AA46" s="29"/>
      <c r="AB46" s="29"/>
      <c r="AC46" s="29"/>
      <c r="AD46" s="29"/>
      <c r="AE46" s="30"/>
      <c r="AF46" s="12"/>
      <c r="AG46" s="16" t="s">
        <v>82</v>
      </c>
      <c r="AH46" s="28">
        <f>IFERROR((AM43/10/AH44),0)</f>
        <v>0</v>
      </c>
      <c r="AI46" s="29"/>
      <c r="AJ46" s="29"/>
      <c r="AK46" s="29"/>
      <c r="AL46" s="29"/>
      <c r="AM46" s="30"/>
      <c r="AN46" s="12"/>
      <c r="AO46" s="16" t="s">
        <v>82</v>
      </c>
      <c r="AP46" s="28">
        <f>IFERROR((AU43/10/AP44),0)</f>
        <v>0</v>
      </c>
      <c r="AQ46" s="29"/>
      <c r="AR46" s="29"/>
      <c r="AS46" s="29"/>
      <c r="AT46" s="29"/>
      <c r="AU46" s="30"/>
      <c r="AV46" s="12"/>
      <c r="AW46" s="16" t="s">
        <v>82</v>
      </c>
      <c r="AX46" s="28">
        <f>IFERROR((BC43/10/AX44),0)</f>
        <v>0</v>
      </c>
      <c r="AY46" s="29"/>
      <c r="AZ46" s="29"/>
      <c r="BA46" s="29"/>
      <c r="BB46" s="29"/>
      <c r="BC46" s="30"/>
      <c r="BD46" s="12"/>
      <c r="BE46" s="16" t="s">
        <v>82</v>
      </c>
      <c r="BF46" s="28">
        <f>IFERROR((BK43/10/BF44),0)</f>
        <v>0</v>
      </c>
      <c r="BG46" s="29"/>
      <c r="BH46" s="29"/>
      <c r="BI46" s="29"/>
      <c r="BJ46" s="29"/>
      <c r="BK46" s="30"/>
      <c r="BL46" s="12"/>
    </row>
    <row r="47" spans="1:64" x14ac:dyDescent="0.25">
      <c r="A47" s="16" t="s">
        <v>78</v>
      </c>
      <c r="B47" s="28">
        <f>IFERROR((9.82 * F43) * LN(B44/B45),0)</f>
        <v>2531.8026935796902</v>
      </c>
      <c r="C47" s="29"/>
      <c r="D47" s="29"/>
      <c r="E47" s="29"/>
      <c r="F47" s="29"/>
      <c r="G47" s="30"/>
      <c r="H47" s="12"/>
      <c r="I47" s="16" t="s">
        <v>78</v>
      </c>
      <c r="J47" s="28">
        <f>IFERROR((9.82 * N43) * LN(J44/J45),0)</f>
        <v>1325.6191148704008</v>
      </c>
      <c r="K47" s="29"/>
      <c r="L47" s="29"/>
      <c r="M47" s="29"/>
      <c r="N47" s="29"/>
      <c r="O47" s="30"/>
      <c r="P47" s="12"/>
      <c r="Q47" s="16" t="s">
        <v>78</v>
      </c>
      <c r="R47" s="28">
        <f>IFERROR((9.82 * V43) * LN(R44/R45),0)</f>
        <v>788.92260231012244</v>
      </c>
      <c r="S47" s="29"/>
      <c r="T47" s="29"/>
      <c r="U47" s="29"/>
      <c r="V47" s="29"/>
      <c r="W47" s="30"/>
      <c r="X47" s="12"/>
      <c r="Y47" s="16" t="s">
        <v>78</v>
      </c>
      <c r="Z47" s="28">
        <f>IFERROR((9.82 * AD43) * LN(Z44/Z45),0)</f>
        <v>1400.9141157779879</v>
      </c>
      <c r="AA47" s="29"/>
      <c r="AB47" s="29"/>
      <c r="AC47" s="29"/>
      <c r="AD47" s="29"/>
      <c r="AE47" s="30"/>
      <c r="AF47" s="12"/>
      <c r="AG47" s="16" t="s">
        <v>78</v>
      </c>
      <c r="AH47" s="28">
        <f>IFERROR((9.82 * AL43) * LN(AH44/AH45),0)</f>
        <v>0</v>
      </c>
      <c r="AI47" s="29"/>
      <c r="AJ47" s="29"/>
      <c r="AK47" s="29"/>
      <c r="AL47" s="29"/>
      <c r="AM47" s="30"/>
      <c r="AN47" s="12"/>
      <c r="AO47" s="16" t="s">
        <v>78</v>
      </c>
      <c r="AP47" s="28">
        <f>IFERROR((9.82 * AT43) * LN(AP44/AP45),0)</f>
        <v>0</v>
      </c>
      <c r="AQ47" s="29"/>
      <c r="AR47" s="29"/>
      <c r="AS47" s="29"/>
      <c r="AT47" s="29"/>
      <c r="AU47" s="30"/>
      <c r="AV47" s="12"/>
      <c r="AW47" s="16" t="s">
        <v>78</v>
      </c>
      <c r="AX47" s="28">
        <f>IFERROR((9.82 * BB43) * LN(AX44/AX45),0)</f>
        <v>0</v>
      </c>
      <c r="AY47" s="29"/>
      <c r="AZ47" s="29"/>
      <c r="BA47" s="29"/>
      <c r="BB47" s="29"/>
      <c r="BC47" s="30"/>
      <c r="BD47" s="12"/>
      <c r="BE47" s="16" t="s">
        <v>78</v>
      </c>
      <c r="BF47" s="28">
        <f>IFERROR((9.82 * BJ43) * LN(BF44/BF45),0)</f>
        <v>0</v>
      </c>
      <c r="BG47" s="29"/>
      <c r="BH47" s="29"/>
      <c r="BI47" s="29"/>
      <c r="BJ47" s="29"/>
      <c r="BK47" s="30"/>
      <c r="BL47" s="12"/>
    </row>
    <row r="48" spans="1:64" ht="15.75" thickBot="1" x14ac:dyDescent="0.3">
      <c r="A48" s="17" t="s">
        <v>80</v>
      </c>
      <c r="B48" s="31">
        <f>B47+B24</f>
        <v>3696.8930224405867</v>
      </c>
      <c r="C48" s="32"/>
      <c r="D48" s="32"/>
      <c r="E48" s="32"/>
      <c r="F48" s="32"/>
      <c r="G48" s="33"/>
      <c r="H48" s="12"/>
      <c r="I48" s="17" t="s">
        <v>80</v>
      </c>
      <c r="J48" s="31">
        <f>J47+J24</f>
        <v>2273.9043614949469</v>
      </c>
      <c r="K48" s="32"/>
      <c r="L48" s="32"/>
      <c r="M48" s="32"/>
      <c r="N48" s="32"/>
      <c r="O48" s="33"/>
      <c r="P48" s="12"/>
      <c r="Q48" s="17" t="s">
        <v>80</v>
      </c>
      <c r="R48" s="31">
        <f>R47+R24</f>
        <v>1954.0129311710189</v>
      </c>
      <c r="S48" s="32"/>
      <c r="T48" s="32"/>
      <c r="U48" s="32"/>
      <c r="V48" s="32"/>
      <c r="W48" s="33"/>
      <c r="X48" s="12"/>
      <c r="Y48" s="17" t="s">
        <v>80</v>
      </c>
      <c r="Z48" s="31">
        <f>Z47+Z24</f>
        <v>1400.9141157779879</v>
      </c>
      <c r="AA48" s="32"/>
      <c r="AB48" s="32"/>
      <c r="AC48" s="32"/>
      <c r="AD48" s="32"/>
      <c r="AE48" s="33"/>
      <c r="AF48" s="12"/>
      <c r="AG48" s="17" t="s">
        <v>80</v>
      </c>
      <c r="AH48" s="31">
        <f>AH47+AH24</f>
        <v>0</v>
      </c>
      <c r="AI48" s="32"/>
      <c r="AJ48" s="32"/>
      <c r="AK48" s="32"/>
      <c r="AL48" s="32"/>
      <c r="AM48" s="33"/>
      <c r="AN48" s="12"/>
      <c r="AO48" s="17" t="s">
        <v>80</v>
      </c>
      <c r="AP48" s="31">
        <f>AP47+AP24</f>
        <v>0</v>
      </c>
      <c r="AQ48" s="32"/>
      <c r="AR48" s="32"/>
      <c r="AS48" s="32"/>
      <c r="AT48" s="32"/>
      <c r="AU48" s="33"/>
      <c r="AV48" s="12"/>
      <c r="AW48" s="17" t="s">
        <v>80</v>
      </c>
      <c r="AX48" s="31">
        <f>AX47+AX24</f>
        <v>0</v>
      </c>
      <c r="AY48" s="32"/>
      <c r="AZ48" s="32"/>
      <c r="BA48" s="32"/>
      <c r="BB48" s="32"/>
      <c r="BC48" s="33"/>
      <c r="BD48" s="12"/>
      <c r="BE48" s="17" t="s">
        <v>80</v>
      </c>
      <c r="BF48" s="31">
        <f>BF47+BF24</f>
        <v>0</v>
      </c>
      <c r="BG48" s="32"/>
      <c r="BH48" s="32"/>
      <c r="BI48" s="32"/>
      <c r="BJ48" s="32"/>
      <c r="BK48" s="3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184</v>
      </c>
      <c r="B51" s="6">
        <v>1</v>
      </c>
      <c r="C51" s="4">
        <f>IFERROR(VLOOKUP(A51,parts!$A$2:$Z$300,11,FALSE)*B51,0)</f>
        <v>29.4</v>
      </c>
      <c r="D51" s="4">
        <f>IFERROR(VLOOKUP(A51,parts!$A$2:$Z$300,12,FALSE)*B51,0)</f>
        <v>166.6</v>
      </c>
      <c r="E51" s="4">
        <f>IFERROR(VLOOKUP(A51,parts!$A$2:$Z$300,13,FALSE)*B51,0)</f>
        <v>196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187</v>
      </c>
      <c r="Z51" s="6">
        <v>1</v>
      </c>
      <c r="AA51" s="4">
        <f>IFERROR(VLOOKUP(Y51,parts!$A$2:$Z$300,11,FALSE)*Z51,0)</f>
        <v>73.5</v>
      </c>
      <c r="AB51" s="4">
        <f>IFERROR(VLOOKUP(Y51,parts!$A$2:$Z$300,12,FALSE)*Z51,0)</f>
        <v>416.5</v>
      </c>
      <c r="AC51" s="4">
        <f>IFERROR(VLOOKUP(Y51,parts!$A$2:$Z$300,13,FALSE)*Z51,0)</f>
        <v>490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158</v>
      </c>
      <c r="B52" s="6">
        <v>1</v>
      </c>
      <c r="C52" s="4">
        <f>IFERROR(VLOOKUP(A52,parts!$A$2:$Z$300,11,FALSE)*B52,0)</f>
        <v>23</v>
      </c>
      <c r="D52" s="4">
        <f>IFERROR(VLOOKUP(A52,parts!$A$2:$Z$300,12,FALSE)*B52,0)</f>
        <v>0</v>
      </c>
      <c r="E52" s="4">
        <f>IFERROR(VLOOKUP(A52,parts!$A$2:$Z$300,13,FALSE)*B52,0)</f>
        <v>23</v>
      </c>
      <c r="F52" s="4">
        <f>IFERROR(VLOOKUP(A52,parts!$A$2:$Z$300,5,FALSE),0)</f>
        <v>320</v>
      </c>
      <c r="G52" s="4">
        <f>IFERROR(VLOOKUP(A52,parts!$A$2:$Z$300,6,FALSE)*B52,0)</f>
        <v>5700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320</v>
      </c>
      <c r="Z52" s="6">
        <v>5</v>
      </c>
      <c r="AA52" s="4">
        <f>IFERROR(VLOOKUP(Y52,parts!$A$2:$Z$300,11,FALSE)*Z52,0)</f>
        <v>43.3</v>
      </c>
      <c r="AB52" s="4">
        <f>IFERROR(VLOOKUP(Y52,parts!$A$2:$Z$300,12,FALSE)*Z52,0)</f>
        <v>0</v>
      </c>
      <c r="AC52" s="4">
        <f>IFERROR(VLOOKUP(Y52,parts!$A$2:$Z$300,13,FALSE)*Z52,0)</f>
        <v>43.3</v>
      </c>
      <c r="AD52" s="4">
        <f>IFERROR(VLOOKUP(Y52,parts!$A$2:$Z$300,5,FALSE),0)</f>
        <v>345</v>
      </c>
      <c r="AE52" s="4">
        <f>IFERROR(VLOOKUP(Y52,parts!$A$2:$Z$300,6,FALSE)*Z52,0)</f>
        <v>6990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6</v>
      </c>
      <c r="C67" s="4">
        <f>SUM(C51:C65)</f>
        <v>52.4</v>
      </c>
      <c r="D67" s="4">
        <f>SUM(D51:D65)</f>
        <v>166.6</v>
      </c>
      <c r="E67" s="4">
        <f>SUM(E51:E65)</f>
        <v>219</v>
      </c>
      <c r="F67" s="4">
        <f>LARGE(F51:F65,1)</f>
        <v>320</v>
      </c>
      <c r="G67" s="10">
        <f>SUM(G51:G65)</f>
        <v>5700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8</v>
      </c>
      <c r="AA67" s="4">
        <f>SUM(AA51:AA65)</f>
        <v>116.8</v>
      </c>
      <c r="AB67" s="4">
        <f>SUM(AB51:AB65)</f>
        <v>416.5</v>
      </c>
      <c r="AC67" s="4">
        <f>SUM(AC51:AC65)</f>
        <v>533.29999999999995</v>
      </c>
      <c r="AD67" s="4">
        <f>LARGE(AD51:AD65,1)</f>
        <v>345</v>
      </c>
      <c r="AE67" s="10">
        <f>SUM(AE51:AE65)</f>
        <v>6990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8">
        <f>E67+B44</f>
        <v>278.75</v>
      </c>
      <c r="C68" s="29"/>
      <c r="D68" s="29"/>
      <c r="E68" s="29"/>
      <c r="F68" s="29"/>
      <c r="G68" s="30"/>
      <c r="H68" s="12"/>
      <c r="I68" s="16" t="s">
        <v>79</v>
      </c>
      <c r="J68" s="28">
        <f>M67+J44</f>
        <v>26.25</v>
      </c>
      <c r="K68" s="29"/>
      <c r="L68" s="29"/>
      <c r="M68" s="29"/>
      <c r="N68" s="29"/>
      <c r="O68" s="30"/>
      <c r="P68" s="12"/>
      <c r="Q68" s="16" t="s">
        <v>79</v>
      </c>
      <c r="R68" s="28">
        <f>U67+R44</f>
        <v>24.55</v>
      </c>
      <c r="S68" s="29"/>
      <c r="T68" s="29"/>
      <c r="U68" s="29"/>
      <c r="V68" s="29"/>
      <c r="W68" s="30"/>
      <c r="X68" s="12"/>
      <c r="Y68" s="16" t="s">
        <v>79</v>
      </c>
      <c r="Z68" s="28">
        <f>AC67+Z44</f>
        <v>789.3</v>
      </c>
      <c r="AA68" s="29"/>
      <c r="AB68" s="29"/>
      <c r="AC68" s="29"/>
      <c r="AD68" s="29"/>
      <c r="AE68" s="30"/>
      <c r="AF68" s="12"/>
      <c r="AG68" s="16" t="s">
        <v>79</v>
      </c>
      <c r="AH68" s="28">
        <f>AK67+AH44</f>
        <v>0</v>
      </c>
      <c r="AI68" s="29"/>
      <c r="AJ68" s="29"/>
      <c r="AK68" s="29"/>
      <c r="AL68" s="29"/>
      <c r="AM68" s="30"/>
      <c r="AN68" s="12"/>
      <c r="AO68" s="16" t="s">
        <v>79</v>
      </c>
      <c r="AP68" s="28">
        <f>AS67+AP44</f>
        <v>0</v>
      </c>
      <c r="AQ68" s="29"/>
      <c r="AR68" s="29"/>
      <c r="AS68" s="29"/>
      <c r="AT68" s="29"/>
      <c r="AU68" s="30"/>
      <c r="AV68" s="12"/>
      <c r="AW68" s="16" t="s">
        <v>79</v>
      </c>
      <c r="AX68" s="28">
        <f>BA67+AX44</f>
        <v>0</v>
      </c>
      <c r="AY68" s="29"/>
      <c r="AZ68" s="29"/>
      <c r="BA68" s="29"/>
      <c r="BB68" s="29"/>
      <c r="BC68" s="30"/>
      <c r="BD68" s="12"/>
      <c r="BE68" s="16" t="s">
        <v>79</v>
      </c>
      <c r="BF68" s="28">
        <f>BI67+BF44</f>
        <v>0</v>
      </c>
      <c r="BG68" s="29"/>
      <c r="BH68" s="29"/>
      <c r="BI68" s="29"/>
      <c r="BJ68" s="29"/>
      <c r="BK68" s="30"/>
      <c r="BL68" s="12"/>
    </row>
    <row r="69" spans="1:64" x14ac:dyDescent="0.25">
      <c r="A69" s="16" t="s">
        <v>83</v>
      </c>
      <c r="B69" s="28">
        <f>C67+B44</f>
        <v>112.15</v>
      </c>
      <c r="C69" s="29"/>
      <c r="D69" s="29"/>
      <c r="E69" s="29"/>
      <c r="F69" s="29"/>
      <c r="G69" s="30"/>
      <c r="H69" s="12"/>
      <c r="I69" s="16" t="s">
        <v>83</v>
      </c>
      <c r="J69" s="28">
        <f>K67+J44</f>
        <v>26.25</v>
      </c>
      <c r="K69" s="29"/>
      <c r="L69" s="29"/>
      <c r="M69" s="29"/>
      <c r="N69" s="29"/>
      <c r="O69" s="30"/>
      <c r="P69" s="12"/>
      <c r="Q69" s="16" t="s">
        <v>83</v>
      </c>
      <c r="R69" s="28">
        <f>S67+R44</f>
        <v>24.55</v>
      </c>
      <c r="S69" s="29"/>
      <c r="T69" s="29"/>
      <c r="U69" s="29"/>
      <c r="V69" s="29"/>
      <c r="W69" s="30"/>
      <c r="X69" s="12"/>
      <c r="Y69" s="16" t="s">
        <v>83</v>
      </c>
      <c r="Z69" s="28">
        <f>AA67+Z44</f>
        <v>372.8</v>
      </c>
      <c r="AA69" s="29"/>
      <c r="AB69" s="29"/>
      <c r="AC69" s="29"/>
      <c r="AD69" s="29"/>
      <c r="AE69" s="30"/>
      <c r="AF69" s="12"/>
      <c r="AG69" s="16" t="s">
        <v>83</v>
      </c>
      <c r="AH69" s="28">
        <f>AI67+AH44</f>
        <v>0</v>
      </c>
      <c r="AI69" s="29"/>
      <c r="AJ69" s="29"/>
      <c r="AK69" s="29"/>
      <c r="AL69" s="29"/>
      <c r="AM69" s="30"/>
      <c r="AN69" s="12"/>
      <c r="AO69" s="16" t="s">
        <v>83</v>
      </c>
      <c r="AP69" s="28">
        <f>AQ67+AP44</f>
        <v>0</v>
      </c>
      <c r="AQ69" s="29"/>
      <c r="AR69" s="29"/>
      <c r="AS69" s="29"/>
      <c r="AT69" s="29"/>
      <c r="AU69" s="30"/>
      <c r="AV69" s="12"/>
      <c r="AW69" s="16" t="s">
        <v>83</v>
      </c>
      <c r="AX69" s="28">
        <f>AY67+AX44</f>
        <v>0</v>
      </c>
      <c r="AY69" s="29"/>
      <c r="AZ69" s="29"/>
      <c r="BA69" s="29"/>
      <c r="BB69" s="29"/>
      <c r="BC69" s="30"/>
      <c r="BD69" s="12"/>
      <c r="BE69" s="16" t="s">
        <v>83</v>
      </c>
      <c r="BF69" s="28">
        <f>BG67+BF44</f>
        <v>0</v>
      </c>
      <c r="BG69" s="29"/>
      <c r="BH69" s="29"/>
      <c r="BI69" s="29"/>
      <c r="BJ69" s="29"/>
      <c r="BK69" s="30"/>
      <c r="BL69" s="12"/>
    </row>
    <row r="70" spans="1:64" x14ac:dyDescent="0.25">
      <c r="A70" s="16" t="s">
        <v>82</v>
      </c>
      <c r="B70" s="28">
        <f>IFERROR((G67/10/B68),0)</f>
        <v>2.0448430493273544</v>
      </c>
      <c r="C70" s="29"/>
      <c r="D70" s="29"/>
      <c r="E70" s="29"/>
      <c r="F70" s="29"/>
      <c r="G70" s="30"/>
      <c r="H70" s="12"/>
      <c r="I70" s="16" t="s">
        <v>82</v>
      </c>
      <c r="J70" s="28">
        <f>IFERROR((O67/10/J68),0)</f>
        <v>0</v>
      </c>
      <c r="K70" s="29"/>
      <c r="L70" s="29"/>
      <c r="M70" s="29"/>
      <c r="N70" s="29"/>
      <c r="O70" s="30"/>
      <c r="P70" s="12"/>
      <c r="Q70" s="16" t="s">
        <v>82</v>
      </c>
      <c r="R70" s="28">
        <f>IFERROR((W67/10/R68),0)</f>
        <v>0</v>
      </c>
      <c r="S70" s="29"/>
      <c r="T70" s="29"/>
      <c r="U70" s="29"/>
      <c r="V70" s="29"/>
      <c r="W70" s="30"/>
      <c r="X70" s="12"/>
      <c r="Y70" s="16" t="s">
        <v>82</v>
      </c>
      <c r="Z70" s="28">
        <f>IFERROR((AE67/10/Z68),0)</f>
        <v>0.88559483086278989</v>
      </c>
      <c r="AA70" s="29"/>
      <c r="AB70" s="29"/>
      <c r="AC70" s="29"/>
      <c r="AD70" s="29"/>
      <c r="AE70" s="30"/>
      <c r="AF70" s="12"/>
      <c r="AG70" s="16" t="s">
        <v>82</v>
      </c>
      <c r="AH70" s="28">
        <f>IFERROR((AM67/10/AH68),0)</f>
        <v>0</v>
      </c>
      <c r="AI70" s="29"/>
      <c r="AJ70" s="29"/>
      <c r="AK70" s="29"/>
      <c r="AL70" s="29"/>
      <c r="AM70" s="30"/>
      <c r="AN70" s="12"/>
      <c r="AO70" s="16" t="s">
        <v>82</v>
      </c>
      <c r="AP70" s="28">
        <f>IFERROR((AU67/10/AP68),0)</f>
        <v>0</v>
      </c>
      <c r="AQ70" s="29"/>
      <c r="AR70" s="29"/>
      <c r="AS70" s="29"/>
      <c r="AT70" s="29"/>
      <c r="AU70" s="30"/>
      <c r="AV70" s="12"/>
      <c r="AW70" s="16" t="s">
        <v>82</v>
      </c>
      <c r="AX70" s="28">
        <f>IFERROR((BC67/10/AX68),0)</f>
        <v>0</v>
      </c>
      <c r="AY70" s="29"/>
      <c r="AZ70" s="29"/>
      <c r="BA70" s="29"/>
      <c r="BB70" s="29"/>
      <c r="BC70" s="30"/>
      <c r="BD70" s="12"/>
      <c r="BE70" s="16" t="s">
        <v>82</v>
      </c>
      <c r="BF70" s="28">
        <f>IFERROR((BK67/10/BF68),0)</f>
        <v>0</v>
      </c>
      <c r="BG70" s="29"/>
      <c r="BH70" s="29"/>
      <c r="BI70" s="29"/>
      <c r="BJ70" s="29"/>
      <c r="BK70" s="30"/>
      <c r="BL70" s="12"/>
    </row>
    <row r="71" spans="1:64" x14ac:dyDescent="0.25">
      <c r="A71" s="16" t="s">
        <v>78</v>
      </c>
      <c r="B71" s="28">
        <f>IFERROR((9.82 * F67) * LN(B68/B69),0)</f>
        <v>2861.0862614258085</v>
      </c>
      <c r="C71" s="29"/>
      <c r="D71" s="29"/>
      <c r="E71" s="29"/>
      <c r="F71" s="29"/>
      <c r="G71" s="30"/>
      <c r="H71" s="12"/>
      <c r="I71" s="16" t="s">
        <v>78</v>
      </c>
      <c r="J71" s="28">
        <f>IFERROR((9.82 * N67) * LN(J68/J69),0)</f>
        <v>0</v>
      </c>
      <c r="K71" s="29"/>
      <c r="L71" s="29"/>
      <c r="M71" s="29"/>
      <c r="N71" s="29"/>
      <c r="O71" s="30"/>
      <c r="P71" s="12"/>
      <c r="Q71" s="16" t="s">
        <v>78</v>
      </c>
      <c r="R71" s="28">
        <f>IFERROR((9.82 * V67) * LN(R68/R69),0)</f>
        <v>0</v>
      </c>
      <c r="S71" s="29"/>
      <c r="T71" s="29"/>
      <c r="U71" s="29"/>
      <c r="V71" s="29"/>
      <c r="W71" s="30"/>
      <c r="X71" s="12"/>
      <c r="Y71" s="16" t="s">
        <v>78</v>
      </c>
      <c r="Z71" s="28">
        <f>IFERROR((9.82 * AD67) * LN(Z68/Z69),0)</f>
        <v>2541.2786761037046</v>
      </c>
      <c r="AA71" s="29"/>
      <c r="AB71" s="29"/>
      <c r="AC71" s="29"/>
      <c r="AD71" s="29"/>
      <c r="AE71" s="30"/>
      <c r="AF71" s="12"/>
      <c r="AG71" s="16" t="s">
        <v>78</v>
      </c>
      <c r="AH71" s="28">
        <f>IFERROR((9.82 * AL67) * LN(AH68/AH69),0)</f>
        <v>0</v>
      </c>
      <c r="AI71" s="29"/>
      <c r="AJ71" s="29"/>
      <c r="AK71" s="29"/>
      <c r="AL71" s="29"/>
      <c r="AM71" s="30"/>
      <c r="AN71" s="12"/>
      <c r="AO71" s="16" t="s">
        <v>78</v>
      </c>
      <c r="AP71" s="28">
        <f>IFERROR((9.82 * AT67) * LN(AP68/AP69),0)</f>
        <v>0</v>
      </c>
      <c r="AQ71" s="29"/>
      <c r="AR71" s="29"/>
      <c r="AS71" s="29"/>
      <c r="AT71" s="29"/>
      <c r="AU71" s="30"/>
      <c r="AV71" s="12"/>
      <c r="AW71" s="16" t="s">
        <v>78</v>
      </c>
      <c r="AX71" s="28">
        <f>IFERROR((9.82 * BB67) * LN(AX68/AX69),0)</f>
        <v>0</v>
      </c>
      <c r="AY71" s="29"/>
      <c r="AZ71" s="29"/>
      <c r="BA71" s="29"/>
      <c r="BB71" s="29"/>
      <c r="BC71" s="30"/>
      <c r="BD71" s="12"/>
      <c r="BE71" s="16" t="s">
        <v>78</v>
      </c>
      <c r="BF71" s="28">
        <f>IFERROR((9.82 * BJ67) * LN(BF68/BF69),0)</f>
        <v>0</v>
      </c>
      <c r="BG71" s="29"/>
      <c r="BH71" s="29"/>
      <c r="BI71" s="29"/>
      <c r="BJ71" s="29"/>
      <c r="BK71" s="30"/>
      <c r="BL71" s="12"/>
    </row>
    <row r="72" spans="1:64" ht="15.75" thickBot="1" x14ac:dyDescent="0.3">
      <c r="A72" s="17" t="s">
        <v>80</v>
      </c>
      <c r="B72" s="31">
        <f>B71+B48</f>
        <v>6557.9792838663952</v>
      </c>
      <c r="C72" s="32"/>
      <c r="D72" s="32"/>
      <c r="E72" s="32"/>
      <c r="F72" s="32"/>
      <c r="G72" s="33"/>
      <c r="H72" s="12"/>
      <c r="I72" s="17" t="s">
        <v>80</v>
      </c>
      <c r="J72" s="31">
        <f>J71+J48</f>
        <v>2273.9043614949469</v>
      </c>
      <c r="K72" s="32"/>
      <c r="L72" s="32"/>
      <c r="M72" s="32"/>
      <c r="N72" s="32"/>
      <c r="O72" s="33"/>
      <c r="P72" s="12"/>
      <c r="Q72" s="17" t="s">
        <v>80</v>
      </c>
      <c r="R72" s="31">
        <f>R71+R48</f>
        <v>1954.0129311710189</v>
      </c>
      <c r="S72" s="32"/>
      <c r="T72" s="32"/>
      <c r="U72" s="32"/>
      <c r="V72" s="32"/>
      <c r="W72" s="33"/>
      <c r="X72" s="12"/>
      <c r="Y72" s="17" t="s">
        <v>80</v>
      </c>
      <c r="Z72" s="31">
        <f>Z71+Z48</f>
        <v>3942.1927918816928</v>
      </c>
      <c r="AA72" s="32"/>
      <c r="AB72" s="32"/>
      <c r="AC72" s="32"/>
      <c r="AD72" s="32"/>
      <c r="AE72" s="33"/>
      <c r="AF72" s="12"/>
      <c r="AG72" s="17" t="s">
        <v>80</v>
      </c>
      <c r="AH72" s="31">
        <f>AH71+AH48</f>
        <v>0</v>
      </c>
      <c r="AI72" s="32"/>
      <c r="AJ72" s="32"/>
      <c r="AK72" s="32"/>
      <c r="AL72" s="32"/>
      <c r="AM72" s="33"/>
      <c r="AN72" s="12"/>
      <c r="AO72" s="17" t="s">
        <v>80</v>
      </c>
      <c r="AP72" s="31">
        <f>AP71+AP48</f>
        <v>0</v>
      </c>
      <c r="AQ72" s="32"/>
      <c r="AR72" s="32"/>
      <c r="AS72" s="32"/>
      <c r="AT72" s="32"/>
      <c r="AU72" s="33"/>
      <c r="AV72" s="12"/>
      <c r="AW72" s="17" t="s">
        <v>80</v>
      </c>
      <c r="AX72" s="31">
        <f>AX71+AX48</f>
        <v>0</v>
      </c>
      <c r="AY72" s="32"/>
      <c r="AZ72" s="32"/>
      <c r="BA72" s="32"/>
      <c r="BB72" s="32"/>
      <c r="BC72" s="33"/>
      <c r="BD72" s="12"/>
      <c r="BE72" s="17" t="s">
        <v>80</v>
      </c>
      <c r="BF72" s="31">
        <f>BF71+BF48</f>
        <v>0</v>
      </c>
      <c r="BG72" s="32"/>
      <c r="BH72" s="32"/>
      <c r="BI72" s="32"/>
      <c r="BJ72" s="32"/>
      <c r="BK72" s="3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209</v>
      </c>
      <c r="B75" s="6">
        <v>2</v>
      </c>
      <c r="C75" s="4">
        <f>IFERROR(VLOOKUP(A75,parts!$A$2:$Z$300,11,FALSE)*B75,0)</f>
        <v>22.776546738526001</v>
      </c>
      <c r="D75" s="4">
        <f>IFERROR(VLOOKUP(A75,parts!$A$2:$Z$300,12,FALSE)*B75,0)</f>
        <v>136.65928043115599</v>
      </c>
      <c r="E75" s="4">
        <f>IFERROR(VLOOKUP(A75,parts!$A$2:$Z$300,13,FALSE)*B75,0)</f>
        <v>159.435827169682</v>
      </c>
      <c r="F75" s="4">
        <f>IFERROR(VLOOKUP(A75,parts!$A$2:$Z$300,5,FALSE),0)</f>
        <v>220</v>
      </c>
      <c r="G75" s="4">
        <f>IFERROR(VLOOKUP(A75,parts!$A$2:$Z$300,6,FALSE)*B75,0)</f>
        <v>9800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194</v>
      </c>
      <c r="Z75" s="6">
        <v>2</v>
      </c>
      <c r="AA75" s="4">
        <f>IFERROR(VLOOKUP(Y75,parts!$A$2:$Z$300,11,FALSE)*Z75,0)</f>
        <v>56.941366846314999</v>
      </c>
      <c r="AB75" s="4">
        <f>IFERROR(VLOOKUP(Y75,parts!$A$2:$Z$300,12,FALSE)*Z75,0)</f>
        <v>341.64820107789001</v>
      </c>
      <c r="AC75" s="4">
        <f>IFERROR(VLOOKUP(Y75,parts!$A$2:$Z$300,13,FALSE)*Z75,0)</f>
        <v>398.58956792420503</v>
      </c>
      <c r="AD75" s="4">
        <f>IFERROR(VLOOKUP(Y75,parts!$A$2:$Z$300,5,FALSE),0)</f>
        <v>220</v>
      </c>
      <c r="AE75" s="4">
        <f>IFERROR(VLOOKUP(Y75,parts!$A$2:$Z$300,6,FALSE)*Z75,0)</f>
        <v>24500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8</v>
      </c>
      <c r="C91" s="4">
        <f>SUM(C75:C89)</f>
        <v>22.776546738526001</v>
      </c>
      <c r="D91" s="4">
        <f>SUM(D75:D89)</f>
        <v>136.65928043115599</v>
      </c>
      <c r="E91" s="4">
        <f>SUM(E75:E89)</f>
        <v>159.435827169682</v>
      </c>
      <c r="F91" s="4">
        <f>LARGE(F75:F89,1)</f>
        <v>220</v>
      </c>
      <c r="G91" s="10">
        <f>SUM(G75:G89)</f>
        <v>9800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10</v>
      </c>
      <c r="AA91" s="4">
        <f>SUM(AA75:AA89)</f>
        <v>56.941366846314999</v>
      </c>
      <c r="AB91" s="4">
        <f>SUM(AB75:AB89)</f>
        <v>341.64820107789001</v>
      </c>
      <c r="AC91" s="4">
        <f>SUM(AC75:AC89)</f>
        <v>398.58956792420503</v>
      </c>
      <c r="AD91" s="4">
        <f>LARGE(AD75:AD89,1)</f>
        <v>220</v>
      </c>
      <c r="AE91" s="10">
        <f>SUM(AE75:AE89)</f>
        <v>24500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8">
        <f>E91+B68</f>
        <v>438.185827169682</v>
      </c>
      <c r="C92" s="29"/>
      <c r="D92" s="29"/>
      <c r="E92" s="29"/>
      <c r="F92" s="29"/>
      <c r="G92" s="30"/>
      <c r="H92" s="12"/>
      <c r="I92" s="16" t="s">
        <v>79</v>
      </c>
      <c r="J92" s="28">
        <f>M91+J68</f>
        <v>26.25</v>
      </c>
      <c r="K92" s="29"/>
      <c r="L92" s="29"/>
      <c r="M92" s="29"/>
      <c r="N92" s="29"/>
      <c r="O92" s="30"/>
      <c r="P92" s="12"/>
      <c r="Q92" s="16" t="s">
        <v>79</v>
      </c>
      <c r="R92" s="28">
        <f>U91+R68</f>
        <v>24.55</v>
      </c>
      <c r="S92" s="29"/>
      <c r="T92" s="29"/>
      <c r="U92" s="29"/>
      <c r="V92" s="29"/>
      <c r="W92" s="30"/>
      <c r="X92" s="12"/>
      <c r="Y92" s="16" t="s">
        <v>79</v>
      </c>
      <c r="Z92" s="28">
        <f>AC91+Z68</f>
        <v>1187.889567924205</v>
      </c>
      <c r="AA92" s="29"/>
      <c r="AB92" s="29"/>
      <c r="AC92" s="29"/>
      <c r="AD92" s="29"/>
      <c r="AE92" s="30"/>
      <c r="AF92" s="12"/>
      <c r="AG92" s="16" t="s">
        <v>79</v>
      </c>
      <c r="AH92" s="28">
        <f>AK91+AH68</f>
        <v>0</v>
      </c>
      <c r="AI92" s="29"/>
      <c r="AJ92" s="29"/>
      <c r="AK92" s="29"/>
      <c r="AL92" s="29"/>
      <c r="AM92" s="30"/>
      <c r="AN92" s="12"/>
      <c r="AO92" s="16" t="s">
        <v>79</v>
      </c>
      <c r="AP92" s="28">
        <f>AS91+AP68</f>
        <v>0</v>
      </c>
      <c r="AQ92" s="29"/>
      <c r="AR92" s="29"/>
      <c r="AS92" s="29"/>
      <c r="AT92" s="29"/>
      <c r="AU92" s="30"/>
      <c r="AV92" s="12"/>
      <c r="AW92" s="16" t="s">
        <v>79</v>
      </c>
      <c r="AX92" s="28">
        <f>BA91+AX68</f>
        <v>0</v>
      </c>
      <c r="AY92" s="29"/>
      <c r="AZ92" s="29"/>
      <c r="BA92" s="29"/>
      <c r="BB92" s="29"/>
      <c r="BC92" s="30"/>
      <c r="BD92" s="12"/>
      <c r="BE92" s="16" t="s">
        <v>79</v>
      </c>
      <c r="BF92" s="28">
        <f>BI91+BF68</f>
        <v>0</v>
      </c>
      <c r="BG92" s="29"/>
      <c r="BH92" s="29"/>
      <c r="BI92" s="29"/>
      <c r="BJ92" s="29"/>
      <c r="BK92" s="30"/>
      <c r="BL92" s="12"/>
    </row>
    <row r="93" spans="1:64" x14ac:dyDescent="0.25">
      <c r="A93" s="16" t="s">
        <v>83</v>
      </c>
      <c r="B93" s="28">
        <f>C91+B68</f>
        <v>301.52654673852601</v>
      </c>
      <c r="C93" s="29"/>
      <c r="D93" s="29"/>
      <c r="E93" s="29"/>
      <c r="F93" s="29"/>
      <c r="G93" s="30"/>
      <c r="H93" s="12"/>
      <c r="I93" s="16" t="s">
        <v>83</v>
      </c>
      <c r="J93" s="28">
        <f>K91+J68</f>
        <v>26.25</v>
      </c>
      <c r="K93" s="29"/>
      <c r="L93" s="29"/>
      <c r="M93" s="29"/>
      <c r="N93" s="29"/>
      <c r="O93" s="30"/>
      <c r="P93" s="12"/>
      <c r="Q93" s="16" t="s">
        <v>83</v>
      </c>
      <c r="R93" s="28">
        <f>S91+R68</f>
        <v>24.55</v>
      </c>
      <c r="S93" s="29"/>
      <c r="T93" s="29"/>
      <c r="U93" s="29"/>
      <c r="V93" s="29"/>
      <c r="W93" s="30"/>
      <c r="X93" s="12"/>
      <c r="Y93" s="16" t="s">
        <v>83</v>
      </c>
      <c r="Z93" s="28">
        <f>AA91+Z68</f>
        <v>846.24136684631492</v>
      </c>
      <c r="AA93" s="29"/>
      <c r="AB93" s="29"/>
      <c r="AC93" s="29"/>
      <c r="AD93" s="29"/>
      <c r="AE93" s="30"/>
      <c r="AF93" s="12"/>
      <c r="AG93" s="16" t="s">
        <v>83</v>
      </c>
      <c r="AH93" s="28">
        <f>AI91+AH68</f>
        <v>0</v>
      </c>
      <c r="AI93" s="29"/>
      <c r="AJ93" s="29"/>
      <c r="AK93" s="29"/>
      <c r="AL93" s="29"/>
      <c r="AM93" s="30"/>
      <c r="AN93" s="12"/>
      <c r="AO93" s="16" t="s">
        <v>83</v>
      </c>
      <c r="AP93" s="28">
        <f>AQ91+AP68</f>
        <v>0</v>
      </c>
      <c r="AQ93" s="29"/>
      <c r="AR93" s="29"/>
      <c r="AS93" s="29"/>
      <c r="AT93" s="29"/>
      <c r="AU93" s="30"/>
      <c r="AV93" s="12"/>
      <c r="AW93" s="16" t="s">
        <v>83</v>
      </c>
      <c r="AX93" s="28">
        <f>AY91+AX68</f>
        <v>0</v>
      </c>
      <c r="AY93" s="29"/>
      <c r="AZ93" s="29"/>
      <c r="BA93" s="29"/>
      <c r="BB93" s="29"/>
      <c r="BC93" s="30"/>
      <c r="BD93" s="12"/>
      <c r="BE93" s="16" t="s">
        <v>83</v>
      </c>
      <c r="BF93" s="28">
        <f>BG91+BF68</f>
        <v>0</v>
      </c>
      <c r="BG93" s="29"/>
      <c r="BH93" s="29"/>
      <c r="BI93" s="29"/>
      <c r="BJ93" s="29"/>
      <c r="BK93" s="30"/>
      <c r="BL93" s="12"/>
    </row>
    <row r="94" spans="1:64" x14ac:dyDescent="0.25">
      <c r="A94" s="16" t="s">
        <v>82</v>
      </c>
      <c r="B94" s="28">
        <f>IFERROR((G91/10/B92),0)</f>
        <v>2.2364940608188753</v>
      </c>
      <c r="C94" s="29"/>
      <c r="D94" s="29"/>
      <c r="E94" s="29"/>
      <c r="F94" s="29"/>
      <c r="G94" s="30"/>
      <c r="H94" s="12"/>
      <c r="I94" s="16" t="s">
        <v>82</v>
      </c>
      <c r="J94" s="28">
        <f>IFERROR((O91/10/J92),0)</f>
        <v>0</v>
      </c>
      <c r="K94" s="29"/>
      <c r="L94" s="29"/>
      <c r="M94" s="29"/>
      <c r="N94" s="29"/>
      <c r="O94" s="30"/>
      <c r="P94" s="12"/>
      <c r="Q94" s="16" t="s">
        <v>82</v>
      </c>
      <c r="R94" s="28">
        <f>IFERROR((W91/10/R92),0)</f>
        <v>0</v>
      </c>
      <c r="S94" s="29"/>
      <c r="T94" s="29"/>
      <c r="U94" s="29"/>
      <c r="V94" s="29"/>
      <c r="W94" s="30"/>
      <c r="X94" s="12"/>
      <c r="Y94" s="16" t="s">
        <v>82</v>
      </c>
      <c r="Z94" s="28">
        <f>IFERROR((AE91/10/Z92),0)</f>
        <v>2.0624812829035011</v>
      </c>
      <c r="AA94" s="29"/>
      <c r="AB94" s="29"/>
      <c r="AC94" s="29"/>
      <c r="AD94" s="29"/>
      <c r="AE94" s="30"/>
      <c r="AF94" s="12"/>
      <c r="AG94" s="16" t="s">
        <v>82</v>
      </c>
      <c r="AH94" s="28">
        <f>IFERROR((AM91/10/AH92),0)</f>
        <v>0</v>
      </c>
      <c r="AI94" s="29"/>
      <c r="AJ94" s="29"/>
      <c r="AK94" s="29"/>
      <c r="AL94" s="29"/>
      <c r="AM94" s="30"/>
      <c r="AN94" s="12"/>
      <c r="AO94" s="16" t="s">
        <v>82</v>
      </c>
      <c r="AP94" s="28">
        <f>IFERROR((AU91/10/AP92),0)</f>
        <v>0</v>
      </c>
      <c r="AQ94" s="29"/>
      <c r="AR94" s="29"/>
      <c r="AS94" s="29"/>
      <c r="AT94" s="29"/>
      <c r="AU94" s="30"/>
      <c r="AV94" s="12"/>
      <c r="AW94" s="16" t="s">
        <v>82</v>
      </c>
      <c r="AX94" s="28">
        <f>IFERROR((BC91/10/AX92),0)</f>
        <v>0</v>
      </c>
      <c r="AY94" s="29"/>
      <c r="AZ94" s="29"/>
      <c r="BA94" s="29"/>
      <c r="BB94" s="29"/>
      <c r="BC94" s="30"/>
      <c r="BD94" s="12"/>
      <c r="BE94" s="16" t="s">
        <v>82</v>
      </c>
      <c r="BF94" s="28">
        <f>IFERROR((BK91/10/BF92),0)</f>
        <v>0</v>
      </c>
      <c r="BG94" s="29"/>
      <c r="BH94" s="29"/>
      <c r="BI94" s="29"/>
      <c r="BJ94" s="29"/>
      <c r="BK94" s="30"/>
      <c r="BL94" s="12"/>
    </row>
    <row r="95" spans="1:64" x14ac:dyDescent="0.25">
      <c r="A95" s="16" t="s">
        <v>78</v>
      </c>
      <c r="B95" s="28">
        <f>IFERROR((9.82 * F91) * LN(B92/B93),0)</f>
        <v>807.52516189970925</v>
      </c>
      <c r="C95" s="29"/>
      <c r="D95" s="29"/>
      <c r="E95" s="29"/>
      <c r="F95" s="29"/>
      <c r="G95" s="30"/>
      <c r="H95" s="12"/>
      <c r="I95" s="16" t="s">
        <v>78</v>
      </c>
      <c r="J95" s="28">
        <f>IFERROR((9.82 * N91) * LN(J92/J93),0)</f>
        <v>0</v>
      </c>
      <c r="K95" s="29"/>
      <c r="L95" s="29"/>
      <c r="M95" s="29"/>
      <c r="N95" s="29"/>
      <c r="O95" s="30"/>
      <c r="P95" s="12"/>
      <c r="Q95" s="16" t="s">
        <v>78</v>
      </c>
      <c r="R95" s="28">
        <f>IFERROR((9.82 * V91) * LN(R92/R93),0)</f>
        <v>0</v>
      </c>
      <c r="S95" s="29"/>
      <c r="T95" s="29"/>
      <c r="U95" s="29"/>
      <c r="V95" s="29"/>
      <c r="W95" s="30"/>
      <c r="X95" s="12"/>
      <c r="Y95" s="16" t="s">
        <v>78</v>
      </c>
      <c r="Z95" s="28">
        <f>IFERROR((9.82 * AD91) * LN(Z92/Z93),0)</f>
        <v>732.65411184044888</v>
      </c>
      <c r="AA95" s="29"/>
      <c r="AB95" s="29"/>
      <c r="AC95" s="29"/>
      <c r="AD95" s="29"/>
      <c r="AE95" s="30"/>
      <c r="AF95" s="12"/>
      <c r="AG95" s="16" t="s">
        <v>78</v>
      </c>
      <c r="AH95" s="28">
        <f>IFERROR((9.82 * AL91) * LN(AH92/AH93),0)</f>
        <v>0</v>
      </c>
      <c r="AI95" s="29"/>
      <c r="AJ95" s="29"/>
      <c r="AK95" s="29"/>
      <c r="AL95" s="29"/>
      <c r="AM95" s="30"/>
      <c r="AN95" s="12"/>
      <c r="AO95" s="16" t="s">
        <v>78</v>
      </c>
      <c r="AP95" s="28">
        <f>IFERROR((9.82 * AT91) * LN(AP92/AP93),0)</f>
        <v>0</v>
      </c>
      <c r="AQ95" s="29"/>
      <c r="AR95" s="29"/>
      <c r="AS95" s="29"/>
      <c r="AT95" s="29"/>
      <c r="AU95" s="30"/>
      <c r="AV95" s="12"/>
      <c r="AW95" s="16" t="s">
        <v>78</v>
      </c>
      <c r="AX95" s="28">
        <f>IFERROR((9.82 * BB91) * LN(AX92/AX93),0)</f>
        <v>0</v>
      </c>
      <c r="AY95" s="29"/>
      <c r="AZ95" s="29"/>
      <c r="BA95" s="29"/>
      <c r="BB95" s="29"/>
      <c r="BC95" s="30"/>
      <c r="BD95" s="12"/>
      <c r="BE95" s="16" t="s">
        <v>78</v>
      </c>
      <c r="BF95" s="28">
        <f>IFERROR((9.82 * BJ91) * LN(BF92/BF93),0)</f>
        <v>0</v>
      </c>
      <c r="BG95" s="29"/>
      <c r="BH95" s="29"/>
      <c r="BI95" s="29"/>
      <c r="BJ95" s="29"/>
      <c r="BK95" s="30"/>
      <c r="BL95" s="12"/>
    </row>
    <row r="96" spans="1:64" ht="15.75" thickBot="1" x14ac:dyDescent="0.3">
      <c r="A96" s="17" t="s">
        <v>80</v>
      </c>
      <c r="B96" s="31">
        <f>B95+B72</f>
        <v>7365.5044457661043</v>
      </c>
      <c r="C96" s="32"/>
      <c r="D96" s="32"/>
      <c r="E96" s="32"/>
      <c r="F96" s="32"/>
      <c r="G96" s="33"/>
      <c r="H96" s="12"/>
      <c r="I96" s="17" t="s">
        <v>80</v>
      </c>
      <c r="J96" s="31">
        <f>J95+J72</f>
        <v>2273.9043614949469</v>
      </c>
      <c r="K96" s="32"/>
      <c r="L96" s="32"/>
      <c r="M96" s="32"/>
      <c r="N96" s="32"/>
      <c r="O96" s="33"/>
      <c r="P96" s="12"/>
      <c r="Q96" s="17" t="s">
        <v>80</v>
      </c>
      <c r="R96" s="31">
        <f>R95+R72</f>
        <v>1954.0129311710189</v>
      </c>
      <c r="S96" s="32"/>
      <c r="T96" s="32"/>
      <c r="U96" s="32"/>
      <c r="V96" s="32"/>
      <c r="W96" s="33"/>
      <c r="X96" s="12"/>
      <c r="Y96" s="17" t="s">
        <v>80</v>
      </c>
      <c r="Z96" s="31">
        <f>Z95+Z72</f>
        <v>4674.8469037221421</v>
      </c>
      <c r="AA96" s="32"/>
      <c r="AB96" s="32"/>
      <c r="AC96" s="32"/>
      <c r="AD96" s="32"/>
      <c r="AE96" s="33"/>
      <c r="AF96" s="12"/>
      <c r="AG96" s="17" t="s">
        <v>80</v>
      </c>
      <c r="AH96" s="31">
        <f>AH95+AH72</f>
        <v>0</v>
      </c>
      <c r="AI96" s="32"/>
      <c r="AJ96" s="32"/>
      <c r="AK96" s="32"/>
      <c r="AL96" s="32"/>
      <c r="AM96" s="33"/>
      <c r="AN96" s="12"/>
      <c r="AO96" s="17" t="s">
        <v>80</v>
      </c>
      <c r="AP96" s="31">
        <f>AP95+AP72</f>
        <v>0</v>
      </c>
      <c r="AQ96" s="32"/>
      <c r="AR96" s="32"/>
      <c r="AS96" s="32"/>
      <c r="AT96" s="32"/>
      <c r="AU96" s="33"/>
      <c r="AV96" s="12"/>
      <c r="AW96" s="17" t="s">
        <v>80</v>
      </c>
      <c r="AX96" s="31">
        <f>AX95+AX72</f>
        <v>0</v>
      </c>
      <c r="AY96" s="32"/>
      <c r="AZ96" s="32"/>
      <c r="BA96" s="32"/>
      <c r="BB96" s="32"/>
      <c r="BC96" s="33"/>
      <c r="BD96" s="12"/>
      <c r="BE96" s="17" t="s">
        <v>80</v>
      </c>
      <c r="BF96" s="31">
        <f>BF95+BF72</f>
        <v>0</v>
      </c>
      <c r="BG96" s="32"/>
      <c r="BH96" s="32"/>
      <c r="BI96" s="32"/>
      <c r="BJ96" s="32"/>
      <c r="BK96" s="3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8">
        <f>E115+B92</f>
        <v>438.185827169682</v>
      </c>
      <c r="C116" s="29"/>
      <c r="D116" s="29"/>
      <c r="E116" s="29"/>
      <c r="F116" s="29"/>
      <c r="G116" s="30"/>
      <c r="H116" s="12"/>
      <c r="I116" s="16" t="s">
        <v>79</v>
      </c>
      <c r="J116" s="28">
        <f>M115+J92</f>
        <v>26.25</v>
      </c>
      <c r="K116" s="29"/>
      <c r="L116" s="29"/>
      <c r="M116" s="29"/>
      <c r="N116" s="29"/>
      <c r="O116" s="30"/>
      <c r="P116" s="12"/>
      <c r="Q116" s="16" t="s">
        <v>79</v>
      </c>
      <c r="R116" s="28">
        <f>U115+R92</f>
        <v>24.55</v>
      </c>
      <c r="S116" s="29"/>
      <c r="T116" s="29"/>
      <c r="U116" s="29"/>
      <c r="V116" s="29"/>
      <c r="W116" s="30"/>
      <c r="X116" s="12"/>
      <c r="Y116" s="16" t="s">
        <v>79</v>
      </c>
      <c r="Z116" s="28">
        <f>AC115+Z92</f>
        <v>1187.889567924205</v>
      </c>
      <c r="AA116" s="29"/>
      <c r="AB116" s="29"/>
      <c r="AC116" s="29"/>
      <c r="AD116" s="29"/>
      <c r="AE116" s="30"/>
      <c r="AF116" s="12"/>
      <c r="AG116" s="16" t="s">
        <v>79</v>
      </c>
      <c r="AH116" s="28">
        <f>AK115+AH92</f>
        <v>0</v>
      </c>
      <c r="AI116" s="29"/>
      <c r="AJ116" s="29"/>
      <c r="AK116" s="29"/>
      <c r="AL116" s="29"/>
      <c r="AM116" s="30"/>
      <c r="AN116" s="12"/>
      <c r="AO116" s="16" t="s">
        <v>79</v>
      </c>
      <c r="AP116" s="28">
        <f>AS115+AP92</f>
        <v>0</v>
      </c>
      <c r="AQ116" s="29"/>
      <c r="AR116" s="29"/>
      <c r="AS116" s="29"/>
      <c r="AT116" s="29"/>
      <c r="AU116" s="30"/>
      <c r="AV116" s="12"/>
      <c r="AW116" s="16" t="s">
        <v>79</v>
      </c>
      <c r="AX116" s="28">
        <f>BA115+AX92</f>
        <v>0</v>
      </c>
      <c r="AY116" s="29"/>
      <c r="AZ116" s="29"/>
      <c r="BA116" s="29"/>
      <c r="BB116" s="29"/>
      <c r="BC116" s="30"/>
      <c r="BD116" s="12"/>
      <c r="BE116" s="16" t="s">
        <v>79</v>
      </c>
      <c r="BF116" s="28">
        <f>BI115+BF92</f>
        <v>0</v>
      </c>
      <c r="BG116" s="29"/>
      <c r="BH116" s="29"/>
      <c r="BI116" s="29"/>
      <c r="BJ116" s="29"/>
      <c r="BK116" s="30"/>
      <c r="BL116" s="12"/>
    </row>
    <row r="117" spans="1:64" x14ac:dyDescent="0.25">
      <c r="A117" s="16" t="s">
        <v>83</v>
      </c>
      <c r="B117" s="28">
        <f>C115+B92</f>
        <v>438.185827169682</v>
      </c>
      <c r="C117" s="29"/>
      <c r="D117" s="29"/>
      <c r="E117" s="29"/>
      <c r="F117" s="29"/>
      <c r="G117" s="30"/>
      <c r="H117" s="12"/>
      <c r="I117" s="16" t="s">
        <v>83</v>
      </c>
      <c r="J117" s="28">
        <f>K115+J92</f>
        <v>26.25</v>
      </c>
      <c r="K117" s="29"/>
      <c r="L117" s="29"/>
      <c r="M117" s="29"/>
      <c r="N117" s="29"/>
      <c r="O117" s="30"/>
      <c r="P117" s="12"/>
      <c r="Q117" s="16" t="s">
        <v>83</v>
      </c>
      <c r="R117" s="28">
        <f>S115+R92</f>
        <v>24.55</v>
      </c>
      <c r="S117" s="29"/>
      <c r="T117" s="29"/>
      <c r="U117" s="29"/>
      <c r="V117" s="29"/>
      <c r="W117" s="30"/>
      <c r="X117" s="12"/>
      <c r="Y117" s="16" t="s">
        <v>83</v>
      </c>
      <c r="Z117" s="28">
        <f>AA115+Z92</f>
        <v>1187.889567924205</v>
      </c>
      <c r="AA117" s="29"/>
      <c r="AB117" s="29"/>
      <c r="AC117" s="29"/>
      <c r="AD117" s="29"/>
      <c r="AE117" s="30"/>
      <c r="AF117" s="12"/>
      <c r="AG117" s="16" t="s">
        <v>83</v>
      </c>
      <c r="AH117" s="28">
        <f>AI115+AH92</f>
        <v>0</v>
      </c>
      <c r="AI117" s="29"/>
      <c r="AJ117" s="29"/>
      <c r="AK117" s="29"/>
      <c r="AL117" s="29"/>
      <c r="AM117" s="30"/>
      <c r="AN117" s="12"/>
      <c r="AO117" s="16" t="s">
        <v>83</v>
      </c>
      <c r="AP117" s="28">
        <f>AQ115+AP92</f>
        <v>0</v>
      </c>
      <c r="AQ117" s="29"/>
      <c r="AR117" s="29"/>
      <c r="AS117" s="29"/>
      <c r="AT117" s="29"/>
      <c r="AU117" s="30"/>
      <c r="AV117" s="12"/>
      <c r="AW117" s="16" t="s">
        <v>83</v>
      </c>
      <c r="AX117" s="28">
        <f>AY115+AX92</f>
        <v>0</v>
      </c>
      <c r="AY117" s="29"/>
      <c r="AZ117" s="29"/>
      <c r="BA117" s="29"/>
      <c r="BB117" s="29"/>
      <c r="BC117" s="30"/>
      <c r="BD117" s="12"/>
      <c r="BE117" s="16" t="s">
        <v>83</v>
      </c>
      <c r="BF117" s="28">
        <f>BG115+BF92</f>
        <v>0</v>
      </c>
      <c r="BG117" s="29"/>
      <c r="BH117" s="29"/>
      <c r="BI117" s="29"/>
      <c r="BJ117" s="29"/>
      <c r="BK117" s="30"/>
      <c r="BL117" s="12"/>
    </row>
    <row r="118" spans="1:64" x14ac:dyDescent="0.25">
      <c r="A118" s="16" t="s">
        <v>82</v>
      </c>
      <c r="B118" s="28">
        <f>IFERROR((G115/10/B116),0)</f>
        <v>0</v>
      </c>
      <c r="C118" s="29"/>
      <c r="D118" s="29"/>
      <c r="E118" s="29"/>
      <c r="F118" s="29"/>
      <c r="G118" s="30"/>
      <c r="H118" s="12"/>
      <c r="I118" s="16" t="s">
        <v>82</v>
      </c>
      <c r="J118" s="28">
        <f>IFERROR((O115/10/J116),0)</f>
        <v>0</v>
      </c>
      <c r="K118" s="29"/>
      <c r="L118" s="29"/>
      <c r="M118" s="29"/>
      <c r="N118" s="29"/>
      <c r="O118" s="30"/>
      <c r="P118" s="12"/>
      <c r="Q118" s="16" t="s">
        <v>82</v>
      </c>
      <c r="R118" s="28">
        <f>IFERROR((W115/10/R116),0)</f>
        <v>0</v>
      </c>
      <c r="S118" s="29"/>
      <c r="T118" s="29"/>
      <c r="U118" s="29"/>
      <c r="V118" s="29"/>
      <c r="W118" s="30"/>
      <c r="X118" s="12"/>
      <c r="Y118" s="16" t="s">
        <v>82</v>
      </c>
      <c r="Z118" s="28">
        <f>IFERROR((AE115/10/Z116),0)</f>
        <v>0</v>
      </c>
      <c r="AA118" s="29"/>
      <c r="AB118" s="29"/>
      <c r="AC118" s="29"/>
      <c r="AD118" s="29"/>
      <c r="AE118" s="30"/>
      <c r="AF118" s="12"/>
      <c r="AG118" s="16" t="s">
        <v>82</v>
      </c>
      <c r="AH118" s="28">
        <f>IFERROR((AM115/10/AH116),0)</f>
        <v>0</v>
      </c>
      <c r="AI118" s="29"/>
      <c r="AJ118" s="29"/>
      <c r="AK118" s="29"/>
      <c r="AL118" s="29"/>
      <c r="AM118" s="30"/>
      <c r="AN118" s="12"/>
      <c r="AO118" s="16" t="s">
        <v>82</v>
      </c>
      <c r="AP118" s="28">
        <f>IFERROR((AU115/10/AP116),0)</f>
        <v>0</v>
      </c>
      <c r="AQ118" s="29"/>
      <c r="AR118" s="29"/>
      <c r="AS118" s="29"/>
      <c r="AT118" s="29"/>
      <c r="AU118" s="30"/>
      <c r="AV118" s="12"/>
      <c r="AW118" s="16" t="s">
        <v>82</v>
      </c>
      <c r="AX118" s="28">
        <f>IFERROR((BC115/10/AX116),0)</f>
        <v>0</v>
      </c>
      <c r="AY118" s="29"/>
      <c r="AZ118" s="29"/>
      <c r="BA118" s="29"/>
      <c r="BB118" s="29"/>
      <c r="BC118" s="30"/>
      <c r="BD118" s="12"/>
      <c r="BE118" s="16" t="s">
        <v>82</v>
      </c>
      <c r="BF118" s="28">
        <f>IFERROR((BK115/10/BF116),0)</f>
        <v>0</v>
      </c>
      <c r="BG118" s="29"/>
      <c r="BH118" s="29"/>
      <c r="BI118" s="29"/>
      <c r="BJ118" s="29"/>
      <c r="BK118" s="30"/>
      <c r="BL118" s="12"/>
    </row>
    <row r="119" spans="1:64" x14ac:dyDescent="0.25">
      <c r="A119" s="16" t="s">
        <v>78</v>
      </c>
      <c r="B119" s="28">
        <f>IFERROR((9.82 * F115) * LN(B116/B117),0)</f>
        <v>0</v>
      </c>
      <c r="C119" s="29"/>
      <c r="D119" s="29"/>
      <c r="E119" s="29"/>
      <c r="F119" s="29"/>
      <c r="G119" s="30"/>
      <c r="H119" s="12"/>
      <c r="I119" s="16" t="s">
        <v>78</v>
      </c>
      <c r="J119" s="28">
        <f>IFERROR((9.82 * N115) * LN(J116/J117),0)</f>
        <v>0</v>
      </c>
      <c r="K119" s="29"/>
      <c r="L119" s="29"/>
      <c r="M119" s="29"/>
      <c r="N119" s="29"/>
      <c r="O119" s="30"/>
      <c r="P119" s="12"/>
      <c r="Q119" s="16" t="s">
        <v>78</v>
      </c>
      <c r="R119" s="28">
        <f>IFERROR((9.82 * V115) * LN(R116/R117),0)</f>
        <v>0</v>
      </c>
      <c r="S119" s="29"/>
      <c r="T119" s="29"/>
      <c r="U119" s="29"/>
      <c r="V119" s="29"/>
      <c r="W119" s="30"/>
      <c r="X119" s="12"/>
      <c r="Y119" s="16" t="s">
        <v>78</v>
      </c>
      <c r="Z119" s="28">
        <f>IFERROR((9.82 * AD115) * LN(Z116/Z117),0)</f>
        <v>0</v>
      </c>
      <c r="AA119" s="29"/>
      <c r="AB119" s="29"/>
      <c r="AC119" s="29"/>
      <c r="AD119" s="29"/>
      <c r="AE119" s="30"/>
      <c r="AF119" s="12"/>
      <c r="AG119" s="16" t="s">
        <v>78</v>
      </c>
      <c r="AH119" s="28">
        <f>IFERROR((9.82 * AL115) * LN(AH116/AH117),0)</f>
        <v>0</v>
      </c>
      <c r="AI119" s="29"/>
      <c r="AJ119" s="29"/>
      <c r="AK119" s="29"/>
      <c r="AL119" s="29"/>
      <c r="AM119" s="30"/>
      <c r="AN119" s="12"/>
      <c r="AO119" s="16" t="s">
        <v>78</v>
      </c>
      <c r="AP119" s="28">
        <f>IFERROR((9.82 * AT115) * LN(AP116/AP117),0)</f>
        <v>0</v>
      </c>
      <c r="AQ119" s="29"/>
      <c r="AR119" s="29"/>
      <c r="AS119" s="29"/>
      <c r="AT119" s="29"/>
      <c r="AU119" s="30"/>
      <c r="AV119" s="12"/>
      <c r="AW119" s="16" t="s">
        <v>78</v>
      </c>
      <c r="AX119" s="28">
        <f>IFERROR((9.82 * BB115) * LN(AX116/AX117),0)</f>
        <v>0</v>
      </c>
      <c r="AY119" s="29"/>
      <c r="AZ119" s="29"/>
      <c r="BA119" s="29"/>
      <c r="BB119" s="29"/>
      <c r="BC119" s="30"/>
      <c r="BD119" s="12"/>
      <c r="BE119" s="16" t="s">
        <v>78</v>
      </c>
      <c r="BF119" s="28">
        <f>IFERROR((9.82 * BJ115) * LN(BF116/BF117),0)</f>
        <v>0</v>
      </c>
      <c r="BG119" s="29"/>
      <c r="BH119" s="29"/>
      <c r="BI119" s="29"/>
      <c r="BJ119" s="29"/>
      <c r="BK119" s="30"/>
      <c r="BL119" s="12"/>
    </row>
    <row r="120" spans="1:64" ht="15.75" thickBot="1" x14ac:dyDescent="0.3">
      <c r="A120" s="17" t="s">
        <v>80</v>
      </c>
      <c r="B120" s="31">
        <f>B119+B96</f>
        <v>7365.5044457661043</v>
      </c>
      <c r="C120" s="32"/>
      <c r="D120" s="32"/>
      <c r="E120" s="32"/>
      <c r="F120" s="32"/>
      <c r="G120" s="33"/>
      <c r="H120" s="12"/>
      <c r="I120" s="17" t="s">
        <v>80</v>
      </c>
      <c r="J120" s="31">
        <f>J119+J96</f>
        <v>2273.9043614949469</v>
      </c>
      <c r="K120" s="32"/>
      <c r="L120" s="32"/>
      <c r="M120" s="32"/>
      <c r="N120" s="32"/>
      <c r="O120" s="33"/>
      <c r="P120" s="12"/>
      <c r="Q120" s="17" t="s">
        <v>80</v>
      </c>
      <c r="R120" s="31">
        <f>R119+R96</f>
        <v>1954.0129311710189</v>
      </c>
      <c r="S120" s="32"/>
      <c r="T120" s="32"/>
      <c r="U120" s="32"/>
      <c r="V120" s="32"/>
      <c r="W120" s="33"/>
      <c r="X120" s="12"/>
      <c r="Y120" s="17" t="s">
        <v>80</v>
      </c>
      <c r="Z120" s="31">
        <f>Z119+Z96</f>
        <v>4674.8469037221421</v>
      </c>
      <c r="AA120" s="32"/>
      <c r="AB120" s="32"/>
      <c r="AC120" s="32"/>
      <c r="AD120" s="32"/>
      <c r="AE120" s="33"/>
      <c r="AF120" s="12"/>
      <c r="AG120" s="17" t="s">
        <v>80</v>
      </c>
      <c r="AH120" s="31">
        <f>AH119+AH96</f>
        <v>0</v>
      </c>
      <c r="AI120" s="32"/>
      <c r="AJ120" s="32"/>
      <c r="AK120" s="32"/>
      <c r="AL120" s="32"/>
      <c r="AM120" s="33"/>
      <c r="AN120" s="12"/>
      <c r="AO120" s="17" t="s">
        <v>80</v>
      </c>
      <c r="AP120" s="31">
        <f>AP119+AP96</f>
        <v>0</v>
      </c>
      <c r="AQ120" s="32"/>
      <c r="AR120" s="32"/>
      <c r="AS120" s="32"/>
      <c r="AT120" s="32"/>
      <c r="AU120" s="33"/>
      <c r="AV120" s="12"/>
      <c r="AW120" s="17" t="s">
        <v>80</v>
      </c>
      <c r="AX120" s="31">
        <f>AX119+AX96</f>
        <v>0</v>
      </c>
      <c r="AY120" s="32"/>
      <c r="AZ120" s="32"/>
      <c r="BA120" s="32"/>
      <c r="BB120" s="32"/>
      <c r="BC120" s="33"/>
      <c r="BD120" s="12"/>
      <c r="BE120" s="17" t="s">
        <v>80</v>
      </c>
      <c r="BF120" s="31">
        <f>BF119+BF96</f>
        <v>0</v>
      </c>
      <c r="BG120" s="32"/>
      <c r="BH120" s="32"/>
      <c r="BI120" s="32"/>
      <c r="BJ120" s="32"/>
      <c r="BK120" s="33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3" t="s">
        <v>181</v>
      </c>
      <c r="B122" s="24"/>
      <c r="C122" s="24"/>
      <c r="D122" s="24"/>
      <c r="E122" s="24"/>
      <c r="F122" s="24"/>
      <c r="G122" s="25"/>
      <c r="H122" s="12"/>
      <c r="I122" s="23" t="s">
        <v>181</v>
      </c>
      <c r="J122" s="24"/>
      <c r="K122" s="24"/>
      <c r="L122" s="24"/>
      <c r="M122" s="24"/>
      <c r="N122" s="24"/>
      <c r="O122" s="25"/>
      <c r="P122" s="12"/>
      <c r="Q122" s="23" t="s">
        <v>181</v>
      </c>
      <c r="R122" s="24"/>
      <c r="S122" s="24"/>
      <c r="T122" s="24"/>
      <c r="U122" s="24"/>
      <c r="V122" s="24"/>
      <c r="W122" s="25"/>
      <c r="X122" s="12"/>
      <c r="Y122" s="23" t="s">
        <v>181</v>
      </c>
      <c r="Z122" s="24"/>
      <c r="AA122" s="24"/>
      <c r="AB122" s="24"/>
      <c r="AC122" s="24"/>
      <c r="AD122" s="24"/>
      <c r="AE122" s="25"/>
      <c r="AF122" s="12"/>
      <c r="AG122" s="23" t="s">
        <v>181</v>
      </c>
      <c r="AH122" s="24"/>
      <c r="AI122" s="24"/>
      <c r="AJ122" s="24"/>
      <c r="AK122" s="24"/>
      <c r="AL122" s="24"/>
      <c r="AM122" s="25"/>
      <c r="AN122" s="12"/>
      <c r="AO122" s="23" t="s">
        <v>181</v>
      </c>
      <c r="AP122" s="24"/>
      <c r="AQ122" s="24"/>
      <c r="AR122" s="24"/>
      <c r="AS122" s="24"/>
      <c r="AT122" s="24"/>
      <c r="AU122" s="25"/>
      <c r="AV122" s="12"/>
      <c r="AW122" s="23" t="s">
        <v>181</v>
      </c>
      <c r="AX122" s="24"/>
      <c r="AY122" s="24"/>
      <c r="AZ122" s="24"/>
      <c r="BA122" s="24"/>
      <c r="BB122" s="24"/>
      <c r="BC122" s="25"/>
      <c r="BD122" s="12"/>
      <c r="BE122" s="23" t="s">
        <v>181</v>
      </c>
      <c r="BF122" s="24"/>
      <c r="BG122" s="24"/>
      <c r="BH122" s="24"/>
      <c r="BI122" s="24"/>
      <c r="BJ122" s="24"/>
      <c r="BK122" s="25"/>
      <c r="BL122" s="12"/>
    </row>
    <row r="123" spans="1:64" x14ac:dyDescent="0.25">
      <c r="A123" s="26" t="s">
        <v>81</v>
      </c>
      <c r="B123" s="26"/>
      <c r="C123" s="26"/>
      <c r="D123" s="27">
        <f>B115</f>
        <v>8</v>
      </c>
      <c r="E123" s="27"/>
      <c r="F123" s="27"/>
      <c r="G123" s="27"/>
      <c r="H123" s="12"/>
      <c r="I123" s="26" t="s">
        <v>81</v>
      </c>
      <c r="J123" s="26"/>
      <c r="K123" s="26"/>
      <c r="L123" s="27">
        <f>J115</f>
        <v>4</v>
      </c>
      <c r="M123" s="27"/>
      <c r="N123" s="27"/>
      <c r="O123" s="27"/>
      <c r="P123" s="12"/>
      <c r="Q123" s="26" t="s">
        <v>81</v>
      </c>
      <c r="R123" s="26"/>
      <c r="S123" s="26"/>
      <c r="T123" s="27">
        <f>R115</f>
        <v>4</v>
      </c>
      <c r="U123" s="27"/>
      <c r="V123" s="27"/>
      <c r="W123" s="27"/>
      <c r="X123" s="12"/>
      <c r="Y123" s="26" t="s">
        <v>81</v>
      </c>
      <c r="Z123" s="26"/>
      <c r="AA123" s="26"/>
      <c r="AB123" s="27">
        <f>Z115</f>
        <v>10</v>
      </c>
      <c r="AC123" s="27"/>
      <c r="AD123" s="27"/>
      <c r="AE123" s="27"/>
      <c r="AF123" s="12"/>
      <c r="AG123" s="26" t="s">
        <v>81</v>
      </c>
      <c r="AH123" s="26"/>
      <c r="AI123" s="26"/>
      <c r="AJ123" s="27">
        <f>AH115</f>
        <v>0</v>
      </c>
      <c r="AK123" s="27"/>
      <c r="AL123" s="27"/>
      <c r="AM123" s="27"/>
      <c r="AN123" s="12"/>
      <c r="AO123" s="26" t="s">
        <v>81</v>
      </c>
      <c r="AP123" s="26"/>
      <c r="AQ123" s="26"/>
      <c r="AR123" s="27">
        <f>AP115</f>
        <v>0</v>
      </c>
      <c r="AS123" s="27"/>
      <c r="AT123" s="27"/>
      <c r="AU123" s="27"/>
      <c r="AV123" s="12"/>
      <c r="AW123" s="26" t="s">
        <v>81</v>
      </c>
      <c r="AX123" s="26"/>
      <c r="AY123" s="26"/>
      <c r="AZ123" s="27">
        <f>AX115</f>
        <v>0</v>
      </c>
      <c r="BA123" s="27"/>
      <c r="BB123" s="27"/>
      <c r="BC123" s="27"/>
      <c r="BD123" s="12"/>
      <c r="BE123" s="26" t="s">
        <v>81</v>
      </c>
      <c r="BF123" s="26"/>
      <c r="BG123" s="26"/>
      <c r="BH123" s="27">
        <f>BF115</f>
        <v>0</v>
      </c>
      <c r="BI123" s="27"/>
      <c r="BJ123" s="27"/>
      <c r="BK123" s="27"/>
      <c r="BL123" s="12"/>
    </row>
    <row r="124" spans="1:64" x14ac:dyDescent="0.25">
      <c r="A124" s="21" t="s">
        <v>2</v>
      </c>
      <c r="B124" s="21"/>
      <c r="C124" s="21"/>
      <c r="D124" s="22">
        <f>B116</f>
        <v>438.185827169682</v>
      </c>
      <c r="E124" s="22"/>
      <c r="F124" s="22"/>
      <c r="G124" s="22"/>
      <c r="H124" s="12"/>
      <c r="I124" s="21" t="s">
        <v>2</v>
      </c>
      <c r="J124" s="21"/>
      <c r="K124" s="21"/>
      <c r="L124" s="22">
        <f>J116</f>
        <v>26.25</v>
      </c>
      <c r="M124" s="22"/>
      <c r="N124" s="22"/>
      <c r="O124" s="22"/>
      <c r="P124" s="12"/>
      <c r="Q124" s="21" t="s">
        <v>2</v>
      </c>
      <c r="R124" s="21"/>
      <c r="S124" s="21"/>
      <c r="T124" s="22">
        <f>R116</f>
        <v>24.55</v>
      </c>
      <c r="U124" s="22"/>
      <c r="V124" s="22"/>
      <c r="W124" s="22"/>
      <c r="X124" s="12"/>
      <c r="Y124" s="21" t="s">
        <v>2</v>
      </c>
      <c r="Z124" s="21"/>
      <c r="AA124" s="21"/>
      <c r="AB124" s="22">
        <f>Z116</f>
        <v>1187.889567924205</v>
      </c>
      <c r="AC124" s="22"/>
      <c r="AD124" s="22"/>
      <c r="AE124" s="22"/>
      <c r="AF124" s="12"/>
      <c r="AG124" s="21" t="s">
        <v>2</v>
      </c>
      <c r="AH124" s="21"/>
      <c r="AI124" s="21"/>
      <c r="AJ124" s="22">
        <f>AH116</f>
        <v>0</v>
      </c>
      <c r="AK124" s="22"/>
      <c r="AL124" s="22"/>
      <c r="AM124" s="22"/>
      <c r="AN124" s="12"/>
      <c r="AO124" s="21" t="s">
        <v>2</v>
      </c>
      <c r="AP124" s="21"/>
      <c r="AQ124" s="21"/>
      <c r="AR124" s="22">
        <f>AP116</f>
        <v>0</v>
      </c>
      <c r="AS124" s="22"/>
      <c r="AT124" s="22"/>
      <c r="AU124" s="22"/>
      <c r="AV124" s="12"/>
      <c r="AW124" s="21" t="s">
        <v>2</v>
      </c>
      <c r="AX124" s="21"/>
      <c r="AY124" s="21"/>
      <c r="AZ124" s="22">
        <f>AX116</f>
        <v>0</v>
      </c>
      <c r="BA124" s="22"/>
      <c r="BB124" s="22"/>
      <c r="BC124" s="22"/>
      <c r="BD124" s="12"/>
      <c r="BE124" s="21" t="s">
        <v>2</v>
      </c>
      <c r="BF124" s="21"/>
      <c r="BG124" s="21"/>
      <c r="BH124" s="22">
        <f>BF116</f>
        <v>0</v>
      </c>
      <c r="BI124" s="22"/>
      <c r="BJ124" s="22"/>
      <c r="BK124" s="22"/>
      <c r="BL124" s="12"/>
    </row>
    <row r="125" spans="1:64" x14ac:dyDescent="0.25">
      <c r="A125" s="21" t="s">
        <v>4</v>
      </c>
      <c r="B125" s="21"/>
      <c r="C125" s="21"/>
      <c r="D125" s="22">
        <f>D115+D91+D67+D43+D19</f>
        <v>340.30928043115597</v>
      </c>
      <c r="E125" s="22"/>
      <c r="F125" s="22"/>
      <c r="G125" s="22"/>
      <c r="H125" s="12"/>
      <c r="I125" s="21" t="s">
        <v>4</v>
      </c>
      <c r="J125" s="21"/>
      <c r="K125" s="21"/>
      <c r="L125" s="22">
        <f>L115+L91+L67+L43+L19</f>
        <v>12.5</v>
      </c>
      <c r="M125" s="22"/>
      <c r="N125" s="22"/>
      <c r="O125" s="22"/>
      <c r="P125" s="12"/>
      <c r="Q125" s="21" t="s">
        <v>4</v>
      </c>
      <c r="R125" s="21"/>
      <c r="S125" s="21"/>
      <c r="T125" s="22">
        <f>T115+T91+T67+T43+T19</f>
        <v>10.7</v>
      </c>
      <c r="U125" s="22"/>
      <c r="V125" s="22"/>
      <c r="W125" s="22"/>
      <c r="X125" s="12"/>
      <c r="Y125" s="21" t="s">
        <v>4</v>
      </c>
      <c r="Z125" s="21"/>
      <c r="AA125" s="21"/>
      <c r="AB125" s="22">
        <f>AB115+AB91+AB67+AB43+AB19</f>
        <v>844.84820107789005</v>
      </c>
      <c r="AC125" s="22"/>
      <c r="AD125" s="22"/>
      <c r="AE125" s="22"/>
      <c r="AF125" s="12"/>
      <c r="AG125" s="21" t="s">
        <v>4</v>
      </c>
      <c r="AH125" s="21"/>
      <c r="AI125" s="21"/>
      <c r="AJ125" s="22">
        <f>AJ115+AJ91+AJ67+AJ43+AJ19</f>
        <v>0</v>
      </c>
      <c r="AK125" s="22"/>
      <c r="AL125" s="22"/>
      <c r="AM125" s="22"/>
      <c r="AN125" s="12"/>
      <c r="AO125" s="21" t="s">
        <v>4</v>
      </c>
      <c r="AP125" s="21"/>
      <c r="AQ125" s="21"/>
      <c r="AR125" s="22">
        <f>AR115+AR91+AR67+AR43+AR19</f>
        <v>0</v>
      </c>
      <c r="AS125" s="22"/>
      <c r="AT125" s="22"/>
      <c r="AU125" s="22"/>
      <c r="AV125" s="12"/>
      <c r="AW125" s="21" t="s">
        <v>4</v>
      </c>
      <c r="AX125" s="21"/>
      <c r="AY125" s="21"/>
      <c r="AZ125" s="22">
        <f>AZ115+AZ91+AZ67+AZ43+AZ19</f>
        <v>0</v>
      </c>
      <c r="BA125" s="22"/>
      <c r="BB125" s="22"/>
      <c r="BC125" s="22"/>
      <c r="BD125" s="12"/>
      <c r="BE125" s="21" t="s">
        <v>4</v>
      </c>
      <c r="BF125" s="21"/>
      <c r="BG125" s="21"/>
      <c r="BH125" s="22">
        <f>BH115+BH91+BH67+BH43+BH19</f>
        <v>0</v>
      </c>
      <c r="BI125" s="22"/>
      <c r="BJ125" s="22"/>
      <c r="BK125" s="22"/>
      <c r="BL125" s="12"/>
    </row>
    <row r="126" spans="1:64" x14ac:dyDescent="0.25">
      <c r="A126" s="21" t="s">
        <v>1</v>
      </c>
      <c r="B126" s="21"/>
      <c r="C126" s="21"/>
      <c r="D126" s="22">
        <f>D124-D125</f>
        <v>97.876546738526031</v>
      </c>
      <c r="E126" s="22"/>
      <c r="F126" s="22"/>
      <c r="G126" s="22"/>
      <c r="H126" s="12"/>
      <c r="I126" s="21" t="s">
        <v>1</v>
      </c>
      <c r="J126" s="21"/>
      <c r="K126" s="21"/>
      <c r="L126" s="22">
        <f>L124-L125</f>
        <v>13.75</v>
      </c>
      <c r="M126" s="22"/>
      <c r="N126" s="22"/>
      <c r="O126" s="22"/>
      <c r="P126" s="12"/>
      <c r="Q126" s="21" t="s">
        <v>1</v>
      </c>
      <c r="R126" s="21"/>
      <c r="S126" s="21"/>
      <c r="T126" s="22">
        <f>T124-T125</f>
        <v>13.850000000000001</v>
      </c>
      <c r="U126" s="22"/>
      <c r="V126" s="22"/>
      <c r="W126" s="22"/>
      <c r="X126" s="12"/>
      <c r="Y126" s="21" t="s">
        <v>1</v>
      </c>
      <c r="Z126" s="21"/>
      <c r="AA126" s="21"/>
      <c r="AB126" s="22">
        <f>AB124-AB125</f>
        <v>343.04136684631499</v>
      </c>
      <c r="AC126" s="22"/>
      <c r="AD126" s="22"/>
      <c r="AE126" s="22"/>
      <c r="AF126" s="12"/>
      <c r="AG126" s="21" t="s">
        <v>1</v>
      </c>
      <c r="AH126" s="21"/>
      <c r="AI126" s="21"/>
      <c r="AJ126" s="22">
        <f>AJ124-AJ125</f>
        <v>0</v>
      </c>
      <c r="AK126" s="22"/>
      <c r="AL126" s="22"/>
      <c r="AM126" s="22"/>
      <c r="AN126" s="12"/>
      <c r="AO126" s="21" t="s">
        <v>1</v>
      </c>
      <c r="AP126" s="21"/>
      <c r="AQ126" s="21"/>
      <c r="AR126" s="22">
        <f>AR124-AR125</f>
        <v>0</v>
      </c>
      <c r="AS126" s="22"/>
      <c r="AT126" s="22"/>
      <c r="AU126" s="22"/>
      <c r="AV126" s="12"/>
      <c r="AW126" s="21" t="s">
        <v>1</v>
      </c>
      <c r="AX126" s="21"/>
      <c r="AY126" s="21"/>
      <c r="AZ126" s="22">
        <f>AZ124-AZ125</f>
        <v>0</v>
      </c>
      <c r="BA126" s="22"/>
      <c r="BB126" s="22"/>
      <c r="BC126" s="22"/>
      <c r="BD126" s="12"/>
      <c r="BE126" s="21" t="s">
        <v>1</v>
      </c>
      <c r="BF126" s="21"/>
      <c r="BG126" s="21"/>
      <c r="BH126" s="22">
        <f>BH124-BH125</f>
        <v>0</v>
      </c>
      <c r="BI126" s="22"/>
      <c r="BJ126" s="22"/>
      <c r="BK126" s="22"/>
      <c r="BL126" s="12"/>
    </row>
    <row r="127" spans="1:64" x14ac:dyDescent="0.25">
      <c r="A127" s="21" t="s">
        <v>182</v>
      </c>
      <c r="B127" s="21"/>
      <c r="C127" s="21"/>
      <c r="D127" s="22">
        <f>B120</f>
        <v>7365.5044457661043</v>
      </c>
      <c r="E127" s="22"/>
      <c r="F127" s="22"/>
      <c r="G127" s="22"/>
      <c r="H127" s="12"/>
      <c r="I127" s="21" t="s">
        <v>182</v>
      </c>
      <c r="J127" s="21"/>
      <c r="K127" s="21"/>
      <c r="L127" s="22">
        <f>J120</f>
        <v>2273.9043614949469</v>
      </c>
      <c r="M127" s="22"/>
      <c r="N127" s="22"/>
      <c r="O127" s="22"/>
      <c r="P127" s="12"/>
      <c r="Q127" s="21" t="s">
        <v>182</v>
      </c>
      <c r="R127" s="21"/>
      <c r="S127" s="21"/>
      <c r="T127" s="22">
        <f>R120</f>
        <v>1954.0129311710189</v>
      </c>
      <c r="U127" s="22"/>
      <c r="V127" s="22"/>
      <c r="W127" s="22"/>
      <c r="X127" s="12"/>
      <c r="Y127" s="21" t="s">
        <v>182</v>
      </c>
      <c r="Z127" s="21"/>
      <c r="AA127" s="21"/>
      <c r="AB127" s="22">
        <f>Z120</f>
        <v>4674.8469037221421</v>
      </c>
      <c r="AC127" s="22"/>
      <c r="AD127" s="22"/>
      <c r="AE127" s="22"/>
      <c r="AF127" s="12"/>
      <c r="AG127" s="21" t="s">
        <v>182</v>
      </c>
      <c r="AH127" s="21"/>
      <c r="AI127" s="21"/>
      <c r="AJ127" s="22">
        <f>AH120</f>
        <v>0</v>
      </c>
      <c r="AK127" s="22"/>
      <c r="AL127" s="22"/>
      <c r="AM127" s="22"/>
      <c r="AN127" s="12"/>
      <c r="AO127" s="21" t="s">
        <v>182</v>
      </c>
      <c r="AP127" s="21"/>
      <c r="AQ127" s="21"/>
      <c r="AR127" s="22">
        <f>AP120</f>
        <v>0</v>
      </c>
      <c r="AS127" s="22"/>
      <c r="AT127" s="22"/>
      <c r="AU127" s="22"/>
      <c r="AV127" s="12"/>
      <c r="AW127" s="21" t="s">
        <v>182</v>
      </c>
      <c r="AX127" s="21"/>
      <c r="AY127" s="21"/>
      <c r="AZ127" s="22">
        <f>AX120</f>
        <v>0</v>
      </c>
      <c r="BA127" s="22"/>
      <c r="BB127" s="22"/>
      <c r="BC127" s="22"/>
      <c r="BD127" s="12"/>
      <c r="BE127" s="21" t="s">
        <v>182</v>
      </c>
      <c r="BF127" s="21"/>
      <c r="BG127" s="21"/>
      <c r="BH127" s="22">
        <f>BF120</f>
        <v>0</v>
      </c>
      <c r="BI127" s="22"/>
      <c r="BJ127" s="22"/>
      <c r="BK127" s="22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5" x14ac:dyDescent="0.25"/>
  <cols>
    <col min="4" max="4" width="10" bestFit="1" customWidth="1"/>
    <col min="5" max="5" width="9.7109375" bestFit="1" customWidth="1"/>
  </cols>
  <sheetData>
    <row r="1" spans="1:5" x14ac:dyDescent="0.25">
      <c r="B1" t="s">
        <v>167</v>
      </c>
      <c r="C1" t="s">
        <v>168</v>
      </c>
      <c r="D1" t="s">
        <v>258</v>
      </c>
      <c r="E1" t="s">
        <v>257</v>
      </c>
    </row>
    <row r="2" spans="1:5" x14ac:dyDescent="0.25">
      <c r="A2" t="s">
        <v>164</v>
      </c>
      <c r="B2">
        <v>1</v>
      </c>
      <c r="C2">
        <v>200</v>
      </c>
      <c r="D2">
        <v>0.45900000000000002</v>
      </c>
      <c r="E2">
        <f>D2*C2</f>
        <v>91.8</v>
      </c>
    </row>
    <row r="3" spans="1:5" x14ac:dyDescent="0.25">
      <c r="A3" t="s">
        <v>165</v>
      </c>
      <c r="B3">
        <v>0.8</v>
      </c>
      <c r="C3">
        <v>250</v>
      </c>
      <c r="D3">
        <v>1.2</v>
      </c>
      <c r="E3">
        <f t="shared" ref="E3:E5" si="0">D3*C3</f>
        <v>300</v>
      </c>
    </row>
    <row r="4" spans="1:5" x14ac:dyDescent="0.25">
      <c r="A4" t="s">
        <v>166</v>
      </c>
      <c r="B4">
        <v>1.5</v>
      </c>
      <c r="C4">
        <v>133</v>
      </c>
      <c r="D4">
        <v>0.6</v>
      </c>
      <c r="E4">
        <f t="shared" si="0"/>
        <v>79.8</v>
      </c>
    </row>
    <row r="5" spans="1:5" x14ac:dyDescent="0.25">
      <c r="A5" t="s">
        <v>251</v>
      </c>
      <c r="B5">
        <v>7.0000000000000007E-2</v>
      </c>
      <c r="C5">
        <v>1412</v>
      </c>
      <c r="D5">
        <v>1</v>
      </c>
      <c r="E5">
        <f t="shared" si="0"/>
        <v>1412</v>
      </c>
    </row>
    <row r="6" spans="1:5" x14ac:dyDescent="0.25">
      <c r="A6" t="s">
        <v>300</v>
      </c>
      <c r="B6">
        <v>0.28000000000000003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F25" sqref="F25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4" spans="1:17" x14ac:dyDescent="0.25">
      <c r="F24" t="s">
        <v>319</v>
      </c>
    </row>
    <row r="26" spans="1:17" x14ac:dyDescent="0.25">
      <c r="A26" t="s">
        <v>305</v>
      </c>
      <c r="B26" t="s">
        <v>306</v>
      </c>
    </row>
    <row r="27" spans="1:17" x14ac:dyDescent="0.25">
      <c r="A27" t="s">
        <v>307</v>
      </c>
      <c r="B27">
        <f>D6/D3</f>
        <v>1.416E-4</v>
      </c>
      <c r="C27" t="s">
        <v>132</v>
      </c>
      <c r="D27" t="s">
        <v>133</v>
      </c>
      <c r="E27" t="s">
        <v>318</v>
      </c>
      <c r="F27">
        <f>D28+D29</f>
        <v>60888.14</v>
      </c>
    </row>
    <row r="28" spans="1:17" x14ac:dyDescent="0.25">
      <c r="A28" t="s">
        <v>308</v>
      </c>
      <c r="B28">
        <v>0.14000000000000001</v>
      </c>
      <c r="C28">
        <f>B28/5</f>
        <v>2.8000000000000004E-2</v>
      </c>
      <c r="D28">
        <f>C28*5</f>
        <v>0.14000000000000001</v>
      </c>
    </row>
    <row r="29" spans="1:17" x14ac:dyDescent="0.25">
      <c r="A29" t="s">
        <v>309</v>
      </c>
      <c r="B29">
        <v>0.86</v>
      </c>
      <c r="C29">
        <v>60888</v>
      </c>
      <c r="D29">
        <f>C29*1</f>
        <v>60888</v>
      </c>
      <c r="H29">
        <f>B29/I29</f>
        <v>60.887999999999998</v>
      </c>
      <c r="I29">
        <f>1/H6</f>
        <v>1.4124293785310734E-2</v>
      </c>
      <c r="Q29" t="s">
        <v>153</v>
      </c>
    </row>
    <row r="30" spans="1:17" x14ac:dyDescent="0.25">
      <c r="O30">
        <v>2.5</v>
      </c>
      <c r="P30">
        <v>1</v>
      </c>
      <c r="Q30">
        <f>O30*O30*P30</f>
        <v>6.25</v>
      </c>
    </row>
    <row r="31" spans="1:17" x14ac:dyDescent="0.25">
      <c r="A31" t="s">
        <v>310</v>
      </c>
      <c r="B31" t="s">
        <v>142</v>
      </c>
      <c r="C31" t="s">
        <v>311</v>
      </c>
      <c r="D31" t="s">
        <v>132</v>
      </c>
      <c r="Q31" t="s">
        <v>154</v>
      </c>
    </row>
    <row r="32" spans="1:17" x14ac:dyDescent="0.25">
      <c r="A32" t="s">
        <v>312</v>
      </c>
      <c r="B32">
        <v>0.14000000000000001</v>
      </c>
      <c r="C32">
        <v>1.4000000000000001E-4</v>
      </c>
      <c r="D32">
        <v>2.8000000000000001E-2</v>
      </c>
      <c r="O32">
        <v>1.25</v>
      </c>
      <c r="P32">
        <v>1</v>
      </c>
      <c r="Q32">
        <f>O32*O32*3.141592654*P32</f>
        <v>4.9087385218749997</v>
      </c>
    </row>
    <row r="33" spans="1:4" x14ac:dyDescent="0.25">
      <c r="A33" t="s">
        <v>313</v>
      </c>
      <c r="B33">
        <v>0.86</v>
      </c>
      <c r="C33">
        <v>60.887999999999998</v>
      </c>
      <c r="D33">
        <f>C33*F6</f>
        <v>60888</v>
      </c>
    </row>
    <row r="34" spans="1:4" x14ac:dyDescent="0.25">
      <c r="A34" t="s">
        <v>315</v>
      </c>
      <c r="B34">
        <f>C33+C32</f>
        <v>60.88814</v>
      </c>
    </row>
    <row r="35" spans="1:4" x14ac:dyDescent="0.25">
      <c r="A35" t="s">
        <v>316</v>
      </c>
      <c r="B35">
        <f>B33+B32</f>
        <v>1</v>
      </c>
    </row>
    <row r="36" spans="1:4" x14ac:dyDescent="0.25">
      <c r="A36" t="s">
        <v>317</v>
      </c>
    </row>
    <row r="38" spans="1:4" x14ac:dyDescent="0.25">
      <c r="A38" t="s">
        <v>314</v>
      </c>
      <c r="B38" t="s">
        <v>142</v>
      </c>
      <c r="C38" t="s">
        <v>311</v>
      </c>
      <c r="D38" t="s">
        <v>132</v>
      </c>
    </row>
    <row r="39" spans="1:4" x14ac:dyDescent="0.25">
      <c r="A39" t="s">
        <v>312</v>
      </c>
      <c r="B39">
        <f>C32*H3</f>
        <v>0.14000000000000001</v>
      </c>
    </row>
    <row r="40" spans="1:4" x14ac:dyDescent="0.25">
      <c r="A40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21" sqref="P2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s="36" t="s">
        <v>262</v>
      </c>
      <c r="B1" s="36">
        <v>6.25</v>
      </c>
      <c r="C1" s="36">
        <v>5</v>
      </c>
      <c r="D1" s="36">
        <v>3.75</v>
      </c>
      <c r="E1" s="36">
        <v>2.5</v>
      </c>
      <c r="F1" s="36">
        <v>1.875</v>
      </c>
      <c r="G1" s="36">
        <v>1.25</v>
      </c>
      <c r="H1" s="36">
        <v>0.625</v>
      </c>
      <c r="I1" s="36">
        <v>6.61</v>
      </c>
      <c r="J1" s="36">
        <v>8.4</v>
      </c>
      <c r="K1" s="36">
        <v>10</v>
      </c>
    </row>
    <row r="2" spans="1:11" x14ac:dyDescent="0.25">
      <c r="A2" s="35" t="s">
        <v>271</v>
      </c>
      <c r="B2" s="35">
        <f>B1/C1</f>
        <v>1.25</v>
      </c>
      <c r="C2" s="35">
        <v>1</v>
      </c>
      <c r="D2" s="35">
        <f>D1/$C$1</f>
        <v>0.75</v>
      </c>
      <c r="E2" s="35">
        <f t="shared" ref="E2:H2" si="0">E1/$C$1</f>
        <v>0.5</v>
      </c>
      <c r="F2" s="35">
        <f t="shared" si="0"/>
        <v>0.375</v>
      </c>
      <c r="G2" s="35">
        <f t="shared" si="0"/>
        <v>0.25</v>
      </c>
      <c r="H2" s="35">
        <f t="shared" si="0"/>
        <v>0.125</v>
      </c>
      <c r="I2" s="35">
        <f t="shared" ref="I2" si="1">I1/$C$1</f>
        <v>1.3220000000000001</v>
      </c>
      <c r="J2" s="35">
        <f t="shared" ref="J2" si="2">J1/$C$1</f>
        <v>1.6800000000000002</v>
      </c>
      <c r="K2" s="35">
        <f t="shared" ref="K2" si="3">K1/$C$1</f>
        <v>2</v>
      </c>
    </row>
    <row r="3" spans="1:11" x14ac:dyDescent="0.25">
      <c r="A3" s="37" t="s">
        <v>263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s="37" t="s">
        <v>264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s="37" t="s">
        <v>265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s="37" t="s">
        <v>266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s="37" t="s">
        <v>267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s="37" t="s">
        <v>268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s="37" t="s">
        <v>269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s="37" t="s">
        <v>270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s="37" t="s">
        <v>272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s="37" t="s">
        <v>273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s="37" t="s">
        <v>274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s="37" t="s">
        <v>275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s="37" t="s">
        <v>276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s="37" t="s">
        <v>277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s="37" t="s">
        <v>278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s="37" t="s">
        <v>279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s="37" t="s">
        <v>280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s="37" t="s">
        <v>281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s="37" t="s">
        <v>282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s="37" t="s">
        <v>295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s="37" t="s">
        <v>296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s="37" t="s">
        <v>297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s="37" t="s">
        <v>292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s="37" t="s">
        <v>293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s="37" t="s">
        <v>294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s="37" t="s">
        <v>286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s="37" t="s">
        <v>287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s="37" t="s">
        <v>288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s="37" t="s">
        <v>289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s="37" t="s">
        <v>290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s="37" t="s">
        <v>291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s="37" t="s">
        <v>283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s="37" t="s">
        <v>284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s="37" t="s">
        <v>285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dV-Calc-LC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2015-11-07T17:43:19Z</dcterms:modified>
</cp:coreProperties>
</file>