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ConfigComp" sheetId="3" r:id="rId1"/>
    <sheet name="stagingInfo" sheetId="2" r:id="rId2"/>
    <sheet name="partInfo" sheetId="1" r:id="rId3"/>
    <sheet name="resourceCalc" sheetId="4" r:id="rId4"/>
    <sheet name="engineHeat" sheetId="6" r:id="rId5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J19" i="1"/>
  <c r="J17" i="1"/>
  <c r="J11" i="1"/>
  <c r="J4" i="1"/>
  <c r="K4" i="1" s="1"/>
  <c r="J9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E32" i="4"/>
  <c r="G32" i="4" s="1"/>
  <c r="G31" i="4"/>
  <c r="E31" i="4"/>
  <c r="D31" i="4"/>
  <c r="B29" i="1"/>
  <c r="C11" i="6" l="1"/>
  <c r="G11" i="6" s="1"/>
  <c r="H11" i="6" s="1"/>
  <c r="C10" i="6"/>
  <c r="M10" i="6" s="1"/>
  <c r="N10" i="6" s="1"/>
  <c r="C9" i="6"/>
  <c r="D9" i="6" s="1"/>
  <c r="C8" i="6"/>
  <c r="G8" i="6" s="1"/>
  <c r="H8" i="6" s="1"/>
  <c r="D6" i="6"/>
  <c r="G6" i="6"/>
  <c r="H6" i="6" s="1"/>
  <c r="J6" i="6"/>
  <c r="K6" i="6" s="1"/>
  <c r="M6" i="6"/>
  <c r="N6" i="6" s="1"/>
  <c r="D7" i="6"/>
  <c r="G7" i="6"/>
  <c r="H7" i="6" s="1"/>
  <c r="J7" i="6"/>
  <c r="K7" i="6"/>
  <c r="M7" i="6"/>
  <c r="N7" i="6" s="1"/>
  <c r="D8" i="6"/>
  <c r="J8" i="6"/>
  <c r="K8" i="6"/>
  <c r="M8" i="6"/>
  <c r="N8" i="6" s="1"/>
  <c r="G9" i="6"/>
  <c r="H9" i="6"/>
  <c r="J9" i="6"/>
  <c r="J10" i="6"/>
  <c r="D11" i="6"/>
  <c r="J11" i="6"/>
  <c r="C7" i="6"/>
  <c r="M5" i="6"/>
  <c r="N5" i="6" s="1"/>
  <c r="J5" i="6"/>
  <c r="K5" i="6" s="1"/>
  <c r="G5" i="6"/>
  <c r="H5" i="6" s="1"/>
  <c r="D5" i="6"/>
  <c r="M4" i="6"/>
  <c r="N4" i="6" s="1"/>
  <c r="K4" i="6"/>
  <c r="J4" i="6"/>
  <c r="G4" i="6"/>
  <c r="H4" i="6" s="1"/>
  <c r="D4" i="6"/>
  <c r="M3" i="6"/>
  <c r="N3" i="6" s="1"/>
  <c r="J3" i="6"/>
  <c r="K3" i="6" s="1"/>
  <c r="G3" i="6"/>
  <c r="H3" i="6" s="1"/>
  <c r="D3" i="6"/>
  <c r="N2" i="6"/>
  <c r="M2" i="6"/>
  <c r="J2" i="6"/>
  <c r="K2" i="6" s="1"/>
  <c r="H2" i="6"/>
  <c r="G2" i="6"/>
  <c r="D2" i="6"/>
  <c r="M11" i="6" l="1"/>
  <c r="N11" i="6" s="1"/>
  <c r="K11" i="6"/>
  <c r="D10" i="6"/>
  <c r="K10" i="6"/>
  <c r="G10" i="6"/>
  <c r="H10" i="6" s="1"/>
  <c r="M9" i="6"/>
  <c r="N9" i="6" s="1"/>
  <c r="K9" i="6"/>
  <c r="N18" i="1"/>
  <c r="N25" i="1"/>
  <c r="N10" i="1" l="1"/>
  <c r="B25" i="1" l="1"/>
  <c r="B4" i="1"/>
  <c r="B7" i="1"/>
  <c r="B8" i="1"/>
  <c r="B9" i="1"/>
  <c r="B10" i="1"/>
  <c r="B11" i="1"/>
  <c r="B15" i="1"/>
  <c r="B16" i="1"/>
  <c r="B17" i="1"/>
  <c r="B18" i="1"/>
  <c r="B19" i="1"/>
  <c r="B24" i="1"/>
  <c r="B26" i="1"/>
  <c r="B27" i="1"/>
  <c r="B28" i="1"/>
  <c r="N21" i="1" l="1"/>
  <c r="B21" i="1" s="1"/>
  <c r="N20" i="1"/>
  <c r="B20" i="1" s="1"/>
  <c r="N23" i="1"/>
  <c r="B23" i="1" s="1"/>
  <c r="N22" i="1"/>
  <c r="N12" i="1"/>
  <c r="B12" i="1" s="1"/>
  <c r="N13" i="1"/>
  <c r="B13" i="1" s="1"/>
  <c r="N14" i="1"/>
  <c r="B14" i="1" s="1"/>
  <c r="N5" i="1"/>
  <c r="B5" i="1" s="1"/>
  <c r="N6" i="1"/>
  <c r="B6" i="1" s="1"/>
  <c r="B22" i="1" l="1"/>
  <c r="B3" i="1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Q44" i="3"/>
  <c r="Q43" i="3"/>
  <c r="Q42" i="3"/>
  <c r="Q29" i="3"/>
  <c r="P29" i="3"/>
  <c r="O29" i="3"/>
  <c r="N29" i="3"/>
  <c r="Q28" i="3"/>
  <c r="P28" i="3"/>
  <c r="O28" i="3"/>
  <c r="N28" i="3"/>
  <c r="Q27" i="3"/>
  <c r="Q26" i="3"/>
  <c r="Q25" i="3"/>
  <c r="Q24" i="3"/>
  <c r="Q23" i="3"/>
  <c r="Q5" i="3"/>
  <c r="Q6" i="3"/>
  <c r="Q7" i="3"/>
  <c r="Q8" i="3"/>
  <c r="N9" i="3"/>
  <c r="O9" i="3"/>
  <c r="P9" i="3"/>
  <c r="Q9" i="3"/>
  <c r="N10" i="3"/>
  <c r="O10" i="3"/>
  <c r="P10" i="3"/>
  <c r="Q10" i="3"/>
  <c r="Q4" i="3"/>
  <c r="K24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K23" i="3"/>
  <c r="E25" i="3"/>
  <c r="E26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E24" i="3"/>
  <c r="K5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K4" i="3"/>
  <c r="E5" i="3"/>
  <c r="E6" i="3"/>
  <c r="E7" i="3"/>
  <c r="E8" i="3"/>
  <c r="E9" i="3"/>
  <c r="E10" i="3"/>
  <c r="E4" i="3"/>
  <c r="B7" i="3"/>
  <c r="C7" i="3"/>
  <c r="D7" i="3"/>
  <c r="B8" i="3"/>
  <c r="C8" i="3"/>
  <c r="D8" i="3"/>
  <c r="B9" i="3"/>
  <c r="C9" i="3"/>
  <c r="D9" i="3"/>
  <c r="B10" i="3"/>
  <c r="C10" i="3"/>
  <c r="D10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F66" i="2" l="1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47" i="2"/>
  <c r="E47" i="2"/>
  <c r="D47" i="2"/>
  <c r="C47" i="2"/>
  <c r="F46" i="2"/>
  <c r="E46" i="2"/>
  <c r="D46" i="2"/>
  <c r="C46" i="2"/>
  <c r="F45" i="2"/>
  <c r="E45" i="2"/>
  <c r="C45" i="2"/>
  <c r="F44" i="2"/>
  <c r="E44" i="2"/>
  <c r="C44" i="2"/>
  <c r="F43" i="2"/>
  <c r="E43" i="2"/>
  <c r="D43" i="2"/>
  <c r="F42" i="2"/>
  <c r="F41" i="2"/>
  <c r="F28" i="2"/>
  <c r="F27" i="2"/>
  <c r="F26" i="2"/>
  <c r="F25" i="2"/>
  <c r="F24" i="2"/>
  <c r="F23" i="2"/>
  <c r="F22" i="2"/>
  <c r="F4" i="2"/>
  <c r="F5" i="2"/>
  <c r="F6" i="2"/>
  <c r="F7" i="2"/>
  <c r="F8" i="2"/>
  <c r="F9" i="2"/>
  <c r="F3" i="2"/>
  <c r="E3" i="1"/>
  <c r="G3" i="1" s="1"/>
  <c r="D27" i="2" s="1"/>
  <c r="E4" i="1"/>
  <c r="G4" i="1" s="1"/>
  <c r="C25" i="3" s="1"/>
  <c r="E5" i="1"/>
  <c r="G5" i="1" s="1"/>
  <c r="E6" i="1"/>
  <c r="G6" i="1" s="1"/>
  <c r="C26" i="3" s="1"/>
  <c r="E7" i="1"/>
  <c r="G7" i="1" s="1"/>
  <c r="C27" i="3" s="1"/>
  <c r="E8" i="1"/>
  <c r="G8" i="1" s="1"/>
  <c r="E9" i="1"/>
  <c r="G9" i="1" s="1"/>
  <c r="I5" i="3" s="1"/>
  <c r="E10" i="1"/>
  <c r="G10" i="1" s="1"/>
  <c r="I6" i="3" s="1"/>
  <c r="E11" i="1"/>
  <c r="G11" i="1" s="1"/>
  <c r="E12" i="1"/>
  <c r="G12" i="1" s="1"/>
  <c r="D26" i="2" s="1"/>
  <c r="E13" i="1"/>
  <c r="G13" i="1" s="1"/>
  <c r="I23" i="3" s="1"/>
  <c r="E14" i="1"/>
  <c r="G14" i="1" s="1"/>
  <c r="E15" i="1"/>
  <c r="G15" i="1" s="1"/>
  <c r="E16" i="1"/>
  <c r="G16" i="1" s="1"/>
  <c r="I4" i="3" s="1"/>
  <c r="E17" i="1"/>
  <c r="G17" i="1" s="1"/>
  <c r="E18" i="1"/>
  <c r="G18" i="1" s="1"/>
  <c r="E19" i="1"/>
  <c r="G19" i="1" s="1"/>
  <c r="E20" i="1"/>
  <c r="G20" i="1" s="1"/>
  <c r="O23" i="3" s="1"/>
  <c r="E21" i="1"/>
  <c r="G21" i="1" s="1"/>
  <c r="E22" i="1"/>
  <c r="G22" i="1" s="1"/>
  <c r="E23" i="1"/>
  <c r="G23" i="1" s="1"/>
  <c r="E24" i="1"/>
  <c r="G24" i="1" s="1"/>
  <c r="O4" i="3" s="1"/>
  <c r="E25" i="1"/>
  <c r="G25" i="1" s="1"/>
  <c r="O8" i="3" s="1"/>
  <c r="E26" i="1"/>
  <c r="G26" i="1" s="1"/>
  <c r="O25" i="3" s="1"/>
  <c r="E27" i="1"/>
  <c r="G27" i="1" s="1"/>
  <c r="E28" i="1"/>
  <c r="G28" i="1" s="1"/>
  <c r="E29" i="1"/>
  <c r="G29" i="1" s="1"/>
  <c r="E30" i="1"/>
  <c r="G30" i="1" s="1"/>
  <c r="F3" i="1"/>
  <c r="F4" i="1"/>
  <c r="F5" i="1"/>
  <c r="O5" i="1" s="1"/>
  <c r="P5" i="1" s="1"/>
  <c r="F6" i="1"/>
  <c r="F7" i="1"/>
  <c r="F8" i="1"/>
  <c r="F9" i="1"/>
  <c r="F10" i="1"/>
  <c r="F11" i="1"/>
  <c r="F12" i="1"/>
  <c r="F13" i="1"/>
  <c r="F14" i="1"/>
  <c r="O14" i="1" s="1"/>
  <c r="P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2" i="1"/>
  <c r="G2" i="1" s="1"/>
  <c r="O7" i="3" l="1"/>
  <c r="H24" i="1"/>
  <c r="N4" i="3" s="1"/>
  <c r="O24" i="1"/>
  <c r="P24" i="1" s="1"/>
  <c r="P4" i="3"/>
  <c r="H16" i="1"/>
  <c r="H4" i="3" s="1"/>
  <c r="O16" i="1"/>
  <c r="P16" i="1" s="1"/>
  <c r="J4" i="3"/>
  <c r="O8" i="1"/>
  <c r="P8" i="1" s="1"/>
  <c r="D24" i="3"/>
  <c r="H4" i="1"/>
  <c r="B25" i="3" s="1"/>
  <c r="O4" i="1"/>
  <c r="P4" i="1" s="1"/>
  <c r="D25" i="3"/>
  <c r="Q14" i="1"/>
  <c r="R14" i="1"/>
  <c r="H29" i="1"/>
  <c r="O29" i="1"/>
  <c r="P29" i="1" s="1"/>
  <c r="O25" i="1"/>
  <c r="P25" i="1" s="1"/>
  <c r="P8" i="3"/>
  <c r="H21" i="1"/>
  <c r="O21" i="1"/>
  <c r="P21" i="1" s="1"/>
  <c r="H17" i="1"/>
  <c r="O17" i="1"/>
  <c r="P17" i="1" s="1"/>
  <c r="P5" i="3"/>
  <c r="H13" i="1"/>
  <c r="H23" i="3" s="1"/>
  <c r="O13" i="1"/>
  <c r="P13" i="1" s="1"/>
  <c r="J23" i="3"/>
  <c r="H9" i="1"/>
  <c r="H5" i="3" s="1"/>
  <c r="O9" i="1"/>
  <c r="P9" i="1" s="1"/>
  <c r="J5" i="3"/>
  <c r="Q5" i="1"/>
  <c r="R5" i="1"/>
  <c r="O6" i="3"/>
  <c r="O5" i="3"/>
  <c r="C4" i="3"/>
  <c r="C24" i="3"/>
  <c r="E41" i="2"/>
  <c r="O2" i="1"/>
  <c r="P2" i="1" s="1"/>
  <c r="H27" i="1"/>
  <c r="O27" i="1"/>
  <c r="P27" i="1" s="1"/>
  <c r="H23" i="1"/>
  <c r="O23" i="1"/>
  <c r="P23" i="1" s="1"/>
  <c r="H19" i="1"/>
  <c r="O19" i="1"/>
  <c r="P19" i="1" s="1"/>
  <c r="P44" i="3"/>
  <c r="P24" i="3"/>
  <c r="H15" i="1"/>
  <c r="C4" i="2" s="1"/>
  <c r="O15" i="1"/>
  <c r="P15" i="1" s="1"/>
  <c r="J25" i="3"/>
  <c r="H11" i="1"/>
  <c r="C5" i="2" s="1"/>
  <c r="O11" i="1"/>
  <c r="P11" i="1" s="1"/>
  <c r="H7" i="1"/>
  <c r="B27" i="3" s="1"/>
  <c r="O7" i="1"/>
  <c r="P7" i="1" s="1"/>
  <c r="D27" i="3"/>
  <c r="O24" i="3"/>
  <c r="O44" i="3"/>
  <c r="D8" i="2"/>
  <c r="I25" i="3"/>
  <c r="H28" i="1"/>
  <c r="O28" i="1"/>
  <c r="P28" i="1" s="1"/>
  <c r="H20" i="1"/>
  <c r="N23" i="3" s="1"/>
  <c r="O20" i="1"/>
  <c r="P20" i="1" s="1"/>
  <c r="P23" i="3"/>
  <c r="H12" i="1"/>
  <c r="O12" i="1"/>
  <c r="P12" i="1" s="1"/>
  <c r="H30" i="1"/>
  <c r="O30" i="1"/>
  <c r="P30" i="1" s="1"/>
  <c r="O26" i="1"/>
  <c r="P26" i="1" s="1"/>
  <c r="P25" i="3"/>
  <c r="H22" i="1"/>
  <c r="O22" i="1"/>
  <c r="P22" i="1" s="1"/>
  <c r="P45" i="3"/>
  <c r="P43" i="3"/>
  <c r="P27" i="3"/>
  <c r="P42" i="3"/>
  <c r="P26" i="3"/>
  <c r="O18" i="1"/>
  <c r="P18" i="1" s="1"/>
  <c r="P6" i="3"/>
  <c r="H10" i="1"/>
  <c r="H6" i="3" s="1"/>
  <c r="O10" i="1"/>
  <c r="P10" i="1" s="1"/>
  <c r="J6" i="3"/>
  <c r="O6" i="1"/>
  <c r="P6" i="1" s="1"/>
  <c r="D26" i="3"/>
  <c r="O45" i="3"/>
  <c r="O43" i="3"/>
  <c r="O42" i="3"/>
  <c r="O27" i="3"/>
  <c r="O26" i="3"/>
  <c r="C6" i="3"/>
  <c r="H3" i="1"/>
  <c r="C27" i="2" s="1"/>
  <c r="O3" i="1"/>
  <c r="P3" i="1" s="1"/>
  <c r="C5" i="3"/>
  <c r="C69" i="2"/>
  <c r="H18" i="1"/>
  <c r="P7" i="3"/>
  <c r="H25" i="1"/>
  <c r="J24" i="3"/>
  <c r="D9" i="2"/>
  <c r="I24" i="3"/>
  <c r="E8" i="2"/>
  <c r="H8" i="1"/>
  <c r="D4" i="3"/>
  <c r="E7" i="2"/>
  <c r="H26" i="1"/>
  <c r="N25" i="3" s="1"/>
  <c r="D6" i="3"/>
  <c r="H14" i="1"/>
  <c r="C9" i="2" s="1"/>
  <c r="H6" i="1"/>
  <c r="D5" i="3"/>
  <c r="H5" i="1"/>
  <c r="E9" i="2"/>
  <c r="D25" i="2"/>
  <c r="D4" i="2"/>
  <c r="C70" i="2"/>
  <c r="C43" i="2"/>
  <c r="E6" i="2"/>
  <c r="D44" i="2"/>
  <c r="D45" i="2"/>
  <c r="D7" i="2"/>
  <c r="D6" i="2"/>
  <c r="E26" i="2"/>
  <c r="D28" i="2"/>
  <c r="E28" i="2"/>
  <c r="E25" i="2"/>
  <c r="E27" i="2"/>
  <c r="C23" i="2"/>
  <c r="D23" i="2"/>
  <c r="C67" i="2"/>
  <c r="C68" i="2"/>
  <c r="D24" i="2"/>
  <c r="C32" i="2"/>
  <c r="E3" i="2"/>
  <c r="E23" i="2"/>
  <c r="E24" i="2"/>
  <c r="C42" i="2"/>
  <c r="E4" i="2"/>
  <c r="E42" i="2"/>
  <c r="C50" i="2" s="1"/>
  <c r="H2" i="1"/>
  <c r="E22" i="2"/>
  <c r="C51" i="2"/>
  <c r="D42" i="2"/>
  <c r="C3" i="2"/>
  <c r="D5" i="2"/>
  <c r="E5" i="2"/>
  <c r="D41" i="2"/>
  <c r="D3" i="2"/>
  <c r="D22" i="2"/>
  <c r="C13" i="2"/>
  <c r="B5" i="3" l="1"/>
  <c r="B26" i="3"/>
  <c r="N7" i="3"/>
  <c r="Q6" i="1"/>
  <c r="R6" i="1"/>
  <c r="N45" i="3"/>
  <c r="N43" i="3"/>
  <c r="N42" i="3"/>
  <c r="N27" i="3"/>
  <c r="N26" i="3"/>
  <c r="R20" i="1"/>
  <c r="Q20" i="1"/>
  <c r="Q23" i="1"/>
  <c r="R23" i="1"/>
  <c r="Q2" i="1"/>
  <c r="R2" i="1"/>
  <c r="R13" i="1"/>
  <c r="Q13" i="1"/>
  <c r="N6" i="3"/>
  <c r="N5" i="3"/>
  <c r="Q25" i="1"/>
  <c r="R25" i="1"/>
  <c r="B4" i="3"/>
  <c r="B24" i="3"/>
  <c r="Q18" i="1"/>
  <c r="R18" i="1"/>
  <c r="R12" i="1"/>
  <c r="Q12" i="1"/>
  <c r="Q7" i="1"/>
  <c r="R7" i="1"/>
  <c r="R9" i="1"/>
  <c r="Q9" i="1"/>
  <c r="R21" i="1"/>
  <c r="Q21" i="1"/>
  <c r="R29" i="1"/>
  <c r="Q29" i="1"/>
  <c r="Q8" i="1"/>
  <c r="R8" i="1"/>
  <c r="H24" i="3"/>
  <c r="N8" i="3"/>
  <c r="Q10" i="1"/>
  <c r="R10" i="1"/>
  <c r="R26" i="1"/>
  <c r="Q26" i="1"/>
  <c r="R28" i="1"/>
  <c r="Q28" i="1"/>
  <c r="R15" i="1"/>
  <c r="Q15" i="1"/>
  <c r="R19" i="1"/>
  <c r="Q19" i="1"/>
  <c r="R27" i="1"/>
  <c r="Q27" i="1"/>
  <c r="R4" i="1"/>
  <c r="Q4" i="1"/>
  <c r="Q24" i="1"/>
  <c r="R24" i="1"/>
  <c r="Q22" i="1"/>
  <c r="R22" i="1"/>
  <c r="R30" i="1"/>
  <c r="Q30" i="1"/>
  <c r="R11" i="1"/>
  <c r="Q11" i="1"/>
  <c r="C8" i="2"/>
  <c r="H25" i="3"/>
  <c r="N24" i="3"/>
  <c r="N44" i="3"/>
  <c r="Q17" i="1"/>
  <c r="R17" i="1"/>
  <c r="Q16" i="1"/>
  <c r="R16" i="1"/>
  <c r="Q3" i="1"/>
  <c r="R3" i="1"/>
  <c r="C26" i="2"/>
  <c r="B6" i="3"/>
  <c r="C49" i="2"/>
  <c r="C24" i="2"/>
  <c r="C6" i="2"/>
  <c r="C7" i="2"/>
  <c r="C22" i="2"/>
  <c r="C28" i="2"/>
  <c r="C25" i="2"/>
  <c r="C30" i="2"/>
  <c r="C12" i="2"/>
  <c r="C31" i="2"/>
  <c r="C41" i="2"/>
  <c r="C48" i="2" s="1"/>
  <c r="C11" i="2"/>
  <c r="C10" i="2" l="1"/>
  <c r="C15" i="2" s="1"/>
  <c r="C33" i="2" s="1"/>
  <c r="C29" i="2"/>
  <c r="C16" i="2" l="1"/>
  <c r="C17" i="2" s="1"/>
  <c r="C18" i="2" s="1"/>
  <c r="C34" i="2"/>
  <c r="C35" i="2" s="1"/>
  <c r="C36" i="2" s="1"/>
  <c r="C37" i="2" l="1"/>
  <c r="C52" i="2"/>
  <c r="C53" i="2" s="1"/>
  <c r="C54" i="2" s="1"/>
  <c r="C55" i="2" s="1"/>
  <c r="C56" i="2" l="1"/>
  <c r="C71" i="2"/>
  <c r="C72" i="2" s="1"/>
  <c r="C73" i="2" s="1"/>
  <c r="C74" i="2" s="1"/>
  <c r="C75" i="2" l="1"/>
  <c r="N30" i="3"/>
  <c r="N32" i="3"/>
  <c r="N33" i="3"/>
  <c r="H30" i="3" l="1"/>
  <c r="H31" i="3"/>
  <c r="H33" i="3"/>
  <c r="H32" i="3"/>
  <c r="N31" i="3"/>
  <c r="N51" i="3"/>
  <c r="N49" i="3"/>
  <c r="N50" i="3"/>
  <c r="N52" i="3"/>
  <c r="B12" i="3"/>
  <c r="B13" i="3"/>
  <c r="B11" i="3"/>
  <c r="B16" i="3" s="1"/>
  <c r="B14" i="3"/>
  <c r="B17" i="3" l="1"/>
  <c r="B18" i="3" s="1"/>
  <c r="B19" i="3" s="1"/>
  <c r="H11" i="3"/>
  <c r="H16" i="3" s="1"/>
  <c r="H34" i="3" s="1"/>
  <c r="H35" i="3" s="1"/>
  <c r="B34" i="3"/>
  <c r="H14" i="3"/>
  <c r="B31" i="3"/>
  <c r="B36" i="3" s="1"/>
  <c r="N12" i="3"/>
  <c r="N13" i="3"/>
  <c r="N11" i="3"/>
  <c r="N16" i="3" s="1"/>
  <c r="N34" i="3" s="1"/>
  <c r="N35" i="3" s="1"/>
  <c r="H13" i="3"/>
  <c r="N14" i="3"/>
  <c r="B32" i="3"/>
  <c r="H12" i="3"/>
  <c r="B33" i="3"/>
  <c r="H17" i="3" l="1"/>
  <c r="H18" i="3" s="1"/>
  <c r="H19" i="3" s="1"/>
  <c r="B37" i="3"/>
  <c r="B38" i="3" s="1"/>
  <c r="B39" i="3" s="1"/>
  <c r="N17" i="3"/>
  <c r="N18" i="3" s="1"/>
  <c r="N19" i="3" s="1"/>
  <c r="N36" i="3"/>
  <c r="N37" i="3" s="1"/>
  <c r="N53" i="3"/>
  <c r="N54" i="3" s="1"/>
  <c r="H36" i="3"/>
  <c r="H37" i="3" s="1"/>
  <c r="H38" i="3" l="1"/>
  <c r="N38" i="3"/>
  <c r="N55" i="3"/>
  <c r="N56" i="3" s="1"/>
  <c r="N57" i="3" l="1"/>
</calcChain>
</file>

<file path=xl/sharedStrings.xml><?xml version="1.0" encoding="utf-8"?>
<sst xmlns="http://schemas.openxmlformats.org/spreadsheetml/2006/main" count="340" uniqueCount="145">
  <si>
    <t>Part</t>
  </si>
  <si>
    <t>Volume</t>
  </si>
  <si>
    <t>Dry Mass</t>
  </si>
  <si>
    <t>Total Mass</t>
  </si>
  <si>
    <t>Dry</t>
  </si>
  <si>
    <t>Fuel Mass</t>
  </si>
  <si>
    <t>Engine ISP</t>
  </si>
  <si>
    <t>Stage delta-V</t>
  </si>
  <si>
    <t>ISP</t>
  </si>
  <si>
    <t>Thrust</t>
  </si>
  <si>
    <t>Tank Mass</t>
  </si>
  <si>
    <t>Tank Fraction</t>
  </si>
  <si>
    <t>Structural Mass</t>
  </si>
  <si>
    <t>Combined delta-V</t>
  </si>
  <si>
    <t>Stage Mass</t>
  </si>
  <si>
    <t>Stage Dry Mass</t>
  </si>
  <si>
    <t>Stage Fuel Mass</t>
  </si>
  <si>
    <t>Upper Mass</t>
  </si>
  <si>
    <t>Stage ISP</t>
  </si>
  <si>
    <t>Total Calc Dry Mass</t>
  </si>
  <si>
    <t>LC2POD</t>
  </si>
  <si>
    <t>LC2ASCE</t>
  </si>
  <si>
    <t>LC2ASCF</t>
  </si>
  <si>
    <t>LC2LEG</t>
  </si>
  <si>
    <t>LC3POD</t>
  </si>
  <si>
    <t>LC3ASCE</t>
  </si>
  <si>
    <t>LC3ASCF</t>
  </si>
  <si>
    <t>LC3LEG</t>
  </si>
  <si>
    <t>Stage1 - Descent / Ascent1</t>
  </si>
  <si>
    <t>Stage 0 - Ascent / Ascent2</t>
  </si>
  <si>
    <t>Stage2 - Descent / Descent2</t>
  </si>
  <si>
    <t>Stage3 - Descent2</t>
  </si>
  <si>
    <t>Delta-V Budgets for Targets:</t>
  </si>
  <si>
    <t>Descent (best)</t>
  </si>
  <si>
    <t>Ascent</t>
  </si>
  <si>
    <t>Notes</t>
  </si>
  <si>
    <t>Kerbin</t>
  </si>
  <si>
    <t>Mun</t>
  </si>
  <si>
    <t>Minmus</t>
  </si>
  <si>
    <t>Duna</t>
  </si>
  <si>
    <t>Ike</t>
  </si>
  <si>
    <t>Laythe</t>
  </si>
  <si>
    <t>Pol</t>
  </si>
  <si>
    <t>Bop</t>
  </si>
  <si>
    <t>Tylo</t>
  </si>
  <si>
    <t>Vall</t>
  </si>
  <si>
    <t>Moho</t>
  </si>
  <si>
    <t>Eeloo</t>
  </si>
  <si>
    <t>Eve</t>
  </si>
  <si>
    <t>Gilly</t>
  </si>
  <si>
    <t>Dres</t>
  </si>
  <si>
    <t>Total D/A</t>
  </si>
  <si>
    <t>Lander Class</t>
  </si>
  <si>
    <t>Heavy</t>
  </si>
  <si>
    <t>Medium</t>
  </si>
  <si>
    <t>Light</t>
  </si>
  <si>
    <t>Aero needed</t>
  </si>
  <si>
    <t>ULH</t>
  </si>
  <si>
    <t>M</t>
  </si>
  <si>
    <t>L</t>
  </si>
  <si>
    <t>H</t>
  </si>
  <si>
    <t>UULH</t>
  </si>
  <si>
    <t>Lander Classification</t>
  </si>
  <si>
    <t>&lt;800 dV</t>
  </si>
  <si>
    <t>UltraHeavy</t>
  </si>
  <si>
    <t>Minmus, Pol, Bop, Gilly</t>
  </si>
  <si>
    <t>Mun, Ike, Dres</t>
  </si>
  <si>
    <t>Duna, Vall, Moho, Eeloo</t>
  </si>
  <si>
    <t>Tylo (Kerbin, Laythe)</t>
  </si>
  <si>
    <t>WTFHeavy</t>
  </si>
  <si>
    <t>LC3EngCluster</t>
  </si>
  <si>
    <t>LC2EngCluster</t>
  </si>
  <si>
    <t>LC5POD</t>
  </si>
  <si>
    <t>LC5EngCluster</t>
  </si>
  <si>
    <t>LC5ASCE</t>
  </si>
  <si>
    <t>LC5ASCF</t>
  </si>
  <si>
    <t>1200-1600</t>
  </si>
  <si>
    <t>2000-2400</t>
  </si>
  <si>
    <t>3600-5200</t>
  </si>
  <si>
    <t>&gt;12k</t>
  </si>
  <si>
    <t>LC3FL1</t>
  </si>
  <si>
    <t>LC2FL1</t>
  </si>
  <si>
    <t>LC2FL0</t>
  </si>
  <si>
    <t>LC3FL2</t>
  </si>
  <si>
    <t>LC3FL0</t>
  </si>
  <si>
    <t>LC1-FL0-HH</t>
  </si>
  <si>
    <t>LC5FL0</t>
  </si>
  <si>
    <t>LC5FL3</t>
  </si>
  <si>
    <t>LC5FL2</t>
  </si>
  <si>
    <t>Stage0</t>
  </si>
  <si>
    <t>Stage1</t>
  </si>
  <si>
    <t>TYLO HEAVY LANDER (2/3 STAGE)</t>
  </si>
  <si>
    <t>DEORBIT</t>
  </si>
  <si>
    <t>DESCENT MAIN / ASCENT START</t>
  </si>
  <si>
    <t>ASCENT FINISH</t>
  </si>
  <si>
    <t>Oxidizer</t>
  </si>
  <si>
    <t>LiquidFuel</t>
  </si>
  <si>
    <t>FuelUnits</t>
  </si>
  <si>
    <t>tank volume</t>
  </si>
  <si>
    <t>LC5FL1</t>
  </si>
  <si>
    <t>LF</t>
  </si>
  <si>
    <t>O</t>
  </si>
  <si>
    <t>Rounded</t>
  </si>
  <si>
    <t>LC5LEG</t>
  </si>
  <si>
    <t>MINMUS LANDER 2-MAN (RE-USABLE)(&gt;600dv)</t>
  </si>
  <si>
    <t>MUN LANDER 2-MAN (RE-USABLE)(&gt;1500dv)</t>
  </si>
  <si>
    <t>VALL/MOHO/ELOO (TWO-STAGE)(&gt;2000dv)</t>
  </si>
  <si>
    <t>mainsail</t>
  </si>
  <si>
    <t>mass</t>
  </si>
  <si>
    <t>thrust</t>
  </si>
  <si>
    <t>twr</t>
  </si>
  <si>
    <t>heat</t>
  </si>
  <si>
    <t>skipper</t>
  </si>
  <si>
    <t>htt</t>
  </si>
  <si>
    <t>htt/m</t>
  </si>
  <si>
    <t>lvt45</t>
  </si>
  <si>
    <t>htm</t>
  </si>
  <si>
    <t>htm*t</t>
  </si>
  <si>
    <t>lv-n</t>
  </si>
  <si>
    <t>h/t</t>
  </si>
  <si>
    <t>Engine</t>
  </si>
  <si>
    <t>LC2-ASCE</t>
  </si>
  <si>
    <t>LC2-DESE</t>
  </si>
  <si>
    <t>LC3-ASCE</t>
  </si>
  <si>
    <t>LC3-DESE</t>
  </si>
  <si>
    <t>LC5-ASCE</t>
  </si>
  <si>
    <t>LC5-DESE</t>
  </si>
  <si>
    <t>LC2CRG</t>
  </si>
  <si>
    <t>LC3CRG</t>
  </si>
  <si>
    <t>LC5CRG</t>
  </si>
  <si>
    <t>Resource</t>
  </si>
  <si>
    <t>Density</t>
  </si>
  <si>
    <t>MP</t>
  </si>
  <si>
    <t>Ore</t>
  </si>
  <si>
    <t>LiquidHydrogen</t>
  </si>
  <si>
    <t>RocketParts</t>
  </si>
  <si>
    <t>Substrate</t>
  </si>
  <si>
    <t>h</t>
  </si>
  <si>
    <t>d</t>
  </si>
  <si>
    <t>vol</t>
  </si>
  <si>
    <t>units</t>
  </si>
  <si>
    <t>vol/unit</t>
  </si>
  <si>
    <t>Heat</t>
  </si>
  <si>
    <t>h/t*m</t>
  </si>
  <si>
    <t>t/m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</si>
</sst>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6" borderId="7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0" borderId="20" xfId="0" applyBorder="1"/>
    <xf numFmtId="0" fontId="0" fillId="0" borderId="0" xfId="0" quotePrefix="1"/>
    <xf numFmtId="0" fontId="0" fillId="8" borderId="0" xfId="0" applyFill="1"/>
    <xf numFmtId="0" fontId="0" fillId="0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S37" sqref="S37"/>
    </sheetView>
  </sheetViews>
  <sheetFormatPr defaultRowHeight="15" x14ac:dyDescent="0.25"/>
  <cols>
    <col min="1" max="1" width="18" bestFit="1" customWidth="1"/>
    <col min="2" max="2" width="12" bestFit="1" customWidth="1"/>
    <col min="3" max="3" width="7" bestFit="1" customWidth="1"/>
    <col min="4" max="4" width="9.7109375" bestFit="1" customWidth="1"/>
    <col min="5" max="5" width="10.140625" bestFit="1" customWidth="1"/>
    <col min="6" max="6" width="3.28515625" customWidth="1"/>
    <col min="7" max="7" width="18" bestFit="1" customWidth="1"/>
    <col min="8" max="8" width="12" bestFit="1" customWidth="1"/>
    <col min="9" max="9" width="7" bestFit="1" customWidth="1"/>
    <col min="10" max="10" width="9.7109375" bestFit="1" customWidth="1"/>
    <col min="11" max="11" width="10.140625" bestFit="1" customWidth="1"/>
    <col min="12" max="12" width="2.85546875" customWidth="1"/>
    <col min="13" max="13" width="18" bestFit="1" customWidth="1"/>
    <col min="14" max="14" width="12" bestFit="1" customWidth="1"/>
    <col min="15" max="15" width="7" bestFit="1" customWidth="1"/>
    <col min="16" max="16" width="9.7109375" bestFit="1" customWidth="1"/>
    <col min="17" max="17" width="10.140625" bestFit="1" customWidth="1"/>
    <col min="18" max="18" width="2.140625" customWidth="1"/>
    <col min="19" max="19" width="18" bestFit="1" customWidth="1"/>
    <col min="20" max="20" width="12" bestFit="1" customWidth="1"/>
    <col min="21" max="21" width="7" bestFit="1" customWidth="1"/>
    <col min="22" max="22" width="9.7109375" bestFit="1" customWidth="1"/>
    <col min="23" max="23" width="10.140625" bestFit="1" customWidth="1"/>
  </cols>
  <sheetData>
    <row r="1" spans="1:17" x14ac:dyDescent="0.25">
      <c r="A1" s="44" t="s">
        <v>104</v>
      </c>
      <c r="B1" s="45"/>
      <c r="C1" s="45"/>
      <c r="D1" s="45"/>
      <c r="E1" s="46"/>
      <c r="G1" s="44" t="s">
        <v>106</v>
      </c>
      <c r="H1" s="45"/>
      <c r="I1" s="45"/>
      <c r="J1" s="45"/>
      <c r="K1" s="46"/>
      <c r="M1" s="44" t="s">
        <v>91</v>
      </c>
      <c r="N1" s="45"/>
      <c r="O1" s="45"/>
      <c r="P1" s="45"/>
      <c r="Q1" s="46"/>
    </row>
    <row r="2" spans="1:17" x14ac:dyDescent="0.25">
      <c r="A2" s="21" t="s">
        <v>89</v>
      </c>
      <c r="B2" s="5"/>
      <c r="C2" s="5"/>
      <c r="D2" s="5"/>
      <c r="E2" s="22"/>
      <c r="G2" s="21" t="s">
        <v>89</v>
      </c>
      <c r="H2" s="5"/>
      <c r="I2" s="5"/>
      <c r="J2" s="5"/>
      <c r="K2" s="22"/>
      <c r="M2" s="21" t="s">
        <v>94</v>
      </c>
      <c r="N2" s="5"/>
      <c r="O2" s="5"/>
      <c r="P2" s="5"/>
      <c r="Q2" s="22"/>
    </row>
    <row r="3" spans="1:17" x14ac:dyDescent="0.25">
      <c r="A3" s="23" t="s">
        <v>0</v>
      </c>
      <c r="B3" s="2" t="s">
        <v>3</v>
      </c>
      <c r="C3" s="2" t="s">
        <v>4</v>
      </c>
      <c r="D3" s="2" t="s">
        <v>5</v>
      </c>
      <c r="E3" s="24" t="s">
        <v>6</v>
      </c>
      <c r="G3" s="23" t="s">
        <v>0</v>
      </c>
      <c r="H3" s="2" t="s">
        <v>3</v>
      </c>
      <c r="I3" s="2" t="s">
        <v>4</v>
      </c>
      <c r="J3" s="2" t="s">
        <v>5</v>
      </c>
      <c r="K3" s="24" t="s">
        <v>6</v>
      </c>
      <c r="M3" s="23" t="s">
        <v>0</v>
      </c>
      <c r="N3" s="2" t="s">
        <v>3</v>
      </c>
      <c r="O3" s="2" t="s">
        <v>4</v>
      </c>
      <c r="P3" s="2" t="s">
        <v>5</v>
      </c>
      <c r="Q3" s="24" t="s">
        <v>6</v>
      </c>
    </row>
    <row r="4" spans="1:17" x14ac:dyDescent="0.25">
      <c r="A4" s="21" t="s">
        <v>20</v>
      </c>
      <c r="B4" s="5">
        <f>IFERROR(VLOOKUP($A4,partInfo!$A$2:$J$30,8,FALSE),0)</f>
        <v>1.1000000000000001</v>
      </c>
      <c r="C4" s="5">
        <f>IFERROR(VLOOKUP($A4,partInfo!$A$2:$J$30,7,FALSE),0)</f>
        <v>1.1000000000000001</v>
      </c>
      <c r="D4" s="5">
        <f>IFERROR(VLOOKUP($A4,partInfo!$A$2:$J$30,6,FALSE),)</f>
        <v>0</v>
      </c>
      <c r="E4" s="22">
        <f>IFERROR(VLOOKUP($A4,partInfo!$A$2:$J$30,9,FALSE),0)</f>
        <v>355</v>
      </c>
      <c r="G4" s="21" t="s">
        <v>24</v>
      </c>
      <c r="H4" s="5">
        <f>IFERROR(VLOOKUP($G4,partInfo!$A$2:$J$30,8,FALSE),0)</f>
        <v>1.875</v>
      </c>
      <c r="I4" s="5">
        <f>IFERROR(VLOOKUP($G4,partInfo!$A$2:$J$30,7,FALSE),0)</f>
        <v>1.875</v>
      </c>
      <c r="J4" s="5">
        <f>IFERROR(VLOOKUP($G4,partInfo!$A$2:$J$30,6,FALSE),)</f>
        <v>0</v>
      </c>
      <c r="K4" s="22">
        <f>IFERROR(VLOOKUP($G4,partInfo!$A$2:$J$30,9,FALSE),0)</f>
        <v>355</v>
      </c>
      <c r="M4" s="21" t="s">
        <v>72</v>
      </c>
      <c r="N4" s="5">
        <f>IFERROR(VLOOKUP($M4,partInfo!$A$2:$J$30,8,FALSE),0)</f>
        <v>4.5</v>
      </c>
      <c r="O4" s="5">
        <f>IFERROR(VLOOKUP($M4,partInfo!$A$2:$J$30,7,FALSE),0)</f>
        <v>4.5</v>
      </c>
      <c r="P4" s="5">
        <f>IFERROR(VLOOKUP($M4,partInfo!$A$2:$J$30,6,FALSE),)</f>
        <v>0</v>
      </c>
      <c r="Q4" s="22">
        <f>IFERROR(VLOOKUP($M4,partInfo!$A$2:$J$30,9,FALSE),0)</f>
        <v>355</v>
      </c>
    </row>
    <row r="5" spans="1:17" x14ac:dyDescent="0.25">
      <c r="A5" s="21" t="s">
        <v>21</v>
      </c>
      <c r="B5" s="5">
        <f>IFERROR(VLOOKUP($A5,partInfo!$A$2:$J$30,8,FALSE),0)</f>
        <v>0.3</v>
      </c>
      <c r="C5" s="5">
        <f>IFERROR(VLOOKUP($A5,partInfo!$A$2:$J$30,7,FALSE),0)</f>
        <v>0.3</v>
      </c>
      <c r="D5" s="5">
        <f>IFERROR(VLOOKUP($A5,partInfo!$A$2:$J$30,6,FALSE),)</f>
        <v>0</v>
      </c>
      <c r="E5" s="22">
        <f>IFERROR(VLOOKUP($A5,partInfo!$A$2:$J$30,9,FALSE),0)</f>
        <v>355</v>
      </c>
      <c r="G5" s="21" t="s">
        <v>25</v>
      </c>
      <c r="H5" s="5">
        <f>IFERROR(VLOOKUP($G5,partInfo!$A$2:$J$30,8,FALSE),0)</f>
        <v>0.9</v>
      </c>
      <c r="I5" s="5">
        <f>IFERROR(VLOOKUP($G5,partInfo!$A$2:$J$30,7,FALSE),0)</f>
        <v>0.9</v>
      </c>
      <c r="J5" s="5">
        <f>IFERROR(VLOOKUP($G5,partInfo!$A$2:$J$30,6,FALSE),)</f>
        <v>0</v>
      </c>
      <c r="K5" s="22">
        <f>IFERROR(VLOOKUP($G5,partInfo!$A$2:$J$30,9,FALSE),0)</f>
        <v>355</v>
      </c>
      <c r="M5" s="21" t="s">
        <v>74</v>
      </c>
      <c r="N5" s="5">
        <f>IFERROR(VLOOKUP($M5,partInfo!$A$2:$J$30,8,FALSE),0)</f>
        <v>1.2</v>
      </c>
      <c r="O5" s="5">
        <f>IFERROR(VLOOKUP($M5,partInfo!$A$2:$J$30,7,FALSE),0)</f>
        <v>1.2</v>
      </c>
      <c r="P5" s="5">
        <f>IFERROR(VLOOKUP($M5,partInfo!$A$2:$J$30,6,FALSE),)</f>
        <v>0</v>
      </c>
      <c r="Q5" s="22">
        <f>IFERROR(VLOOKUP($M5,partInfo!$A$2:$J$30,9,FALSE),0)</f>
        <v>355</v>
      </c>
    </row>
    <row r="6" spans="1:17" x14ac:dyDescent="0.25">
      <c r="A6" s="21" t="s">
        <v>22</v>
      </c>
      <c r="B6" s="5">
        <f>IFERROR(VLOOKUP($A6,partInfo!$A$2:$J$30,8,FALSE),0)</f>
        <v>0.92699999999999994</v>
      </c>
      <c r="C6" s="5">
        <f>IFERROR(VLOOKUP($A6,partInfo!$A$2:$J$30,7,FALSE),0)</f>
        <v>0.19217499999999998</v>
      </c>
      <c r="D6" s="5">
        <f>IFERROR(VLOOKUP($A6,partInfo!$A$2:$J$30,6,FALSE),)</f>
        <v>0.73482499999999995</v>
      </c>
      <c r="E6" s="22">
        <f>IFERROR(VLOOKUP($A6,partInfo!$A$2:$J$30,9,FALSE),0)</f>
        <v>355</v>
      </c>
      <c r="G6" s="21" t="s">
        <v>26</v>
      </c>
      <c r="H6" s="5">
        <f>IFERROR(VLOOKUP($G6,partInfo!$A$2:$J$30,8,FALSE),0)</f>
        <v>2.2233353600000001</v>
      </c>
      <c r="I6" s="5">
        <f>IFERROR(VLOOKUP($G6,partInfo!$A$2:$J$30,7,FALSE),0)</f>
        <v>0.41850030400000005</v>
      </c>
      <c r="J6" s="5">
        <f>IFERROR(VLOOKUP($G6,partInfo!$A$2:$J$30,6,FALSE),)</f>
        <v>1.8048350559999999</v>
      </c>
      <c r="K6" s="22">
        <f>IFERROR(VLOOKUP($G6,partInfo!$A$2:$J$30,9,FALSE),0)</f>
        <v>355</v>
      </c>
      <c r="M6" s="21" t="s">
        <v>75</v>
      </c>
      <c r="N6" s="5">
        <f>IFERROR(VLOOKUP($M6,partInfo!$A$2:$J$30,8,FALSE),0)</f>
        <v>3.2431288400000002</v>
      </c>
      <c r="O6" s="5">
        <f>IFERROR(VLOOKUP($M6,partInfo!$A$2:$J$30,7,FALSE),0)</f>
        <v>0.65646932600000008</v>
      </c>
      <c r="P6" s="5">
        <f>IFERROR(VLOOKUP($M6,partInfo!$A$2:$J$30,6,FALSE),)</f>
        <v>2.5866595139999999</v>
      </c>
      <c r="Q6" s="22">
        <f>IFERROR(VLOOKUP($M6,partInfo!$A$2:$J$30,9,FALSE),0)</f>
        <v>355</v>
      </c>
    </row>
    <row r="7" spans="1:17" x14ac:dyDescent="0.25">
      <c r="A7" s="21"/>
      <c r="B7" s="5">
        <f>IFERROR(VLOOKUP($A7,partInfo!$A$2:$J$30,8,FALSE),0)</f>
        <v>0</v>
      </c>
      <c r="C7" s="5">
        <f>IFERROR(VLOOKUP($A7,partInfo!$A$2:$J$30,7,FALSE),0)</f>
        <v>0</v>
      </c>
      <c r="D7" s="5">
        <f>IFERROR(VLOOKUP($A7,partInfo!$A$2:$J$30,6,FALSE),)</f>
        <v>0</v>
      </c>
      <c r="E7" s="22">
        <f>IFERROR(VLOOKUP($A7,partInfo!$A$2:$J$30,9,FALSE),0)</f>
        <v>0</v>
      </c>
      <c r="G7" s="21"/>
      <c r="H7" s="5">
        <f>IFERROR(VLOOKUP($G7,partInfo!$A$2:$J$30,8,FALSE),0)</f>
        <v>0</v>
      </c>
      <c r="I7" s="5">
        <f>IFERROR(VLOOKUP($G7,partInfo!$A$2:$J$30,7,FALSE),0)</f>
        <v>0</v>
      </c>
      <c r="J7" s="5">
        <f>IFERROR(VLOOKUP($G7,partInfo!$A$2:$J$30,6,FALSE),)</f>
        <v>0</v>
      </c>
      <c r="K7" s="22">
        <f>IFERROR(VLOOKUP($G7,partInfo!$A$2:$J$30,9,FALSE),0)</f>
        <v>0</v>
      </c>
      <c r="M7" s="21" t="s">
        <v>81</v>
      </c>
      <c r="N7" s="5">
        <f>IFERROR(VLOOKUP($M7,partInfo!$A$2:$J$30,8,FALSE),0)</f>
        <v>1.0733744000000001</v>
      </c>
      <c r="O7" s="5">
        <f>IFERROR(VLOOKUP($M7,partInfo!$A$2:$J$30,7,FALSE),0)</f>
        <v>0.20350615999999999</v>
      </c>
      <c r="P7" s="5">
        <f>IFERROR(VLOOKUP($M7,partInfo!$A$2:$J$30,6,FALSE),)</f>
        <v>0.86986823999999996</v>
      </c>
      <c r="Q7" s="22">
        <f>IFERROR(VLOOKUP($M7,partInfo!$A$2:$J$30,9,FALSE),0)</f>
        <v>355</v>
      </c>
    </row>
    <row r="8" spans="1:17" x14ac:dyDescent="0.25">
      <c r="A8" s="21"/>
      <c r="B8" s="5">
        <f>IFERROR(VLOOKUP($A8,partInfo!$A$2:$J$30,8,FALSE),0)</f>
        <v>0</v>
      </c>
      <c r="C8" s="5">
        <f>IFERROR(VLOOKUP($A8,partInfo!$A$2:$J$30,7,FALSE),0)</f>
        <v>0</v>
      </c>
      <c r="D8" s="5">
        <f>IFERROR(VLOOKUP($A8,partInfo!$A$2:$J$30,6,FALSE),)</f>
        <v>0</v>
      </c>
      <c r="E8" s="22">
        <f>IFERROR(VLOOKUP($A8,partInfo!$A$2:$J$30,9,FALSE),0)</f>
        <v>0</v>
      </c>
      <c r="G8" s="21"/>
      <c r="H8" s="5">
        <f>IFERROR(VLOOKUP($G8,partInfo!$A$2:$J$30,8,FALSE),0)</f>
        <v>0</v>
      </c>
      <c r="I8" s="5">
        <f>IFERROR(VLOOKUP($G8,partInfo!$A$2:$J$30,7,FALSE),0)</f>
        <v>0</v>
      </c>
      <c r="J8" s="5">
        <f>IFERROR(VLOOKUP($G8,partInfo!$A$2:$J$30,6,FALSE),)</f>
        <v>0</v>
      </c>
      <c r="K8" s="22">
        <f>IFERROR(VLOOKUP($G8,partInfo!$A$2:$J$30,9,FALSE),0)</f>
        <v>0</v>
      </c>
      <c r="M8" s="21" t="s">
        <v>85</v>
      </c>
      <c r="N8" s="5">
        <f>IFERROR(VLOOKUP($M8,partInfo!$A$2:$J$30,8,FALSE),0)</f>
        <v>0.34379176</v>
      </c>
      <c r="O8" s="5">
        <f>IFERROR(VLOOKUP($M8,partInfo!$A$2:$J$30,7,FALSE),0)</f>
        <v>9.4068763999999999E-2</v>
      </c>
      <c r="P8" s="5">
        <f>IFERROR(VLOOKUP($M8,partInfo!$A$2:$J$30,6,FALSE),)</f>
        <v>0.249722996</v>
      </c>
      <c r="Q8" s="22">
        <f>IFERROR(VLOOKUP($M8,partInfo!$A$2:$J$30,9,FALSE),0)</f>
        <v>355</v>
      </c>
    </row>
    <row r="9" spans="1:17" x14ac:dyDescent="0.25">
      <c r="A9" s="21"/>
      <c r="B9" s="5">
        <f>IFERROR(VLOOKUP($A9,partInfo!$A$2:$J$30,8,FALSE),0)</f>
        <v>0</v>
      </c>
      <c r="C9" s="5">
        <f>IFERROR(VLOOKUP($A9,partInfo!$A$2:$J$30,7,FALSE),0)</f>
        <v>0</v>
      </c>
      <c r="D9" s="5">
        <f>IFERROR(VLOOKUP($A9,partInfo!$A$2:$J$30,6,FALSE),)</f>
        <v>0</v>
      </c>
      <c r="E9" s="22">
        <f>IFERROR(VLOOKUP($A9,partInfo!$A$2:$J$30,9,FALSE),0)</f>
        <v>0</v>
      </c>
      <c r="G9" s="21"/>
      <c r="H9" s="5">
        <f>IFERROR(VLOOKUP($G9,partInfo!$A$2:$J$30,8,FALSE),0)</f>
        <v>0</v>
      </c>
      <c r="I9" s="5">
        <f>IFERROR(VLOOKUP($G9,partInfo!$A$2:$J$30,7,FALSE),0)</f>
        <v>0</v>
      </c>
      <c r="J9" s="5">
        <f>IFERROR(VLOOKUP($G9,partInfo!$A$2:$J$30,6,FALSE),)</f>
        <v>0</v>
      </c>
      <c r="K9" s="22">
        <f>IFERROR(VLOOKUP($G9,partInfo!$A$2:$J$30,9,FALSE),0)</f>
        <v>0</v>
      </c>
      <c r="M9" s="21"/>
      <c r="N9" s="5">
        <f>IFERROR(VLOOKUP($M9,partInfo!$A$2:$J$30,8,FALSE),0)</f>
        <v>0</v>
      </c>
      <c r="O9" s="5">
        <f>IFERROR(VLOOKUP($M9,partInfo!$A$2:$J$30,7,FALSE),0)</f>
        <v>0</v>
      </c>
      <c r="P9" s="5">
        <f>IFERROR(VLOOKUP($M9,partInfo!$A$2:$J$30,6,FALSE),)</f>
        <v>0</v>
      </c>
      <c r="Q9" s="22">
        <f>IFERROR(VLOOKUP($M9,partInfo!$A$2:$J$30,9,FALSE),0)</f>
        <v>0</v>
      </c>
    </row>
    <row r="10" spans="1:17" x14ac:dyDescent="0.25">
      <c r="A10" s="21"/>
      <c r="B10" s="5">
        <f>IFERROR(VLOOKUP($A10,partInfo!$A$2:$J$30,8,FALSE),0)</f>
        <v>0</v>
      </c>
      <c r="C10" s="5">
        <f>IFERROR(VLOOKUP($A10,partInfo!$A$2:$J$30,7,FALSE),0)</f>
        <v>0</v>
      </c>
      <c r="D10" s="5">
        <f>IFERROR(VLOOKUP($A10,partInfo!$A$2:$J$30,6,FALSE),)</f>
        <v>0</v>
      </c>
      <c r="E10" s="22">
        <f>IFERROR(VLOOKUP($A10,partInfo!$A$2:$J$30,9,FALSE),0)</f>
        <v>0</v>
      </c>
      <c r="G10" s="21"/>
      <c r="H10" s="5">
        <f>IFERROR(VLOOKUP($G10,partInfo!$A$2:$J$30,8,FALSE),0)</f>
        <v>0</v>
      </c>
      <c r="I10" s="5">
        <f>IFERROR(VLOOKUP($G10,partInfo!$A$2:$J$30,7,FALSE),0)</f>
        <v>0</v>
      </c>
      <c r="J10" s="5">
        <f>IFERROR(VLOOKUP($G10,partInfo!$A$2:$J$30,6,FALSE),)</f>
        <v>0</v>
      </c>
      <c r="K10" s="22">
        <f>IFERROR(VLOOKUP($G10,partInfo!$A$2:$J$30,9,FALSE),0)</f>
        <v>0</v>
      </c>
      <c r="M10" s="21"/>
      <c r="N10" s="5">
        <f>IFERROR(VLOOKUP($M10,partInfo!$A$2:$J$30,8,FALSE),0)</f>
        <v>0</v>
      </c>
      <c r="O10" s="5">
        <f>IFERROR(VLOOKUP($M10,partInfo!$A$2:$J$30,7,FALSE),0)</f>
        <v>0</v>
      </c>
      <c r="P10" s="5">
        <f>IFERROR(VLOOKUP($M10,partInfo!$A$2:$J$30,6,FALSE),)</f>
        <v>0</v>
      </c>
      <c r="Q10" s="22">
        <f>IFERROR(VLOOKUP($M10,partInfo!$A$2:$J$30,9,FALSE),0)</f>
        <v>0</v>
      </c>
    </row>
    <row r="11" spans="1:17" x14ac:dyDescent="0.25">
      <c r="A11" s="25" t="s">
        <v>14</v>
      </c>
      <c r="B11" s="17">
        <f>SUM(B4:B10)</f>
        <v>2.327</v>
      </c>
      <c r="C11" s="5"/>
      <c r="D11" s="5"/>
      <c r="E11" s="22"/>
      <c r="G11" s="25" t="s">
        <v>14</v>
      </c>
      <c r="H11" s="17">
        <f>SUM(H4:H10)</f>
        <v>4.9983353600000004</v>
      </c>
      <c r="I11" s="5"/>
      <c r="J11" s="5"/>
      <c r="K11" s="22"/>
      <c r="M11" s="25" t="s">
        <v>14</v>
      </c>
      <c r="N11" s="17">
        <f>SUM(N4:N10)</f>
        <v>10.360295000000001</v>
      </c>
      <c r="O11" s="5"/>
      <c r="P11" s="5"/>
      <c r="Q11" s="22"/>
    </row>
    <row r="12" spans="1:17" x14ac:dyDescent="0.25">
      <c r="A12" s="25" t="s">
        <v>15</v>
      </c>
      <c r="B12" s="17">
        <f>SUM(C4:C10)</f>
        <v>1.5921750000000001</v>
      </c>
      <c r="C12" s="5"/>
      <c r="D12" s="5"/>
      <c r="E12" s="22"/>
      <c r="G12" s="25" t="s">
        <v>15</v>
      </c>
      <c r="H12" s="17">
        <f>SUM(I4:I10)</f>
        <v>3.1935003040000001</v>
      </c>
      <c r="I12" s="5"/>
      <c r="J12" s="5"/>
      <c r="K12" s="22"/>
      <c r="M12" s="25" t="s">
        <v>15</v>
      </c>
      <c r="N12" s="17">
        <f>SUM(O4:O10)</f>
        <v>6.6540442500000001</v>
      </c>
      <c r="O12" s="5"/>
      <c r="P12" s="5"/>
      <c r="Q12" s="22"/>
    </row>
    <row r="13" spans="1:17" x14ac:dyDescent="0.25">
      <c r="A13" s="25" t="s">
        <v>16</v>
      </c>
      <c r="B13" s="17">
        <f>SUM(D4:D10)</f>
        <v>0.73482499999999995</v>
      </c>
      <c r="C13" s="5"/>
      <c r="D13" s="5"/>
      <c r="E13" s="22"/>
      <c r="G13" s="25" t="s">
        <v>16</v>
      </c>
      <c r="H13" s="17">
        <f>SUM(J4:J10)</f>
        <v>1.8048350559999999</v>
      </c>
      <c r="I13" s="5"/>
      <c r="J13" s="5"/>
      <c r="K13" s="22"/>
      <c r="M13" s="25" t="s">
        <v>16</v>
      </c>
      <c r="N13" s="17">
        <f>SUM(P4:P10)</f>
        <v>3.7062507499999997</v>
      </c>
      <c r="O13" s="5"/>
      <c r="P13" s="5"/>
      <c r="Q13" s="22"/>
    </row>
    <row r="14" spans="1:17" x14ac:dyDescent="0.25">
      <c r="A14" s="25" t="s">
        <v>18</v>
      </c>
      <c r="B14" s="17">
        <f>LARGE(E4:E10,1)</f>
        <v>355</v>
      </c>
      <c r="C14" s="5"/>
      <c r="D14" s="5"/>
      <c r="E14" s="22"/>
      <c r="G14" s="25" t="s">
        <v>18</v>
      </c>
      <c r="H14" s="17">
        <f>LARGE(K4:K10,1)</f>
        <v>355</v>
      </c>
      <c r="I14" s="5"/>
      <c r="J14" s="5"/>
      <c r="K14" s="22"/>
      <c r="M14" s="25" t="s">
        <v>18</v>
      </c>
      <c r="N14" s="17">
        <f>LARGE(Q4:Q10,1)</f>
        <v>355</v>
      </c>
      <c r="O14" s="5"/>
      <c r="P14" s="5"/>
      <c r="Q14" s="22"/>
    </row>
    <row r="15" spans="1:17" x14ac:dyDescent="0.25">
      <c r="A15" s="25" t="s">
        <v>17</v>
      </c>
      <c r="B15" s="17">
        <v>0</v>
      </c>
      <c r="C15" s="5"/>
      <c r="D15" s="5"/>
      <c r="E15" s="22"/>
      <c r="G15" s="25" t="s">
        <v>17</v>
      </c>
      <c r="H15" s="17">
        <v>0</v>
      </c>
      <c r="I15" s="5"/>
      <c r="J15" s="5"/>
      <c r="K15" s="22"/>
      <c r="M15" s="25" t="s">
        <v>17</v>
      </c>
      <c r="N15" s="17">
        <v>0</v>
      </c>
      <c r="O15" s="5"/>
      <c r="P15" s="5"/>
      <c r="Q15" s="22"/>
    </row>
    <row r="16" spans="1:17" x14ac:dyDescent="0.25">
      <c r="A16" s="25" t="s">
        <v>3</v>
      </c>
      <c r="B16" s="17">
        <f>B15+B11</f>
        <v>2.327</v>
      </c>
      <c r="C16" s="5"/>
      <c r="D16" s="5"/>
      <c r="E16" s="22"/>
      <c r="G16" s="25" t="s">
        <v>3</v>
      </c>
      <c r="H16" s="17">
        <f>H15+H11</f>
        <v>4.9983353600000004</v>
      </c>
      <c r="I16" s="5"/>
      <c r="J16" s="5"/>
      <c r="K16" s="22"/>
      <c r="M16" s="25" t="s">
        <v>3</v>
      </c>
      <c r="N16" s="17">
        <f>N15+N11</f>
        <v>10.360295000000001</v>
      </c>
      <c r="O16" s="5"/>
      <c r="P16" s="5"/>
      <c r="Q16" s="22"/>
    </row>
    <row r="17" spans="1:17" x14ac:dyDescent="0.25">
      <c r="A17" s="25" t="s">
        <v>19</v>
      </c>
      <c r="B17" s="17">
        <f>B16-B13</f>
        <v>1.5921750000000001</v>
      </c>
      <c r="C17" s="5"/>
      <c r="D17" s="5"/>
      <c r="E17" s="22"/>
      <c r="G17" s="25" t="s">
        <v>19</v>
      </c>
      <c r="H17" s="17">
        <f>H16-H13</f>
        <v>3.1935003040000005</v>
      </c>
      <c r="I17" s="5"/>
      <c r="J17" s="5"/>
      <c r="K17" s="22"/>
      <c r="M17" s="25" t="s">
        <v>19</v>
      </c>
      <c r="N17" s="17">
        <f>N16-N13</f>
        <v>6.654044250000001</v>
      </c>
      <c r="O17" s="5"/>
      <c r="P17" s="5"/>
      <c r="Q17" s="22"/>
    </row>
    <row r="18" spans="1:17" x14ac:dyDescent="0.25">
      <c r="A18" s="25" t="s">
        <v>7</v>
      </c>
      <c r="B18" s="17">
        <f>(B14*9.81)*LN(B16/B17)</f>
        <v>1321.5541676797911</v>
      </c>
      <c r="C18" s="5"/>
      <c r="D18" s="5"/>
      <c r="E18" s="22"/>
      <c r="G18" s="25" t="s">
        <v>7</v>
      </c>
      <c r="H18" s="17">
        <f>(H14*9.81)*LN(H16/H17)</f>
        <v>1560.1383101801136</v>
      </c>
      <c r="I18" s="5"/>
      <c r="J18" s="5"/>
      <c r="K18" s="22"/>
      <c r="M18" s="25" t="s">
        <v>7</v>
      </c>
      <c r="N18" s="17">
        <f>(N14*9.81)*LN(N16/N17)</f>
        <v>1541.91950250076</v>
      </c>
      <c r="O18" s="5"/>
      <c r="P18" s="5"/>
      <c r="Q18" s="22"/>
    </row>
    <row r="19" spans="1:17" ht="15.75" thickBot="1" x14ac:dyDescent="0.3">
      <c r="A19" s="26" t="s">
        <v>13</v>
      </c>
      <c r="B19" s="27">
        <f>B18+0</f>
        <v>1321.5541676797911</v>
      </c>
      <c r="C19" s="28"/>
      <c r="D19" s="28"/>
      <c r="E19" s="29"/>
      <c r="G19" s="30" t="s">
        <v>13</v>
      </c>
      <c r="H19" s="19">
        <f>H18+0</f>
        <v>1560.1383101801136</v>
      </c>
      <c r="I19" s="8"/>
      <c r="J19" s="8"/>
      <c r="K19" s="31"/>
      <c r="M19" s="30" t="s">
        <v>13</v>
      </c>
      <c r="N19" s="19">
        <f>N18+0</f>
        <v>1541.91950250076</v>
      </c>
      <c r="O19" s="8"/>
      <c r="P19" s="8"/>
      <c r="Q19" s="31"/>
    </row>
    <row r="20" spans="1:17" ht="15.75" thickBot="1" x14ac:dyDescent="0.3">
      <c r="G20" s="21"/>
      <c r="H20" s="5"/>
      <c r="I20" s="5"/>
      <c r="J20" s="5"/>
      <c r="K20" s="22"/>
      <c r="M20" s="21"/>
      <c r="N20" s="5"/>
      <c r="O20" s="5"/>
      <c r="P20" s="5"/>
      <c r="Q20" s="22"/>
    </row>
    <row r="21" spans="1:17" x14ac:dyDescent="0.25">
      <c r="A21" s="44" t="s">
        <v>105</v>
      </c>
      <c r="B21" s="45"/>
      <c r="C21" s="45"/>
      <c r="D21" s="45"/>
      <c r="E21" s="46"/>
      <c r="G21" s="21" t="s">
        <v>90</v>
      </c>
      <c r="H21" s="5"/>
      <c r="I21" s="5"/>
      <c r="J21" s="5"/>
      <c r="K21" s="22"/>
      <c r="M21" s="21" t="s">
        <v>93</v>
      </c>
      <c r="N21" s="5"/>
      <c r="O21" s="5"/>
      <c r="P21" s="5"/>
      <c r="Q21" s="22"/>
    </row>
    <row r="22" spans="1:17" x14ac:dyDescent="0.25">
      <c r="A22" s="21" t="s">
        <v>89</v>
      </c>
      <c r="B22" s="5"/>
      <c r="C22" s="5"/>
      <c r="D22" s="5"/>
      <c r="E22" s="22"/>
      <c r="G22" s="23" t="s">
        <v>0</v>
      </c>
      <c r="H22" s="2" t="s">
        <v>3</v>
      </c>
      <c r="I22" s="2" t="s">
        <v>4</v>
      </c>
      <c r="J22" s="2" t="s">
        <v>5</v>
      </c>
      <c r="K22" s="24" t="s">
        <v>6</v>
      </c>
      <c r="M22" s="23" t="s">
        <v>0</v>
      </c>
      <c r="N22" s="2" t="s">
        <v>3</v>
      </c>
      <c r="O22" s="2" t="s">
        <v>4</v>
      </c>
      <c r="P22" s="2" t="s">
        <v>5</v>
      </c>
      <c r="Q22" s="24" t="s">
        <v>6</v>
      </c>
    </row>
    <row r="23" spans="1:17" x14ac:dyDescent="0.25">
      <c r="A23" s="23" t="s">
        <v>0</v>
      </c>
      <c r="B23" s="2" t="s">
        <v>3</v>
      </c>
      <c r="C23" s="2" t="s">
        <v>4</v>
      </c>
      <c r="D23" s="2" t="s">
        <v>5</v>
      </c>
      <c r="E23" s="24" t="s">
        <v>6</v>
      </c>
      <c r="G23" s="21" t="s">
        <v>80</v>
      </c>
      <c r="H23" s="5">
        <f>IFERROR(VLOOKUP($G23,partInfo!$A$2:$J$30,8,FALSE),0)</f>
        <v>4.1870872400000003</v>
      </c>
      <c r="I23" s="5">
        <f>IFERROR(VLOOKUP($G23,partInfo!$A$2:$J$30,7,FALSE),0)</f>
        <v>0.79806308599999998</v>
      </c>
      <c r="J23" s="5">
        <f>IFERROR(VLOOKUP($G23,partInfo!$A$2:$J$30,6,FALSE),)</f>
        <v>3.3890241539999999</v>
      </c>
      <c r="K23" s="22">
        <f>IFERROR(VLOOKUP($G23,partInfo!$A$2:$J$30,9,FALSE),0)</f>
        <v>355</v>
      </c>
      <c r="M23" s="21" t="s">
        <v>88</v>
      </c>
      <c r="N23" s="5">
        <f>IFERROR(VLOOKUP($M23,partInfo!$A$2:$J$30,8,FALSE),0)</f>
        <v>5.7895428799999999</v>
      </c>
      <c r="O23" s="5">
        <f>IFERROR(VLOOKUP($M23,partInfo!$A$2:$J$30,7,FALSE),0)</f>
        <v>1.0384314319999999</v>
      </c>
      <c r="P23" s="5">
        <f>IFERROR(VLOOKUP($M23,partInfo!$A$2:$J$30,6,FALSE),)</f>
        <v>4.7511114479999996</v>
      </c>
      <c r="Q23" s="22">
        <f>IFERROR(VLOOKUP($M23,partInfo!$A$2:$J$30,9,FALSE),0)</f>
        <v>355</v>
      </c>
    </row>
    <row r="24" spans="1:17" x14ac:dyDescent="0.25">
      <c r="A24" s="21" t="s">
        <v>20</v>
      </c>
      <c r="B24" s="5">
        <f>IFERROR(VLOOKUP($A24,partInfo!$A$2:$J$30,8,FALSE),0)</f>
        <v>1.1000000000000001</v>
      </c>
      <c r="C24" s="5">
        <f>IFERROR(VLOOKUP($A24,partInfo!$A$2:$J$30,7,FALSE),0)</f>
        <v>1.1000000000000001</v>
      </c>
      <c r="D24" s="5">
        <f>IFERROR(VLOOKUP($A24,partInfo!$A$2:$J$30,6,FALSE),)</f>
        <v>0</v>
      </c>
      <c r="E24" s="22">
        <f>IFERROR(VLOOKUP($A24,partInfo!$A$2:$J$30,9,FALSE),0)</f>
        <v>355</v>
      </c>
      <c r="G24" s="21" t="s">
        <v>85</v>
      </c>
      <c r="H24" s="5">
        <f>IFERROR(VLOOKUP($G24,partInfo!$A$2:$J$30,8,FALSE),0)</f>
        <v>0.34379176</v>
      </c>
      <c r="I24" s="5">
        <f>IFERROR(VLOOKUP($G24,partInfo!$A$2:$J$30,7,FALSE),0)</f>
        <v>9.4068763999999999E-2</v>
      </c>
      <c r="J24" s="5">
        <f>IFERROR(VLOOKUP($G24,partInfo!$A$2:$J$30,6,FALSE),)</f>
        <v>0.249722996</v>
      </c>
      <c r="K24" s="22">
        <f>IFERROR(VLOOKUP($G24,partInfo!$A$2:$J$30,9,FALSE),0)</f>
        <v>355</v>
      </c>
      <c r="M24" s="21" t="s">
        <v>73</v>
      </c>
      <c r="N24" s="5">
        <f>IFERROR(VLOOKUP($M24,partInfo!$A$2:$J$30,8,FALSE),0)</f>
        <v>3.6</v>
      </c>
      <c r="O24" s="5">
        <f>IFERROR(VLOOKUP($M24,partInfo!$A$2:$J$30,7,FALSE),0)</f>
        <v>3.6</v>
      </c>
      <c r="P24" s="5">
        <f>IFERROR(VLOOKUP($M24,partInfo!$A$2:$J$30,6,FALSE),)</f>
        <v>0</v>
      </c>
      <c r="Q24" s="22">
        <f>IFERROR(VLOOKUP($M24,partInfo!$A$2:$J$30,9,FALSE),0)</f>
        <v>355</v>
      </c>
    </row>
    <row r="25" spans="1:17" x14ac:dyDescent="0.25">
      <c r="A25" s="21" t="s">
        <v>71</v>
      </c>
      <c r="B25" s="5">
        <f>IFERROR(VLOOKUP($A25,partInfo!$A$2:$J$30,8,FALSE),0)</f>
        <v>1.2</v>
      </c>
      <c r="C25" s="5">
        <f>IFERROR(VLOOKUP($A25,partInfo!$A$2:$J$30,7,FALSE),0)</f>
        <v>1.2</v>
      </c>
      <c r="D25" s="5">
        <f>IFERROR(VLOOKUP($A25,partInfo!$A$2:$J$30,6,FALSE),)</f>
        <v>0</v>
      </c>
      <c r="E25" s="22">
        <f>IFERROR(VLOOKUP($A25,partInfo!$A$2:$J$30,9,FALSE),0)</f>
        <v>355</v>
      </c>
      <c r="G25" s="21" t="s">
        <v>27</v>
      </c>
      <c r="H25" s="5">
        <f>IFERROR(VLOOKUP($G25,partInfo!$A$2:$J$30,8,FALSE),0)</f>
        <v>0.75</v>
      </c>
      <c r="I25" s="5">
        <f>IFERROR(VLOOKUP($G25,partInfo!$A$2:$J$30,7,FALSE),0)</f>
        <v>0.75</v>
      </c>
      <c r="J25" s="5">
        <f>IFERROR(VLOOKUP($G25,partInfo!$A$2:$J$30,6,FALSE),)</f>
        <v>0</v>
      </c>
      <c r="K25" s="22">
        <f>IFERROR(VLOOKUP($G25,partInfo!$A$2:$J$30,9,FALSE),0)</f>
        <v>355</v>
      </c>
      <c r="M25" s="21" t="s">
        <v>103</v>
      </c>
      <c r="N25" s="5">
        <f>IFERROR(VLOOKUP($M25,partInfo!$A$2:$J$30,8,FALSE),0)</f>
        <v>1.5</v>
      </c>
      <c r="O25" s="5">
        <f>IFERROR(VLOOKUP($M25,partInfo!$A$2:$J$30,7,FALSE),0)</f>
        <v>1.5</v>
      </c>
      <c r="P25" s="5">
        <f>IFERROR(VLOOKUP($M25,partInfo!$A$2:$J$30,6,FALSE),)</f>
        <v>0</v>
      </c>
      <c r="Q25" s="22">
        <f>IFERROR(VLOOKUP($M25,partInfo!$A$2:$J$30,9,FALSE),0)</f>
        <v>355</v>
      </c>
    </row>
    <row r="26" spans="1:17" x14ac:dyDescent="0.25">
      <c r="A26" s="21" t="s">
        <v>82</v>
      </c>
      <c r="B26" s="5">
        <f>IFERROR(VLOOKUP($A26,partInfo!$A$2:$J$30,8,FALSE),0)</f>
        <v>1.9400000000000002</v>
      </c>
      <c r="C26" s="5">
        <f>IFERROR(VLOOKUP($A26,partInfo!$A$2:$J$30,7,FALSE),0)</f>
        <v>0.376</v>
      </c>
      <c r="D26" s="5">
        <f>IFERROR(VLOOKUP($A26,partInfo!$A$2:$J$30,6,FALSE),)</f>
        <v>1.5640000000000001</v>
      </c>
      <c r="E26" s="22">
        <f>IFERROR(VLOOKUP($A26,partInfo!$A$2:$J$30,9,FALSE),0)</f>
        <v>355</v>
      </c>
      <c r="G26" s="21"/>
      <c r="H26" s="5">
        <f>IFERROR(VLOOKUP($G26,partInfo!$A$2:$J$30,8,FALSE),0)</f>
        <v>0</v>
      </c>
      <c r="I26" s="5">
        <f>IFERROR(VLOOKUP($G26,partInfo!$A$2:$J$30,7,FALSE),0)</f>
        <v>0</v>
      </c>
      <c r="J26" s="5">
        <f>IFERROR(VLOOKUP($G26,partInfo!$A$2:$J$30,6,FALSE),)</f>
        <v>0</v>
      </c>
      <c r="K26" s="22">
        <f>IFERROR(VLOOKUP($G26,partInfo!$A$2:$J$30,9,FALSE),0)</f>
        <v>0</v>
      </c>
      <c r="M26" s="21" t="s">
        <v>86</v>
      </c>
      <c r="N26" s="5">
        <f>IFERROR(VLOOKUP($M26,partInfo!$A$2:$J$30,8,FALSE),0)</f>
        <v>9.4240000000000013</v>
      </c>
      <c r="O26" s="5">
        <f>IFERROR(VLOOKUP($M26,partInfo!$A$2:$J$30,7,FALSE),0)</f>
        <v>1.6686000000000001</v>
      </c>
      <c r="P26" s="5">
        <f>IFERROR(VLOOKUP($M26,partInfo!$A$2:$J$30,6,FALSE),)</f>
        <v>7.7553999999999998</v>
      </c>
      <c r="Q26" s="22">
        <f>IFERROR(VLOOKUP($M26,partInfo!$A$2:$J$30,9,FALSE),0)</f>
        <v>355</v>
      </c>
    </row>
    <row r="27" spans="1:17" x14ac:dyDescent="0.25">
      <c r="A27" s="21" t="s">
        <v>23</v>
      </c>
      <c r="B27" s="5">
        <f>IFERROR(VLOOKUP($A27,partInfo!$A$2:$J$30,8,FALSE),0)</f>
        <v>0.36249999999999999</v>
      </c>
      <c r="C27" s="5">
        <f>IFERROR(VLOOKUP($A27,partInfo!$A$2:$J$30,7,FALSE),0)</f>
        <v>0.36249999999999999</v>
      </c>
      <c r="D27" s="5">
        <f>IFERROR(VLOOKUP($A27,partInfo!$A$2:$J$30,6,FALSE),)</f>
        <v>0</v>
      </c>
      <c r="E27" s="22">
        <f>IFERROR(VLOOKUP($A27,partInfo!$A$2:$J$30,9,FALSE),0)</f>
        <v>355</v>
      </c>
      <c r="G27" s="21"/>
      <c r="H27" s="5">
        <f>IFERROR(VLOOKUP($G27,partInfo!$A$2:$J$30,8,FALSE),0)</f>
        <v>0</v>
      </c>
      <c r="I27" s="5">
        <f>IFERROR(VLOOKUP($G27,partInfo!$A$2:$J$30,7,FALSE),0)</f>
        <v>0</v>
      </c>
      <c r="J27" s="5">
        <f>IFERROR(VLOOKUP($G27,partInfo!$A$2:$J$30,6,FALSE),)</f>
        <v>0</v>
      </c>
      <c r="K27" s="22">
        <f>IFERROR(VLOOKUP($G27,partInfo!$A$2:$J$30,9,FALSE),0)</f>
        <v>0</v>
      </c>
      <c r="M27" s="21" t="s">
        <v>86</v>
      </c>
      <c r="N27" s="5">
        <f>IFERROR(VLOOKUP($M27,partInfo!$A$2:$J$30,8,FALSE),0)</f>
        <v>9.4240000000000013</v>
      </c>
      <c r="O27" s="5">
        <f>IFERROR(VLOOKUP($M27,partInfo!$A$2:$J$30,7,FALSE),0)</f>
        <v>1.6686000000000001</v>
      </c>
      <c r="P27" s="5">
        <f>IFERROR(VLOOKUP($M27,partInfo!$A$2:$J$30,6,FALSE),)</f>
        <v>7.7553999999999998</v>
      </c>
      <c r="Q27" s="22">
        <f>IFERROR(VLOOKUP($M27,partInfo!$A$2:$J$30,9,FALSE),0)</f>
        <v>355</v>
      </c>
    </row>
    <row r="28" spans="1:17" x14ac:dyDescent="0.25">
      <c r="A28" s="21"/>
      <c r="B28" s="5">
        <f>IFERROR(VLOOKUP($A28,partInfo!$A$2:$J$30,8,FALSE),0)</f>
        <v>0</v>
      </c>
      <c r="C28" s="5">
        <f>IFERROR(VLOOKUP($A28,partInfo!$A$2:$J$30,7,FALSE),0)</f>
        <v>0</v>
      </c>
      <c r="D28" s="5">
        <f>IFERROR(VLOOKUP($A28,partInfo!$A$2:$J$30,6,FALSE),)</f>
        <v>0</v>
      </c>
      <c r="E28" s="22">
        <f>IFERROR(VLOOKUP($A28,partInfo!$A$2:$J$30,9,FALSE),0)</f>
        <v>0</v>
      </c>
      <c r="G28" s="21"/>
      <c r="H28" s="5">
        <f>IFERROR(VLOOKUP($G28,partInfo!$A$2:$J$30,8,FALSE),0)</f>
        <v>0</v>
      </c>
      <c r="I28" s="5">
        <f>IFERROR(VLOOKUP($G28,partInfo!$A$2:$J$30,7,FALSE),0)</f>
        <v>0</v>
      </c>
      <c r="J28" s="5">
        <f>IFERROR(VLOOKUP($G28,partInfo!$A$2:$J$30,6,FALSE),)</f>
        <v>0</v>
      </c>
      <c r="K28" s="22">
        <f>IFERROR(VLOOKUP($G28,partInfo!$A$2:$J$30,9,FALSE),0)</f>
        <v>0</v>
      </c>
      <c r="M28" s="21"/>
      <c r="N28" s="5">
        <f>IFERROR(VLOOKUP($M28,partInfo!$A$2:$J$30,8,FALSE),0)</f>
        <v>0</v>
      </c>
      <c r="O28" s="5">
        <f>IFERROR(VLOOKUP($M28,partInfo!$A$2:$J$30,7,FALSE),0)</f>
        <v>0</v>
      </c>
      <c r="P28" s="5">
        <f>IFERROR(VLOOKUP($M28,partInfo!$A$2:$J$30,6,FALSE),)</f>
        <v>0</v>
      </c>
      <c r="Q28" s="22">
        <f>IFERROR(VLOOKUP($M28,partInfo!$A$2:$J$30,9,FALSE),0)</f>
        <v>0</v>
      </c>
    </row>
    <row r="29" spans="1:17" x14ac:dyDescent="0.25">
      <c r="A29" s="21"/>
      <c r="B29" s="5">
        <f>IFERROR(VLOOKUP($A29,partInfo!$A$2:$J$30,8,FALSE),0)</f>
        <v>0</v>
      </c>
      <c r="C29" s="5">
        <f>IFERROR(VLOOKUP($A29,partInfo!$A$2:$J$30,7,FALSE),0)</f>
        <v>0</v>
      </c>
      <c r="D29" s="5">
        <f>IFERROR(VLOOKUP($A29,partInfo!$A$2:$J$30,6,FALSE),)</f>
        <v>0</v>
      </c>
      <c r="E29" s="22">
        <f>IFERROR(VLOOKUP($A29,partInfo!$A$2:$J$30,9,FALSE),0)</f>
        <v>0</v>
      </c>
      <c r="G29" s="21"/>
      <c r="H29" s="5">
        <f>IFERROR(VLOOKUP($G29,partInfo!$A$2:$J$30,8,FALSE),0)</f>
        <v>0</v>
      </c>
      <c r="I29" s="5">
        <f>IFERROR(VLOOKUP($G29,partInfo!$A$2:$J$30,7,FALSE),0)</f>
        <v>0</v>
      </c>
      <c r="J29" s="5">
        <f>IFERROR(VLOOKUP($G29,partInfo!$A$2:$J$30,6,FALSE),)</f>
        <v>0</v>
      </c>
      <c r="K29" s="22">
        <f>IFERROR(VLOOKUP($G29,partInfo!$A$2:$J$30,9,FALSE),0)</f>
        <v>0</v>
      </c>
      <c r="M29" s="21"/>
      <c r="N29" s="5">
        <f>IFERROR(VLOOKUP($M29,partInfo!$A$2:$J$30,8,FALSE),0)</f>
        <v>0</v>
      </c>
      <c r="O29" s="5">
        <f>IFERROR(VLOOKUP($M29,partInfo!$A$2:$J$30,7,FALSE),0)</f>
        <v>0</v>
      </c>
      <c r="P29" s="5">
        <f>IFERROR(VLOOKUP($M29,partInfo!$A$2:$J$30,6,FALSE),)</f>
        <v>0</v>
      </c>
      <c r="Q29" s="22">
        <f>IFERROR(VLOOKUP($M29,partInfo!$A$2:$J$30,9,FALSE),0)</f>
        <v>0</v>
      </c>
    </row>
    <row r="30" spans="1:17" x14ac:dyDescent="0.25">
      <c r="A30" s="21"/>
      <c r="B30" s="5">
        <f>IFERROR(VLOOKUP($A30,partInfo!$A$2:$J$30,8,FALSE),0)</f>
        <v>0</v>
      </c>
      <c r="C30" s="5">
        <f>IFERROR(VLOOKUP($A30,partInfo!$A$2:$J$30,7,FALSE),0)</f>
        <v>0</v>
      </c>
      <c r="D30" s="5">
        <f>IFERROR(VLOOKUP($A30,partInfo!$A$2:$J$30,6,FALSE),)</f>
        <v>0</v>
      </c>
      <c r="E30" s="22">
        <f>IFERROR(VLOOKUP($A30,partInfo!$A$2:$J$30,9,FALSE),0)</f>
        <v>0</v>
      </c>
      <c r="G30" s="25" t="s">
        <v>14</v>
      </c>
      <c r="H30" s="17">
        <f>SUM(H23:H29)</f>
        <v>5.2808790000000005</v>
      </c>
      <c r="I30" s="5"/>
      <c r="J30" s="5"/>
      <c r="K30" s="22"/>
      <c r="M30" s="25" t="s">
        <v>14</v>
      </c>
      <c r="N30" s="17">
        <f>SUM(N23:N29)</f>
        <v>29.737542879999999</v>
      </c>
      <c r="O30" s="5"/>
      <c r="P30" s="5"/>
      <c r="Q30" s="22"/>
    </row>
    <row r="31" spans="1:17" x14ac:dyDescent="0.25">
      <c r="A31" s="25" t="s">
        <v>14</v>
      </c>
      <c r="B31" s="17">
        <f>SUM(B24:B30)</f>
        <v>4.6025</v>
      </c>
      <c r="C31" s="5"/>
      <c r="D31" s="5"/>
      <c r="E31" s="22"/>
      <c r="G31" s="25" t="s">
        <v>15</v>
      </c>
      <c r="H31" s="17">
        <f>SUM(I23:I29)</f>
        <v>1.6421318499999999</v>
      </c>
      <c r="I31" s="5"/>
      <c r="J31" s="5"/>
      <c r="K31" s="22"/>
      <c r="M31" s="25" t="s">
        <v>15</v>
      </c>
      <c r="N31" s="17">
        <f>SUM(O23:O29)</f>
        <v>9.4756314320000001</v>
      </c>
      <c r="O31" s="5"/>
      <c r="P31" s="5"/>
      <c r="Q31" s="22"/>
    </row>
    <row r="32" spans="1:17" x14ac:dyDescent="0.25">
      <c r="A32" s="25" t="s">
        <v>15</v>
      </c>
      <c r="B32" s="17">
        <f>SUM(C24:C30)</f>
        <v>3.0384999999999995</v>
      </c>
      <c r="C32" s="5"/>
      <c r="D32" s="5"/>
      <c r="E32" s="22"/>
      <c r="G32" s="25" t="s">
        <v>16</v>
      </c>
      <c r="H32" s="17">
        <f>SUM(J23:J29)</f>
        <v>3.6387471499999999</v>
      </c>
      <c r="I32" s="5"/>
      <c r="J32" s="5"/>
      <c r="K32" s="22"/>
      <c r="M32" s="25" t="s">
        <v>16</v>
      </c>
      <c r="N32" s="17">
        <f>SUM(P23:P29)</f>
        <v>20.261911447999999</v>
      </c>
      <c r="O32" s="5"/>
      <c r="P32" s="5"/>
      <c r="Q32" s="22"/>
    </row>
    <row r="33" spans="1:17" x14ac:dyDescent="0.25">
      <c r="A33" s="25" t="s">
        <v>16</v>
      </c>
      <c r="B33" s="17">
        <f>SUM(D24:D30)</f>
        <v>1.5640000000000001</v>
      </c>
      <c r="C33" s="5"/>
      <c r="D33" s="5"/>
      <c r="E33" s="22"/>
      <c r="G33" s="25" t="s">
        <v>18</v>
      </c>
      <c r="H33" s="17">
        <f>LARGE(K23:K29,1)</f>
        <v>355</v>
      </c>
      <c r="I33" s="5"/>
      <c r="J33" s="5"/>
      <c r="K33" s="22"/>
      <c r="M33" s="25" t="s">
        <v>18</v>
      </c>
      <c r="N33" s="17">
        <f>LARGE(Q23:Q29,1)</f>
        <v>355</v>
      </c>
      <c r="O33" s="5"/>
      <c r="P33" s="5"/>
      <c r="Q33" s="22"/>
    </row>
    <row r="34" spans="1:17" x14ac:dyDescent="0.25">
      <c r="A34" s="25" t="s">
        <v>18</v>
      </c>
      <c r="B34" s="17">
        <f>LARGE(E24:E30,1)</f>
        <v>355</v>
      </c>
      <c r="C34" s="5"/>
      <c r="D34" s="5"/>
      <c r="E34" s="22"/>
      <c r="G34" s="25" t="s">
        <v>17</v>
      </c>
      <c r="H34" s="17">
        <f>H16</f>
        <v>4.9983353600000004</v>
      </c>
      <c r="I34" s="5"/>
      <c r="J34" s="5"/>
      <c r="K34" s="22"/>
      <c r="M34" s="25" t="s">
        <v>17</v>
      </c>
      <c r="N34" s="17">
        <f>N16</f>
        <v>10.360295000000001</v>
      </c>
      <c r="O34" s="5"/>
      <c r="P34" s="5"/>
      <c r="Q34" s="22"/>
    </row>
    <row r="35" spans="1:17" x14ac:dyDescent="0.25">
      <c r="A35" s="25" t="s">
        <v>17</v>
      </c>
      <c r="B35" s="17">
        <v>0</v>
      </c>
      <c r="C35" s="5"/>
      <c r="D35" s="5"/>
      <c r="E35" s="22"/>
      <c r="G35" s="25" t="s">
        <v>3</v>
      </c>
      <c r="H35" s="17">
        <f>H34+H30</f>
        <v>10.279214360000001</v>
      </c>
      <c r="I35" s="5"/>
      <c r="J35" s="5"/>
      <c r="K35" s="22"/>
      <c r="M35" s="25" t="s">
        <v>3</v>
      </c>
      <c r="N35" s="17">
        <f>N34+N30</f>
        <v>40.09783788</v>
      </c>
      <c r="O35" s="5"/>
      <c r="P35" s="5"/>
      <c r="Q35" s="22"/>
    </row>
    <row r="36" spans="1:17" x14ac:dyDescent="0.25">
      <c r="A36" s="25" t="s">
        <v>3</v>
      </c>
      <c r="B36" s="17">
        <f>B35+B31</f>
        <v>4.6025</v>
      </c>
      <c r="C36" s="5"/>
      <c r="D36" s="5"/>
      <c r="E36" s="22"/>
      <c r="G36" s="25" t="s">
        <v>19</v>
      </c>
      <c r="H36" s="17">
        <f>H35-H32</f>
        <v>6.6404672100000006</v>
      </c>
      <c r="I36" s="5"/>
      <c r="J36" s="5"/>
      <c r="K36" s="22"/>
      <c r="M36" s="25" t="s">
        <v>19</v>
      </c>
      <c r="N36" s="17">
        <f>N35-N32</f>
        <v>19.835926432000001</v>
      </c>
      <c r="O36" s="5"/>
      <c r="P36" s="5"/>
      <c r="Q36" s="22"/>
    </row>
    <row r="37" spans="1:17" x14ac:dyDescent="0.25">
      <c r="A37" s="25" t="s">
        <v>19</v>
      </c>
      <c r="B37" s="17">
        <f>B36-B33</f>
        <v>3.0385</v>
      </c>
      <c r="C37" s="5"/>
      <c r="D37" s="5"/>
      <c r="E37" s="22"/>
      <c r="G37" s="25" t="s">
        <v>7</v>
      </c>
      <c r="H37" s="17">
        <f>(H33*9.81)*LN(H35/H36)</f>
        <v>1521.6706522279887</v>
      </c>
      <c r="I37" s="5"/>
      <c r="J37" s="5"/>
      <c r="K37" s="22"/>
      <c r="M37" s="25" t="s">
        <v>7</v>
      </c>
      <c r="N37" s="17">
        <f>(N33*9.81)*LN(N35/N36)</f>
        <v>2451.11499938619</v>
      </c>
      <c r="O37" s="5"/>
      <c r="P37" s="5"/>
      <c r="Q37" s="22"/>
    </row>
    <row r="38" spans="1:17" ht="15.75" thickBot="1" x14ac:dyDescent="0.3">
      <c r="A38" s="25" t="s">
        <v>7</v>
      </c>
      <c r="B38" s="17">
        <f>(B34*9.81)*LN(B36/B37)</f>
        <v>1446.07895306765</v>
      </c>
      <c r="C38" s="5"/>
      <c r="D38" s="5"/>
      <c r="E38" s="22"/>
      <c r="G38" s="26" t="s">
        <v>13</v>
      </c>
      <c r="H38" s="27">
        <f>H37+H19</f>
        <v>3081.8089624081022</v>
      </c>
      <c r="I38" s="28"/>
      <c r="J38" s="28"/>
      <c r="K38" s="29"/>
      <c r="M38" s="30" t="s">
        <v>13</v>
      </c>
      <c r="N38" s="19">
        <f>N37+N19</f>
        <v>3993.0345018869502</v>
      </c>
      <c r="O38" s="8"/>
      <c r="P38" s="8"/>
      <c r="Q38" s="31"/>
    </row>
    <row r="39" spans="1:17" ht="15.75" thickBot="1" x14ac:dyDescent="0.3">
      <c r="A39" s="26" t="s">
        <v>13</v>
      </c>
      <c r="B39" s="27">
        <f>B38+0</f>
        <v>1446.07895306765</v>
      </c>
      <c r="C39" s="28"/>
      <c r="D39" s="28"/>
      <c r="E39" s="29"/>
      <c r="M39" s="21"/>
      <c r="N39" s="5"/>
      <c r="O39" s="5"/>
      <c r="P39" s="5"/>
      <c r="Q39" s="22"/>
    </row>
    <row r="40" spans="1:17" x14ac:dyDescent="0.25">
      <c r="A40" s="20"/>
      <c r="B40" s="20"/>
      <c r="C40" s="20"/>
      <c r="D40" s="20"/>
      <c r="E40" s="20"/>
      <c r="G40" s="20"/>
      <c r="H40" s="20"/>
      <c r="I40" s="20"/>
      <c r="J40" s="20"/>
      <c r="K40" s="20"/>
      <c r="M40" s="21" t="s">
        <v>92</v>
      </c>
      <c r="N40" s="5"/>
      <c r="O40" s="5"/>
      <c r="P40" s="5"/>
      <c r="Q40" s="22"/>
    </row>
    <row r="41" spans="1:17" x14ac:dyDescent="0.25">
      <c r="A41" s="20"/>
      <c r="B41" s="20"/>
      <c r="C41" s="20"/>
      <c r="D41" s="20"/>
      <c r="E41" s="20"/>
      <c r="G41" s="20"/>
      <c r="H41" s="20"/>
      <c r="I41" s="20"/>
      <c r="J41" s="20"/>
      <c r="K41" s="20"/>
      <c r="M41" s="23" t="s">
        <v>0</v>
      </c>
      <c r="N41" s="2" t="s">
        <v>3</v>
      </c>
      <c r="O41" s="2" t="s">
        <v>4</v>
      </c>
      <c r="P41" s="2" t="s">
        <v>5</v>
      </c>
      <c r="Q41" s="24" t="s">
        <v>6</v>
      </c>
    </row>
    <row r="42" spans="1:17" x14ac:dyDescent="0.25">
      <c r="A42" s="20"/>
      <c r="B42" s="20"/>
      <c r="C42" s="20"/>
      <c r="D42" s="20"/>
      <c r="E42" s="20"/>
      <c r="G42" s="20"/>
      <c r="H42" s="20"/>
      <c r="I42" s="20"/>
      <c r="J42" s="20"/>
      <c r="K42" s="20"/>
      <c r="M42" s="21" t="s">
        <v>86</v>
      </c>
      <c r="N42" s="5">
        <f>IFERROR(VLOOKUP($M42,partInfo!$A$2:$J$30,8,FALSE),0)</f>
        <v>9.4240000000000013</v>
      </c>
      <c r="O42" s="5">
        <f>IFERROR(VLOOKUP($M42,partInfo!$A$2:$J$30,7,FALSE),0)</f>
        <v>1.6686000000000001</v>
      </c>
      <c r="P42" s="5">
        <f>IFERROR(VLOOKUP($M42,partInfo!$A$2:$J$30,6,FALSE),)</f>
        <v>7.7553999999999998</v>
      </c>
      <c r="Q42" s="22">
        <f>IFERROR(VLOOKUP($M42,partInfo!$A$2:$J$30,9,FALSE),0)</f>
        <v>355</v>
      </c>
    </row>
    <row r="43" spans="1:17" x14ac:dyDescent="0.25">
      <c r="A43" s="20"/>
      <c r="B43" s="20"/>
      <c r="C43" s="20"/>
      <c r="D43" s="20"/>
      <c r="E43" s="20"/>
      <c r="G43" s="20"/>
      <c r="H43" s="20"/>
      <c r="I43" s="20"/>
      <c r="J43" s="20"/>
      <c r="K43" s="20"/>
      <c r="M43" s="21" t="s">
        <v>86</v>
      </c>
      <c r="N43" s="5">
        <f>IFERROR(VLOOKUP($M43,partInfo!$A$2:$J$30,8,FALSE),0)</f>
        <v>9.4240000000000013</v>
      </c>
      <c r="O43" s="5">
        <f>IFERROR(VLOOKUP($M43,partInfo!$A$2:$J$30,7,FALSE),0)</f>
        <v>1.6686000000000001</v>
      </c>
      <c r="P43" s="5">
        <f>IFERROR(VLOOKUP($M43,partInfo!$A$2:$J$30,6,FALSE),)</f>
        <v>7.7553999999999998</v>
      </c>
      <c r="Q43" s="22">
        <f>IFERROR(VLOOKUP($M43,partInfo!$A$2:$J$30,9,FALSE),0)</f>
        <v>355</v>
      </c>
    </row>
    <row r="44" spans="1:17" x14ac:dyDescent="0.25">
      <c r="A44" s="20"/>
      <c r="B44" s="20"/>
      <c r="C44" s="20"/>
      <c r="D44" s="20"/>
      <c r="E44" s="20"/>
      <c r="G44" s="20"/>
      <c r="H44" s="20"/>
      <c r="I44" s="20"/>
      <c r="J44" s="20"/>
      <c r="K44" s="20"/>
      <c r="M44" s="21" t="s">
        <v>73</v>
      </c>
      <c r="N44" s="5">
        <f>IFERROR(VLOOKUP($M44,partInfo!$A$2:$J$30,8,FALSE),0)</f>
        <v>3.6</v>
      </c>
      <c r="O44" s="5">
        <f>IFERROR(VLOOKUP($M44,partInfo!$A$2:$J$30,7,FALSE),0)</f>
        <v>3.6</v>
      </c>
      <c r="P44" s="5">
        <f>IFERROR(VLOOKUP($M44,partInfo!$A$2:$J$30,6,FALSE),)</f>
        <v>0</v>
      </c>
      <c r="Q44" s="22">
        <f>IFERROR(VLOOKUP($M44,partInfo!$A$2:$J$30,9,FALSE),0)</f>
        <v>355</v>
      </c>
    </row>
    <row r="45" spans="1:17" x14ac:dyDescent="0.25">
      <c r="A45" s="20"/>
      <c r="B45" s="20"/>
      <c r="C45" s="20"/>
      <c r="D45" s="20"/>
      <c r="E45" s="20"/>
      <c r="G45" s="20"/>
      <c r="H45" s="20"/>
      <c r="I45" s="20"/>
      <c r="J45" s="20"/>
      <c r="K45" s="20"/>
      <c r="M45" s="21" t="s">
        <v>86</v>
      </c>
      <c r="N45" s="5">
        <f>IFERROR(VLOOKUP($M45,partInfo!$A$2:$J$30,8,FALSE),0)</f>
        <v>9.4240000000000013</v>
      </c>
      <c r="O45" s="5">
        <f>IFERROR(VLOOKUP($M45,partInfo!$A$2:$J$30,7,FALSE),0)</f>
        <v>1.6686000000000001</v>
      </c>
      <c r="P45" s="5">
        <f>IFERROR(VLOOKUP($M45,partInfo!$A$2:$J$30,6,FALSE),)</f>
        <v>7.7553999999999998</v>
      </c>
      <c r="Q45" s="22">
        <f>IFERROR(VLOOKUP($M45,partInfo!$A$2:$J$30,9,FALSE),0)</f>
        <v>355</v>
      </c>
    </row>
    <row r="46" spans="1:17" x14ac:dyDescent="0.25">
      <c r="A46" s="20"/>
      <c r="B46" s="20"/>
      <c r="C46" s="20"/>
      <c r="D46" s="20"/>
      <c r="E46" s="20"/>
      <c r="G46" s="20"/>
      <c r="H46" s="20"/>
      <c r="I46" s="20"/>
      <c r="J46" s="20"/>
      <c r="K46" s="20"/>
      <c r="M46" s="21"/>
      <c r="N46" s="5">
        <f>IFERROR(VLOOKUP($M46,partInfo!$A$2:$J$30,8,FALSE),0)</f>
        <v>0</v>
      </c>
      <c r="O46" s="5">
        <f>IFERROR(VLOOKUP($M46,partInfo!$A$2:$J$30,7,FALSE),0)</f>
        <v>0</v>
      </c>
      <c r="P46" s="5">
        <f>IFERROR(VLOOKUP($M46,partInfo!$A$2:$J$30,6,FALSE),)</f>
        <v>0</v>
      </c>
      <c r="Q46" s="22">
        <f>IFERROR(VLOOKUP($M46,partInfo!$A$2:$J$30,9,FALSE),0)</f>
        <v>0</v>
      </c>
    </row>
    <row r="47" spans="1:17" x14ac:dyDescent="0.25">
      <c r="A47" s="20"/>
      <c r="B47" s="20"/>
      <c r="C47" s="20"/>
      <c r="D47" s="20"/>
      <c r="E47" s="20"/>
      <c r="G47" s="20"/>
      <c r="H47" s="20"/>
      <c r="I47" s="20"/>
      <c r="J47" s="20"/>
      <c r="K47" s="20"/>
      <c r="M47" s="21"/>
      <c r="N47" s="5">
        <f>IFERROR(VLOOKUP($M47,partInfo!$A$2:$J$30,8,FALSE),0)</f>
        <v>0</v>
      </c>
      <c r="O47" s="5">
        <f>IFERROR(VLOOKUP($M47,partInfo!$A$2:$J$30,7,FALSE),0)</f>
        <v>0</v>
      </c>
      <c r="P47" s="5">
        <f>IFERROR(VLOOKUP($M47,partInfo!$A$2:$J$30,6,FALSE),)</f>
        <v>0</v>
      </c>
      <c r="Q47" s="22">
        <f>IFERROR(VLOOKUP($M47,partInfo!$A$2:$J$30,9,FALSE),0)</f>
        <v>0</v>
      </c>
    </row>
    <row r="48" spans="1:17" x14ac:dyDescent="0.25">
      <c r="A48" s="20"/>
      <c r="B48" s="20"/>
      <c r="C48" s="20"/>
      <c r="D48" s="20"/>
      <c r="E48" s="20"/>
      <c r="G48" s="20"/>
      <c r="H48" s="20"/>
      <c r="I48" s="20"/>
      <c r="J48" s="20"/>
      <c r="K48" s="20"/>
      <c r="M48" s="21"/>
      <c r="N48" s="5">
        <f>IFERROR(VLOOKUP($M48,partInfo!$A$2:$J$30,8,FALSE),0)</f>
        <v>0</v>
      </c>
      <c r="O48" s="5">
        <f>IFERROR(VLOOKUP($M48,partInfo!$A$2:$J$30,7,FALSE),0)</f>
        <v>0</v>
      </c>
      <c r="P48" s="5">
        <f>IFERROR(VLOOKUP($M48,partInfo!$A$2:$J$30,6,FALSE),)</f>
        <v>0</v>
      </c>
      <c r="Q48" s="22">
        <f>IFERROR(VLOOKUP($M48,partInfo!$A$2:$J$30,9,FALSE),0)</f>
        <v>0</v>
      </c>
    </row>
    <row r="49" spans="1:17" x14ac:dyDescent="0.25">
      <c r="A49" s="20"/>
      <c r="B49" s="20"/>
      <c r="C49" s="20"/>
      <c r="D49" s="20"/>
      <c r="E49" s="20"/>
      <c r="G49" s="20"/>
      <c r="H49" s="20"/>
      <c r="I49" s="20"/>
      <c r="J49" s="20"/>
      <c r="K49" s="20"/>
      <c r="M49" s="25" t="s">
        <v>14</v>
      </c>
      <c r="N49" s="17">
        <f>SUM(N42:N48)</f>
        <v>31.872000000000007</v>
      </c>
      <c r="O49" s="5"/>
      <c r="P49" s="5"/>
      <c r="Q49" s="22"/>
    </row>
    <row r="50" spans="1:17" x14ac:dyDescent="0.25">
      <c r="A50" s="20"/>
      <c r="B50" s="20"/>
      <c r="C50" s="20"/>
      <c r="D50" s="20"/>
      <c r="E50" s="20"/>
      <c r="G50" s="20"/>
      <c r="H50" s="20"/>
      <c r="I50" s="20"/>
      <c r="J50" s="20"/>
      <c r="K50" s="20"/>
      <c r="M50" s="25" t="s">
        <v>15</v>
      </c>
      <c r="N50" s="17">
        <f>SUM(O42:O48)</f>
        <v>8.6058000000000003</v>
      </c>
      <c r="O50" s="5"/>
      <c r="P50" s="5"/>
      <c r="Q50" s="22"/>
    </row>
    <row r="51" spans="1:17" x14ac:dyDescent="0.25">
      <c r="A51" s="20"/>
      <c r="B51" s="20"/>
      <c r="C51" s="20"/>
      <c r="D51" s="20"/>
      <c r="E51" s="20"/>
      <c r="G51" s="20"/>
      <c r="H51" s="20"/>
      <c r="I51" s="20"/>
      <c r="J51" s="20"/>
      <c r="K51" s="20"/>
      <c r="M51" s="25" t="s">
        <v>16</v>
      </c>
      <c r="N51" s="17">
        <f>SUM(P42:P48)</f>
        <v>23.266199999999998</v>
      </c>
      <c r="O51" s="5"/>
      <c r="P51" s="5"/>
      <c r="Q51" s="22"/>
    </row>
    <row r="52" spans="1:17" x14ac:dyDescent="0.25">
      <c r="A52" s="20"/>
      <c r="B52" s="20"/>
      <c r="C52" s="20"/>
      <c r="D52" s="20"/>
      <c r="E52" s="20"/>
      <c r="G52" s="20"/>
      <c r="H52" s="20"/>
      <c r="I52" s="20"/>
      <c r="J52" s="20"/>
      <c r="K52" s="20"/>
      <c r="M52" s="25" t="s">
        <v>18</v>
      </c>
      <c r="N52" s="17">
        <f>LARGE(Q42:Q48,1)</f>
        <v>355</v>
      </c>
      <c r="O52" s="5"/>
      <c r="P52" s="5"/>
      <c r="Q52" s="22"/>
    </row>
    <row r="53" spans="1:17" x14ac:dyDescent="0.25">
      <c r="A53" s="20"/>
      <c r="B53" s="20"/>
      <c r="C53" s="20"/>
      <c r="D53" s="20"/>
      <c r="E53" s="20"/>
      <c r="G53" s="20"/>
      <c r="H53" s="20"/>
      <c r="I53" s="20"/>
      <c r="J53" s="20"/>
      <c r="K53" s="20"/>
      <c r="M53" s="25" t="s">
        <v>17</v>
      </c>
      <c r="N53" s="17">
        <f>N35</f>
        <v>40.09783788</v>
      </c>
      <c r="O53" s="5"/>
      <c r="P53" s="5"/>
      <c r="Q53" s="22"/>
    </row>
    <row r="54" spans="1:17" x14ac:dyDescent="0.25">
      <c r="A54" s="20"/>
      <c r="B54" s="20"/>
      <c r="C54" s="20"/>
      <c r="D54" s="20"/>
      <c r="E54" s="20"/>
      <c r="G54" s="20"/>
      <c r="H54" s="20"/>
      <c r="I54" s="20"/>
      <c r="J54" s="20"/>
      <c r="K54" s="20"/>
      <c r="M54" s="25" t="s">
        <v>3</v>
      </c>
      <c r="N54" s="17">
        <f>N53+N49</f>
        <v>71.96983788</v>
      </c>
      <c r="O54" s="5"/>
      <c r="P54" s="5"/>
      <c r="Q54" s="22"/>
    </row>
    <row r="55" spans="1:17" x14ac:dyDescent="0.25">
      <c r="A55" s="20"/>
      <c r="B55" s="20"/>
      <c r="C55" s="20"/>
      <c r="D55" s="20"/>
      <c r="E55" s="20"/>
      <c r="G55" s="20"/>
      <c r="H55" s="20"/>
      <c r="I55" s="20"/>
      <c r="J55" s="20"/>
      <c r="K55" s="20"/>
      <c r="M55" s="25" t="s">
        <v>19</v>
      </c>
      <c r="N55" s="17">
        <f>N54-N51</f>
        <v>48.703637880000002</v>
      </c>
      <c r="O55" s="5"/>
      <c r="P55" s="5"/>
      <c r="Q55" s="22"/>
    </row>
    <row r="56" spans="1:17" x14ac:dyDescent="0.25">
      <c r="A56" s="20"/>
      <c r="B56" s="20"/>
      <c r="C56" s="20"/>
      <c r="D56" s="20"/>
      <c r="E56" s="20"/>
      <c r="G56" s="20"/>
      <c r="H56" s="20"/>
      <c r="I56" s="20"/>
      <c r="J56" s="20"/>
      <c r="K56" s="20"/>
      <c r="M56" s="25" t="s">
        <v>7</v>
      </c>
      <c r="N56" s="17">
        <f>(N52*9.81)*LN(N54/N55)</f>
        <v>1359.9127407825963</v>
      </c>
      <c r="O56" s="5"/>
      <c r="P56" s="5"/>
      <c r="Q56" s="22"/>
    </row>
    <row r="57" spans="1:17" ht="15.75" thickBot="1" x14ac:dyDescent="0.3">
      <c r="A57" s="20"/>
      <c r="B57" s="20"/>
      <c r="C57" s="20"/>
      <c r="D57" s="20"/>
      <c r="E57" s="20"/>
      <c r="G57" s="20"/>
      <c r="H57" s="20"/>
      <c r="I57" s="20"/>
      <c r="J57" s="20"/>
      <c r="K57" s="20"/>
      <c r="M57" s="26" t="s">
        <v>13</v>
      </c>
      <c r="N57" s="27">
        <f>N56+N38</f>
        <v>5352.9472426695465</v>
      </c>
      <c r="O57" s="28"/>
      <c r="P57" s="28"/>
      <c r="Q57" s="29"/>
    </row>
  </sheetData>
  <mergeCells count="4">
    <mergeCell ref="A1:E1"/>
    <mergeCell ref="A21:E21"/>
    <mergeCell ref="G1:K1"/>
    <mergeCell ref="M1:Q1"/>
  </mergeCells>
  <pageMargins left="0.7" right="0.7" top="0.75" bottom="0.75" header="0.3" footer="0.3"/>
  <pageSetup paperSize="256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partInfo!$A$2:$A$30</xm:f>
          </x14:formula1>
          <xm:sqref>M42:M48 G42:G48 A42:A48 M23:M29 A4:A10 A24:A30 G23:G29 G4:G10 M4:M10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B8" sqref="B8"/>
    </sheetView>
  </sheetViews>
  <sheetFormatPr defaultRowHeight="15" x14ac:dyDescent="0.25"/>
  <cols>
    <col min="1" max="1" width="3.140625" customWidth="1"/>
    <col min="2" max="2" width="21.42578125" customWidth="1"/>
    <col min="3" max="3" width="10.28515625" bestFit="1" customWidth="1"/>
    <col min="5" max="5" width="9.7109375" bestFit="1" customWidth="1"/>
    <col min="6" max="6" width="10.140625" bestFit="1" customWidth="1"/>
    <col min="8" max="8" width="26.85546875" customWidth="1"/>
    <col min="9" max="9" width="18.28515625" bestFit="1" customWidth="1"/>
    <col min="10" max="12" width="14.28515625" customWidth="1"/>
    <col min="13" max="13" width="12.5703125" bestFit="1" customWidth="1"/>
  </cols>
  <sheetData>
    <row r="1" spans="2:13" x14ac:dyDescent="0.25">
      <c r="B1" t="s">
        <v>29</v>
      </c>
      <c r="H1" s="1" t="s">
        <v>32</v>
      </c>
      <c r="I1" s="2" t="s">
        <v>33</v>
      </c>
      <c r="J1" s="2" t="s">
        <v>34</v>
      </c>
      <c r="K1" s="2" t="s">
        <v>51</v>
      </c>
      <c r="L1" s="2" t="s">
        <v>52</v>
      </c>
      <c r="M1" s="3" t="s">
        <v>35</v>
      </c>
    </row>
    <row r="2" spans="2:13" x14ac:dyDescent="0.25">
      <c r="B2" s="1" t="s">
        <v>0</v>
      </c>
      <c r="C2" s="2" t="s">
        <v>3</v>
      </c>
      <c r="D2" s="2" t="s">
        <v>4</v>
      </c>
      <c r="E2" s="2" t="s">
        <v>5</v>
      </c>
      <c r="F2" s="3" t="s">
        <v>6</v>
      </c>
      <c r="H2" s="4" t="s">
        <v>36</v>
      </c>
      <c r="I2" s="5">
        <v>300</v>
      </c>
      <c r="J2" s="5">
        <v>4000</v>
      </c>
      <c r="K2" s="5">
        <f>J2+I2</f>
        <v>4300</v>
      </c>
      <c r="L2" s="10" t="s">
        <v>57</v>
      </c>
      <c r="M2" s="6" t="s">
        <v>56</v>
      </c>
    </row>
    <row r="3" spans="2:13" x14ac:dyDescent="0.25">
      <c r="B3" s="4" t="s">
        <v>24</v>
      </c>
      <c r="C3" s="5">
        <f>IFERROR(VLOOKUP($B3,partInfo!$A$2:$J$30,8,FALSE),0)</f>
        <v>1.875</v>
      </c>
      <c r="D3" s="5">
        <f>IFERROR(VLOOKUP($B3,partInfo!$A$2:$J$30,7,FALSE),0)</f>
        <v>1.875</v>
      </c>
      <c r="E3" s="5">
        <f>IFERROR(VLOOKUP($B3,partInfo!$A$2:$J$30,6,FALSE),)</f>
        <v>0</v>
      </c>
      <c r="F3" s="6">
        <f>IFERROR(VLOOKUP($B3,partInfo!$A$2:$J$30,9,FALSE),0)</f>
        <v>355</v>
      </c>
      <c r="H3" s="4" t="s">
        <v>37</v>
      </c>
      <c r="I3" s="5">
        <v>650</v>
      </c>
      <c r="J3" s="5">
        <v>650</v>
      </c>
      <c r="K3" s="5">
        <f t="shared" ref="K3:K16" si="0">J3+I3</f>
        <v>1300</v>
      </c>
      <c r="L3" s="11" t="s">
        <v>58</v>
      </c>
      <c r="M3" s="6"/>
    </row>
    <row r="4" spans="2:13" x14ac:dyDescent="0.25">
      <c r="B4" s="4" t="s">
        <v>27</v>
      </c>
      <c r="C4" s="5">
        <f>IFERROR(VLOOKUP($B4,partInfo!$A$2:$J$30,8,FALSE),0)</f>
        <v>0.75</v>
      </c>
      <c r="D4" s="5">
        <f>IFERROR(VLOOKUP($B4,partInfo!$A$2:$J$30,7,FALSE),0)</f>
        <v>0.75</v>
      </c>
      <c r="E4" s="5">
        <f>IFERROR(VLOOKUP($B4,partInfo!$A$2:$J$30,6,FALSE),)</f>
        <v>0</v>
      </c>
      <c r="F4" s="6">
        <f>IFERROR(VLOOKUP($B4,partInfo!$A$2:$J$30,9,FALSE),0)</f>
        <v>355</v>
      </c>
      <c r="H4" s="4" t="s">
        <v>38</v>
      </c>
      <c r="I4" s="5">
        <v>250</v>
      </c>
      <c r="J4" s="5">
        <v>250</v>
      </c>
      <c r="K4" s="5">
        <f t="shared" si="0"/>
        <v>500</v>
      </c>
      <c r="L4" s="12" t="s">
        <v>59</v>
      </c>
      <c r="M4" s="6"/>
    </row>
    <row r="5" spans="2:13" x14ac:dyDescent="0.25">
      <c r="B5" s="4" t="s">
        <v>70</v>
      </c>
      <c r="C5" s="5">
        <f>IFERROR(VLOOKUP($B5,partInfo!$A$2:$J$30,8,FALSE),0)</f>
        <v>2.4</v>
      </c>
      <c r="D5" s="5">
        <f>IFERROR(VLOOKUP($B5,partInfo!$A$2:$J$30,7,FALSE),0)</f>
        <v>2.4</v>
      </c>
      <c r="E5" s="5">
        <f>IFERROR(VLOOKUP($B5,partInfo!$A$2:$J$30,6,FALSE),)</f>
        <v>0</v>
      </c>
      <c r="F5" s="6">
        <f>IFERROR(VLOOKUP($B5,partInfo!$A$2:$J$30,9,FALSE),0)</f>
        <v>355</v>
      </c>
      <c r="H5" s="4" t="s">
        <v>39</v>
      </c>
      <c r="I5" s="5">
        <v>300</v>
      </c>
      <c r="J5" s="5">
        <v>1500</v>
      </c>
      <c r="K5" s="5">
        <f t="shared" si="0"/>
        <v>1800</v>
      </c>
      <c r="L5" s="13" t="s">
        <v>60</v>
      </c>
      <c r="M5" s="6" t="s">
        <v>56</v>
      </c>
    </row>
    <row r="6" spans="2:13" x14ac:dyDescent="0.25">
      <c r="B6" s="4" t="s">
        <v>25</v>
      </c>
      <c r="C6" s="5">
        <f>IFERROR(VLOOKUP($B6,partInfo!$A$2:$J$30,8,FALSE),0)</f>
        <v>0.9</v>
      </c>
      <c r="D6" s="5">
        <f>IFERROR(VLOOKUP($B6,partInfo!$A$2:$J$30,7,FALSE),0)</f>
        <v>0.9</v>
      </c>
      <c r="E6" s="5">
        <f>IFERROR(VLOOKUP($B6,partInfo!$A$2:$J$30,6,FALSE),)</f>
        <v>0</v>
      </c>
      <c r="F6" s="6">
        <f>IFERROR(VLOOKUP($B6,partInfo!$A$2:$J$30,9,FALSE),0)</f>
        <v>355</v>
      </c>
      <c r="H6" s="4" t="s">
        <v>40</v>
      </c>
      <c r="I6" s="5">
        <v>500</v>
      </c>
      <c r="J6" s="5">
        <v>500</v>
      </c>
      <c r="K6" s="5">
        <f t="shared" si="0"/>
        <v>1000</v>
      </c>
      <c r="L6" s="11" t="s">
        <v>58</v>
      </c>
      <c r="M6" s="6"/>
    </row>
    <row r="7" spans="2:13" x14ac:dyDescent="0.25">
      <c r="B7" s="4" t="s">
        <v>26</v>
      </c>
      <c r="C7" s="5">
        <f>IFERROR(VLOOKUP($B7,partInfo!$A$2:$J$30,8,FALSE),0)</f>
        <v>2.2233353600000001</v>
      </c>
      <c r="D7" s="5">
        <f>IFERROR(VLOOKUP($B7,partInfo!$A$2:$J$30,7,FALSE),0)</f>
        <v>0.41850030400000005</v>
      </c>
      <c r="E7" s="5">
        <f>IFERROR(VLOOKUP($B7,partInfo!$A$2:$J$30,6,FALSE),)</f>
        <v>1.8048350559999999</v>
      </c>
      <c r="F7" s="6">
        <f>IFERROR(VLOOKUP($B7,partInfo!$A$2:$J$30,9,FALSE),0)</f>
        <v>355</v>
      </c>
      <c r="H7" s="4" t="s">
        <v>41</v>
      </c>
      <c r="I7" s="5">
        <v>300</v>
      </c>
      <c r="J7" s="5">
        <v>3400</v>
      </c>
      <c r="K7" s="5">
        <f t="shared" si="0"/>
        <v>3700</v>
      </c>
      <c r="L7" s="10" t="s">
        <v>57</v>
      </c>
      <c r="M7" s="6" t="s">
        <v>56</v>
      </c>
    </row>
    <row r="8" spans="2:13" x14ac:dyDescent="0.25">
      <c r="B8" s="4" t="s">
        <v>80</v>
      </c>
      <c r="C8" s="5">
        <f>IFERROR(VLOOKUP($B8,partInfo!$A$2:$J$30,8,FALSE),0)</f>
        <v>4.1870872400000003</v>
      </c>
      <c r="D8" s="5">
        <f>IFERROR(VLOOKUP($B8,partInfo!$A$2:$J$30,7,FALSE),0)</f>
        <v>0.79806308599999998</v>
      </c>
      <c r="E8" s="5">
        <f>IFERROR(VLOOKUP($B8,partInfo!$A$2:$J$30,6,FALSE),)</f>
        <v>3.3890241539999999</v>
      </c>
      <c r="F8" s="6">
        <f>IFERROR(VLOOKUP($B8,partInfo!$A$2:$J$30,9,FALSE),0)</f>
        <v>355</v>
      </c>
      <c r="H8" s="4" t="s">
        <v>42</v>
      </c>
      <c r="I8" s="5">
        <v>300</v>
      </c>
      <c r="J8" s="5">
        <v>300</v>
      </c>
      <c r="K8" s="5">
        <f t="shared" si="0"/>
        <v>600</v>
      </c>
      <c r="L8" s="12" t="s">
        <v>59</v>
      </c>
      <c r="M8" s="6"/>
    </row>
    <row r="9" spans="2:13" x14ac:dyDescent="0.25">
      <c r="B9" s="4"/>
      <c r="C9" s="5">
        <f>IFERROR(VLOOKUP($B9,partInfo!$A$2:$J$30,8,FALSE),0)</f>
        <v>0</v>
      </c>
      <c r="D9" s="5">
        <f>IFERROR(VLOOKUP($B9,partInfo!$A$2:$J$30,7,FALSE),0)</f>
        <v>0</v>
      </c>
      <c r="E9" s="5">
        <f>IFERROR(VLOOKUP($B9,partInfo!$A$2:$J$30,6,FALSE),)</f>
        <v>0</v>
      </c>
      <c r="F9" s="6">
        <f>IFERROR(VLOOKUP($B9,partInfo!$A$2:$J$30,9,FALSE),0)</f>
        <v>0</v>
      </c>
      <c r="H9" s="4" t="s">
        <v>43</v>
      </c>
      <c r="I9" s="5">
        <v>300</v>
      </c>
      <c r="J9" s="5">
        <v>300</v>
      </c>
      <c r="K9" s="5">
        <f t="shared" si="0"/>
        <v>600</v>
      </c>
      <c r="L9" s="12" t="s">
        <v>59</v>
      </c>
      <c r="M9" s="6"/>
    </row>
    <row r="10" spans="2:13" x14ac:dyDescent="0.25">
      <c r="B10" s="16" t="s">
        <v>14</v>
      </c>
      <c r="C10" s="17">
        <f>SUM(C3:C9)</f>
        <v>12.335422600000001</v>
      </c>
      <c r="D10" s="5"/>
      <c r="E10" s="5"/>
      <c r="F10" s="6"/>
      <c r="H10" s="4" t="s">
        <v>44</v>
      </c>
      <c r="I10" s="5">
        <v>2600</v>
      </c>
      <c r="J10" s="5">
        <v>2600</v>
      </c>
      <c r="K10" s="5">
        <f t="shared" si="0"/>
        <v>5200</v>
      </c>
      <c r="L10" s="10" t="s">
        <v>57</v>
      </c>
      <c r="M10" s="6"/>
    </row>
    <row r="11" spans="2:13" x14ac:dyDescent="0.25">
      <c r="B11" s="16" t="s">
        <v>15</v>
      </c>
      <c r="C11" s="17">
        <f>SUM(D3:D9)</f>
        <v>7.1415633900000008</v>
      </c>
      <c r="D11" s="5"/>
      <c r="E11" s="5"/>
      <c r="F11" s="6"/>
      <c r="H11" s="4" t="s">
        <v>45</v>
      </c>
      <c r="I11" s="5">
        <v>1000</v>
      </c>
      <c r="J11" s="5">
        <v>1000</v>
      </c>
      <c r="K11" s="5">
        <f t="shared" si="0"/>
        <v>2000</v>
      </c>
      <c r="L11" s="13" t="s">
        <v>60</v>
      </c>
      <c r="M11" s="6"/>
    </row>
    <row r="12" spans="2:13" x14ac:dyDescent="0.25">
      <c r="B12" s="16" t="s">
        <v>16</v>
      </c>
      <c r="C12" s="17">
        <f>SUM(E3:E9)</f>
        <v>5.1938592099999994</v>
      </c>
      <c r="D12" s="5"/>
      <c r="E12" s="5"/>
      <c r="F12" s="6"/>
      <c r="H12" s="4" t="s">
        <v>46</v>
      </c>
      <c r="I12" s="5">
        <v>1000</v>
      </c>
      <c r="J12" s="5">
        <v>1000</v>
      </c>
      <c r="K12" s="5">
        <f t="shared" si="0"/>
        <v>2000</v>
      </c>
      <c r="L12" s="13" t="s">
        <v>60</v>
      </c>
      <c r="M12" s="6"/>
    </row>
    <row r="13" spans="2:13" x14ac:dyDescent="0.25">
      <c r="B13" s="16" t="s">
        <v>18</v>
      </c>
      <c r="C13" s="17">
        <f>LARGE(F3:F9,1)</f>
        <v>355</v>
      </c>
      <c r="D13" s="5"/>
      <c r="E13" s="5"/>
      <c r="F13" s="6"/>
      <c r="H13" s="4" t="s">
        <v>47</v>
      </c>
      <c r="I13" s="5">
        <v>850</v>
      </c>
      <c r="J13" s="5">
        <v>850</v>
      </c>
      <c r="K13" s="5">
        <f t="shared" si="0"/>
        <v>1700</v>
      </c>
      <c r="L13" s="13" t="s">
        <v>60</v>
      </c>
      <c r="M13" s="6"/>
    </row>
    <row r="14" spans="2:13" x14ac:dyDescent="0.25">
      <c r="B14" s="16" t="s">
        <v>17</v>
      </c>
      <c r="C14" s="17">
        <v>0</v>
      </c>
      <c r="D14" s="5"/>
      <c r="E14" s="5"/>
      <c r="F14" s="6"/>
      <c r="H14" s="4" t="s">
        <v>48</v>
      </c>
      <c r="I14" s="5">
        <v>300</v>
      </c>
      <c r="J14" s="5">
        <v>12000</v>
      </c>
      <c r="K14" s="5">
        <f t="shared" si="0"/>
        <v>12300</v>
      </c>
      <c r="L14" s="14" t="s">
        <v>61</v>
      </c>
      <c r="M14" s="6" t="s">
        <v>56</v>
      </c>
    </row>
    <row r="15" spans="2:13" x14ac:dyDescent="0.25">
      <c r="B15" s="16" t="s">
        <v>3</v>
      </c>
      <c r="C15" s="17">
        <f>C14+C10</f>
        <v>12.335422600000001</v>
      </c>
      <c r="D15" s="5"/>
      <c r="E15" s="5"/>
      <c r="F15" s="6"/>
      <c r="H15" s="4" t="s">
        <v>49</v>
      </c>
      <c r="I15" s="5">
        <v>300</v>
      </c>
      <c r="J15" s="5">
        <v>300</v>
      </c>
      <c r="K15" s="5">
        <f t="shared" si="0"/>
        <v>600</v>
      </c>
      <c r="L15" s="12" t="s">
        <v>59</v>
      </c>
      <c r="M15" s="6"/>
    </row>
    <row r="16" spans="2:13" x14ac:dyDescent="0.25">
      <c r="B16" s="16" t="s">
        <v>19</v>
      </c>
      <c r="C16" s="17">
        <f>C15-C12</f>
        <v>7.1415633900000017</v>
      </c>
      <c r="D16" s="5"/>
      <c r="E16" s="5"/>
      <c r="F16" s="6"/>
      <c r="H16" s="7" t="s">
        <v>50</v>
      </c>
      <c r="I16" s="8">
        <v>600</v>
      </c>
      <c r="J16" s="8">
        <v>600</v>
      </c>
      <c r="K16" s="8">
        <f t="shared" si="0"/>
        <v>1200</v>
      </c>
      <c r="L16" s="15" t="s">
        <v>58</v>
      </c>
      <c r="M16" s="9"/>
    </row>
    <row r="17" spans="2:11" x14ac:dyDescent="0.25">
      <c r="B17" s="16" t="s">
        <v>7</v>
      </c>
      <c r="C17" s="17">
        <f>(C13*9.81)*LN(C15/C16)</f>
        <v>1903.3643522178486</v>
      </c>
      <c r="D17" s="5"/>
      <c r="E17" s="5"/>
      <c r="F17" s="6"/>
    </row>
    <row r="18" spans="2:11" x14ac:dyDescent="0.25">
      <c r="B18" s="18" t="s">
        <v>13</v>
      </c>
      <c r="C18" s="19">
        <f>C17+0</f>
        <v>1903.3643522178486</v>
      </c>
      <c r="D18" s="8"/>
      <c r="E18" s="8"/>
      <c r="F18" s="9"/>
    </row>
    <row r="19" spans="2:11" x14ac:dyDescent="0.25">
      <c r="H19" s="1" t="s">
        <v>62</v>
      </c>
      <c r="I19" s="2"/>
      <c r="J19" s="2"/>
      <c r="K19" s="3"/>
    </row>
    <row r="20" spans="2:11" x14ac:dyDescent="0.25">
      <c r="B20" t="s">
        <v>28</v>
      </c>
      <c r="H20" s="4" t="s">
        <v>55</v>
      </c>
      <c r="I20" s="5" t="s">
        <v>63</v>
      </c>
      <c r="J20" s="5" t="s">
        <v>65</v>
      </c>
      <c r="K20" s="6"/>
    </row>
    <row r="21" spans="2:11" x14ac:dyDescent="0.25">
      <c r="B21" s="1" t="s">
        <v>0</v>
      </c>
      <c r="C21" s="2" t="s">
        <v>3</v>
      </c>
      <c r="D21" s="2" t="s">
        <v>4</v>
      </c>
      <c r="E21" s="2" t="s">
        <v>5</v>
      </c>
      <c r="F21" s="3" t="s">
        <v>6</v>
      </c>
      <c r="H21" s="4" t="s">
        <v>54</v>
      </c>
      <c r="I21" s="5" t="s">
        <v>76</v>
      </c>
      <c r="J21" s="5" t="s">
        <v>66</v>
      </c>
      <c r="K21" s="6"/>
    </row>
    <row r="22" spans="2:11" x14ac:dyDescent="0.25">
      <c r="B22" s="4"/>
      <c r="C22" s="5">
        <f>IFERROR(VLOOKUP($B22,partInfo!$A$2:$J$30,8,FALSE),0)</f>
        <v>0</v>
      </c>
      <c r="D22" s="5">
        <f>IFERROR(VLOOKUP($B22,partInfo!$A$2:$J$30,7,FALSE),0)</f>
        <v>0</v>
      </c>
      <c r="E22" s="5">
        <f>IFERROR(VLOOKUP($B22,partInfo!$A$2:$J$30,6,FALSE),)</f>
        <v>0</v>
      </c>
      <c r="F22" s="6">
        <f>IFERROR(VLOOKUP($B22,partInfo!$A$2:$J$30,9,FALSE),0)</f>
        <v>0</v>
      </c>
      <c r="H22" s="4" t="s">
        <v>53</v>
      </c>
      <c r="I22" s="5" t="s">
        <v>77</v>
      </c>
      <c r="J22" s="5" t="s">
        <v>67</v>
      </c>
      <c r="K22" s="6"/>
    </row>
    <row r="23" spans="2:11" x14ac:dyDescent="0.25">
      <c r="B23" s="4"/>
      <c r="C23" s="5">
        <f>IFERROR(VLOOKUP($B23,partInfo!$A$2:$J$30,8,FALSE),0)</f>
        <v>0</v>
      </c>
      <c r="D23" s="5">
        <f>IFERROR(VLOOKUP($B23,partInfo!$A$2:$J$30,7,FALSE),0)</f>
        <v>0</v>
      </c>
      <c r="E23" s="5">
        <f>IFERROR(VLOOKUP($B23,partInfo!$A$2:$J$30,6,FALSE),)</f>
        <v>0</v>
      </c>
      <c r="F23" s="6">
        <f>IFERROR(VLOOKUP($B23,partInfo!$A$2:$J$30,9,FALSE),0)</f>
        <v>0</v>
      </c>
      <c r="H23" s="4" t="s">
        <v>64</v>
      </c>
      <c r="I23" s="5" t="s">
        <v>78</v>
      </c>
      <c r="J23" s="5" t="s">
        <v>68</v>
      </c>
      <c r="K23" s="6"/>
    </row>
    <row r="24" spans="2:11" x14ac:dyDescent="0.25">
      <c r="B24" s="4"/>
      <c r="C24" s="5">
        <f>IFERROR(VLOOKUP($B24,partInfo!$A$2:$J$30,8,FALSE),0)</f>
        <v>0</v>
      </c>
      <c r="D24" s="5">
        <f>IFERROR(VLOOKUP($B24,partInfo!$A$2:$J$30,7,FALSE),0)</f>
        <v>0</v>
      </c>
      <c r="E24" s="5">
        <f>IFERROR(VLOOKUP($B24,partInfo!$A$2:$J$30,6,FALSE),)</f>
        <v>0</v>
      </c>
      <c r="F24" s="6">
        <f>IFERROR(VLOOKUP($B24,partInfo!$A$2:$J$30,9,FALSE),0)</f>
        <v>0</v>
      </c>
      <c r="H24" s="7" t="s">
        <v>69</v>
      </c>
      <c r="I24" s="8" t="s">
        <v>79</v>
      </c>
      <c r="J24" s="8" t="s">
        <v>48</v>
      </c>
      <c r="K24" s="9"/>
    </row>
    <row r="25" spans="2:11" x14ac:dyDescent="0.25">
      <c r="B25" s="4"/>
      <c r="C25" s="5">
        <f>IFERROR(VLOOKUP($B25,partInfo!$A$2:$J$30,8,FALSE),0)</f>
        <v>0</v>
      </c>
      <c r="D25" s="5">
        <f>IFERROR(VLOOKUP($B25,partInfo!$A$2:$J$30,7,FALSE),0)</f>
        <v>0</v>
      </c>
      <c r="E25" s="5">
        <f>IFERROR(VLOOKUP($B25,partInfo!$A$2:$J$30,6,FALSE),)</f>
        <v>0</v>
      </c>
      <c r="F25" s="6">
        <f>IFERROR(VLOOKUP($B25,partInfo!$A$2:$J$30,9,FALSE),0)</f>
        <v>0</v>
      </c>
    </row>
    <row r="26" spans="2:11" x14ac:dyDescent="0.25">
      <c r="B26" s="4"/>
      <c r="C26" s="5">
        <f>IFERROR(VLOOKUP($B26,partInfo!$A$2:$J$30,8,FALSE),0)</f>
        <v>0</v>
      </c>
      <c r="D26" s="5">
        <f>IFERROR(VLOOKUP($B26,partInfo!$A$2:$J$30,7,FALSE),0)</f>
        <v>0</v>
      </c>
      <c r="E26" s="5">
        <f>IFERROR(VLOOKUP($B26,partInfo!$A$2:$J$30,6,FALSE),)</f>
        <v>0</v>
      </c>
      <c r="F26" s="6">
        <f>IFERROR(VLOOKUP($B26,partInfo!$A$2:$J$30,9,FALSE),0)</f>
        <v>0</v>
      </c>
    </row>
    <row r="27" spans="2:11" x14ac:dyDescent="0.25">
      <c r="B27" s="4"/>
      <c r="C27" s="5">
        <f>IFERROR(VLOOKUP($B27,partInfo!$A$2:$J$30,8,FALSE),0)</f>
        <v>0</v>
      </c>
      <c r="D27" s="5">
        <f>IFERROR(VLOOKUP($B27,partInfo!$A$2:$J$30,7,FALSE),0)</f>
        <v>0</v>
      </c>
      <c r="E27" s="5">
        <f>IFERROR(VLOOKUP($B27,partInfo!$A$2:$J$30,6,FALSE),)</f>
        <v>0</v>
      </c>
      <c r="F27" s="6">
        <f>IFERROR(VLOOKUP($B27,partInfo!$A$2:$J$30,9,FALSE),0)</f>
        <v>0</v>
      </c>
    </row>
    <row r="28" spans="2:11" x14ac:dyDescent="0.25">
      <c r="B28" s="4"/>
      <c r="C28" s="5">
        <f>IFERROR(VLOOKUP($B28,partInfo!$A$2:$J$30,8,FALSE),0)</f>
        <v>0</v>
      </c>
      <c r="D28" s="5">
        <f>IFERROR(VLOOKUP($B28,partInfo!$A$2:$J$30,7,FALSE),0)</f>
        <v>0</v>
      </c>
      <c r="E28" s="5">
        <f>IFERROR(VLOOKUP($B28,partInfo!$A$2:$J$30,6,FALSE),)</f>
        <v>0</v>
      </c>
      <c r="F28" s="6">
        <f>IFERROR(VLOOKUP($B28,partInfo!$A$2:$J$30,9,FALSE),0)</f>
        <v>0</v>
      </c>
    </row>
    <row r="29" spans="2:11" x14ac:dyDescent="0.25">
      <c r="B29" s="16" t="s">
        <v>14</v>
      </c>
      <c r="C29" s="17">
        <f>SUM(C22:C28)</f>
        <v>0</v>
      </c>
      <c r="D29" s="5"/>
      <c r="E29" s="5"/>
      <c r="F29" s="6"/>
    </row>
    <row r="30" spans="2:11" x14ac:dyDescent="0.25">
      <c r="B30" s="16" t="s">
        <v>15</v>
      </c>
      <c r="C30" s="17">
        <f>SUM(D22:D28)</f>
        <v>0</v>
      </c>
      <c r="D30" s="5"/>
      <c r="E30" s="5"/>
      <c r="F30" s="6"/>
    </row>
    <row r="31" spans="2:11" x14ac:dyDescent="0.25">
      <c r="B31" s="16" t="s">
        <v>16</v>
      </c>
      <c r="C31" s="17">
        <f>SUM(E22:E28)</f>
        <v>0</v>
      </c>
      <c r="D31" s="5"/>
      <c r="E31" s="5"/>
      <c r="F31" s="6"/>
    </row>
    <row r="32" spans="2:11" x14ac:dyDescent="0.25">
      <c r="B32" s="16" t="s">
        <v>18</v>
      </c>
      <c r="C32" s="17">
        <f>LARGE(F22:F28,1)</f>
        <v>0</v>
      </c>
      <c r="D32" s="5"/>
      <c r="E32" s="5"/>
      <c r="F32" s="6"/>
    </row>
    <row r="33" spans="2:6" x14ac:dyDescent="0.25">
      <c r="B33" s="16" t="s">
        <v>17</v>
      </c>
      <c r="C33" s="17">
        <f>C15</f>
        <v>12.335422600000001</v>
      </c>
      <c r="D33" s="5"/>
      <c r="E33" s="5"/>
      <c r="F33" s="6"/>
    </row>
    <row r="34" spans="2:6" x14ac:dyDescent="0.25">
      <c r="B34" s="16" t="s">
        <v>3</v>
      </c>
      <c r="C34" s="17">
        <f>C33+C29</f>
        <v>12.335422600000001</v>
      </c>
      <c r="D34" s="5"/>
      <c r="E34" s="5"/>
      <c r="F34" s="6"/>
    </row>
    <row r="35" spans="2:6" x14ac:dyDescent="0.25">
      <c r="B35" s="16" t="s">
        <v>19</v>
      </c>
      <c r="C35" s="17">
        <f>C34-C31</f>
        <v>12.335422600000001</v>
      </c>
      <c r="D35" s="5"/>
      <c r="E35" s="5"/>
      <c r="F35" s="6"/>
    </row>
    <row r="36" spans="2:6" x14ac:dyDescent="0.25">
      <c r="B36" s="16" t="s">
        <v>7</v>
      </c>
      <c r="C36" s="17">
        <f>(C32*9.81)*LN(C34/C35)</f>
        <v>0</v>
      </c>
      <c r="D36" s="5"/>
      <c r="E36" s="5"/>
      <c r="F36" s="6"/>
    </row>
    <row r="37" spans="2:6" x14ac:dyDescent="0.25">
      <c r="B37" s="18" t="s">
        <v>13</v>
      </c>
      <c r="C37" s="19">
        <f>C36+C18</f>
        <v>1903.3643522178486</v>
      </c>
      <c r="D37" s="8"/>
      <c r="E37" s="8"/>
      <c r="F37" s="9"/>
    </row>
    <row r="39" spans="2:6" x14ac:dyDescent="0.25">
      <c r="B39" t="s">
        <v>30</v>
      </c>
    </row>
    <row r="40" spans="2:6" x14ac:dyDescent="0.25">
      <c r="B40" s="1" t="s">
        <v>0</v>
      </c>
      <c r="C40" s="2" t="s">
        <v>3</v>
      </c>
      <c r="D40" s="2" t="s">
        <v>4</v>
      </c>
      <c r="E40" s="2" t="s">
        <v>5</v>
      </c>
      <c r="F40" s="3" t="s">
        <v>6</v>
      </c>
    </row>
    <row r="41" spans="2:6" x14ac:dyDescent="0.25">
      <c r="B41" s="4"/>
      <c r="C41" s="5">
        <f>IFERROR(VLOOKUP($B41,partInfo!$A$2:$J$30,8,FALSE),0)</f>
        <v>0</v>
      </c>
      <c r="D41" s="5">
        <f>IFERROR(VLOOKUP($B41,partInfo!$A$2:$J$30,7,FALSE),0)</f>
        <v>0</v>
      </c>
      <c r="E41" s="5">
        <f>IFERROR(VLOOKUP($B41,partInfo!$A$2:$J$30,6,FALSE),)</f>
        <v>0</v>
      </c>
      <c r="F41" s="6">
        <f>IFERROR(VLOOKUP($B41,partInfo!$A$2:$J$30,9,FALSE),0)</f>
        <v>0</v>
      </c>
    </row>
    <row r="42" spans="2:6" x14ac:dyDescent="0.25">
      <c r="B42" s="4"/>
      <c r="C42" s="5">
        <f>IFERROR(VLOOKUP($B42,partInfo!$A$2:$J$30,8,FALSE),0)</f>
        <v>0</v>
      </c>
      <c r="D42" s="5">
        <f>IFERROR(VLOOKUP($B42,partInfo!$A$2:$J$30,7,FALSE),0)</f>
        <v>0</v>
      </c>
      <c r="E42" s="5">
        <f>IFERROR(VLOOKUP($B42,partInfo!$A$2:$J$30,6,FALSE),)</f>
        <v>0</v>
      </c>
      <c r="F42" s="6">
        <f>IFERROR(VLOOKUP($B42,partInfo!$A$2:$J$30,9,FALSE),0)</f>
        <v>0</v>
      </c>
    </row>
    <row r="43" spans="2:6" x14ac:dyDescent="0.25">
      <c r="B43" s="4"/>
      <c r="C43" s="5">
        <f>IFERROR(VLOOKUP($B43,partInfo!$A$2:$J$30,8,FALSE),0)</f>
        <v>0</v>
      </c>
      <c r="D43" s="5">
        <f>IFERROR(VLOOKUP($B43,partInfo!$A$2:$J$30,7,FALSE),0)</f>
        <v>0</v>
      </c>
      <c r="E43" s="5">
        <f>IFERROR(VLOOKUP($B43,partInfo!$A$2:$J$30,6,FALSE),)</f>
        <v>0</v>
      </c>
      <c r="F43" s="6">
        <f>IFERROR(VLOOKUP($B43,partInfo!$A$2:$J$30,9,FALSE),0)</f>
        <v>0</v>
      </c>
    </row>
    <row r="44" spans="2:6" x14ac:dyDescent="0.25">
      <c r="B44" s="4"/>
      <c r="C44" s="5">
        <f>IFERROR(VLOOKUP($B44,partInfo!$A$2:$J$30,8,FALSE),0)</f>
        <v>0</v>
      </c>
      <c r="D44" s="5">
        <f>IFERROR(VLOOKUP($B44,partInfo!$A$2:$J$30,7,FALSE),0)</f>
        <v>0</v>
      </c>
      <c r="E44" s="5">
        <f>IFERROR(VLOOKUP($B44,partInfo!$A$2:$J$30,6,FALSE),)</f>
        <v>0</v>
      </c>
      <c r="F44" s="6">
        <f>IFERROR(VLOOKUP($B44,partInfo!$A$2:$J$30,9,FALSE),0)</f>
        <v>0</v>
      </c>
    </row>
    <row r="45" spans="2:6" x14ac:dyDescent="0.25">
      <c r="B45" s="4"/>
      <c r="C45" s="5">
        <f>IFERROR(VLOOKUP($B45,partInfo!$A$2:$J$30,8,FALSE),0)</f>
        <v>0</v>
      </c>
      <c r="D45" s="5">
        <f>IFERROR(VLOOKUP($B45,partInfo!$A$2:$J$30,7,FALSE),0)</f>
        <v>0</v>
      </c>
      <c r="E45" s="5">
        <f>IFERROR(VLOOKUP($B45,partInfo!$A$2:$J$30,6,FALSE),)</f>
        <v>0</v>
      </c>
      <c r="F45" s="6">
        <f>IFERROR(VLOOKUP($B45,partInfo!$A$2:$J$30,9,FALSE),0)</f>
        <v>0</v>
      </c>
    </row>
    <row r="46" spans="2:6" x14ac:dyDescent="0.25">
      <c r="B46" s="4"/>
      <c r="C46" s="5">
        <f>IFERROR(VLOOKUP($B46,partInfo!$A$2:$J$30,8,FALSE),0)</f>
        <v>0</v>
      </c>
      <c r="D46" s="5">
        <f>IFERROR(VLOOKUP($B46,partInfo!$A$2:$J$30,7,FALSE),0)</f>
        <v>0</v>
      </c>
      <c r="E46" s="5">
        <f>IFERROR(VLOOKUP($B46,partInfo!$A$2:$J$30,6,FALSE),)</f>
        <v>0</v>
      </c>
      <c r="F46" s="6">
        <f>IFERROR(VLOOKUP($B46,partInfo!$A$2:$J$30,9,FALSE),0)</f>
        <v>0</v>
      </c>
    </row>
    <row r="47" spans="2:6" x14ac:dyDescent="0.25">
      <c r="B47" s="4"/>
      <c r="C47" s="5">
        <f>IFERROR(VLOOKUP($B47,partInfo!$A$2:$J$30,8,FALSE),0)</f>
        <v>0</v>
      </c>
      <c r="D47" s="5">
        <f>IFERROR(VLOOKUP($B47,partInfo!$A$2:$J$30,7,FALSE),0)</f>
        <v>0</v>
      </c>
      <c r="E47" s="5">
        <f>IFERROR(VLOOKUP($B47,partInfo!$A$2:$J$30,6,FALSE),)</f>
        <v>0</v>
      </c>
      <c r="F47" s="6">
        <f>IFERROR(VLOOKUP($B47,partInfo!$A$2:$J$30,9,FALSE),0)</f>
        <v>0</v>
      </c>
    </row>
    <row r="48" spans="2:6" x14ac:dyDescent="0.25">
      <c r="B48" s="16" t="s">
        <v>14</v>
      </c>
      <c r="C48" s="17">
        <f>SUM(C41:C47)</f>
        <v>0</v>
      </c>
      <c r="D48" s="5"/>
      <c r="E48" s="5"/>
      <c r="F48" s="6"/>
    </row>
    <row r="49" spans="2:6" x14ac:dyDescent="0.25">
      <c r="B49" s="16" t="s">
        <v>15</v>
      </c>
      <c r="C49" s="17">
        <f>SUM(D41:D47)</f>
        <v>0</v>
      </c>
      <c r="D49" s="5"/>
      <c r="E49" s="5"/>
      <c r="F49" s="6"/>
    </row>
    <row r="50" spans="2:6" x14ac:dyDescent="0.25">
      <c r="B50" s="16" t="s">
        <v>16</v>
      </c>
      <c r="C50" s="17">
        <f>SUM(E41:E47)</f>
        <v>0</v>
      </c>
      <c r="D50" s="5"/>
      <c r="E50" s="5"/>
      <c r="F50" s="6"/>
    </row>
    <row r="51" spans="2:6" x14ac:dyDescent="0.25">
      <c r="B51" s="16" t="s">
        <v>18</v>
      </c>
      <c r="C51" s="17">
        <f>LARGE(F41:F47,1)</f>
        <v>0</v>
      </c>
      <c r="D51" s="5"/>
      <c r="E51" s="5"/>
      <c r="F51" s="6"/>
    </row>
    <row r="52" spans="2:6" x14ac:dyDescent="0.25">
      <c r="B52" s="16" t="s">
        <v>17</v>
      </c>
      <c r="C52" s="17">
        <f>C34</f>
        <v>12.335422600000001</v>
      </c>
      <c r="D52" s="5"/>
      <c r="E52" s="5"/>
      <c r="F52" s="6"/>
    </row>
    <row r="53" spans="2:6" x14ac:dyDescent="0.25">
      <c r="B53" s="16" t="s">
        <v>3</v>
      </c>
      <c r="C53" s="17">
        <f>C52+C48</f>
        <v>12.335422600000001</v>
      </c>
      <c r="D53" s="5"/>
      <c r="E53" s="5"/>
      <c r="F53" s="6"/>
    </row>
    <row r="54" spans="2:6" x14ac:dyDescent="0.25">
      <c r="B54" s="16" t="s">
        <v>19</v>
      </c>
      <c r="C54" s="17">
        <f>C53-C50</f>
        <v>12.335422600000001</v>
      </c>
      <c r="D54" s="5"/>
      <c r="E54" s="5"/>
      <c r="F54" s="6"/>
    </row>
    <row r="55" spans="2:6" x14ac:dyDescent="0.25">
      <c r="B55" s="16" t="s">
        <v>7</v>
      </c>
      <c r="C55" s="17">
        <f>(C51*9.81)*LN(C53/C54)</f>
        <v>0</v>
      </c>
      <c r="D55" s="5"/>
      <c r="E55" s="5"/>
      <c r="F55" s="6"/>
    </row>
    <row r="56" spans="2:6" x14ac:dyDescent="0.25">
      <c r="B56" s="18" t="s">
        <v>13</v>
      </c>
      <c r="C56" s="19">
        <f>C55+C37</f>
        <v>1903.3643522178486</v>
      </c>
      <c r="D56" s="8"/>
      <c r="E56" s="8"/>
      <c r="F56" s="9"/>
    </row>
    <row r="58" spans="2:6" x14ac:dyDescent="0.25">
      <c r="B58" t="s">
        <v>31</v>
      </c>
    </row>
    <row r="59" spans="2:6" x14ac:dyDescent="0.25">
      <c r="B59" s="1" t="s">
        <v>0</v>
      </c>
      <c r="C59" s="2" t="s">
        <v>3</v>
      </c>
      <c r="D59" s="2" t="s">
        <v>4</v>
      </c>
      <c r="E59" s="2" t="s">
        <v>5</v>
      </c>
      <c r="F59" s="3" t="s">
        <v>6</v>
      </c>
    </row>
    <row r="60" spans="2:6" x14ac:dyDescent="0.25">
      <c r="B60" s="4"/>
      <c r="C60" s="5">
        <f>IFERROR(VLOOKUP($B60,partInfo!$A$2:$J$30,8,FALSE),0)</f>
        <v>0</v>
      </c>
      <c r="D60" s="5">
        <f>IFERROR(VLOOKUP($B60,partInfo!$A$2:$J$30,7,FALSE),0)</f>
        <v>0</v>
      </c>
      <c r="E60" s="5">
        <f>IFERROR(VLOOKUP($B60,partInfo!$A$2:$J$30,6,FALSE),)</f>
        <v>0</v>
      </c>
      <c r="F60" s="6">
        <f>IFERROR(VLOOKUP($B60,partInfo!$A$2:$J$30,9,FALSE),0)</f>
        <v>0</v>
      </c>
    </row>
    <row r="61" spans="2:6" x14ac:dyDescent="0.25">
      <c r="B61" s="4"/>
      <c r="C61" s="5">
        <f>IFERROR(VLOOKUP($B61,partInfo!$A$2:$J$30,8,FALSE),0)</f>
        <v>0</v>
      </c>
      <c r="D61" s="5">
        <f>IFERROR(VLOOKUP($B61,partInfo!$A$2:$J$30,7,FALSE),0)</f>
        <v>0</v>
      </c>
      <c r="E61" s="5">
        <f>IFERROR(VLOOKUP($B61,partInfo!$A$2:$J$30,6,FALSE),)</f>
        <v>0</v>
      </c>
      <c r="F61" s="6">
        <f>IFERROR(VLOOKUP($B61,partInfo!$A$2:$J$30,9,FALSE),0)</f>
        <v>0</v>
      </c>
    </row>
    <row r="62" spans="2:6" x14ac:dyDescent="0.25">
      <c r="B62" s="4"/>
      <c r="C62" s="5">
        <f>IFERROR(VLOOKUP($B62,partInfo!$A$2:$J$30,8,FALSE),0)</f>
        <v>0</v>
      </c>
      <c r="D62" s="5">
        <f>IFERROR(VLOOKUP($B62,partInfo!$A$2:$J$30,7,FALSE),0)</f>
        <v>0</v>
      </c>
      <c r="E62" s="5">
        <f>IFERROR(VLOOKUP($B62,partInfo!$A$2:$J$30,6,FALSE),)</f>
        <v>0</v>
      </c>
      <c r="F62" s="6">
        <f>IFERROR(VLOOKUP($B62,partInfo!$A$2:$J$30,9,FALSE),0)</f>
        <v>0</v>
      </c>
    </row>
    <row r="63" spans="2:6" x14ac:dyDescent="0.25">
      <c r="B63" s="4"/>
      <c r="C63" s="5">
        <f>IFERROR(VLOOKUP($B63,partInfo!$A$2:$J$30,8,FALSE),0)</f>
        <v>0</v>
      </c>
      <c r="D63" s="5">
        <f>IFERROR(VLOOKUP($B63,partInfo!$A$2:$J$30,7,FALSE),0)</f>
        <v>0</v>
      </c>
      <c r="E63" s="5">
        <f>IFERROR(VLOOKUP($B63,partInfo!$A$2:$J$30,6,FALSE),)</f>
        <v>0</v>
      </c>
      <c r="F63" s="6">
        <f>IFERROR(VLOOKUP($B63,partInfo!$A$2:$J$30,9,FALSE),0)</f>
        <v>0</v>
      </c>
    </row>
    <row r="64" spans="2:6" x14ac:dyDescent="0.25">
      <c r="B64" s="4"/>
      <c r="C64" s="5">
        <f>IFERROR(VLOOKUP($B64,partInfo!$A$2:$J$30,8,FALSE),0)</f>
        <v>0</v>
      </c>
      <c r="D64" s="5">
        <f>IFERROR(VLOOKUP($B64,partInfo!$A$2:$J$30,7,FALSE),0)</f>
        <v>0</v>
      </c>
      <c r="E64" s="5">
        <f>IFERROR(VLOOKUP($B64,partInfo!$A$2:$J$30,6,FALSE),)</f>
        <v>0</v>
      </c>
      <c r="F64" s="6">
        <f>IFERROR(VLOOKUP($B64,partInfo!$A$2:$J$30,9,FALSE),0)</f>
        <v>0</v>
      </c>
    </row>
    <row r="65" spans="2:6" x14ac:dyDescent="0.25">
      <c r="B65" s="4"/>
      <c r="C65" s="5">
        <f>IFERROR(VLOOKUP($B65,partInfo!$A$2:$J$30,8,FALSE),0)</f>
        <v>0</v>
      </c>
      <c r="D65" s="5">
        <f>IFERROR(VLOOKUP($B65,partInfo!$A$2:$J$30,7,FALSE),0)</f>
        <v>0</v>
      </c>
      <c r="E65" s="5">
        <f>IFERROR(VLOOKUP($B65,partInfo!$A$2:$J$30,6,FALSE),)</f>
        <v>0</v>
      </c>
      <c r="F65" s="6">
        <f>IFERROR(VLOOKUP($B65,partInfo!$A$2:$J$30,9,FALSE),0)</f>
        <v>0</v>
      </c>
    </row>
    <row r="66" spans="2:6" x14ac:dyDescent="0.25">
      <c r="B66" s="4"/>
      <c r="C66" s="5">
        <f>IFERROR(VLOOKUP($B66,partInfo!$A$2:$J$30,8,FALSE),0)</f>
        <v>0</v>
      </c>
      <c r="D66" s="5">
        <f>IFERROR(VLOOKUP($B66,partInfo!$A$2:$J$30,7,FALSE),0)</f>
        <v>0</v>
      </c>
      <c r="E66" s="5">
        <f>IFERROR(VLOOKUP($B66,partInfo!$A$2:$J$30,6,FALSE),)</f>
        <v>0</v>
      </c>
      <c r="F66" s="6">
        <f>IFERROR(VLOOKUP($B66,partInfo!$A$2:$J$30,9,FALSE),0)</f>
        <v>0</v>
      </c>
    </row>
    <row r="67" spans="2:6" x14ac:dyDescent="0.25">
      <c r="B67" s="16" t="s">
        <v>14</v>
      </c>
      <c r="C67" s="17">
        <f>SUM(C60:C66)</f>
        <v>0</v>
      </c>
      <c r="D67" s="5"/>
      <c r="E67" s="5"/>
      <c r="F67" s="6"/>
    </row>
    <row r="68" spans="2:6" x14ac:dyDescent="0.25">
      <c r="B68" s="16" t="s">
        <v>15</v>
      </c>
      <c r="C68" s="17">
        <f>SUM(D60:D66)</f>
        <v>0</v>
      </c>
      <c r="D68" s="5"/>
      <c r="E68" s="5"/>
      <c r="F68" s="6"/>
    </row>
    <row r="69" spans="2:6" x14ac:dyDescent="0.25">
      <c r="B69" s="16" t="s">
        <v>16</v>
      </c>
      <c r="C69" s="17">
        <f>SUM(E60:E66)</f>
        <v>0</v>
      </c>
      <c r="D69" s="5"/>
      <c r="E69" s="5"/>
      <c r="F69" s="6"/>
    </row>
    <row r="70" spans="2:6" x14ac:dyDescent="0.25">
      <c r="B70" s="16" t="s">
        <v>18</v>
      </c>
      <c r="C70" s="17">
        <f>LARGE(F60:F66,1)</f>
        <v>0</v>
      </c>
      <c r="D70" s="5"/>
      <c r="E70" s="5"/>
      <c r="F70" s="6"/>
    </row>
    <row r="71" spans="2:6" x14ac:dyDescent="0.25">
      <c r="B71" s="16" t="s">
        <v>17</v>
      </c>
      <c r="C71" s="17">
        <f>C53</f>
        <v>12.335422600000001</v>
      </c>
      <c r="D71" s="5"/>
      <c r="E71" s="5"/>
      <c r="F71" s="6"/>
    </row>
    <row r="72" spans="2:6" x14ac:dyDescent="0.25">
      <c r="B72" s="16" t="s">
        <v>3</v>
      </c>
      <c r="C72" s="17">
        <f>C71+C67</f>
        <v>12.335422600000001</v>
      </c>
      <c r="D72" s="5"/>
      <c r="E72" s="5"/>
      <c r="F72" s="6"/>
    </row>
    <row r="73" spans="2:6" x14ac:dyDescent="0.25">
      <c r="B73" s="16" t="s">
        <v>19</v>
      </c>
      <c r="C73" s="17">
        <f>C72-C69</f>
        <v>12.335422600000001</v>
      </c>
      <c r="D73" s="5"/>
      <c r="E73" s="5"/>
      <c r="F73" s="6"/>
    </row>
    <row r="74" spans="2:6" x14ac:dyDescent="0.25">
      <c r="B74" s="16" t="s">
        <v>7</v>
      </c>
      <c r="C74" s="17">
        <f>(C70*9.81)*LN(C72/C73)</f>
        <v>0</v>
      </c>
      <c r="D74" s="5"/>
      <c r="E74" s="5"/>
      <c r="F74" s="6"/>
    </row>
    <row r="75" spans="2:6" x14ac:dyDescent="0.25">
      <c r="B75" s="18" t="s">
        <v>13</v>
      </c>
      <c r="C75" s="19">
        <f>C74+C56</f>
        <v>1903.3643522178486</v>
      </c>
      <c r="D75" s="8"/>
      <c r="E75" s="8"/>
      <c r="F75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partInfo!$A$2:$A$30</xm:f>
          </x14:formula1>
          <xm:sqref>B41:B47</xm:sqref>
        </x14:dataValidation>
        <x14:dataValidation type="list" allowBlank="1" showInputMessage="1" showErrorMessage="1">
          <x14:formula1>
            <xm:f>partInfo!$A$2:$A$30</xm:f>
          </x14:formula1>
          <xm:sqref>B60:B66</xm:sqref>
        </x14:dataValidation>
        <x14:dataValidation type="list" allowBlank="1" showInputMessage="1" showErrorMessage="1">
          <x14:formula1>
            <xm:f>partInfo!$A$2:$A$30</xm:f>
          </x14:formula1>
          <xm:sqref>B3:B9</xm:sqref>
        </x14:dataValidation>
        <x14:dataValidation type="list" allowBlank="1" showInputMessage="1" showErrorMessage="1">
          <x14:formula1>
            <xm:f>partInfo!$A$2:$A$30</xm:f>
          </x14:formula1>
          <xm:sqref>B22:B28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L32" sqref="L32"/>
    </sheetView>
  </sheetViews>
  <sheetFormatPr defaultRowHeight="15" x14ac:dyDescent="0.25"/>
  <cols>
    <col min="1" max="1" width="18.140625" customWidth="1"/>
    <col min="2" max="2" width="8" bestFit="1" customWidth="1"/>
    <col min="3" max="3" width="14.5703125" bestFit="1" customWidth="1"/>
    <col min="4" max="4" width="12.7109375" bestFit="1" customWidth="1"/>
    <col min="5" max="5" width="10" bestFit="1" customWidth="1"/>
    <col min="6" max="6" width="9.7109375" bestFit="1" customWidth="1"/>
    <col min="7" max="7" width="8.85546875" bestFit="1" customWidth="1"/>
    <col min="8" max="8" width="10.28515625" bestFit="1" customWidth="1"/>
    <col min="14" max="14" width="13.42578125" customWidth="1"/>
    <col min="15" max="15" width="12" bestFit="1" customWidth="1"/>
    <col min="16" max="16" width="12" customWidth="1"/>
    <col min="17" max="17" width="12" bestFit="1" customWidth="1"/>
  </cols>
  <sheetData>
    <row r="1" spans="1:18" x14ac:dyDescent="0.25">
      <c r="A1" t="s">
        <v>0</v>
      </c>
      <c r="B1" t="s">
        <v>1</v>
      </c>
      <c r="C1" t="s">
        <v>12</v>
      </c>
      <c r="D1" t="s">
        <v>11</v>
      </c>
      <c r="E1" t="s">
        <v>10</v>
      </c>
      <c r="F1" t="s">
        <v>5</v>
      </c>
      <c r="G1" t="s">
        <v>2</v>
      </c>
      <c r="H1" t="s">
        <v>3</v>
      </c>
      <c r="I1" t="s">
        <v>8</v>
      </c>
      <c r="J1" t="s">
        <v>9</v>
      </c>
      <c r="K1" t="s">
        <v>144</v>
      </c>
      <c r="L1" t="s">
        <v>142</v>
      </c>
      <c r="M1" t="s">
        <v>143</v>
      </c>
      <c r="N1" t="s">
        <v>98</v>
      </c>
      <c r="O1" t="s">
        <v>97</v>
      </c>
      <c r="P1" t="s">
        <v>102</v>
      </c>
      <c r="Q1" t="s">
        <v>96</v>
      </c>
      <c r="R1" t="s">
        <v>95</v>
      </c>
    </row>
    <row r="2" spans="1:18" x14ac:dyDescent="0.25">
      <c r="A2" t="s">
        <v>21</v>
      </c>
      <c r="B2">
        <v>0</v>
      </c>
      <c r="C2">
        <v>0.3</v>
      </c>
      <c r="D2">
        <v>0.15</v>
      </c>
      <c r="E2">
        <f>D2*B2</f>
        <v>0</v>
      </c>
      <c r="F2">
        <f>B2*(1-D2)</f>
        <v>0</v>
      </c>
      <c r="G2">
        <f>E2+C2</f>
        <v>0.3</v>
      </c>
      <c r="H2">
        <f>F2+E2+C2</f>
        <v>0.3</v>
      </c>
      <c r="I2">
        <v>355</v>
      </c>
      <c r="J2">
        <v>65</v>
      </c>
      <c r="K2" s="33">
        <f>J2/H2</f>
        <v>216.66666666666669</v>
      </c>
      <c r="L2">
        <v>300</v>
      </c>
      <c r="M2">
        <f>L2/J2*H2</f>
        <v>1.3846153846153844</v>
      </c>
      <c r="O2" s="33">
        <f>F2*200</f>
        <v>0</v>
      </c>
      <c r="P2">
        <f>20 * ROUNDUP(O2/20,0)</f>
        <v>0</v>
      </c>
      <c r="Q2">
        <f>P2*0.45</f>
        <v>0</v>
      </c>
      <c r="R2">
        <f>P2*0.55</f>
        <v>0</v>
      </c>
    </row>
    <row r="3" spans="1:18" x14ac:dyDescent="0.25">
      <c r="A3" s="33" t="s">
        <v>22</v>
      </c>
      <c r="B3" s="33">
        <f>N3</f>
        <v>0.86449999999999994</v>
      </c>
      <c r="C3" s="33">
        <v>6.25E-2</v>
      </c>
      <c r="D3" s="33">
        <v>0.15</v>
      </c>
      <c r="E3" s="33">
        <f t="shared" ref="E3:E30" si="0">D3*B3</f>
        <v>0.12967499999999998</v>
      </c>
      <c r="F3" s="33">
        <f t="shared" ref="F3:F30" si="1">B3*(1-D3)</f>
        <v>0.73482499999999995</v>
      </c>
      <c r="G3" s="33">
        <f t="shared" ref="G3:G30" si="2">E3+C3</f>
        <v>0.19217499999999998</v>
      </c>
      <c r="H3" s="33">
        <f t="shared" ref="H3:H30" si="3">F3+E3+C3</f>
        <v>0.92699999999999994</v>
      </c>
      <c r="I3" s="33">
        <v>355</v>
      </c>
      <c r="J3" s="33"/>
      <c r="K3" s="33">
        <f t="shared" ref="K3:K30" si="4">J3/H3</f>
        <v>0</v>
      </c>
      <c r="L3">
        <v>300</v>
      </c>
      <c r="M3" t="e">
        <f t="shared" ref="M3:M30" si="5">L3/J3*H3</f>
        <v>#DIV/0!</v>
      </c>
      <c r="N3" s="33">
        <v>0.86449999999999994</v>
      </c>
      <c r="O3" s="33">
        <f>F3*200</f>
        <v>146.965</v>
      </c>
      <c r="P3" s="33">
        <f t="shared" ref="P3:P30" si="6">20 * ROUNDUP(O3/20,0)</f>
        <v>160</v>
      </c>
      <c r="Q3" s="33">
        <f t="shared" ref="Q3:Q30" si="7">P3*0.45</f>
        <v>72</v>
      </c>
      <c r="R3" s="33">
        <f t="shared" ref="R3:R30" si="8">P3*0.55</f>
        <v>88</v>
      </c>
    </row>
    <row r="4" spans="1:18" x14ac:dyDescent="0.25">
      <c r="A4" s="34" t="s">
        <v>71</v>
      </c>
      <c r="B4" s="34">
        <f t="shared" ref="B4:B29" si="9">N4</f>
        <v>0</v>
      </c>
      <c r="C4" s="34">
        <v>1.2</v>
      </c>
      <c r="D4" s="34">
        <v>0.15</v>
      </c>
      <c r="E4" s="34">
        <f t="shared" si="0"/>
        <v>0</v>
      </c>
      <c r="F4" s="34">
        <f t="shared" si="1"/>
        <v>0</v>
      </c>
      <c r="G4" s="34">
        <f t="shared" si="2"/>
        <v>1.2</v>
      </c>
      <c r="H4" s="34">
        <f t="shared" si="3"/>
        <v>1.2</v>
      </c>
      <c r="I4" s="34">
        <v>355</v>
      </c>
      <c r="J4" s="34">
        <f>4*J2</f>
        <v>260</v>
      </c>
      <c r="K4" s="33">
        <f t="shared" si="4"/>
        <v>216.66666666666669</v>
      </c>
      <c r="L4">
        <v>300</v>
      </c>
      <c r="M4">
        <f t="shared" si="5"/>
        <v>1.3846153846153844</v>
      </c>
      <c r="N4" s="34"/>
      <c r="O4" s="34">
        <f t="shared" ref="O4:O30" si="10">F4*200</f>
        <v>0</v>
      </c>
      <c r="P4" s="34">
        <f t="shared" si="6"/>
        <v>0</v>
      </c>
      <c r="Q4" s="34">
        <f t="shared" si="7"/>
        <v>0</v>
      </c>
      <c r="R4" s="34">
        <f t="shared" si="8"/>
        <v>0</v>
      </c>
    </row>
    <row r="5" spans="1:18" x14ac:dyDescent="0.25">
      <c r="A5" s="33" t="s">
        <v>81</v>
      </c>
      <c r="B5" s="33">
        <f t="shared" si="9"/>
        <v>1.0233744</v>
      </c>
      <c r="C5" s="33">
        <v>0.05</v>
      </c>
      <c r="D5" s="33">
        <v>0.15</v>
      </c>
      <c r="E5" s="33">
        <f t="shared" si="0"/>
        <v>0.15350616</v>
      </c>
      <c r="F5" s="33">
        <f t="shared" si="1"/>
        <v>0.86986823999999996</v>
      </c>
      <c r="G5" s="33">
        <f t="shared" si="2"/>
        <v>0.20350615999999999</v>
      </c>
      <c r="H5" s="33">
        <f t="shared" si="3"/>
        <v>1.0733744000000001</v>
      </c>
      <c r="I5" s="33">
        <v>355</v>
      </c>
      <c r="J5" s="33"/>
      <c r="K5" s="33">
        <f t="shared" si="4"/>
        <v>0</v>
      </c>
      <c r="L5">
        <v>300</v>
      </c>
      <c r="M5" t="e">
        <f t="shared" si="5"/>
        <v>#DIV/0!</v>
      </c>
      <c r="N5" s="33">
        <f>8*0.1279218</f>
        <v>1.0233744</v>
      </c>
      <c r="O5" s="33">
        <f t="shared" si="10"/>
        <v>173.973648</v>
      </c>
      <c r="P5" s="33">
        <f t="shared" si="6"/>
        <v>180</v>
      </c>
      <c r="Q5" s="33">
        <f t="shared" si="7"/>
        <v>81</v>
      </c>
      <c r="R5" s="33">
        <f t="shared" si="8"/>
        <v>99.000000000000014</v>
      </c>
    </row>
    <row r="6" spans="1:18" x14ac:dyDescent="0.25">
      <c r="A6" s="33" t="s">
        <v>82</v>
      </c>
      <c r="B6" s="33">
        <f t="shared" si="9"/>
        <v>1.84</v>
      </c>
      <c r="C6" s="33">
        <v>0.1</v>
      </c>
      <c r="D6" s="33">
        <v>0.15</v>
      </c>
      <c r="E6" s="33">
        <f t="shared" si="0"/>
        <v>0.27600000000000002</v>
      </c>
      <c r="F6" s="33">
        <f t="shared" si="1"/>
        <v>1.5640000000000001</v>
      </c>
      <c r="G6" s="33">
        <f t="shared" si="2"/>
        <v>0.376</v>
      </c>
      <c r="H6" s="33">
        <f t="shared" si="3"/>
        <v>1.9400000000000002</v>
      </c>
      <c r="I6" s="33">
        <v>355</v>
      </c>
      <c r="J6" s="33"/>
      <c r="K6" s="33">
        <f t="shared" si="4"/>
        <v>0</v>
      </c>
      <c r="L6">
        <v>300</v>
      </c>
      <c r="M6" t="e">
        <f t="shared" si="5"/>
        <v>#DIV/0!</v>
      </c>
      <c r="N6" s="33">
        <f>0.46*4</f>
        <v>1.84</v>
      </c>
      <c r="O6" s="33">
        <f t="shared" si="10"/>
        <v>312.8</v>
      </c>
      <c r="P6" s="33">
        <f t="shared" si="6"/>
        <v>320</v>
      </c>
      <c r="Q6" s="33">
        <f t="shared" si="7"/>
        <v>144</v>
      </c>
      <c r="R6" s="33">
        <f t="shared" si="8"/>
        <v>176</v>
      </c>
    </row>
    <row r="7" spans="1:18" x14ac:dyDescent="0.25">
      <c r="A7" s="34" t="s">
        <v>23</v>
      </c>
      <c r="B7" s="34">
        <f t="shared" si="9"/>
        <v>0</v>
      </c>
      <c r="C7" s="34">
        <v>0.36249999999999999</v>
      </c>
      <c r="D7" s="34">
        <v>0.15</v>
      </c>
      <c r="E7" s="34">
        <f t="shared" si="0"/>
        <v>0</v>
      </c>
      <c r="F7" s="34">
        <f t="shared" si="1"/>
        <v>0</v>
      </c>
      <c r="G7" s="34">
        <f t="shared" si="2"/>
        <v>0.36249999999999999</v>
      </c>
      <c r="H7" s="34">
        <f t="shared" si="3"/>
        <v>0.36249999999999999</v>
      </c>
      <c r="I7" s="34">
        <v>355</v>
      </c>
      <c r="J7" s="34"/>
      <c r="K7" s="33">
        <f t="shared" si="4"/>
        <v>0</v>
      </c>
      <c r="L7">
        <v>300</v>
      </c>
      <c r="M7" t="e">
        <f t="shared" si="5"/>
        <v>#DIV/0!</v>
      </c>
      <c r="N7" s="34"/>
      <c r="O7" s="34">
        <f t="shared" si="10"/>
        <v>0</v>
      </c>
      <c r="P7" s="34">
        <f t="shared" si="6"/>
        <v>0</v>
      </c>
      <c r="Q7" s="34">
        <f t="shared" si="7"/>
        <v>0</v>
      </c>
      <c r="R7" s="34">
        <f t="shared" si="8"/>
        <v>0</v>
      </c>
    </row>
    <row r="8" spans="1:18" x14ac:dyDescent="0.25">
      <c r="A8" s="34" t="s">
        <v>20</v>
      </c>
      <c r="B8" s="34">
        <f t="shared" si="9"/>
        <v>0</v>
      </c>
      <c r="C8" s="34">
        <v>1.1000000000000001</v>
      </c>
      <c r="D8" s="34">
        <v>0.15</v>
      </c>
      <c r="E8" s="34">
        <f t="shared" si="0"/>
        <v>0</v>
      </c>
      <c r="F8" s="34">
        <f t="shared" si="1"/>
        <v>0</v>
      </c>
      <c r="G8" s="34">
        <f t="shared" si="2"/>
        <v>1.1000000000000001</v>
      </c>
      <c r="H8" s="34">
        <f t="shared" si="3"/>
        <v>1.1000000000000001</v>
      </c>
      <c r="I8" s="34">
        <v>355</v>
      </c>
      <c r="J8" s="34"/>
      <c r="K8" s="33">
        <f t="shared" si="4"/>
        <v>0</v>
      </c>
      <c r="L8">
        <v>300</v>
      </c>
      <c r="M8" t="e">
        <f t="shared" si="5"/>
        <v>#DIV/0!</v>
      </c>
      <c r="N8" s="34"/>
      <c r="O8" s="34">
        <f t="shared" si="10"/>
        <v>0</v>
      </c>
      <c r="P8" s="34">
        <f t="shared" si="6"/>
        <v>0</v>
      </c>
      <c r="Q8" s="34">
        <f t="shared" si="7"/>
        <v>0</v>
      </c>
      <c r="R8" s="34">
        <f t="shared" si="8"/>
        <v>0</v>
      </c>
    </row>
    <row r="9" spans="1:18" x14ac:dyDescent="0.25">
      <c r="A9" s="34" t="s">
        <v>25</v>
      </c>
      <c r="B9" s="34">
        <f t="shared" si="9"/>
        <v>0</v>
      </c>
      <c r="C9" s="34">
        <v>0.9</v>
      </c>
      <c r="D9" s="34">
        <v>0.15</v>
      </c>
      <c r="E9" s="34">
        <f t="shared" si="0"/>
        <v>0</v>
      </c>
      <c r="F9" s="34">
        <f t="shared" si="1"/>
        <v>0</v>
      </c>
      <c r="G9" s="34">
        <f t="shared" si="2"/>
        <v>0.9</v>
      </c>
      <c r="H9" s="34">
        <f t="shared" si="3"/>
        <v>0.9</v>
      </c>
      <c r="I9" s="34">
        <v>355</v>
      </c>
      <c r="J9" s="34">
        <f>3*J2</f>
        <v>195</v>
      </c>
      <c r="K9" s="33">
        <f t="shared" si="4"/>
        <v>216.66666666666666</v>
      </c>
      <c r="L9">
        <v>300</v>
      </c>
      <c r="M9">
        <f t="shared" si="5"/>
        <v>1.3846153846153848</v>
      </c>
      <c r="N9" s="34"/>
      <c r="O9" s="34">
        <f t="shared" si="10"/>
        <v>0</v>
      </c>
      <c r="P9" s="34">
        <f t="shared" si="6"/>
        <v>0</v>
      </c>
      <c r="Q9" s="34">
        <f t="shared" si="7"/>
        <v>0</v>
      </c>
      <c r="R9" s="34">
        <f t="shared" si="8"/>
        <v>0</v>
      </c>
    </row>
    <row r="10" spans="1:18" x14ac:dyDescent="0.25">
      <c r="A10" s="33" t="s">
        <v>26</v>
      </c>
      <c r="B10" s="33">
        <f t="shared" si="9"/>
        <v>2.12333536</v>
      </c>
      <c r="C10" s="33">
        <v>0.1</v>
      </c>
      <c r="D10" s="33">
        <v>0.15</v>
      </c>
      <c r="E10" s="33">
        <f t="shared" si="0"/>
        <v>0.31850030400000001</v>
      </c>
      <c r="F10" s="33">
        <f t="shared" si="1"/>
        <v>1.8048350559999999</v>
      </c>
      <c r="G10" s="33">
        <f t="shared" si="2"/>
        <v>0.41850030400000005</v>
      </c>
      <c r="H10" s="33">
        <f t="shared" si="3"/>
        <v>2.2233353600000001</v>
      </c>
      <c r="I10" s="33">
        <v>355</v>
      </c>
      <c r="J10" s="33"/>
      <c r="K10" s="33">
        <f t="shared" si="4"/>
        <v>0</v>
      </c>
      <c r="L10">
        <v>300</v>
      </c>
      <c r="M10" t="e">
        <f t="shared" si="5"/>
        <v>#DIV/0!</v>
      </c>
      <c r="N10" s="33">
        <f>8*0.26541692</f>
        <v>2.12333536</v>
      </c>
      <c r="O10" s="33">
        <f t="shared" si="10"/>
        <v>360.9670112</v>
      </c>
      <c r="P10" s="33">
        <f t="shared" si="6"/>
        <v>380</v>
      </c>
      <c r="Q10" s="33">
        <f t="shared" si="7"/>
        <v>171</v>
      </c>
      <c r="R10" s="33">
        <f t="shared" si="8"/>
        <v>209.00000000000003</v>
      </c>
    </row>
    <row r="11" spans="1:18" x14ac:dyDescent="0.25">
      <c r="A11" s="34" t="s">
        <v>70</v>
      </c>
      <c r="B11" s="34">
        <f t="shared" si="9"/>
        <v>0</v>
      </c>
      <c r="C11" s="34">
        <v>2.4</v>
      </c>
      <c r="D11" s="34">
        <v>0.15</v>
      </c>
      <c r="E11" s="34">
        <f t="shared" si="0"/>
        <v>0</v>
      </c>
      <c r="F11" s="34">
        <f t="shared" si="1"/>
        <v>0</v>
      </c>
      <c r="G11" s="34">
        <f t="shared" si="2"/>
        <v>2.4</v>
      </c>
      <c r="H11" s="34">
        <f t="shared" si="3"/>
        <v>2.4</v>
      </c>
      <c r="I11" s="34">
        <v>355</v>
      </c>
      <c r="J11" s="34">
        <f>8*J2</f>
        <v>520</v>
      </c>
      <c r="K11" s="33">
        <f t="shared" si="4"/>
        <v>216.66666666666669</v>
      </c>
      <c r="L11">
        <v>300</v>
      </c>
      <c r="M11">
        <f t="shared" si="5"/>
        <v>1.3846153846153844</v>
      </c>
      <c r="N11" s="34"/>
      <c r="O11" s="34">
        <f t="shared" si="10"/>
        <v>0</v>
      </c>
      <c r="P11" s="34">
        <f t="shared" si="6"/>
        <v>0</v>
      </c>
      <c r="Q11" s="34">
        <f t="shared" si="7"/>
        <v>0</v>
      </c>
      <c r="R11" s="34">
        <f t="shared" si="8"/>
        <v>0</v>
      </c>
    </row>
    <row r="12" spans="1:18" x14ac:dyDescent="0.25">
      <c r="A12" s="33" t="s">
        <v>83</v>
      </c>
      <c r="B12" s="33">
        <f t="shared" si="9"/>
        <v>1.7654230399999999</v>
      </c>
      <c r="C12" s="33">
        <v>0.1</v>
      </c>
      <c r="D12" s="33">
        <v>0.15</v>
      </c>
      <c r="E12" s="33">
        <f t="shared" si="0"/>
        <v>0.264813456</v>
      </c>
      <c r="F12" s="33">
        <f t="shared" si="1"/>
        <v>1.500609584</v>
      </c>
      <c r="G12" s="33">
        <f t="shared" si="2"/>
        <v>0.36481345600000004</v>
      </c>
      <c r="H12" s="33">
        <f t="shared" si="3"/>
        <v>1.86542304</v>
      </c>
      <c r="I12" s="33">
        <v>355</v>
      </c>
      <c r="J12" s="33"/>
      <c r="K12" s="33">
        <f t="shared" si="4"/>
        <v>0</v>
      </c>
      <c r="L12">
        <v>300</v>
      </c>
      <c r="M12" t="e">
        <f t="shared" si="5"/>
        <v>#DIV/0!</v>
      </c>
      <c r="N12" s="33">
        <f>8*0.22067788</f>
        <v>1.7654230399999999</v>
      </c>
      <c r="O12" s="33">
        <f t="shared" si="10"/>
        <v>300.12191680000001</v>
      </c>
      <c r="P12" s="33">
        <f t="shared" si="6"/>
        <v>320</v>
      </c>
      <c r="Q12" s="33">
        <f t="shared" si="7"/>
        <v>144</v>
      </c>
      <c r="R12" s="33">
        <f t="shared" si="8"/>
        <v>176</v>
      </c>
    </row>
    <row r="13" spans="1:18" x14ac:dyDescent="0.25">
      <c r="A13" s="33" t="s">
        <v>80</v>
      </c>
      <c r="B13" s="33">
        <f t="shared" si="9"/>
        <v>3.9870872400000001</v>
      </c>
      <c r="C13" s="33">
        <v>0.2</v>
      </c>
      <c r="D13" s="33">
        <v>0.15</v>
      </c>
      <c r="E13" s="33">
        <f t="shared" si="0"/>
        <v>0.59806308600000002</v>
      </c>
      <c r="F13" s="33">
        <f t="shared" si="1"/>
        <v>3.3890241539999999</v>
      </c>
      <c r="G13" s="33">
        <f t="shared" si="2"/>
        <v>0.79806308599999998</v>
      </c>
      <c r="H13" s="33">
        <f t="shared" si="3"/>
        <v>4.1870872400000003</v>
      </c>
      <c r="I13" s="33">
        <v>355</v>
      </c>
      <c r="J13" s="33"/>
      <c r="K13" s="33">
        <f t="shared" si="4"/>
        <v>0</v>
      </c>
      <c r="L13">
        <v>300</v>
      </c>
      <c r="M13" t="e">
        <f t="shared" si="5"/>
        <v>#DIV/0!</v>
      </c>
      <c r="N13" s="33">
        <f>4*0.99677181</f>
        <v>3.9870872400000001</v>
      </c>
      <c r="O13" s="33">
        <f t="shared" si="10"/>
        <v>677.80483079999999</v>
      </c>
      <c r="P13" s="33">
        <f t="shared" si="6"/>
        <v>680</v>
      </c>
      <c r="Q13" s="33">
        <f t="shared" si="7"/>
        <v>306</v>
      </c>
      <c r="R13" s="33">
        <f t="shared" si="8"/>
        <v>374.00000000000006</v>
      </c>
    </row>
    <row r="14" spans="1:18" x14ac:dyDescent="0.25">
      <c r="A14" s="33" t="s">
        <v>84</v>
      </c>
      <c r="B14" s="33">
        <f t="shared" si="9"/>
        <v>4.8009199999999996</v>
      </c>
      <c r="C14" s="33">
        <v>0.2</v>
      </c>
      <c r="D14" s="33">
        <v>0.15</v>
      </c>
      <c r="E14" s="33">
        <f t="shared" si="0"/>
        <v>0.72013799999999994</v>
      </c>
      <c r="F14" s="33">
        <f t="shared" si="1"/>
        <v>4.0807819999999992</v>
      </c>
      <c r="G14" s="33">
        <f t="shared" si="2"/>
        <v>0.9201379999999999</v>
      </c>
      <c r="H14" s="33">
        <f t="shared" si="3"/>
        <v>5.0009199999999998</v>
      </c>
      <c r="I14" s="33">
        <v>355</v>
      </c>
      <c r="J14" s="33"/>
      <c r="K14" s="33">
        <f t="shared" si="4"/>
        <v>0</v>
      </c>
      <c r="L14">
        <v>300</v>
      </c>
      <c r="M14" t="e">
        <f t="shared" si="5"/>
        <v>#DIV/0!</v>
      </c>
      <c r="N14" s="33">
        <f>4*0.28905 + 8*0.45559</f>
        <v>4.8009199999999996</v>
      </c>
      <c r="O14" s="33">
        <f t="shared" si="10"/>
        <v>816.15639999999985</v>
      </c>
      <c r="P14" s="33">
        <f t="shared" si="6"/>
        <v>820</v>
      </c>
      <c r="Q14" s="33">
        <f t="shared" si="7"/>
        <v>369</v>
      </c>
      <c r="R14" s="33">
        <f t="shared" si="8"/>
        <v>451.00000000000006</v>
      </c>
    </row>
    <row r="15" spans="1:18" x14ac:dyDescent="0.25">
      <c r="A15" s="34" t="s">
        <v>27</v>
      </c>
      <c r="B15" s="34">
        <f t="shared" si="9"/>
        <v>0</v>
      </c>
      <c r="C15" s="34">
        <v>0.75</v>
      </c>
      <c r="D15" s="34">
        <v>0.15</v>
      </c>
      <c r="E15" s="34">
        <f t="shared" si="0"/>
        <v>0</v>
      </c>
      <c r="F15" s="34">
        <f t="shared" si="1"/>
        <v>0</v>
      </c>
      <c r="G15" s="34">
        <f t="shared" si="2"/>
        <v>0.75</v>
      </c>
      <c r="H15" s="34">
        <f t="shared" si="3"/>
        <v>0.75</v>
      </c>
      <c r="I15" s="34">
        <v>355</v>
      </c>
      <c r="J15" s="34"/>
      <c r="K15" s="33">
        <f t="shared" si="4"/>
        <v>0</v>
      </c>
      <c r="L15">
        <v>300</v>
      </c>
      <c r="M15" t="e">
        <f t="shared" si="5"/>
        <v>#DIV/0!</v>
      </c>
      <c r="N15" s="34"/>
      <c r="O15" s="34">
        <f t="shared" si="10"/>
        <v>0</v>
      </c>
      <c r="P15" s="34">
        <f t="shared" si="6"/>
        <v>0</v>
      </c>
      <c r="Q15" s="34">
        <f t="shared" si="7"/>
        <v>0</v>
      </c>
      <c r="R15" s="34">
        <f t="shared" si="8"/>
        <v>0</v>
      </c>
    </row>
    <row r="16" spans="1:18" x14ac:dyDescent="0.25">
      <c r="A16" s="34" t="s">
        <v>24</v>
      </c>
      <c r="B16" s="34">
        <f t="shared" si="9"/>
        <v>0</v>
      </c>
      <c r="C16" s="34">
        <v>1.875</v>
      </c>
      <c r="D16" s="34">
        <v>0.15</v>
      </c>
      <c r="E16" s="34">
        <f t="shared" si="0"/>
        <v>0</v>
      </c>
      <c r="F16" s="34">
        <f t="shared" si="1"/>
        <v>0</v>
      </c>
      <c r="G16" s="34">
        <f t="shared" si="2"/>
        <v>1.875</v>
      </c>
      <c r="H16" s="34">
        <f t="shared" si="3"/>
        <v>1.875</v>
      </c>
      <c r="I16" s="34">
        <v>355</v>
      </c>
      <c r="J16" s="34"/>
      <c r="K16" s="33">
        <f t="shared" si="4"/>
        <v>0</v>
      </c>
      <c r="L16">
        <v>300</v>
      </c>
      <c r="M16" t="e">
        <f t="shared" si="5"/>
        <v>#DIV/0!</v>
      </c>
      <c r="N16" s="34"/>
      <c r="O16" s="34">
        <f t="shared" si="10"/>
        <v>0</v>
      </c>
      <c r="P16" s="34">
        <f t="shared" si="6"/>
        <v>0</v>
      </c>
      <c r="Q16" s="34">
        <f t="shared" si="7"/>
        <v>0</v>
      </c>
      <c r="R16" s="34">
        <f t="shared" si="8"/>
        <v>0</v>
      </c>
    </row>
    <row r="17" spans="1:18" x14ac:dyDescent="0.25">
      <c r="A17" s="34" t="s">
        <v>74</v>
      </c>
      <c r="B17" s="34">
        <f t="shared" si="9"/>
        <v>0</v>
      </c>
      <c r="C17" s="34">
        <v>1.2</v>
      </c>
      <c r="D17" s="34">
        <v>0.15</v>
      </c>
      <c r="E17" s="34">
        <f t="shared" si="0"/>
        <v>0</v>
      </c>
      <c r="F17" s="34">
        <f t="shared" si="1"/>
        <v>0</v>
      </c>
      <c r="G17" s="34">
        <f t="shared" si="2"/>
        <v>1.2</v>
      </c>
      <c r="H17" s="34">
        <f t="shared" si="3"/>
        <v>1.2</v>
      </c>
      <c r="I17" s="34">
        <v>355</v>
      </c>
      <c r="J17" s="34">
        <f>4*J2</f>
        <v>260</v>
      </c>
      <c r="K17" s="33">
        <f t="shared" si="4"/>
        <v>216.66666666666669</v>
      </c>
      <c r="L17">
        <v>300</v>
      </c>
      <c r="M17">
        <f t="shared" si="5"/>
        <v>1.3846153846153844</v>
      </c>
      <c r="N17" s="34"/>
      <c r="O17" s="34">
        <f t="shared" si="10"/>
        <v>0</v>
      </c>
      <c r="P17" s="34">
        <f t="shared" si="6"/>
        <v>0</v>
      </c>
      <c r="Q17" s="34">
        <f t="shared" si="7"/>
        <v>0</v>
      </c>
      <c r="R17" s="34">
        <f t="shared" si="8"/>
        <v>0</v>
      </c>
    </row>
    <row r="18" spans="1:18" x14ac:dyDescent="0.25">
      <c r="A18" s="33" t="s">
        <v>75</v>
      </c>
      <c r="B18" s="33">
        <f t="shared" si="9"/>
        <v>3.0431288400000001</v>
      </c>
      <c r="C18" s="33">
        <v>0.2</v>
      </c>
      <c r="D18" s="33">
        <v>0.15</v>
      </c>
      <c r="E18" s="33">
        <f t="shared" si="0"/>
        <v>0.45646932600000001</v>
      </c>
      <c r="F18" s="33">
        <f t="shared" si="1"/>
        <v>2.5866595139999999</v>
      </c>
      <c r="G18" s="33">
        <f t="shared" si="2"/>
        <v>0.65646932600000008</v>
      </c>
      <c r="H18" s="33">
        <f t="shared" si="3"/>
        <v>3.2431288400000002</v>
      </c>
      <c r="I18" s="33">
        <v>355</v>
      </c>
      <c r="J18" s="33"/>
      <c r="K18" s="33">
        <f t="shared" si="4"/>
        <v>0</v>
      </c>
      <c r="L18">
        <v>300</v>
      </c>
      <c r="M18" t="e">
        <f t="shared" si="5"/>
        <v>#DIV/0!</v>
      </c>
      <c r="N18" s="33">
        <f>12 * 0.25359407</f>
        <v>3.0431288400000001</v>
      </c>
      <c r="O18" s="33">
        <f t="shared" si="10"/>
        <v>517.33190279999997</v>
      </c>
      <c r="P18" s="33">
        <f t="shared" si="6"/>
        <v>520</v>
      </c>
      <c r="Q18" s="33">
        <f t="shared" si="7"/>
        <v>234</v>
      </c>
      <c r="R18" s="33">
        <f t="shared" si="8"/>
        <v>286</v>
      </c>
    </row>
    <row r="19" spans="1:18" x14ac:dyDescent="0.25">
      <c r="A19" s="34" t="s">
        <v>73</v>
      </c>
      <c r="B19" s="34">
        <f t="shared" si="9"/>
        <v>0</v>
      </c>
      <c r="C19" s="34">
        <v>3.6</v>
      </c>
      <c r="D19" s="34">
        <v>0.15</v>
      </c>
      <c r="E19" s="34">
        <f t="shared" si="0"/>
        <v>0</v>
      </c>
      <c r="F19" s="34">
        <f t="shared" si="1"/>
        <v>0</v>
      </c>
      <c r="G19" s="34">
        <f t="shared" si="2"/>
        <v>3.6</v>
      </c>
      <c r="H19" s="34">
        <f t="shared" si="3"/>
        <v>3.6</v>
      </c>
      <c r="I19" s="34">
        <v>355</v>
      </c>
      <c r="J19" s="34">
        <f>12*J2</f>
        <v>780</v>
      </c>
      <c r="K19" s="33">
        <f t="shared" si="4"/>
        <v>216.66666666666666</v>
      </c>
      <c r="L19">
        <v>300</v>
      </c>
      <c r="M19">
        <f t="shared" si="5"/>
        <v>1.3846153846153848</v>
      </c>
      <c r="N19" s="34"/>
      <c r="O19" s="34">
        <f t="shared" si="10"/>
        <v>0</v>
      </c>
      <c r="P19" s="34">
        <f t="shared" si="6"/>
        <v>0</v>
      </c>
      <c r="Q19" s="34">
        <f t="shared" si="7"/>
        <v>0</v>
      </c>
      <c r="R19" s="34">
        <f t="shared" si="8"/>
        <v>0</v>
      </c>
    </row>
    <row r="20" spans="1:18" x14ac:dyDescent="0.25">
      <c r="A20" s="33" t="s">
        <v>88</v>
      </c>
      <c r="B20" s="33">
        <f t="shared" si="9"/>
        <v>5.5895428799999998</v>
      </c>
      <c r="C20" s="33">
        <v>0.2</v>
      </c>
      <c r="D20" s="33">
        <v>0.15</v>
      </c>
      <c r="E20" s="33">
        <f t="shared" si="0"/>
        <v>0.83843143199999992</v>
      </c>
      <c r="F20" s="33">
        <f t="shared" si="1"/>
        <v>4.7511114479999996</v>
      </c>
      <c r="G20" s="33">
        <f t="shared" si="2"/>
        <v>1.0384314319999999</v>
      </c>
      <c r="H20" s="33">
        <f t="shared" si="3"/>
        <v>5.7895428799999999</v>
      </c>
      <c r="I20" s="33">
        <v>355</v>
      </c>
      <c r="J20" s="33"/>
      <c r="K20" s="33">
        <f t="shared" si="4"/>
        <v>0</v>
      </c>
      <c r="L20">
        <v>300</v>
      </c>
      <c r="M20" t="e">
        <f t="shared" si="5"/>
        <v>#DIV/0!</v>
      </c>
      <c r="N20" s="33">
        <f>4*1.39738572</f>
        <v>5.5895428799999998</v>
      </c>
      <c r="O20" s="33">
        <f t="shared" si="10"/>
        <v>950.22228959999995</v>
      </c>
      <c r="P20" s="33">
        <f t="shared" si="6"/>
        <v>960</v>
      </c>
      <c r="Q20" s="33">
        <f t="shared" si="7"/>
        <v>432</v>
      </c>
      <c r="R20" s="33">
        <f t="shared" si="8"/>
        <v>528</v>
      </c>
    </row>
    <row r="21" spans="1:18" x14ac:dyDescent="0.25">
      <c r="A21" s="33" t="s">
        <v>87</v>
      </c>
      <c r="B21" s="33">
        <f t="shared" si="9"/>
        <v>2.65903424</v>
      </c>
      <c r="C21" s="33">
        <v>0.15</v>
      </c>
      <c r="D21" s="33">
        <v>0.15</v>
      </c>
      <c r="E21" s="33">
        <f t="shared" si="0"/>
        <v>0.398855136</v>
      </c>
      <c r="F21" s="33">
        <f t="shared" si="1"/>
        <v>2.2601791040000001</v>
      </c>
      <c r="G21" s="33">
        <f t="shared" si="2"/>
        <v>0.54885513600000002</v>
      </c>
      <c r="H21" s="33">
        <f t="shared" si="3"/>
        <v>2.8090342399999999</v>
      </c>
      <c r="I21" s="33">
        <v>355</v>
      </c>
      <c r="J21" s="33"/>
      <c r="K21" s="33">
        <f t="shared" si="4"/>
        <v>0</v>
      </c>
      <c r="L21">
        <v>300</v>
      </c>
      <c r="M21" t="e">
        <f t="shared" si="5"/>
        <v>#DIV/0!</v>
      </c>
      <c r="N21" s="33">
        <f>4*0.3185 + 16*0.08656464</f>
        <v>2.65903424</v>
      </c>
      <c r="O21" s="33">
        <f t="shared" si="10"/>
        <v>452.03582080000001</v>
      </c>
      <c r="P21" s="33">
        <f t="shared" si="6"/>
        <v>460</v>
      </c>
      <c r="Q21" s="33">
        <f t="shared" si="7"/>
        <v>207</v>
      </c>
      <c r="R21" s="33">
        <f t="shared" si="8"/>
        <v>253.00000000000003</v>
      </c>
    </row>
    <row r="22" spans="1:18" x14ac:dyDescent="0.25">
      <c r="A22" s="33" t="s">
        <v>86</v>
      </c>
      <c r="B22" s="33">
        <f t="shared" si="9"/>
        <v>9.1240000000000006</v>
      </c>
      <c r="C22" s="33">
        <v>0.3</v>
      </c>
      <c r="D22" s="33">
        <v>0.15</v>
      </c>
      <c r="E22" s="33">
        <f t="shared" si="0"/>
        <v>1.3686</v>
      </c>
      <c r="F22" s="33">
        <f t="shared" si="1"/>
        <v>7.7553999999999998</v>
      </c>
      <c r="G22" s="33">
        <f t="shared" si="2"/>
        <v>1.6686000000000001</v>
      </c>
      <c r="H22" s="33">
        <f t="shared" si="3"/>
        <v>9.4240000000000013</v>
      </c>
      <c r="I22" s="33">
        <v>355</v>
      </c>
      <c r="J22" s="33"/>
      <c r="K22" s="33">
        <f t="shared" si="4"/>
        <v>0</v>
      </c>
      <c r="L22">
        <v>300</v>
      </c>
      <c r="M22" t="e">
        <f t="shared" si="5"/>
        <v>#DIV/0!</v>
      </c>
      <c r="N22" s="33">
        <f>4*2.281</f>
        <v>9.1240000000000006</v>
      </c>
      <c r="O22" s="33">
        <f t="shared" si="10"/>
        <v>1551.08</v>
      </c>
      <c r="P22" s="33">
        <f t="shared" si="6"/>
        <v>1560</v>
      </c>
      <c r="Q22" s="33">
        <f t="shared" si="7"/>
        <v>702</v>
      </c>
      <c r="R22" s="33">
        <f t="shared" si="8"/>
        <v>858.00000000000011</v>
      </c>
    </row>
    <row r="23" spans="1:18" x14ac:dyDescent="0.25">
      <c r="A23" s="33" t="s">
        <v>99</v>
      </c>
      <c r="B23" s="33">
        <f t="shared" si="9"/>
        <v>7.78016328</v>
      </c>
      <c r="C23" s="33">
        <v>0.25</v>
      </c>
      <c r="D23" s="33">
        <v>0.15</v>
      </c>
      <c r="E23" s="33">
        <f t="shared" si="0"/>
        <v>1.1670244919999999</v>
      </c>
      <c r="F23" s="33">
        <f t="shared" si="1"/>
        <v>6.6131387879999997</v>
      </c>
      <c r="G23" s="33">
        <f t="shared" si="2"/>
        <v>1.4170244919999999</v>
      </c>
      <c r="H23" s="33">
        <f t="shared" si="3"/>
        <v>8.03016328</v>
      </c>
      <c r="I23" s="33">
        <v>355</v>
      </c>
      <c r="J23" s="33"/>
      <c r="K23" s="33">
        <f t="shared" si="4"/>
        <v>0</v>
      </c>
      <c r="L23">
        <v>300</v>
      </c>
      <c r="M23" t="e">
        <f t="shared" si="5"/>
        <v>#DIV/0!</v>
      </c>
      <c r="N23" s="33">
        <f>4*1.94504082</f>
        <v>7.78016328</v>
      </c>
      <c r="O23" s="33">
        <f t="shared" si="10"/>
        <v>1322.6277576</v>
      </c>
      <c r="P23" s="33">
        <f t="shared" si="6"/>
        <v>1340</v>
      </c>
      <c r="Q23" s="33">
        <f t="shared" si="7"/>
        <v>603</v>
      </c>
      <c r="R23" s="33">
        <f t="shared" si="8"/>
        <v>737.00000000000011</v>
      </c>
    </row>
    <row r="24" spans="1:18" x14ac:dyDescent="0.25">
      <c r="A24" s="34" t="s">
        <v>72</v>
      </c>
      <c r="B24" s="34">
        <f t="shared" si="9"/>
        <v>0</v>
      </c>
      <c r="C24" s="34">
        <v>4.5</v>
      </c>
      <c r="D24" s="34">
        <v>0.15</v>
      </c>
      <c r="E24" s="34">
        <f t="shared" si="0"/>
        <v>0</v>
      </c>
      <c r="F24" s="34">
        <f t="shared" si="1"/>
        <v>0</v>
      </c>
      <c r="G24" s="34">
        <f t="shared" si="2"/>
        <v>4.5</v>
      </c>
      <c r="H24" s="34">
        <f t="shared" si="3"/>
        <v>4.5</v>
      </c>
      <c r="I24" s="34">
        <v>355</v>
      </c>
      <c r="J24" s="34"/>
      <c r="K24" s="33">
        <f t="shared" si="4"/>
        <v>0</v>
      </c>
      <c r="L24">
        <v>300</v>
      </c>
      <c r="M24" t="e">
        <f t="shared" si="5"/>
        <v>#DIV/0!</v>
      </c>
      <c r="N24" s="34"/>
      <c r="O24" s="34">
        <f t="shared" si="10"/>
        <v>0</v>
      </c>
      <c r="P24" s="34">
        <f t="shared" si="6"/>
        <v>0</v>
      </c>
      <c r="Q24" s="34">
        <f t="shared" si="7"/>
        <v>0</v>
      </c>
      <c r="R24" s="34">
        <f t="shared" si="8"/>
        <v>0</v>
      </c>
    </row>
    <row r="25" spans="1:18" x14ac:dyDescent="0.25">
      <c r="A25" s="33" t="s">
        <v>85</v>
      </c>
      <c r="B25" s="33">
        <f t="shared" si="9"/>
        <v>0.29379176000000001</v>
      </c>
      <c r="C25" s="33">
        <v>0.05</v>
      </c>
      <c r="D25" s="33">
        <v>0.15</v>
      </c>
      <c r="E25" s="33">
        <f t="shared" si="0"/>
        <v>4.4068764000000003E-2</v>
      </c>
      <c r="F25" s="33">
        <f t="shared" si="1"/>
        <v>0.249722996</v>
      </c>
      <c r="G25" s="33">
        <f t="shared" si="2"/>
        <v>9.4068763999999999E-2</v>
      </c>
      <c r="H25" s="33">
        <f t="shared" si="3"/>
        <v>0.34379176</v>
      </c>
      <c r="I25" s="33">
        <v>355</v>
      </c>
      <c r="J25" s="33"/>
      <c r="K25" s="33">
        <f t="shared" si="4"/>
        <v>0</v>
      </c>
      <c r="L25">
        <v>300</v>
      </c>
      <c r="M25" t="e">
        <f t="shared" si="5"/>
        <v>#DIV/0!</v>
      </c>
      <c r="N25" s="33">
        <f>4*0.07344794</f>
        <v>0.29379176000000001</v>
      </c>
      <c r="O25" s="33">
        <f t="shared" si="10"/>
        <v>49.944599199999999</v>
      </c>
      <c r="P25" s="33">
        <f t="shared" si="6"/>
        <v>60</v>
      </c>
      <c r="Q25" s="33">
        <f t="shared" si="7"/>
        <v>27</v>
      </c>
      <c r="R25" s="33">
        <f t="shared" si="8"/>
        <v>33</v>
      </c>
    </row>
    <row r="26" spans="1:18" x14ac:dyDescent="0.25">
      <c r="A26" s="34" t="s">
        <v>103</v>
      </c>
      <c r="B26" s="34">
        <f t="shared" si="9"/>
        <v>0</v>
      </c>
      <c r="C26" s="34">
        <v>1.5</v>
      </c>
      <c r="D26" s="34">
        <v>0.15</v>
      </c>
      <c r="E26" s="34">
        <f t="shared" si="0"/>
        <v>0</v>
      </c>
      <c r="F26" s="34">
        <f t="shared" si="1"/>
        <v>0</v>
      </c>
      <c r="G26" s="34">
        <f t="shared" si="2"/>
        <v>1.5</v>
      </c>
      <c r="H26" s="34">
        <f t="shared" si="3"/>
        <v>1.5</v>
      </c>
      <c r="I26" s="34">
        <v>355</v>
      </c>
      <c r="J26" s="34"/>
      <c r="K26" s="33">
        <f t="shared" si="4"/>
        <v>0</v>
      </c>
      <c r="L26">
        <v>300</v>
      </c>
      <c r="M26" t="e">
        <f t="shared" si="5"/>
        <v>#DIV/0!</v>
      </c>
      <c r="N26" s="34"/>
      <c r="O26" s="34">
        <f t="shared" si="10"/>
        <v>0</v>
      </c>
      <c r="P26" s="34">
        <f t="shared" si="6"/>
        <v>0</v>
      </c>
      <c r="Q26" s="34">
        <f t="shared" si="7"/>
        <v>0</v>
      </c>
      <c r="R26" s="34">
        <f t="shared" si="8"/>
        <v>0</v>
      </c>
    </row>
    <row r="27" spans="1:18" x14ac:dyDescent="0.25">
      <c r="A27" s="34" t="s">
        <v>127</v>
      </c>
      <c r="B27" s="34">
        <f t="shared" si="9"/>
        <v>3.8139643699999999</v>
      </c>
      <c r="C27" s="34">
        <v>0</v>
      </c>
      <c r="D27" s="34">
        <v>0.15</v>
      </c>
      <c r="E27" s="34">
        <f t="shared" si="0"/>
        <v>0.57209465549999994</v>
      </c>
      <c r="F27" s="34">
        <f t="shared" si="1"/>
        <v>3.2418697144999999</v>
      </c>
      <c r="G27" s="34">
        <f t="shared" si="2"/>
        <v>0.57209465549999994</v>
      </c>
      <c r="H27" s="34">
        <f t="shared" si="3"/>
        <v>3.8139643699999999</v>
      </c>
      <c r="I27" s="34">
        <v>355</v>
      </c>
      <c r="J27" s="34"/>
      <c r="K27" s="33">
        <f t="shared" si="4"/>
        <v>0</v>
      </c>
      <c r="L27">
        <v>300</v>
      </c>
      <c r="M27" t="e">
        <f t="shared" si="5"/>
        <v>#DIV/0!</v>
      </c>
      <c r="N27" s="34">
        <v>3.8139643699999999</v>
      </c>
      <c r="O27" s="34">
        <f t="shared" si="10"/>
        <v>648.37394289999997</v>
      </c>
      <c r="P27" s="34">
        <f t="shared" si="6"/>
        <v>660</v>
      </c>
      <c r="Q27" s="34">
        <f t="shared" si="7"/>
        <v>297</v>
      </c>
      <c r="R27" s="34">
        <f t="shared" si="8"/>
        <v>363.00000000000006</v>
      </c>
    </row>
    <row r="28" spans="1:18" x14ac:dyDescent="0.25">
      <c r="A28" s="34" t="s">
        <v>128</v>
      </c>
      <c r="B28" s="34">
        <f t="shared" si="9"/>
        <v>9.16145706</v>
      </c>
      <c r="C28" s="34">
        <v>0</v>
      </c>
      <c r="D28" s="34">
        <v>0.15</v>
      </c>
      <c r="E28" s="34">
        <f t="shared" si="0"/>
        <v>1.374218559</v>
      </c>
      <c r="F28" s="34">
        <f t="shared" si="1"/>
        <v>7.787238501</v>
      </c>
      <c r="G28" s="34">
        <f t="shared" si="2"/>
        <v>1.374218559</v>
      </c>
      <c r="H28" s="34">
        <f t="shared" si="3"/>
        <v>9.16145706</v>
      </c>
      <c r="I28" s="34">
        <v>355</v>
      </c>
      <c r="J28" s="34"/>
      <c r="K28" s="33">
        <f t="shared" si="4"/>
        <v>0</v>
      </c>
      <c r="L28">
        <v>300</v>
      </c>
      <c r="M28" t="e">
        <f t="shared" si="5"/>
        <v>#DIV/0!</v>
      </c>
      <c r="N28" s="34">
        <v>9.16145706</v>
      </c>
      <c r="O28" s="34">
        <f t="shared" si="10"/>
        <v>1557.4477002000001</v>
      </c>
      <c r="P28" s="34">
        <f t="shared" si="6"/>
        <v>1560</v>
      </c>
      <c r="Q28" s="34">
        <f t="shared" si="7"/>
        <v>702</v>
      </c>
      <c r="R28" s="34">
        <f t="shared" si="8"/>
        <v>858.00000000000011</v>
      </c>
    </row>
    <row r="29" spans="1:18" x14ac:dyDescent="0.25">
      <c r="A29" s="34" t="s">
        <v>129</v>
      </c>
      <c r="B29" s="34">
        <f t="shared" si="9"/>
        <v>16.718635559999999</v>
      </c>
      <c r="C29" s="34">
        <v>0</v>
      </c>
      <c r="D29" s="34">
        <v>0.15</v>
      </c>
      <c r="E29" s="34">
        <f t="shared" si="0"/>
        <v>2.5077953339999999</v>
      </c>
      <c r="F29" s="34">
        <f t="shared" si="1"/>
        <v>14.210840225999998</v>
      </c>
      <c r="G29" s="34">
        <f t="shared" si="2"/>
        <v>2.5077953339999999</v>
      </c>
      <c r="H29" s="34">
        <f t="shared" si="3"/>
        <v>16.718635559999999</v>
      </c>
      <c r="I29" s="34">
        <v>355</v>
      </c>
      <c r="J29" s="34"/>
      <c r="K29" s="33">
        <f t="shared" si="4"/>
        <v>0</v>
      </c>
      <c r="L29">
        <v>300</v>
      </c>
      <c r="M29" t="e">
        <f t="shared" si="5"/>
        <v>#DIV/0!</v>
      </c>
      <c r="N29" s="34">
        <v>16.718635559999999</v>
      </c>
      <c r="O29" s="34">
        <f t="shared" si="10"/>
        <v>2842.1680451999996</v>
      </c>
      <c r="P29" s="34">
        <f t="shared" si="6"/>
        <v>2860</v>
      </c>
      <c r="Q29" s="34">
        <f t="shared" si="7"/>
        <v>1287</v>
      </c>
      <c r="R29" s="34">
        <f t="shared" si="8"/>
        <v>1573.0000000000002</v>
      </c>
    </row>
    <row r="30" spans="1:18" x14ac:dyDescent="0.25">
      <c r="A30" s="34"/>
      <c r="B30" s="34"/>
      <c r="C30" s="34"/>
      <c r="D30" s="34">
        <v>0.15</v>
      </c>
      <c r="E30" s="34">
        <f t="shared" si="0"/>
        <v>0</v>
      </c>
      <c r="F30" s="34">
        <f t="shared" si="1"/>
        <v>0</v>
      </c>
      <c r="G30" s="34">
        <f t="shared" si="2"/>
        <v>0</v>
      </c>
      <c r="H30" s="34">
        <f t="shared" si="3"/>
        <v>0</v>
      </c>
      <c r="I30" s="34">
        <v>355</v>
      </c>
      <c r="J30" s="34"/>
      <c r="K30" s="33" t="e">
        <f t="shared" si="4"/>
        <v>#DIV/0!</v>
      </c>
      <c r="L30">
        <v>300</v>
      </c>
      <c r="M30" t="e">
        <f t="shared" si="5"/>
        <v>#DIV/0!</v>
      </c>
      <c r="N30" s="34"/>
      <c r="O30" s="34">
        <f t="shared" si="10"/>
        <v>0</v>
      </c>
      <c r="P30" s="34">
        <f t="shared" si="6"/>
        <v>0</v>
      </c>
      <c r="Q30" s="34">
        <f t="shared" si="7"/>
        <v>0</v>
      </c>
      <c r="R30" s="34">
        <f t="shared" si="8"/>
        <v>0</v>
      </c>
    </row>
  </sheetData>
  <sortState ref="A2:C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M26" sqref="M26"/>
    </sheetView>
  </sheetViews>
  <sheetFormatPr defaultRowHeight="15" x14ac:dyDescent="0.25"/>
  <cols>
    <col min="1" max="1" width="15.140625" bestFit="1" customWidth="1"/>
  </cols>
  <sheetData>
    <row r="1" spans="1:3" x14ac:dyDescent="0.25">
      <c r="A1" t="s">
        <v>130</v>
      </c>
      <c r="B1" t="s">
        <v>131</v>
      </c>
      <c r="C1" s="32" t="s">
        <v>1</v>
      </c>
    </row>
    <row r="2" spans="1:3" x14ac:dyDescent="0.25">
      <c r="A2" t="s">
        <v>100</v>
      </c>
      <c r="B2">
        <v>5.0000000000000001E-3</v>
      </c>
      <c r="C2">
        <v>5.0000000000000001E-3</v>
      </c>
    </row>
    <row r="3" spans="1:3" x14ac:dyDescent="0.25">
      <c r="A3" t="s">
        <v>101</v>
      </c>
      <c r="B3">
        <v>5.0000000000000001E-3</v>
      </c>
      <c r="C3">
        <v>5.0000000000000001E-3</v>
      </c>
    </row>
    <row r="4" spans="1:3" x14ac:dyDescent="0.25">
      <c r="A4" t="s">
        <v>132</v>
      </c>
      <c r="B4">
        <v>5.0000000000000001E-3</v>
      </c>
      <c r="C4">
        <v>5.0000000000000001E-3</v>
      </c>
    </row>
    <row r="5" spans="1:3" x14ac:dyDescent="0.25">
      <c r="A5" t="s">
        <v>133</v>
      </c>
      <c r="B5">
        <v>5.0000000000000001E-3</v>
      </c>
      <c r="C5">
        <v>5.0000000000000001E-3</v>
      </c>
    </row>
    <row r="6" spans="1:3" x14ac:dyDescent="0.25">
      <c r="A6" t="s">
        <v>134</v>
      </c>
    </row>
    <row r="7" spans="1:3" x14ac:dyDescent="0.25">
      <c r="A7" t="s">
        <v>135</v>
      </c>
    </row>
    <row r="8" spans="1:3" x14ac:dyDescent="0.25">
      <c r="A8" t="s">
        <v>136</v>
      </c>
    </row>
    <row r="29" spans="3:7" x14ac:dyDescent="0.25">
      <c r="C29" t="s">
        <v>137</v>
      </c>
      <c r="D29" t="s">
        <v>138</v>
      </c>
    </row>
    <row r="30" spans="3:7" x14ac:dyDescent="0.25">
      <c r="C30">
        <v>1.9</v>
      </c>
      <c r="D30">
        <v>2.5</v>
      </c>
      <c r="E30" t="s">
        <v>139</v>
      </c>
      <c r="F30" t="s">
        <v>140</v>
      </c>
      <c r="G30" t="s">
        <v>141</v>
      </c>
    </row>
    <row r="31" spans="3:7" x14ac:dyDescent="0.25">
      <c r="D31">
        <f>D30/2</f>
        <v>1.25</v>
      </c>
      <c r="E31">
        <f>D31*D31*C30*PI()</f>
        <v>9.3266031903446986</v>
      </c>
      <c r="F31">
        <v>1500</v>
      </c>
      <c r="G31">
        <f>E31/F31</f>
        <v>6.217735460229799E-3</v>
      </c>
    </row>
    <row r="32" spans="3:7" x14ac:dyDescent="0.25">
      <c r="E32">
        <f>E31*0.8125</f>
        <v>7.5778650921550677</v>
      </c>
      <c r="F32">
        <v>1500</v>
      </c>
      <c r="G32">
        <f>E32/F32</f>
        <v>5.0519100614367114E-3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120</v>
      </c>
      <c r="B1" t="s">
        <v>108</v>
      </c>
      <c r="C1" t="s">
        <v>109</v>
      </c>
      <c r="D1" t="s">
        <v>110</v>
      </c>
      <c r="E1" t="s">
        <v>111</v>
      </c>
      <c r="G1" t="s">
        <v>113</v>
      </c>
      <c r="H1" t="s">
        <v>114</v>
      </c>
      <c r="J1" t="s">
        <v>116</v>
      </c>
      <c r="K1" t="s">
        <v>117</v>
      </c>
      <c r="M1" t="s">
        <v>119</v>
      </c>
      <c r="N1" t="s">
        <v>143</v>
      </c>
    </row>
    <row r="2" spans="1:14" x14ac:dyDescent="0.25">
      <c r="A2" s="35" t="s">
        <v>112</v>
      </c>
      <c r="B2" s="36">
        <v>3</v>
      </c>
      <c r="C2" s="36">
        <v>650</v>
      </c>
      <c r="D2" s="36">
        <f>C2/B2</f>
        <v>216.66666666666666</v>
      </c>
      <c r="E2" s="36">
        <v>350</v>
      </c>
      <c r="F2" s="36"/>
      <c r="G2" s="36">
        <f>E2*C2</f>
        <v>227500</v>
      </c>
      <c r="H2" s="36">
        <f>G2/B2</f>
        <v>75833.333333333328</v>
      </c>
      <c r="I2" s="36"/>
      <c r="J2" s="36">
        <f>E2*B2</f>
        <v>1050</v>
      </c>
      <c r="K2" s="36">
        <f>J2*C2</f>
        <v>682500</v>
      </c>
      <c r="L2" s="36"/>
      <c r="M2" s="36">
        <f>E2/C2</f>
        <v>0.53846153846153844</v>
      </c>
      <c r="N2" s="37">
        <f>M2*B2</f>
        <v>1.6153846153846154</v>
      </c>
    </row>
    <row r="3" spans="1:14" x14ac:dyDescent="0.25">
      <c r="A3" s="38" t="s">
        <v>107</v>
      </c>
      <c r="B3" s="39">
        <v>6</v>
      </c>
      <c r="C3" s="39">
        <v>1500</v>
      </c>
      <c r="D3" s="39">
        <f>C3/B3</f>
        <v>250</v>
      </c>
      <c r="E3" s="39">
        <v>196</v>
      </c>
      <c r="F3" s="39"/>
      <c r="G3" s="39">
        <f>E3*C3</f>
        <v>294000</v>
      </c>
      <c r="H3" s="39">
        <f>G3/B3</f>
        <v>49000</v>
      </c>
      <c r="I3" s="39"/>
      <c r="J3" s="39">
        <f t="shared" ref="J3:J5" si="0">E3*B3</f>
        <v>1176</v>
      </c>
      <c r="K3" s="39">
        <f t="shared" ref="K3:K5" si="1">J3*C3</f>
        <v>1764000</v>
      </c>
      <c r="L3" s="39"/>
      <c r="M3" s="39">
        <f t="shared" ref="M3:M5" si="2">E3/C3</f>
        <v>0.13066666666666665</v>
      </c>
      <c r="N3" s="40">
        <f t="shared" ref="N3:N5" si="3">M3*B3</f>
        <v>0.78399999999999992</v>
      </c>
    </row>
    <row r="4" spans="1:14" x14ac:dyDescent="0.25">
      <c r="A4" s="38" t="s">
        <v>115</v>
      </c>
      <c r="B4" s="39">
        <v>1.5</v>
      </c>
      <c r="C4" s="39">
        <v>200</v>
      </c>
      <c r="D4" s="39">
        <f>C4/B4</f>
        <v>133.33333333333334</v>
      </c>
      <c r="E4" s="39">
        <v>200</v>
      </c>
      <c r="F4" s="39"/>
      <c r="G4" s="39">
        <f>E4*C4</f>
        <v>40000</v>
      </c>
      <c r="H4" s="39">
        <f>G4/B4</f>
        <v>26666.666666666668</v>
      </c>
      <c r="I4" s="39"/>
      <c r="J4" s="39">
        <f t="shared" si="0"/>
        <v>300</v>
      </c>
      <c r="K4" s="39">
        <f t="shared" si="1"/>
        <v>60000</v>
      </c>
      <c r="L4" s="39"/>
      <c r="M4" s="39">
        <f t="shared" si="2"/>
        <v>1</v>
      </c>
      <c r="N4" s="40">
        <f t="shared" si="3"/>
        <v>1.5</v>
      </c>
    </row>
    <row r="5" spans="1:14" x14ac:dyDescent="0.25">
      <c r="A5" s="41" t="s">
        <v>118</v>
      </c>
      <c r="B5" s="42">
        <v>3</v>
      </c>
      <c r="C5" s="42">
        <v>60</v>
      </c>
      <c r="D5" s="42">
        <f>C5/B5</f>
        <v>20</v>
      </c>
      <c r="E5" s="42">
        <v>250</v>
      </c>
      <c r="F5" s="42"/>
      <c r="G5" s="42">
        <f>E5*C5</f>
        <v>15000</v>
      </c>
      <c r="H5" s="42">
        <f>G5/B5</f>
        <v>5000</v>
      </c>
      <c r="I5" s="42"/>
      <c r="J5" s="42">
        <f t="shared" si="0"/>
        <v>750</v>
      </c>
      <c r="K5" s="42">
        <f t="shared" si="1"/>
        <v>45000</v>
      </c>
      <c r="L5" s="42"/>
      <c r="M5" s="42">
        <f t="shared" si="2"/>
        <v>4.166666666666667</v>
      </c>
      <c r="N5" s="43">
        <f t="shared" si="3"/>
        <v>12.5</v>
      </c>
    </row>
    <row r="6" spans="1:14" x14ac:dyDescent="0.25">
      <c r="A6" s="34" t="s">
        <v>121</v>
      </c>
      <c r="B6" s="34">
        <v>0.3</v>
      </c>
      <c r="C6" s="34">
        <v>65</v>
      </c>
      <c r="D6" s="34">
        <f t="shared" ref="D6:D11" si="4">C6/B6</f>
        <v>216.66666666666669</v>
      </c>
      <c r="E6" s="34">
        <v>300</v>
      </c>
      <c r="F6" s="34"/>
      <c r="G6" s="34">
        <f t="shared" ref="G6:G11" si="5">E6*C6</f>
        <v>19500</v>
      </c>
      <c r="H6" s="34">
        <f t="shared" ref="H6:H11" si="6">G6/B6</f>
        <v>65000</v>
      </c>
      <c r="I6" s="34"/>
      <c r="J6" s="34">
        <f t="shared" ref="J6:J11" si="7">E6*B6</f>
        <v>90</v>
      </c>
      <c r="K6" s="34">
        <f t="shared" ref="K6:K11" si="8">J6*C6</f>
        <v>5850</v>
      </c>
      <c r="L6" s="34"/>
      <c r="M6" s="34">
        <f t="shared" ref="M6:M11" si="9">E6/C6</f>
        <v>4.615384615384615</v>
      </c>
      <c r="N6" s="34">
        <f t="shared" ref="N6:N11" si="10">M6*B6</f>
        <v>1.3846153846153844</v>
      </c>
    </row>
    <row r="7" spans="1:14" x14ac:dyDescent="0.25">
      <c r="A7" s="34" t="s">
        <v>122</v>
      </c>
      <c r="B7" s="34">
        <v>1.2</v>
      </c>
      <c r="C7" s="34">
        <f>C6*4</f>
        <v>260</v>
      </c>
      <c r="D7" s="34">
        <f t="shared" si="4"/>
        <v>216.66666666666669</v>
      </c>
      <c r="E7" s="34">
        <v>300</v>
      </c>
      <c r="F7" s="34"/>
      <c r="G7" s="34">
        <f t="shared" si="5"/>
        <v>78000</v>
      </c>
      <c r="H7" s="34">
        <f t="shared" si="6"/>
        <v>65000</v>
      </c>
      <c r="I7" s="34"/>
      <c r="J7" s="34">
        <f t="shared" si="7"/>
        <v>360</v>
      </c>
      <c r="K7" s="34">
        <f t="shared" si="8"/>
        <v>93600</v>
      </c>
      <c r="L7" s="34"/>
      <c r="M7" s="34">
        <f t="shared" si="9"/>
        <v>1.1538461538461537</v>
      </c>
      <c r="N7" s="34">
        <f t="shared" si="10"/>
        <v>1.3846153846153844</v>
      </c>
    </row>
    <row r="8" spans="1:14" x14ac:dyDescent="0.25">
      <c r="A8" s="34" t="s">
        <v>123</v>
      </c>
      <c r="B8" s="34">
        <v>0.9</v>
      </c>
      <c r="C8" s="34">
        <f>3*C6</f>
        <v>195</v>
      </c>
      <c r="D8" s="34">
        <f t="shared" si="4"/>
        <v>216.66666666666666</v>
      </c>
      <c r="E8" s="34">
        <v>300</v>
      </c>
      <c r="F8" s="34"/>
      <c r="G8" s="34">
        <f t="shared" si="5"/>
        <v>58500</v>
      </c>
      <c r="H8" s="34">
        <f t="shared" si="6"/>
        <v>65000</v>
      </c>
      <c r="I8" s="34"/>
      <c r="J8" s="34">
        <f t="shared" si="7"/>
        <v>270</v>
      </c>
      <c r="K8" s="34">
        <f t="shared" si="8"/>
        <v>52650</v>
      </c>
      <c r="L8" s="34"/>
      <c r="M8" s="34">
        <f t="shared" si="9"/>
        <v>1.5384615384615385</v>
      </c>
      <c r="N8" s="34">
        <f t="shared" si="10"/>
        <v>1.3846153846153848</v>
      </c>
    </row>
    <row r="9" spans="1:14" x14ac:dyDescent="0.25">
      <c r="A9" s="34" t="s">
        <v>124</v>
      </c>
      <c r="B9" s="34">
        <v>2.4</v>
      </c>
      <c r="C9" s="34">
        <f>8*C6</f>
        <v>520</v>
      </c>
      <c r="D9" s="34">
        <f t="shared" si="4"/>
        <v>216.66666666666669</v>
      </c>
      <c r="E9" s="34">
        <v>300</v>
      </c>
      <c r="F9" s="34"/>
      <c r="G9" s="34">
        <f t="shared" si="5"/>
        <v>156000</v>
      </c>
      <c r="H9" s="34">
        <f t="shared" si="6"/>
        <v>65000</v>
      </c>
      <c r="I9" s="34"/>
      <c r="J9" s="34">
        <f t="shared" si="7"/>
        <v>720</v>
      </c>
      <c r="K9" s="34">
        <f t="shared" si="8"/>
        <v>374400</v>
      </c>
      <c r="L9" s="34"/>
      <c r="M9" s="34">
        <f t="shared" si="9"/>
        <v>0.57692307692307687</v>
      </c>
      <c r="N9" s="34">
        <f t="shared" si="10"/>
        <v>1.3846153846153844</v>
      </c>
    </row>
    <row r="10" spans="1:14" x14ac:dyDescent="0.25">
      <c r="A10" s="34" t="s">
        <v>125</v>
      </c>
      <c r="B10" s="34">
        <v>1.2</v>
      </c>
      <c r="C10" s="34">
        <f>4*C6</f>
        <v>260</v>
      </c>
      <c r="D10" s="34">
        <f t="shared" si="4"/>
        <v>216.66666666666669</v>
      </c>
      <c r="E10" s="34">
        <v>300</v>
      </c>
      <c r="F10" s="34"/>
      <c r="G10" s="34">
        <f t="shared" si="5"/>
        <v>78000</v>
      </c>
      <c r="H10" s="34">
        <f t="shared" si="6"/>
        <v>65000</v>
      </c>
      <c r="I10" s="34"/>
      <c r="J10" s="34">
        <f t="shared" si="7"/>
        <v>360</v>
      </c>
      <c r="K10" s="34">
        <f t="shared" si="8"/>
        <v>93600</v>
      </c>
      <c r="L10" s="34"/>
      <c r="M10" s="34">
        <f t="shared" si="9"/>
        <v>1.1538461538461537</v>
      </c>
      <c r="N10" s="34">
        <f t="shared" si="10"/>
        <v>1.3846153846153844</v>
      </c>
    </row>
    <row r="11" spans="1:14" x14ac:dyDescent="0.25">
      <c r="A11" s="34" t="s">
        <v>126</v>
      </c>
      <c r="B11" s="34">
        <v>3.6</v>
      </c>
      <c r="C11" s="34">
        <f>12*C6</f>
        <v>780</v>
      </c>
      <c r="D11" s="34">
        <f t="shared" si="4"/>
        <v>216.66666666666666</v>
      </c>
      <c r="E11" s="34">
        <v>300</v>
      </c>
      <c r="F11" s="34"/>
      <c r="G11" s="34">
        <f t="shared" si="5"/>
        <v>234000</v>
      </c>
      <c r="H11" s="34">
        <f t="shared" si="6"/>
        <v>65000</v>
      </c>
      <c r="I11" s="34"/>
      <c r="J11" s="34">
        <f t="shared" si="7"/>
        <v>1080</v>
      </c>
      <c r="K11" s="34">
        <f t="shared" si="8"/>
        <v>842400</v>
      </c>
      <c r="L11" s="34"/>
      <c r="M11" s="34">
        <f t="shared" si="9"/>
        <v>0.38461538461538464</v>
      </c>
      <c r="N11" s="34">
        <f t="shared" si="10"/>
        <v>1.3846153846153848</v>
      </c>
    </row>
    <row r="12" spans="1:14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ConfigComp</vt:lpstr>
      <vt:lpstr>stagingInfo</vt:lpstr>
      <vt:lpstr>partInfo</vt:lpstr>
      <vt:lpstr>resourceCalc</vt:lpstr>
      <vt:lpstr>engineHeat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2015-07-25T19:00:17Z</dcterms:modified>
</cp:coreProperties>
</file>