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esktop\整点日活跟进表\"/>
    </mc:Choice>
  </mc:AlternateContent>
  <bookViews>
    <workbookView xWindow="0" yWindow="0" windowWidth="20490" windowHeight="7785"/>
  </bookViews>
  <sheets>
    <sheet name="城市" sheetId="22" r:id="rId1"/>
    <sheet name="售卖区" sheetId="1" r:id="rId2"/>
    <sheet name="销售" sheetId="21" r:id="rId3"/>
    <sheet name="CRM" sheetId="2" r:id="rId4"/>
    <sheet name="累计crm" sheetId="3" state="hidden" r:id="rId5"/>
    <sheet name="5月bi" sheetId="5" state="hidden" r:id="rId6"/>
    <sheet name="6月bi" sheetId="8" state="hidden" r:id="rId7"/>
    <sheet name="CRM-米" sheetId="20" state="hidden" r:id="rId8"/>
    <sheet name="实时bi" sheetId="7" r:id="rId9"/>
    <sheet name="附件" sheetId="9" r:id="rId10"/>
    <sheet name="6.9激励方案" sheetId="23" r:id="rId11"/>
  </sheets>
  <definedNames>
    <definedName name="_xlnm._FilterDatabase" localSheetId="5" hidden="1">'5月bi'!$A$3:$G$33</definedName>
    <definedName name="_xlnm._FilterDatabase" localSheetId="3" hidden="1">CRM!$A$1:$S$1</definedName>
    <definedName name="_xlnm._FilterDatabase" localSheetId="9" hidden="1">附件!$A$1:$B$31</definedName>
    <definedName name="_xlnm._FilterDatabase" localSheetId="1" hidden="1">售卖区!$A$3:$O$59</definedName>
    <definedName name="_xlnm._FilterDatabase" localSheetId="2" hidden="1">销售!$A$4:$U$75</definedName>
  </definedNames>
  <calcPr calcId="152511"/>
</workbook>
</file>

<file path=xl/calcChain.xml><?xml version="1.0" encoding="utf-8"?>
<calcChain xmlns="http://schemas.openxmlformats.org/spreadsheetml/2006/main">
  <c r="F42" i="22" l="1"/>
  <c r="F38" i="22"/>
  <c r="F39" i="22"/>
  <c r="F40" i="22"/>
  <c r="F41" i="22" s="1"/>
  <c r="K53" i="1" l="1"/>
  <c r="K54" i="1"/>
  <c r="K55" i="1"/>
  <c r="K56" i="1"/>
  <c r="K57" i="1"/>
  <c r="K52" i="1"/>
  <c r="J53" i="1"/>
  <c r="J54" i="1"/>
  <c r="J55" i="1"/>
  <c r="J56" i="1"/>
  <c r="J57" i="1"/>
  <c r="J52" i="1"/>
  <c r="H53" i="1"/>
  <c r="H54" i="1"/>
  <c r="H55" i="1"/>
  <c r="H56" i="1"/>
  <c r="H57" i="1"/>
  <c r="H52" i="1"/>
  <c r="F74" i="21"/>
  <c r="F65" i="21"/>
  <c r="F57" i="21"/>
  <c r="F75" i="21" s="1"/>
  <c r="F49" i="21"/>
  <c r="F38" i="21"/>
  <c r="F29" i="21"/>
  <c r="F20" i="21"/>
  <c r="F12" i="21"/>
  <c r="L55" i="21"/>
  <c r="E42" i="22"/>
  <c r="G39" i="22"/>
  <c r="H39" i="22"/>
  <c r="I39" i="22"/>
  <c r="J39" i="22"/>
  <c r="K39" i="22"/>
  <c r="L39" i="22"/>
  <c r="M39" i="22"/>
  <c r="N39" i="22"/>
  <c r="O39" i="22"/>
  <c r="P39" i="22"/>
  <c r="Q39" i="22"/>
  <c r="R39" i="22"/>
  <c r="E39" i="22"/>
  <c r="E41" i="22" s="1"/>
  <c r="D41" i="22"/>
  <c r="E38" i="22"/>
  <c r="E40" i="22"/>
  <c r="D42" i="22" l="1"/>
  <c r="D38" i="22"/>
  <c r="D40" i="22"/>
  <c r="C40" i="22"/>
  <c r="C38" i="22"/>
  <c r="C22" i="23" l="1"/>
  <c r="Q13" i="1"/>
  <c r="Q14" i="1"/>
  <c r="Q15" i="1"/>
  <c r="Q16" i="1"/>
  <c r="Q17" i="1"/>
  <c r="Q12" i="1"/>
  <c r="P13" i="1" l="1"/>
  <c r="P14" i="1"/>
  <c r="P15" i="1"/>
  <c r="P16" i="1"/>
  <c r="P17" i="1"/>
  <c r="P12" i="1"/>
  <c r="G58" i="1"/>
  <c r="E58" i="1"/>
  <c r="U5" i="21" l="1"/>
  <c r="U6" i="21"/>
  <c r="U7" i="21"/>
  <c r="U8" i="21"/>
  <c r="U9" i="21"/>
  <c r="U10" i="21"/>
  <c r="U11" i="21"/>
  <c r="U12" i="21"/>
  <c r="U21" i="21"/>
  <c r="U22" i="21"/>
  <c r="U23" i="21"/>
  <c r="U24" i="21"/>
  <c r="U25" i="21"/>
  <c r="U26" i="21"/>
  <c r="U27" i="21"/>
  <c r="U28" i="21"/>
  <c r="U29" i="21"/>
  <c r="U13" i="21"/>
  <c r="U14" i="21"/>
  <c r="U15" i="21"/>
  <c r="U16" i="21"/>
  <c r="U17" i="21"/>
  <c r="U18" i="21"/>
  <c r="U19" i="21"/>
  <c r="U20" i="21"/>
  <c r="U30" i="21"/>
  <c r="U31" i="21"/>
  <c r="U32" i="21"/>
  <c r="U33" i="21"/>
  <c r="U34" i="21"/>
  <c r="U35" i="21"/>
  <c r="U36" i="21"/>
  <c r="U37" i="21"/>
  <c r="U38" i="21"/>
  <c r="U39" i="21"/>
  <c r="U40" i="21"/>
  <c r="U41" i="21"/>
  <c r="U42" i="21"/>
  <c r="U43" i="21"/>
  <c r="U44" i="21"/>
  <c r="U45" i="21"/>
  <c r="U46" i="21"/>
  <c r="U47" i="21"/>
  <c r="U48" i="21"/>
  <c r="U49" i="21"/>
  <c r="U50" i="21"/>
  <c r="U51" i="21"/>
  <c r="U52" i="21"/>
  <c r="U53" i="21"/>
  <c r="U54" i="21"/>
  <c r="U55" i="21"/>
  <c r="U56" i="21"/>
  <c r="U57" i="21"/>
  <c r="U58" i="21"/>
  <c r="U59" i="21"/>
  <c r="U60" i="21"/>
  <c r="U61" i="21"/>
  <c r="U62" i="21"/>
  <c r="U63" i="21"/>
  <c r="U64" i="21"/>
  <c r="U65" i="21"/>
  <c r="U66" i="21"/>
  <c r="U67" i="21"/>
  <c r="U68" i="21"/>
  <c r="U69" i="21"/>
  <c r="U70" i="21"/>
  <c r="U71" i="21"/>
  <c r="U72" i="21"/>
  <c r="U73" i="21"/>
  <c r="U74" i="21"/>
  <c r="U75" i="21"/>
  <c r="U4" i="21"/>
  <c r="B55" i="21" l="1"/>
  <c r="S51" i="22" l="1"/>
  <c r="S50" i="22"/>
  <c r="S49" i="22"/>
  <c r="S47" i="22"/>
  <c r="S48" i="22"/>
  <c r="S46" i="22"/>
  <c r="E35" i="22"/>
  <c r="F35" i="22"/>
  <c r="G35" i="22"/>
  <c r="H35" i="22"/>
  <c r="I35" i="22"/>
  <c r="J35" i="22"/>
  <c r="K35" i="22"/>
  <c r="L35" i="22"/>
  <c r="M35" i="22"/>
  <c r="N35" i="22"/>
  <c r="O35" i="22"/>
  <c r="P35" i="22"/>
  <c r="Q35" i="22"/>
  <c r="R35" i="22"/>
  <c r="D35" i="22"/>
  <c r="Q63" i="2" l="1"/>
  <c r="M55" i="21" s="1"/>
  <c r="R63" i="2"/>
  <c r="G55" i="21" s="1"/>
  <c r="H55" i="21" s="1"/>
  <c r="Q64" i="2"/>
  <c r="R64" i="2"/>
  <c r="Q65" i="2"/>
  <c r="R65" i="2"/>
  <c r="Q66" i="2"/>
  <c r="R66" i="2"/>
  <c r="Q67" i="2"/>
  <c r="R67" i="2"/>
  <c r="Q68" i="2"/>
  <c r="R68" i="2"/>
  <c r="Q69" i="2"/>
  <c r="R69" i="2"/>
  <c r="Q70" i="2"/>
  <c r="R70" i="2"/>
  <c r="Q71" i="2"/>
  <c r="R71" i="2"/>
  <c r="Q72" i="2"/>
  <c r="R72" i="2"/>
  <c r="Q73" i="2"/>
  <c r="R73" i="2"/>
  <c r="Q74" i="2"/>
  <c r="R74" i="2"/>
  <c r="Q75" i="2"/>
  <c r="R75" i="2"/>
  <c r="Q76" i="2"/>
  <c r="R76" i="2"/>
  <c r="Q77" i="2"/>
  <c r="R77" i="2"/>
  <c r="Q78" i="2"/>
  <c r="R78" i="2"/>
  <c r="Q79" i="2"/>
  <c r="R79" i="2"/>
  <c r="Q80" i="2"/>
  <c r="R80" i="2"/>
  <c r="Q81" i="2"/>
  <c r="R81" i="2"/>
  <c r="Q82" i="2"/>
  <c r="R82" i="2"/>
  <c r="Q83" i="2"/>
  <c r="R83" i="2"/>
  <c r="Q84" i="2"/>
  <c r="R84" i="2"/>
  <c r="Q85" i="2"/>
  <c r="R85" i="2"/>
  <c r="Q86" i="2"/>
  <c r="R86" i="2"/>
  <c r="Q87" i="2"/>
  <c r="R87" i="2"/>
  <c r="Q88" i="2"/>
  <c r="R88" i="2"/>
  <c r="Q89" i="2"/>
  <c r="R89" i="2"/>
  <c r="Q90" i="2"/>
  <c r="R90" i="2"/>
  <c r="Q91" i="2"/>
  <c r="R91" i="2"/>
  <c r="Q92" i="2"/>
  <c r="R92" i="2"/>
  <c r="Q93" i="2"/>
  <c r="R93" i="2"/>
  <c r="Q94" i="2"/>
  <c r="R94" i="2"/>
  <c r="Q95" i="2"/>
  <c r="R95" i="2"/>
  <c r="Q96" i="2"/>
  <c r="R96" i="2"/>
  <c r="Q97" i="2"/>
  <c r="R97" i="2"/>
  <c r="Q98" i="2"/>
  <c r="R98" i="2"/>
  <c r="Q99" i="2"/>
  <c r="R99" i="2"/>
  <c r="Q100" i="2"/>
  <c r="R100" i="2"/>
  <c r="Q101" i="2"/>
  <c r="R101" i="2"/>
  <c r="Q102" i="2"/>
  <c r="R102" i="2"/>
  <c r="Q103" i="2"/>
  <c r="R103" i="2"/>
  <c r="Q104" i="2"/>
  <c r="R104" i="2"/>
  <c r="Q105" i="2"/>
  <c r="R105" i="2"/>
  <c r="H12" i="1" l="1"/>
  <c r="L52" i="1" s="1"/>
  <c r="R53" i="22"/>
  <c r="R55" i="22"/>
  <c r="R54" i="22"/>
  <c r="R56" i="22"/>
  <c r="R59" i="22" l="1"/>
  <c r="O53" i="21"/>
  <c r="O57" i="21" s="1"/>
  <c r="O69" i="21"/>
  <c r="O60" i="21"/>
  <c r="O25" i="21"/>
  <c r="O24" i="21"/>
  <c r="O48" i="21"/>
  <c r="O13" i="21"/>
  <c r="O9" i="21"/>
  <c r="O12" i="21" s="1"/>
  <c r="O38" i="21"/>
  <c r="O46" i="21"/>
  <c r="O19" i="21"/>
  <c r="O18" i="21"/>
  <c r="T36" i="22"/>
  <c r="Q53" i="22"/>
  <c r="Q55" i="22"/>
  <c r="Q54" i="22"/>
  <c r="Q56" i="22"/>
  <c r="Q57" i="22"/>
  <c r="Q58" i="22"/>
  <c r="Q52" i="22"/>
  <c r="N52" i="22"/>
  <c r="O52" i="22"/>
  <c r="P52" i="22"/>
  <c r="R52" i="22"/>
  <c r="P53" i="22"/>
  <c r="P55" i="22"/>
  <c r="P54" i="22"/>
  <c r="P56" i="22"/>
  <c r="P57" i="22"/>
  <c r="P58" i="22"/>
  <c r="O53" i="22"/>
  <c r="O55" i="22"/>
  <c r="O54" i="22"/>
  <c r="O56" i="22"/>
  <c r="O57" i="22"/>
  <c r="O58" i="22"/>
  <c r="O49" i="21" l="1"/>
  <c r="O59" i="22"/>
  <c r="P59" i="22"/>
  <c r="O29" i="21"/>
  <c r="O20" i="21"/>
  <c r="O74" i="21"/>
  <c r="O65" i="21"/>
  <c r="Q59" i="22"/>
  <c r="O75" i="21" l="1"/>
  <c r="O4" i="21" s="1"/>
  <c r="E52" i="22" l="1"/>
  <c r="F52" i="22"/>
  <c r="G52" i="22"/>
  <c r="H52" i="22"/>
  <c r="I52" i="22"/>
  <c r="J52" i="22"/>
  <c r="K52" i="22"/>
  <c r="L52" i="22"/>
  <c r="M52" i="22"/>
  <c r="D52" i="22"/>
  <c r="N53" i="22"/>
  <c r="N55" i="22"/>
  <c r="N54" i="22"/>
  <c r="N56" i="22"/>
  <c r="N57" i="22"/>
  <c r="N58" i="22"/>
  <c r="I53" i="22"/>
  <c r="J53" i="22"/>
  <c r="K53" i="22"/>
  <c r="L53" i="22"/>
  <c r="M53" i="22"/>
  <c r="I55" i="22"/>
  <c r="J55" i="22"/>
  <c r="K55" i="22"/>
  <c r="L55" i="22"/>
  <c r="M55" i="22"/>
  <c r="I54" i="22"/>
  <c r="J54" i="22"/>
  <c r="K54" i="22"/>
  <c r="L54" i="22"/>
  <c r="M54" i="22"/>
  <c r="I56" i="22"/>
  <c r="J56" i="22"/>
  <c r="K56" i="22"/>
  <c r="L56" i="22"/>
  <c r="M56" i="22"/>
  <c r="I57" i="22"/>
  <c r="J57" i="22"/>
  <c r="K57" i="22"/>
  <c r="L57" i="22"/>
  <c r="M57" i="22"/>
  <c r="I58" i="22"/>
  <c r="J58" i="22"/>
  <c r="K58" i="22"/>
  <c r="L58" i="22"/>
  <c r="M58" i="22"/>
  <c r="H55" i="22"/>
  <c r="H54" i="22"/>
  <c r="H56" i="22"/>
  <c r="H57" i="22"/>
  <c r="H58" i="22"/>
  <c r="H53" i="22"/>
  <c r="G55" i="22"/>
  <c r="G54" i="22"/>
  <c r="G56" i="22"/>
  <c r="G57" i="22"/>
  <c r="G58" i="22"/>
  <c r="G53" i="22"/>
  <c r="F55" i="22"/>
  <c r="F54" i="22"/>
  <c r="F56" i="22"/>
  <c r="F57" i="22"/>
  <c r="F58" i="22"/>
  <c r="F53" i="22"/>
  <c r="E55" i="22"/>
  <c r="E54" i="22"/>
  <c r="E56" i="22"/>
  <c r="E57" i="22"/>
  <c r="E58" i="22"/>
  <c r="E53" i="22"/>
  <c r="D55" i="22"/>
  <c r="D54" i="22"/>
  <c r="D56" i="22"/>
  <c r="D57" i="22"/>
  <c r="D58" i="22"/>
  <c r="D53" i="22"/>
  <c r="M59" i="22" l="1"/>
  <c r="K59" i="22"/>
  <c r="N59" i="22"/>
  <c r="J59" i="22"/>
  <c r="I59" i="22"/>
  <c r="L59" i="22"/>
  <c r="E59" i="22"/>
  <c r="F59" i="22"/>
  <c r="G59" i="22"/>
  <c r="H59" i="22"/>
  <c r="D59" i="22"/>
  <c r="B58" i="21" l="1"/>
  <c r="B59" i="21"/>
  <c r="B60" i="21"/>
  <c r="B61" i="21"/>
  <c r="B50" i="21"/>
  <c r="B62" i="21"/>
  <c r="B51" i="21"/>
  <c r="A1" i="21"/>
  <c r="D39" i="22"/>
  <c r="H4" i="1" l="1"/>
  <c r="L4" i="1" s="1"/>
  <c r="I4" i="1"/>
  <c r="M4" i="1" s="1"/>
  <c r="H5" i="1"/>
  <c r="L5" i="1" s="1"/>
  <c r="I5" i="1"/>
  <c r="M5" i="1" s="1"/>
  <c r="H6" i="1"/>
  <c r="L6" i="1" s="1"/>
  <c r="I6" i="1"/>
  <c r="M6" i="1" s="1"/>
  <c r="H7" i="1"/>
  <c r="L7" i="1" s="1"/>
  <c r="I7" i="1"/>
  <c r="M7" i="1" s="1"/>
  <c r="H8" i="1"/>
  <c r="L8" i="1" s="1"/>
  <c r="I8" i="1"/>
  <c r="M8" i="1" s="1"/>
  <c r="H9" i="1"/>
  <c r="L9" i="1" s="1"/>
  <c r="I9" i="1"/>
  <c r="M9" i="1" s="1"/>
  <c r="H14" i="1"/>
  <c r="L54" i="1" s="1"/>
  <c r="H13" i="1"/>
  <c r="L53" i="1" s="1"/>
  <c r="H15" i="1"/>
  <c r="L55" i="1" s="1"/>
  <c r="H16" i="1"/>
  <c r="L56" i="1" s="1"/>
  <c r="H17" i="1"/>
  <c r="L57" i="1" s="1"/>
  <c r="I12" i="1"/>
  <c r="J12" i="1"/>
  <c r="K12" i="1"/>
  <c r="I14" i="1"/>
  <c r="J14" i="1"/>
  <c r="K14" i="1"/>
  <c r="I13" i="1"/>
  <c r="J13" i="1"/>
  <c r="K13" i="1"/>
  <c r="I15" i="1"/>
  <c r="J15" i="1"/>
  <c r="K15" i="1"/>
  <c r="I16" i="1"/>
  <c r="J16" i="1"/>
  <c r="K16" i="1"/>
  <c r="I17" i="1"/>
  <c r="J17" i="1"/>
  <c r="K17" i="1"/>
  <c r="L59" i="20" l="1"/>
  <c r="L58" i="20"/>
  <c r="L57" i="20"/>
  <c r="L56" i="20"/>
  <c r="L55" i="20"/>
  <c r="L54" i="20"/>
  <c r="L53" i="20"/>
  <c r="L52" i="20"/>
  <c r="L51" i="20"/>
  <c r="L50" i="20"/>
  <c r="L49" i="20"/>
  <c r="L48" i="20"/>
  <c r="L47" i="20"/>
  <c r="L46" i="20"/>
  <c r="L45" i="20"/>
  <c r="L44" i="20"/>
  <c r="L43" i="20"/>
  <c r="L42" i="20"/>
  <c r="L41" i="20"/>
  <c r="L40" i="20"/>
  <c r="L39" i="20"/>
  <c r="L38" i="20"/>
  <c r="L37" i="20"/>
  <c r="L36" i="20"/>
  <c r="L35" i="20"/>
  <c r="L34" i="20"/>
  <c r="L33" i="20"/>
  <c r="L32" i="20"/>
  <c r="L31" i="20"/>
  <c r="L30" i="20"/>
  <c r="L29" i="20"/>
  <c r="L28" i="20"/>
  <c r="L27" i="20"/>
  <c r="L26" i="20"/>
  <c r="L25" i="20"/>
  <c r="L24" i="20"/>
  <c r="L23" i="20"/>
  <c r="L22" i="20"/>
  <c r="L21" i="20"/>
  <c r="L20" i="20"/>
  <c r="L19" i="20"/>
  <c r="L18" i="20"/>
  <c r="L17" i="20"/>
  <c r="L16" i="20"/>
  <c r="L15" i="20"/>
  <c r="L14" i="20"/>
  <c r="L13" i="20"/>
  <c r="L12" i="20"/>
  <c r="L11" i="20"/>
  <c r="L10" i="20"/>
  <c r="L9" i="20"/>
  <c r="L8" i="20"/>
  <c r="L7" i="20"/>
  <c r="L6" i="20"/>
  <c r="L5" i="20"/>
  <c r="L4" i="20"/>
  <c r="L3" i="20"/>
  <c r="L2" i="20"/>
  <c r="I32" i="8"/>
  <c r="I31" i="8"/>
  <c r="I30" i="8"/>
  <c r="I29" i="8"/>
  <c r="I28" i="8"/>
  <c r="I27" i="8"/>
  <c r="I26" i="8"/>
  <c r="I25" i="8"/>
  <c r="I24" i="8"/>
  <c r="I23" i="8"/>
  <c r="I22" i="8"/>
  <c r="I21" i="8"/>
  <c r="I20" i="8"/>
  <c r="I19" i="8"/>
  <c r="I18" i="8"/>
  <c r="I17" i="8"/>
  <c r="I16" i="8"/>
  <c r="I15" i="8"/>
  <c r="I14" i="8"/>
  <c r="I13" i="8"/>
  <c r="I12" i="8"/>
  <c r="I11" i="8"/>
  <c r="I10" i="8"/>
  <c r="I9" i="8"/>
  <c r="I8" i="8"/>
  <c r="I7" i="8"/>
  <c r="I6" i="8"/>
  <c r="I5" i="8"/>
  <c r="I4" i="8"/>
  <c r="I3" i="8"/>
  <c r="V9" i="3"/>
  <c r="V8" i="3"/>
  <c r="V7" i="3"/>
  <c r="V6" i="3"/>
  <c r="V5" i="3"/>
  <c r="V4" i="3"/>
  <c r="V3" i="3"/>
  <c r="V2" i="3"/>
  <c r="R62" i="2"/>
  <c r="Q62" i="2"/>
  <c r="R61" i="2"/>
  <c r="G35" i="21" s="1"/>
  <c r="Q61" i="2"/>
  <c r="R60" i="2"/>
  <c r="Q60" i="2"/>
  <c r="R59" i="2"/>
  <c r="G69" i="21" s="1"/>
  <c r="Q59" i="2"/>
  <c r="R58" i="2"/>
  <c r="Q58" i="2"/>
  <c r="R54" i="2"/>
  <c r="Q54" i="2"/>
  <c r="R56" i="2"/>
  <c r="Q56" i="2"/>
  <c r="R50" i="2"/>
  <c r="Q50" i="2"/>
  <c r="R51" i="2"/>
  <c r="Q51" i="2"/>
  <c r="R55" i="2"/>
  <c r="Q55" i="2"/>
  <c r="R57" i="2"/>
  <c r="Q57" i="2"/>
  <c r="M9" i="21" s="1"/>
  <c r="R41" i="2"/>
  <c r="Q41" i="2"/>
  <c r="R53" i="2"/>
  <c r="Q53" i="2"/>
  <c r="R36" i="2"/>
  <c r="Q36" i="2"/>
  <c r="R49" i="2"/>
  <c r="Q49" i="2"/>
  <c r="R44" i="2"/>
  <c r="Q44" i="2"/>
  <c r="M33" i="21" s="1"/>
  <c r="R39" i="2"/>
  <c r="Q39" i="2"/>
  <c r="R45" i="2"/>
  <c r="Q45" i="2"/>
  <c r="R31" i="2"/>
  <c r="Q31" i="2"/>
  <c r="M28" i="21" s="1"/>
  <c r="R34" i="2"/>
  <c r="Q34" i="2"/>
  <c r="R46" i="2"/>
  <c r="Q46" i="2"/>
  <c r="R43" i="2"/>
  <c r="Q43" i="2"/>
  <c r="R48" i="2"/>
  <c r="Q48" i="2"/>
  <c r="R35" i="2"/>
  <c r="Q35" i="2"/>
  <c r="R40" i="2"/>
  <c r="Q40" i="2"/>
  <c r="M50" i="21" s="1"/>
  <c r="R27" i="2"/>
  <c r="Q27" i="2"/>
  <c r="R30" i="2"/>
  <c r="Q30" i="2"/>
  <c r="R38" i="2"/>
  <c r="Q38" i="2"/>
  <c r="R20" i="2"/>
  <c r="Q20" i="2"/>
  <c r="R52" i="2"/>
  <c r="Q52" i="2"/>
  <c r="R21" i="2"/>
  <c r="Q21" i="2"/>
  <c r="R18" i="2"/>
  <c r="Q18" i="2"/>
  <c r="R28" i="2"/>
  <c r="Q28" i="2"/>
  <c r="R33" i="2"/>
  <c r="Q33" i="2"/>
  <c r="R12" i="2"/>
  <c r="Q12" i="2"/>
  <c r="R37" i="2"/>
  <c r="Q37" i="2"/>
  <c r="R15" i="2"/>
  <c r="Q15" i="2"/>
  <c r="R47" i="2"/>
  <c r="Q47" i="2"/>
  <c r="R10" i="2"/>
  <c r="Q10" i="2"/>
  <c r="R29" i="2"/>
  <c r="Q29" i="2"/>
  <c r="R16" i="2"/>
  <c r="Q16" i="2"/>
  <c r="R7" i="2"/>
  <c r="Q7" i="2"/>
  <c r="R9" i="2"/>
  <c r="Q9" i="2"/>
  <c r="R32" i="2"/>
  <c r="Q32" i="2"/>
  <c r="R13" i="2"/>
  <c r="Q13" i="2"/>
  <c r="R17" i="2"/>
  <c r="Q17" i="2"/>
  <c r="R22" i="2"/>
  <c r="Q22" i="2"/>
  <c r="R25" i="2"/>
  <c r="Q25" i="2"/>
  <c r="R6" i="2"/>
  <c r="Q6" i="2"/>
  <c r="R14" i="2"/>
  <c r="Q14" i="2"/>
  <c r="R19" i="2"/>
  <c r="Q19" i="2"/>
  <c r="R26" i="2"/>
  <c r="Q26" i="2"/>
  <c r="R11" i="2"/>
  <c r="Q11" i="2"/>
  <c r="R4" i="2"/>
  <c r="Q4" i="2"/>
  <c r="R8" i="2"/>
  <c r="Q8" i="2"/>
  <c r="R23" i="2"/>
  <c r="Q23" i="2"/>
  <c r="R24" i="2"/>
  <c r="Q24" i="2"/>
  <c r="R42" i="2"/>
  <c r="Q42" i="2"/>
  <c r="R5" i="2"/>
  <c r="Q5" i="2"/>
  <c r="M42" i="21" s="1"/>
  <c r="R3" i="2"/>
  <c r="Q3" i="2"/>
  <c r="R2" i="2"/>
  <c r="Q2" i="2"/>
  <c r="I75" i="21"/>
  <c r="L73" i="21"/>
  <c r="J73" i="21"/>
  <c r="K73" i="21" s="1"/>
  <c r="B73" i="21"/>
  <c r="L72" i="21"/>
  <c r="J72" i="21"/>
  <c r="K72" i="21" s="1"/>
  <c r="B72" i="21"/>
  <c r="L71" i="21"/>
  <c r="J71" i="21"/>
  <c r="K71" i="21" s="1"/>
  <c r="B71" i="21"/>
  <c r="L56" i="21"/>
  <c r="J56" i="21"/>
  <c r="K56" i="21" s="1"/>
  <c r="B56" i="21"/>
  <c r="L70" i="21"/>
  <c r="J70" i="21"/>
  <c r="K70" i="21" s="1"/>
  <c r="B70" i="21"/>
  <c r="L69" i="21"/>
  <c r="J69" i="21"/>
  <c r="K69" i="21" s="1"/>
  <c r="B69" i="21"/>
  <c r="L68" i="21"/>
  <c r="J68" i="21"/>
  <c r="K68" i="21" s="1"/>
  <c r="B68" i="21"/>
  <c r="L67" i="21"/>
  <c r="J67" i="21"/>
  <c r="K67" i="21" s="1"/>
  <c r="B67" i="21"/>
  <c r="L66" i="21"/>
  <c r="J66" i="21"/>
  <c r="K66" i="21" s="1"/>
  <c r="B66" i="21"/>
  <c r="L54" i="21"/>
  <c r="J54" i="21"/>
  <c r="K54" i="21" s="1"/>
  <c r="B54" i="21"/>
  <c r="L64" i="21"/>
  <c r="J64" i="21"/>
  <c r="K64" i="21" s="1"/>
  <c r="B64" i="21"/>
  <c r="L53" i="21"/>
  <c r="J53" i="21"/>
  <c r="K53" i="21" s="1"/>
  <c r="B53" i="21"/>
  <c r="L63" i="21"/>
  <c r="J63" i="21"/>
  <c r="K63" i="21" s="1"/>
  <c r="B63" i="21"/>
  <c r="L52" i="21"/>
  <c r="J52" i="21"/>
  <c r="K52" i="21" s="1"/>
  <c r="B52" i="21"/>
  <c r="L51" i="21"/>
  <c r="J51" i="21"/>
  <c r="K51" i="21" s="1"/>
  <c r="L62" i="21"/>
  <c r="J62" i="21"/>
  <c r="K62" i="21" s="1"/>
  <c r="L50" i="21"/>
  <c r="J50" i="21"/>
  <c r="K50" i="21" s="1"/>
  <c r="L61" i="21"/>
  <c r="J61" i="21"/>
  <c r="K61" i="21" s="1"/>
  <c r="L60" i="21"/>
  <c r="J60" i="21"/>
  <c r="K60" i="21" s="1"/>
  <c r="L59" i="21"/>
  <c r="J59" i="21"/>
  <c r="K59" i="21" s="1"/>
  <c r="L58" i="21"/>
  <c r="J58" i="21"/>
  <c r="K58" i="21" s="1"/>
  <c r="I29" i="21"/>
  <c r="L28" i="21"/>
  <c r="J28" i="21"/>
  <c r="K28" i="21" s="1"/>
  <c r="B28" i="21"/>
  <c r="L27" i="21"/>
  <c r="J27" i="21"/>
  <c r="K27" i="21" s="1"/>
  <c r="B27" i="21"/>
  <c r="L26" i="21"/>
  <c r="J26" i="21"/>
  <c r="K26" i="21" s="1"/>
  <c r="B26" i="21"/>
  <c r="L25" i="21"/>
  <c r="J25" i="21"/>
  <c r="K25" i="21" s="1"/>
  <c r="B25" i="21"/>
  <c r="L24" i="21"/>
  <c r="J24" i="21"/>
  <c r="K24" i="21" s="1"/>
  <c r="B24" i="21"/>
  <c r="L23" i="21"/>
  <c r="J23" i="21"/>
  <c r="K23" i="21" s="1"/>
  <c r="B23" i="21"/>
  <c r="L22" i="21"/>
  <c r="J22" i="21"/>
  <c r="K22" i="21" s="1"/>
  <c r="B22" i="21"/>
  <c r="L21" i="21"/>
  <c r="J21" i="21"/>
  <c r="B21" i="21"/>
  <c r="I12" i="21"/>
  <c r="M7" i="21"/>
  <c r="L7" i="21"/>
  <c r="J7" i="21"/>
  <c r="K7" i="21" s="1"/>
  <c r="B7" i="21"/>
  <c r="L10" i="21"/>
  <c r="J10" i="21"/>
  <c r="K10" i="21" s="1"/>
  <c r="B10" i="21"/>
  <c r="L11" i="21"/>
  <c r="J11" i="21"/>
  <c r="K11" i="21" s="1"/>
  <c r="B11" i="21"/>
  <c r="L9" i="21"/>
  <c r="J9" i="21"/>
  <c r="K9" i="21" s="1"/>
  <c r="G9" i="21"/>
  <c r="H9" i="21" s="1"/>
  <c r="B9" i="21"/>
  <c r="L8" i="21"/>
  <c r="J8" i="21"/>
  <c r="K8" i="21" s="1"/>
  <c r="B8" i="21"/>
  <c r="L5" i="21"/>
  <c r="J5" i="21"/>
  <c r="K5" i="21" s="1"/>
  <c r="B5" i="21"/>
  <c r="L6" i="21"/>
  <c r="J6" i="21"/>
  <c r="B6" i="21"/>
  <c r="I38" i="21"/>
  <c r="L37" i="21"/>
  <c r="J37" i="21"/>
  <c r="K37" i="21" s="1"/>
  <c r="B37" i="21"/>
  <c r="L36" i="21"/>
  <c r="J36" i="21"/>
  <c r="K36" i="21" s="1"/>
  <c r="B36" i="21"/>
  <c r="L35" i="21"/>
  <c r="J35" i="21"/>
  <c r="K35" i="21" s="1"/>
  <c r="B35" i="21"/>
  <c r="L34" i="21"/>
  <c r="J34" i="21"/>
  <c r="K34" i="21" s="1"/>
  <c r="B34" i="21"/>
  <c r="L33" i="21"/>
  <c r="J33" i="21"/>
  <c r="K33" i="21" s="1"/>
  <c r="B33" i="21"/>
  <c r="L32" i="21"/>
  <c r="J32" i="21"/>
  <c r="K32" i="21" s="1"/>
  <c r="B32" i="21"/>
  <c r="L31" i="21"/>
  <c r="J31" i="21"/>
  <c r="K31" i="21" s="1"/>
  <c r="B31" i="21"/>
  <c r="L30" i="21"/>
  <c r="J30" i="21"/>
  <c r="B30" i="21"/>
  <c r="I20" i="21"/>
  <c r="L19" i="21"/>
  <c r="J19" i="21"/>
  <c r="K19" i="21" s="1"/>
  <c r="B19" i="21"/>
  <c r="L18" i="21"/>
  <c r="J18" i="21"/>
  <c r="K18" i="21" s="1"/>
  <c r="B18" i="21"/>
  <c r="L17" i="21"/>
  <c r="J17" i="21"/>
  <c r="K17" i="21" s="1"/>
  <c r="B17" i="21"/>
  <c r="L16" i="21"/>
  <c r="J16" i="21"/>
  <c r="K16" i="21" s="1"/>
  <c r="B16" i="21"/>
  <c r="L15" i="21"/>
  <c r="J15" i="21"/>
  <c r="K15" i="21" s="1"/>
  <c r="B15" i="21"/>
  <c r="L14" i="21"/>
  <c r="J14" i="21"/>
  <c r="K14" i="21" s="1"/>
  <c r="B14" i="21"/>
  <c r="L13" i="21"/>
  <c r="J13" i="21"/>
  <c r="B13" i="21"/>
  <c r="I49" i="21"/>
  <c r="L48" i="21"/>
  <c r="J48" i="21"/>
  <c r="K48" i="21" s="1"/>
  <c r="B48" i="21"/>
  <c r="L47" i="21"/>
  <c r="J47" i="21"/>
  <c r="K47" i="21" s="1"/>
  <c r="B47" i="21"/>
  <c r="L46" i="21"/>
  <c r="J46" i="21"/>
  <c r="K46" i="21" s="1"/>
  <c r="B46" i="21"/>
  <c r="L45" i="21"/>
  <c r="J45" i="21"/>
  <c r="K45" i="21" s="1"/>
  <c r="B45" i="21"/>
  <c r="L44" i="21"/>
  <c r="J44" i="21"/>
  <c r="K44" i="21" s="1"/>
  <c r="B44" i="21"/>
  <c r="L43" i="21"/>
  <c r="J43" i="21"/>
  <c r="K43" i="21" s="1"/>
  <c r="B43" i="21"/>
  <c r="L42" i="21"/>
  <c r="J42" i="21"/>
  <c r="K42" i="21" s="1"/>
  <c r="B42" i="21"/>
  <c r="L41" i="21"/>
  <c r="J41" i="21"/>
  <c r="K41" i="21" s="1"/>
  <c r="B41" i="21"/>
  <c r="L40" i="21"/>
  <c r="J40" i="21"/>
  <c r="K40" i="21" s="1"/>
  <c r="B40" i="21"/>
  <c r="L39" i="21"/>
  <c r="J39" i="21"/>
  <c r="K39" i="21" s="1"/>
  <c r="B39" i="21"/>
  <c r="J58" i="1"/>
  <c r="K24" i="1"/>
  <c r="J24" i="1"/>
  <c r="M56" i="1" s="1"/>
  <c r="I24" i="1"/>
  <c r="H24" i="1"/>
  <c r="G24" i="1"/>
  <c r="K25" i="1"/>
  <c r="J25" i="1"/>
  <c r="M57" i="1" s="1"/>
  <c r="I25" i="1"/>
  <c r="H25" i="1"/>
  <c r="G25" i="1"/>
  <c r="K22" i="1"/>
  <c r="J22" i="1"/>
  <c r="M54" i="1" s="1"/>
  <c r="I22" i="1"/>
  <c r="H22" i="1"/>
  <c r="G22" i="1"/>
  <c r="K21" i="1"/>
  <c r="J21" i="1"/>
  <c r="M53" i="1" s="1"/>
  <c r="I21" i="1"/>
  <c r="H21" i="1"/>
  <c r="G21" i="1"/>
  <c r="K20" i="1"/>
  <c r="J20" i="1"/>
  <c r="M52" i="1" s="1"/>
  <c r="I20" i="1"/>
  <c r="H20" i="1"/>
  <c r="L20" i="1" s="1"/>
  <c r="G20" i="1"/>
  <c r="K23" i="1"/>
  <c r="J23" i="1"/>
  <c r="I23" i="1"/>
  <c r="H23" i="1"/>
  <c r="G23" i="1"/>
  <c r="K49" i="1"/>
  <c r="J49" i="1"/>
  <c r="H49" i="1"/>
  <c r="K48" i="1"/>
  <c r="J48" i="1"/>
  <c r="H48" i="1"/>
  <c r="K47" i="1"/>
  <c r="J47" i="1"/>
  <c r="H47" i="1"/>
  <c r="K45" i="1"/>
  <c r="J45" i="1"/>
  <c r="H45" i="1"/>
  <c r="K46" i="1"/>
  <c r="J46" i="1"/>
  <c r="H46" i="1"/>
  <c r="K44" i="1"/>
  <c r="J44" i="1"/>
  <c r="H44" i="1"/>
  <c r="K40" i="1"/>
  <c r="J40" i="1"/>
  <c r="I40" i="1"/>
  <c r="H40" i="1"/>
  <c r="K41" i="1"/>
  <c r="J41" i="1"/>
  <c r="I41" i="1"/>
  <c r="H41" i="1"/>
  <c r="K39" i="1"/>
  <c r="J39" i="1"/>
  <c r="I39" i="1"/>
  <c r="H39" i="1"/>
  <c r="K37" i="1"/>
  <c r="J37" i="1"/>
  <c r="I37" i="1"/>
  <c r="H37" i="1"/>
  <c r="K38" i="1"/>
  <c r="J38" i="1"/>
  <c r="I38" i="1"/>
  <c r="H38" i="1"/>
  <c r="K36" i="1"/>
  <c r="J36" i="1"/>
  <c r="I36" i="1"/>
  <c r="H36" i="1"/>
  <c r="K33" i="1"/>
  <c r="J33" i="1"/>
  <c r="I33" i="1"/>
  <c r="H33" i="1"/>
  <c r="K32" i="1"/>
  <c r="J32" i="1"/>
  <c r="I32" i="1"/>
  <c r="H32" i="1"/>
  <c r="K31" i="1"/>
  <c r="J31" i="1"/>
  <c r="I31" i="1"/>
  <c r="H31" i="1"/>
  <c r="K30" i="1"/>
  <c r="J30" i="1"/>
  <c r="I30" i="1"/>
  <c r="H30" i="1"/>
  <c r="K29" i="1"/>
  <c r="J29" i="1"/>
  <c r="I29" i="1"/>
  <c r="H29" i="1"/>
  <c r="K28" i="1"/>
  <c r="J28" i="1"/>
  <c r="I28" i="1"/>
  <c r="H28" i="1"/>
  <c r="M17" i="1"/>
  <c r="O16" i="1"/>
  <c r="O13" i="1"/>
  <c r="O12" i="1"/>
  <c r="G10" i="1"/>
  <c r="H10" i="1"/>
  <c r="D2" i="1"/>
  <c r="C2" i="1" s="1"/>
  <c r="M8" i="21" l="1"/>
  <c r="I48" i="1"/>
  <c r="N48" i="1" s="1"/>
  <c r="I45" i="1"/>
  <c r="N45" i="1"/>
  <c r="M23" i="1"/>
  <c r="M55" i="1"/>
  <c r="M53" i="21"/>
  <c r="M13" i="21"/>
  <c r="H69" i="21"/>
  <c r="N69" i="21"/>
  <c r="G25" i="21"/>
  <c r="H25" i="21" s="1"/>
  <c r="M35" i="21"/>
  <c r="M23" i="21"/>
  <c r="M56" i="21"/>
  <c r="M24" i="21"/>
  <c r="M17" i="21"/>
  <c r="M41" i="21"/>
  <c r="G56" i="21"/>
  <c r="H56" i="21" s="1"/>
  <c r="M36" i="21"/>
  <c r="G21" i="21"/>
  <c r="H21" i="21" s="1"/>
  <c r="G33" i="21"/>
  <c r="N33" i="21" s="1"/>
  <c r="M45" i="21"/>
  <c r="M70" i="21"/>
  <c r="M73" i="21"/>
  <c r="G54" i="21"/>
  <c r="N54" i="21" s="1"/>
  <c r="G40" i="21"/>
  <c r="N40" i="21" s="1"/>
  <c r="G45" i="21"/>
  <c r="N45" i="21" s="1"/>
  <c r="G24" i="21"/>
  <c r="H24" i="21" s="1"/>
  <c r="G60" i="21"/>
  <c r="H60" i="21" s="1"/>
  <c r="M30" i="21"/>
  <c r="M68" i="21"/>
  <c r="M60" i="21"/>
  <c r="M5" i="21"/>
  <c r="M59" i="21"/>
  <c r="M66" i="21"/>
  <c r="G41" i="21"/>
  <c r="N41" i="21" s="1"/>
  <c r="G14" i="21"/>
  <c r="N14" i="21" s="1"/>
  <c r="G32" i="21"/>
  <c r="N32" i="21" s="1"/>
  <c r="G63" i="21"/>
  <c r="H63" i="21" s="1"/>
  <c r="G52" i="21"/>
  <c r="N52" i="21" s="1"/>
  <c r="G19" i="21"/>
  <c r="M46" i="21"/>
  <c r="O22" i="1"/>
  <c r="N24" i="1"/>
  <c r="O25" i="1"/>
  <c r="O21" i="1"/>
  <c r="N25" i="1"/>
  <c r="O24" i="1"/>
  <c r="N20" i="1"/>
  <c r="H26" i="1"/>
  <c r="O20" i="1"/>
  <c r="J26" i="1"/>
  <c r="M58" i="1" s="1"/>
  <c r="N22" i="1"/>
  <c r="L23" i="1"/>
  <c r="N23" i="1"/>
  <c r="O23" i="1"/>
  <c r="L21" i="1"/>
  <c r="N21" i="1"/>
  <c r="M67" i="21"/>
  <c r="M72" i="21"/>
  <c r="M40" i="21"/>
  <c r="G11" i="21"/>
  <c r="H11" i="21" s="1"/>
  <c r="L10" i="1"/>
  <c r="H35" i="21"/>
  <c r="N35" i="21"/>
  <c r="I57" i="1"/>
  <c r="N57" i="1" s="1"/>
  <c r="G15" i="21"/>
  <c r="N15" i="21" s="1"/>
  <c r="G31" i="21"/>
  <c r="N31" i="21" s="1"/>
  <c r="G26" i="21"/>
  <c r="N26" i="21" s="1"/>
  <c r="G72" i="21"/>
  <c r="N72" i="21" s="1"/>
  <c r="M18" i="21"/>
  <c r="M22" i="21"/>
  <c r="G6" i="21"/>
  <c r="G34" i="21"/>
  <c r="G48" i="21"/>
  <c r="G36" i="21"/>
  <c r="G37" i="21"/>
  <c r="N37" i="21" s="1"/>
  <c r="M6" i="21"/>
  <c r="M16" i="21"/>
  <c r="M58" i="21"/>
  <c r="M15" i="21"/>
  <c r="M34" i="21"/>
  <c r="M10" i="21"/>
  <c r="G64" i="21"/>
  <c r="G68" i="21"/>
  <c r="N68" i="21" s="1"/>
  <c r="M51" i="21"/>
  <c r="G8" i="21"/>
  <c r="N8" i="21" s="1"/>
  <c r="M43" i="21"/>
  <c r="G51" i="21"/>
  <c r="N51" i="21" s="1"/>
  <c r="M21" i="21"/>
  <c r="M64" i="21"/>
  <c r="G13" i="21"/>
  <c r="H13" i="21" s="1"/>
  <c r="G27" i="21"/>
  <c r="N27" i="21" s="1"/>
  <c r="G61" i="21"/>
  <c r="G39" i="21"/>
  <c r="N39" i="21" s="1"/>
  <c r="G42" i="21"/>
  <c r="N42" i="21" s="1"/>
  <c r="G23" i="21"/>
  <c r="N23" i="21" s="1"/>
  <c r="G53" i="21"/>
  <c r="H53" i="21" s="1"/>
  <c r="M14" i="21"/>
  <c r="M47" i="21"/>
  <c r="M71" i="21"/>
  <c r="M11" i="21"/>
  <c r="M62" i="21"/>
  <c r="G16" i="21"/>
  <c r="N16" i="21" s="1"/>
  <c r="G17" i="21"/>
  <c r="N17" i="21" s="1"/>
  <c r="G44" i="21"/>
  <c r="N44" i="21" s="1"/>
  <c r="G70" i="21"/>
  <c r="N70" i="21" s="1"/>
  <c r="G71" i="21"/>
  <c r="N71" i="21" s="1"/>
  <c r="M48" i="21"/>
  <c r="G7" i="21"/>
  <c r="G22" i="21"/>
  <c r="G10" i="21"/>
  <c r="N10" i="21" s="1"/>
  <c r="G46" i="21"/>
  <c r="G28" i="21"/>
  <c r="N28" i="21" s="1"/>
  <c r="G66" i="21"/>
  <c r="G73" i="21"/>
  <c r="N73" i="21" s="1"/>
  <c r="M44" i="21"/>
  <c r="G47" i="21"/>
  <c r="N47" i="21" s="1"/>
  <c r="G30" i="21"/>
  <c r="N30" i="21" s="1"/>
  <c r="G59" i="21"/>
  <c r="M69" i="21"/>
  <c r="G18" i="21"/>
  <c r="L65" i="21"/>
  <c r="M32" i="21"/>
  <c r="M37" i="21"/>
  <c r="G5" i="21"/>
  <c r="N5" i="21" s="1"/>
  <c r="G58" i="21"/>
  <c r="G43" i="21"/>
  <c r="N43" i="21" s="1"/>
  <c r="G50" i="21"/>
  <c r="N50" i="21" s="1"/>
  <c r="G62" i="21"/>
  <c r="M54" i="21"/>
  <c r="G67" i="21"/>
  <c r="N67" i="21" s="1"/>
  <c r="M19" i="21"/>
  <c r="M26" i="21"/>
  <c r="M31" i="21"/>
  <c r="M63" i="21"/>
  <c r="M39" i="21"/>
  <c r="M25" i="21"/>
  <c r="M61" i="21"/>
  <c r="M52" i="21"/>
  <c r="M27" i="21"/>
  <c r="L74" i="21"/>
  <c r="L57" i="21"/>
  <c r="H42" i="1"/>
  <c r="L29" i="21"/>
  <c r="L20" i="21"/>
  <c r="L49" i="21"/>
  <c r="J20" i="21"/>
  <c r="K20" i="21" s="1"/>
  <c r="J38" i="21"/>
  <c r="K38" i="21" s="1"/>
  <c r="L12" i="21"/>
  <c r="L38" i="21"/>
  <c r="J12" i="21"/>
  <c r="K12" i="21" s="1"/>
  <c r="J29" i="21"/>
  <c r="K29" i="21" s="1"/>
  <c r="N30" i="1"/>
  <c r="O48" i="1"/>
  <c r="H34" i="1"/>
  <c r="O30" i="1"/>
  <c r="O32" i="1"/>
  <c r="N17" i="1"/>
  <c r="N29" i="1"/>
  <c r="N31" i="1"/>
  <c r="N33" i="1"/>
  <c r="N38" i="1"/>
  <c r="N39" i="1"/>
  <c r="N40" i="1"/>
  <c r="O46" i="1"/>
  <c r="N16" i="1"/>
  <c r="J50" i="1"/>
  <c r="N14" i="1"/>
  <c r="O47" i="1"/>
  <c r="O14" i="1"/>
  <c r="O17" i="1"/>
  <c r="O38" i="1"/>
  <c r="O39" i="1"/>
  <c r="O40" i="1"/>
  <c r="O49" i="1"/>
  <c r="H50" i="1"/>
  <c r="I50" i="1" s="1"/>
  <c r="O45" i="1"/>
  <c r="J42" i="1"/>
  <c r="O37" i="1"/>
  <c r="O41" i="1"/>
  <c r="N37" i="1"/>
  <c r="N41" i="1"/>
  <c r="J34" i="1"/>
  <c r="O29" i="1"/>
  <c r="O31" i="1"/>
  <c r="O33" i="1"/>
  <c r="N32" i="1"/>
  <c r="L25" i="1"/>
  <c r="M25" i="1"/>
  <c r="H18" i="1"/>
  <c r="M22" i="1"/>
  <c r="L24" i="1"/>
  <c r="L15" i="1"/>
  <c r="I10" i="1"/>
  <c r="M10" i="1" s="1"/>
  <c r="M12" i="1"/>
  <c r="M14" i="1"/>
  <c r="M13" i="1"/>
  <c r="M15" i="1"/>
  <c r="M16" i="1"/>
  <c r="L28" i="1"/>
  <c r="L29" i="1"/>
  <c r="L30" i="1"/>
  <c r="L31" i="1"/>
  <c r="L32" i="1"/>
  <c r="L33" i="1"/>
  <c r="L36" i="1"/>
  <c r="L38" i="1"/>
  <c r="L37" i="1"/>
  <c r="L39" i="1"/>
  <c r="L41" i="1"/>
  <c r="L40" i="1"/>
  <c r="L44" i="1"/>
  <c r="L46" i="1"/>
  <c r="L45" i="1"/>
  <c r="L47" i="1"/>
  <c r="L48" i="1"/>
  <c r="L49" i="1"/>
  <c r="M24" i="1"/>
  <c r="J75" i="21"/>
  <c r="K75" i="21" s="1"/>
  <c r="J18" i="1"/>
  <c r="L12" i="1"/>
  <c r="L14" i="1"/>
  <c r="L13" i="1"/>
  <c r="L16" i="1"/>
  <c r="L17" i="1"/>
  <c r="N12" i="1"/>
  <c r="N13" i="1"/>
  <c r="N15" i="1"/>
  <c r="M28" i="1"/>
  <c r="M29" i="1"/>
  <c r="M30" i="1"/>
  <c r="M31" i="1"/>
  <c r="M32" i="1"/>
  <c r="M33" i="1"/>
  <c r="M36" i="1"/>
  <c r="M38" i="1"/>
  <c r="M37" i="1"/>
  <c r="M39" i="1"/>
  <c r="M41" i="1"/>
  <c r="M40" i="1"/>
  <c r="M44" i="1"/>
  <c r="M46" i="1"/>
  <c r="M45" i="1"/>
  <c r="M47" i="1"/>
  <c r="M48" i="1"/>
  <c r="M49" i="1"/>
  <c r="O15" i="1"/>
  <c r="N28" i="1"/>
  <c r="N36" i="1"/>
  <c r="O28" i="1"/>
  <c r="O36" i="1"/>
  <c r="O44" i="1"/>
  <c r="J49" i="21"/>
  <c r="K13" i="21"/>
  <c r="M20" i="1"/>
  <c r="K30" i="21"/>
  <c r="K6" i="21"/>
  <c r="I44" i="1"/>
  <c r="N44" i="1" s="1"/>
  <c r="I46" i="1"/>
  <c r="N46" i="1" s="1"/>
  <c r="I47" i="1"/>
  <c r="N47" i="1" s="1"/>
  <c r="I49" i="1"/>
  <c r="N49" i="1" s="1"/>
  <c r="M21" i="1"/>
  <c r="L22" i="1"/>
  <c r="K21" i="21"/>
  <c r="H54" i="21" l="1"/>
  <c r="H48" i="21"/>
  <c r="N48" i="21"/>
  <c r="H18" i="21"/>
  <c r="N18" i="21"/>
  <c r="H19" i="21"/>
  <c r="N19" i="21"/>
  <c r="H46" i="21"/>
  <c r="N46" i="21"/>
  <c r="N21" i="21"/>
  <c r="H41" i="21"/>
  <c r="H45" i="21"/>
  <c r="H40" i="21"/>
  <c r="H33" i="21"/>
  <c r="H32" i="21"/>
  <c r="H52" i="21"/>
  <c r="N63" i="21"/>
  <c r="H14" i="21"/>
  <c r="N11" i="21"/>
  <c r="O26" i="1"/>
  <c r="K26" i="1" s="1"/>
  <c r="N26" i="1"/>
  <c r="I26" i="1" s="1"/>
  <c r="L26" i="1"/>
  <c r="M26" i="1"/>
  <c r="O55" i="1"/>
  <c r="I55" i="1"/>
  <c r="N55" i="1" s="1"/>
  <c r="O53" i="1"/>
  <c r="I54" i="1"/>
  <c r="N54" i="1" s="1"/>
  <c r="I56" i="1"/>
  <c r="N56" i="1" s="1"/>
  <c r="O52" i="1"/>
  <c r="O54" i="1"/>
  <c r="O56" i="1"/>
  <c r="I53" i="1"/>
  <c r="N53" i="1" s="1"/>
  <c r="H58" i="1"/>
  <c r="I58" i="1" s="1"/>
  <c r="I52" i="1"/>
  <c r="N52" i="1" s="1"/>
  <c r="H58" i="21"/>
  <c r="N58" i="21"/>
  <c r="H59" i="21"/>
  <c r="N59" i="21"/>
  <c r="H61" i="21"/>
  <c r="N61" i="21"/>
  <c r="H64" i="21"/>
  <c r="N64" i="21"/>
  <c r="H36" i="21"/>
  <c r="N36" i="21"/>
  <c r="H62" i="21"/>
  <c r="N62" i="21"/>
  <c r="H66" i="21"/>
  <c r="N66" i="21"/>
  <c r="N74" i="21" s="1"/>
  <c r="Q74" i="21" s="1"/>
  <c r="H26" i="21"/>
  <c r="H15" i="21"/>
  <c r="H31" i="21"/>
  <c r="N57" i="21"/>
  <c r="H72" i="21"/>
  <c r="H22" i="21"/>
  <c r="N22" i="21"/>
  <c r="N29" i="21" s="1"/>
  <c r="Q29" i="21" s="1"/>
  <c r="H34" i="21"/>
  <c r="N34" i="21"/>
  <c r="H7" i="21"/>
  <c r="N7" i="21"/>
  <c r="H6" i="21"/>
  <c r="N6" i="21"/>
  <c r="M74" i="21"/>
  <c r="M49" i="21"/>
  <c r="H44" i="21"/>
  <c r="M12" i="21"/>
  <c r="H8" i="21"/>
  <c r="H51" i="21"/>
  <c r="H50" i="21"/>
  <c r="H10" i="21"/>
  <c r="H16" i="21"/>
  <c r="H42" i="21"/>
  <c r="H17" i="21"/>
  <c r="H5" i="21"/>
  <c r="G38" i="21"/>
  <c r="H38" i="21" s="1"/>
  <c r="H39" i="21"/>
  <c r="H23" i="21"/>
  <c r="H47" i="21"/>
  <c r="H67" i="21"/>
  <c r="H27" i="21"/>
  <c r="H68" i="21"/>
  <c r="H37" i="21"/>
  <c r="H73" i="21"/>
  <c r="H71" i="21"/>
  <c r="H28" i="21"/>
  <c r="H43" i="21"/>
  <c r="H70" i="21"/>
  <c r="G57" i="21"/>
  <c r="H57" i="21" s="1"/>
  <c r="M20" i="21"/>
  <c r="G20" i="21"/>
  <c r="H20" i="21" s="1"/>
  <c r="G74" i="21"/>
  <c r="H74" i="21" s="1"/>
  <c r="G49" i="21"/>
  <c r="H49" i="21" s="1"/>
  <c r="L75" i="21"/>
  <c r="L4" i="21" s="1"/>
  <c r="M38" i="21"/>
  <c r="G29" i="21"/>
  <c r="H29" i="21" s="1"/>
  <c r="H30" i="21"/>
  <c r="G65" i="21"/>
  <c r="H65" i="21" s="1"/>
  <c r="G12" i="21"/>
  <c r="H12" i="21" s="1"/>
  <c r="M65" i="21"/>
  <c r="M57" i="21"/>
  <c r="M29" i="21"/>
  <c r="M18" i="1"/>
  <c r="L34" i="1"/>
  <c r="O18" i="1"/>
  <c r="K18" i="1" s="1"/>
  <c r="L50" i="1"/>
  <c r="O42" i="1"/>
  <c r="K42" i="1" s="1"/>
  <c r="L42" i="1"/>
  <c r="O50" i="1"/>
  <c r="K50" i="1" s="1"/>
  <c r="N42" i="1"/>
  <c r="I42" i="1" s="1"/>
  <c r="O34" i="1"/>
  <c r="K34" i="1" s="1"/>
  <c r="N34" i="1"/>
  <c r="I34" i="1" s="1"/>
  <c r="N18" i="1"/>
  <c r="I18" i="1" s="1"/>
  <c r="N50" i="1"/>
  <c r="L18" i="1"/>
  <c r="J4" i="21"/>
  <c r="K4" i="21" s="1"/>
  <c r="K49" i="21"/>
  <c r="M42" i="1"/>
  <c r="M50" i="1"/>
  <c r="M34" i="1"/>
  <c r="N49" i="21" l="1"/>
  <c r="Q49" i="21" s="1"/>
  <c r="N58" i="1"/>
  <c r="L58" i="1"/>
  <c r="N20" i="21"/>
  <c r="Q20" i="21" s="1"/>
  <c r="O57" i="1"/>
  <c r="O58" i="1" s="1"/>
  <c r="K58" i="1" s="1"/>
  <c r="N65" i="21"/>
  <c r="Q65" i="21" s="1"/>
  <c r="N38" i="21"/>
  <c r="Q38" i="21" s="1"/>
  <c r="Q57" i="21"/>
  <c r="N12" i="21"/>
  <c r="Q12" i="21" s="1"/>
  <c r="M75" i="21"/>
  <c r="M4" i="21" s="1"/>
  <c r="G75" i="21"/>
  <c r="H75" i="21" s="1"/>
  <c r="N75" i="21" l="1"/>
  <c r="Q75" i="21" s="1"/>
  <c r="G4" i="21"/>
  <c r="H4" i="21" s="1"/>
  <c r="N4" i="21" l="1"/>
  <c r="Q4" i="21" s="1"/>
</calcChain>
</file>

<file path=xl/sharedStrings.xml><?xml version="1.0" encoding="utf-8"?>
<sst xmlns="http://schemas.openxmlformats.org/spreadsheetml/2006/main" count="1622" uniqueCount="337">
  <si>
    <t>新开复活</t>
  </si>
  <si>
    <t>主管</t>
  </si>
  <si>
    <t>人数</t>
  </si>
  <si>
    <t>今日新开</t>
  </si>
  <si>
    <t>今日复活</t>
  </si>
  <si>
    <t>人均新开目标</t>
  </si>
  <si>
    <t>人均复活目标</t>
  </si>
  <si>
    <t>人均新开</t>
  </si>
  <si>
    <t>人均复活</t>
  </si>
  <si>
    <t>全国-全品类-南京大区-南京江北-江北经理组-浦口区-南京江北</t>
  </si>
  <si>
    <t>浦口</t>
  </si>
  <si>
    <t>李东</t>
  </si>
  <si>
    <t>全国-全品类-南京大区-南京江北-江北经理组-泰山区-南京江北</t>
  </si>
  <si>
    <t>泰山</t>
  </si>
  <si>
    <t>孙正武</t>
  </si>
  <si>
    <t>全国-全品类-南京大区-南京江北-江北经理组-江浦区-南京江北</t>
  </si>
  <si>
    <t>江浦</t>
  </si>
  <si>
    <t>季福洲</t>
  </si>
  <si>
    <t>全国-全品类-南京大区-南京江北-江北经理组-六合区-南京江北</t>
  </si>
  <si>
    <t>六合</t>
  </si>
  <si>
    <t>李世民</t>
  </si>
  <si>
    <t>全国-全品类-南京大区-南京江北-江北经理组-滁州区（W）-南京江北</t>
  </si>
  <si>
    <t>滁州</t>
  </si>
  <si>
    <t>吕杨</t>
  </si>
  <si>
    <t>全国-全品类-南京大区-南京江北-江北经理组-盱眙区-南京江北</t>
  </si>
  <si>
    <t>盱眙</t>
  </si>
  <si>
    <t>刘京昊</t>
  </si>
  <si>
    <t>江北</t>
  </si>
  <si>
    <t>辅助列</t>
  </si>
  <si>
    <t>全品</t>
  </si>
  <si>
    <t>今日实时日活</t>
  </si>
  <si>
    <t>日环比</t>
  </si>
  <si>
    <t>实时流水</t>
  </si>
  <si>
    <t>客单价</t>
  </si>
  <si>
    <t>实时日活达成率</t>
  </si>
  <si>
    <t>昨日实时日活</t>
  </si>
  <si>
    <t>昨日实时流水</t>
  </si>
  <si>
    <t>南京江北-浦口区-南京江北</t>
  </si>
  <si>
    <t>南京江北-泰山区-南京江北</t>
  </si>
  <si>
    <t>南京江北-江浦区-南京江北</t>
  </si>
  <si>
    <t>南京江北-六合区-南京江北</t>
  </si>
  <si>
    <t>南京江北-滁州区（W）-南京江北</t>
  </si>
  <si>
    <t>南京江北-盱眙区-南京江北</t>
  </si>
  <si>
    <t>蔬菜</t>
  </si>
  <si>
    <t>日活渗透率</t>
  </si>
  <si>
    <t>流水占比</t>
  </si>
  <si>
    <t>-</t>
  </si>
  <si>
    <t>肉禽</t>
  </si>
  <si>
    <t>大米</t>
  </si>
  <si>
    <t>达成率</t>
  </si>
  <si>
    <t>生鲜</t>
  </si>
  <si>
    <t>王慧</t>
  </si>
  <si>
    <t>猪肉</t>
  </si>
  <si>
    <t>南京江北-长安区-南京江北</t>
  </si>
  <si>
    <t>葛涛</t>
  </si>
  <si>
    <t>南京江北-明光区-南京江北</t>
  </si>
  <si>
    <t>王磊</t>
  </si>
  <si>
    <t>备注：此处猪肉日活=鲜猪肉日活+冻猪肉日活；</t>
  </si>
  <si>
    <t>主管组</t>
  </si>
  <si>
    <t>销售ID</t>
  </si>
  <si>
    <t>销售名</t>
  </si>
  <si>
    <t>日活</t>
  </si>
  <si>
    <t>日活完成率</t>
  </si>
  <si>
    <t>大米目标</t>
  </si>
  <si>
    <t>大米日活</t>
  </si>
  <si>
    <t>大米完成率</t>
  </si>
  <si>
    <t>新开</t>
  </si>
  <si>
    <t>复活</t>
  </si>
  <si>
    <t>江北合计</t>
  </si>
  <si>
    <t>相洲</t>
  </si>
  <si>
    <t>彭畅</t>
  </si>
  <si>
    <t>杨厚山</t>
  </si>
  <si>
    <t>杨天</t>
  </si>
  <si>
    <t>刘源</t>
  </si>
  <si>
    <t>魏章州</t>
  </si>
  <si>
    <t>张霄</t>
  </si>
  <si>
    <t>张圣春</t>
  </si>
  <si>
    <t>张玉</t>
  </si>
  <si>
    <t>迟永君</t>
  </si>
  <si>
    <t>滁州合计</t>
  </si>
  <si>
    <t>毛可靠</t>
  </si>
  <si>
    <t>李琴</t>
  </si>
  <si>
    <t>尹荣跃</t>
  </si>
  <si>
    <t>李何飞</t>
  </si>
  <si>
    <t>朱富城</t>
  </si>
  <si>
    <t>李天洋</t>
  </si>
  <si>
    <t>杨小翠</t>
  </si>
  <si>
    <t>江浦合计</t>
  </si>
  <si>
    <t>孙羽</t>
  </si>
  <si>
    <t>王立庄</t>
  </si>
  <si>
    <t>汪洋</t>
  </si>
  <si>
    <t>姚高伟</t>
  </si>
  <si>
    <t>陶磊</t>
  </si>
  <si>
    <t>李世明</t>
  </si>
  <si>
    <t>邓畅</t>
  </si>
  <si>
    <t>王伟瑞</t>
  </si>
  <si>
    <t>刘飞</t>
  </si>
  <si>
    <t>秦道龙</t>
  </si>
  <si>
    <t>陈歌歌</t>
  </si>
  <si>
    <t>李刚</t>
  </si>
  <si>
    <t>朱春景</t>
  </si>
  <si>
    <t>滕腾</t>
  </si>
  <si>
    <t>杜浩</t>
  </si>
  <si>
    <t>浦口合计</t>
  </si>
  <si>
    <t>张凯</t>
  </si>
  <si>
    <t>戴宁</t>
  </si>
  <si>
    <t>王翠翠</t>
  </si>
  <si>
    <t>田欢欢</t>
  </si>
  <si>
    <t>吴智慧</t>
  </si>
  <si>
    <t>侯晓庆</t>
  </si>
  <si>
    <t>陈龙</t>
  </si>
  <si>
    <t>胡宝江</t>
  </si>
  <si>
    <t>泰山合计</t>
  </si>
  <si>
    <t>周欢</t>
  </si>
  <si>
    <t>查永康</t>
  </si>
  <si>
    <t>梁顺毅</t>
  </si>
  <si>
    <t>李金亚</t>
  </si>
  <si>
    <t>华仁杰</t>
  </si>
  <si>
    <t>王瑞</t>
  </si>
  <si>
    <t>魏航</t>
  </si>
  <si>
    <t>朱福祥</t>
  </si>
  <si>
    <t>郭子然</t>
  </si>
  <si>
    <t>董学凤</t>
  </si>
  <si>
    <t>刘威</t>
  </si>
  <si>
    <t>李兴宇</t>
  </si>
  <si>
    <t>庞玉超</t>
  </si>
  <si>
    <t>董圳</t>
  </si>
  <si>
    <t>陈一鸣</t>
  </si>
  <si>
    <t>李岳阳</t>
  </si>
  <si>
    <t>俞乐</t>
  </si>
  <si>
    <t>陈奇</t>
  </si>
  <si>
    <t>马阳阳</t>
  </si>
  <si>
    <t>盱眙合计</t>
  </si>
  <si>
    <t>销售名称</t>
  </si>
  <si>
    <t>销售类型</t>
  </si>
  <si>
    <t>普通-销售额</t>
  </si>
  <si>
    <t>核心-销售额</t>
  </si>
  <si>
    <t>普通-客单价</t>
  </si>
  <si>
    <t>核心-客单价</t>
  </si>
  <si>
    <t>普通-新开</t>
  </si>
  <si>
    <t>核心-新开</t>
  </si>
  <si>
    <t>普通-复活</t>
  </si>
  <si>
    <t>核心-复活</t>
  </si>
  <si>
    <t>普通-日活</t>
  </si>
  <si>
    <t>核心-日活</t>
  </si>
  <si>
    <t>普通-均sku</t>
  </si>
  <si>
    <t>核心-均sku</t>
  </si>
  <si>
    <t>复活汇总</t>
  </si>
  <si>
    <t>非品类</t>
  </si>
  <si>
    <t>100 条/页</t>
  </si>
  <si>
    <t>主管组ID</t>
  </si>
  <si>
    <t>平均团队人数</t>
  </si>
  <si>
    <t>公海-日活</t>
  </si>
  <si>
    <t>公海-销售额</t>
  </si>
  <si>
    <t>普通-日累计sku数</t>
  </si>
  <si>
    <t>普通-均sku数</t>
  </si>
  <si>
    <t>普通-下单商户数（去重）</t>
  </si>
  <si>
    <t>核心-日累计sku数</t>
  </si>
  <si>
    <t>核心-均sku数</t>
  </si>
  <si>
    <t>核心-下单商户数(去重)</t>
  </si>
  <si>
    <t>归属</t>
  </si>
  <si>
    <t>全国-全品类-南京大区-南京江北-江北经理组-长安区-南京江北</t>
  </si>
  <si>
    <t>全国-全品类-南京大区-南京江北-江北经理组-明光区-南京江北</t>
  </si>
  <si>
    <t>全品类</t>
  </si>
  <si>
    <t>区域</t>
  </si>
  <si>
    <t>去分销下单商户数(日)</t>
  </si>
  <si>
    <t>当日</t>
  </si>
  <si>
    <t>周累计日均</t>
  </si>
  <si>
    <t>周累计日均环比</t>
  </si>
  <si>
    <t>月累计日均</t>
  </si>
  <si>
    <t>月累计日均环比</t>
  </si>
  <si>
    <t>南京江南-栖霞区-南京江南</t>
  </si>
  <si>
    <t>南京江南-玄武区-南京江南</t>
  </si>
  <si>
    <t>南京江南-建邺区-南京江南</t>
  </si>
  <si>
    <t>南京江南-江宁二店-南京江南（停用）</t>
  </si>
  <si>
    <t>南京江南-秦淮区-南京江南</t>
  </si>
  <si>
    <t>南京江南-雨花区-南京江南</t>
  </si>
  <si>
    <t>南京江南-新庄区-南京江南</t>
  </si>
  <si>
    <t>南京江南-马鞍山区（W）-南京江南</t>
  </si>
  <si>
    <t>南京江南-芜湖区（W）-南京江南</t>
  </si>
  <si>
    <t>南京江南-句容区（W）-南京江南（停用）</t>
  </si>
  <si>
    <t>南京江南-w高淳店-南京</t>
  </si>
  <si>
    <t>南京江南-宣城区（W）-南京江南（停用）</t>
  </si>
  <si>
    <t>南京江南-溧水区（W）-南京江南</t>
  </si>
  <si>
    <t>南京江南-溧水区-南京江南</t>
  </si>
  <si>
    <t>南京江南-江宁西区-南京江南</t>
  </si>
  <si>
    <t>南京江南-剑雨区-南京江南</t>
  </si>
  <si>
    <t>南京江南-江宁东区-南京江南</t>
  </si>
  <si>
    <t>南京江南-鼓楼区-南京江南</t>
  </si>
  <si>
    <t>南京江南-南京-C端（C）</t>
  </si>
  <si>
    <t>南京江南-镇江区-南京江南</t>
  </si>
  <si>
    <t>南京江南-溧水2区-南京江南</t>
  </si>
  <si>
    <t>南京江南-大客户冷链-南京江南</t>
  </si>
  <si>
    <t>南京江北-浦珠区-南京江北（停用）</t>
  </si>
  <si>
    <t>采销分类</t>
  </si>
  <si>
    <t>米</t>
  </si>
  <si>
    <t>去分销优惠前下单金额（实时）</t>
  </si>
  <si>
    <t>去分销下单商户数（实时）</t>
  </si>
  <si>
    <t>江南</t>
  </si>
  <si>
    <t>整体播报</t>
    <phoneticPr fontId="20" type="noConversion"/>
  </si>
  <si>
    <t>项目</t>
    <phoneticPr fontId="20" type="noConversion"/>
  </si>
  <si>
    <t>9点</t>
    <phoneticPr fontId="20" type="noConversion"/>
  </si>
  <si>
    <t>10点</t>
    <phoneticPr fontId="20" type="noConversion"/>
  </si>
  <si>
    <t>11点</t>
    <phoneticPr fontId="20" type="noConversion"/>
  </si>
  <si>
    <t>12点</t>
    <phoneticPr fontId="20" type="noConversion"/>
  </si>
  <si>
    <t>13点</t>
    <phoneticPr fontId="20" type="noConversion"/>
  </si>
  <si>
    <t>14点</t>
    <phoneticPr fontId="20" type="noConversion"/>
  </si>
  <si>
    <t>15点</t>
    <phoneticPr fontId="20" type="noConversion"/>
  </si>
  <si>
    <t>16点</t>
    <phoneticPr fontId="20" type="noConversion"/>
  </si>
  <si>
    <t>17点</t>
    <phoneticPr fontId="20" type="noConversion"/>
  </si>
  <si>
    <t>18点</t>
    <phoneticPr fontId="20" type="noConversion"/>
  </si>
  <si>
    <t>19点</t>
    <phoneticPr fontId="20" type="noConversion"/>
  </si>
  <si>
    <t>20定</t>
    <phoneticPr fontId="20" type="noConversion"/>
  </si>
  <si>
    <t>21点</t>
    <phoneticPr fontId="20" type="noConversion"/>
  </si>
  <si>
    <t>22点</t>
    <phoneticPr fontId="20" type="noConversion"/>
  </si>
  <si>
    <t>23点</t>
    <phoneticPr fontId="20" type="noConversion"/>
  </si>
  <si>
    <t>6.04BI</t>
    <phoneticPr fontId="20" type="noConversion"/>
  </si>
  <si>
    <t>6.6BI实际</t>
    <phoneticPr fontId="20" type="noConversion"/>
  </si>
  <si>
    <t>环比增量</t>
    <phoneticPr fontId="20" type="noConversion"/>
  </si>
  <si>
    <t>日环比</t>
    <phoneticPr fontId="20" type="noConversion"/>
  </si>
  <si>
    <t>6.6时段增量</t>
    <phoneticPr fontId="20" type="noConversion"/>
  </si>
  <si>
    <t>填写BI</t>
    <phoneticPr fontId="20" type="noConversion"/>
  </si>
  <si>
    <t>填写BI</t>
    <phoneticPr fontId="20" type="noConversion"/>
  </si>
  <si>
    <t>公式平移</t>
    <phoneticPr fontId="20" type="noConversion"/>
  </si>
  <si>
    <t>每时段增量对比</t>
    <phoneticPr fontId="20" type="noConversion"/>
  </si>
  <si>
    <t xml:space="preserve">姚世龙 </t>
    <phoneticPr fontId="20" type="noConversion"/>
  </si>
  <si>
    <t>盱眙合计</t>
    <phoneticPr fontId="20" type="noConversion"/>
  </si>
  <si>
    <t>天长合计</t>
    <phoneticPr fontId="20" type="noConversion"/>
  </si>
  <si>
    <t>目标</t>
    <phoneticPr fontId="20" type="noConversion"/>
  </si>
  <si>
    <t>推算日活</t>
    <phoneticPr fontId="20" type="noConversion"/>
  </si>
  <si>
    <t>全国-全品类-南京大区-南京江北-江北经理组-滁州区（W）5连-南京江北</t>
  </si>
  <si>
    <t>全国-全品类-南京大区-南京江北-江北经理组-浦口区1连-南京江北</t>
  </si>
  <si>
    <t>全国-全品类-南京大区-南京江北-江北经理组-江浦区2连-南京江北</t>
  </si>
  <si>
    <t>全国-全品类-南京大区-南京江北-江北经理组-六合区4连-南京江北</t>
  </si>
  <si>
    <t>全国-全品类-南京大区-南京江北-江北经理组-泰山区3连-南京江北</t>
  </si>
  <si>
    <t>全国-全品类-南京大区-南京江北-江北经理组-盱眙区6连-南京江北</t>
  </si>
  <si>
    <t>姚世龙</t>
  </si>
  <si>
    <t>整点日活合计</t>
    <phoneticPr fontId="20" type="noConversion"/>
  </si>
  <si>
    <t>时段增长合计</t>
    <phoneticPr fontId="20" type="noConversion"/>
  </si>
  <si>
    <t>售卖区整点日活</t>
    <phoneticPr fontId="20" type="noConversion"/>
  </si>
  <si>
    <t>时段完成率增长</t>
    <phoneticPr fontId="20" type="noConversion"/>
  </si>
  <si>
    <t>实时完成率</t>
    <phoneticPr fontId="20" type="noConversion"/>
  </si>
  <si>
    <t>目标1</t>
    <phoneticPr fontId="20" type="noConversion"/>
  </si>
  <si>
    <t>奖励</t>
    <phoneticPr fontId="20" type="noConversion"/>
  </si>
  <si>
    <t>处罚</t>
    <phoneticPr fontId="20" type="noConversion"/>
  </si>
  <si>
    <t>一群逗比</t>
    <phoneticPr fontId="20" type="noConversion"/>
  </si>
  <si>
    <t>特别点评</t>
    <phoneticPr fontId="20" type="noConversion"/>
  </si>
  <si>
    <t>个人奖励：1、团队≥100%，2、个人≥100%，3、奖励金额=任务*0.5+超额*1；
个人处罚：≥90%，任务*0.5%；＜90%，任务*1</t>
    <phoneticPr fontId="20" type="noConversion"/>
  </si>
  <si>
    <t>明光合计</t>
    <phoneticPr fontId="20" type="noConversion"/>
  </si>
  <si>
    <t>奖+罚</t>
    <phoneticPr fontId="20" type="noConversion"/>
  </si>
  <si>
    <t>5月份日均</t>
    <phoneticPr fontId="20" type="noConversion"/>
  </si>
  <si>
    <t>长安区</t>
  </si>
  <si>
    <t>盱眙区</t>
  </si>
  <si>
    <t>泰山区</t>
  </si>
  <si>
    <t>浦口区</t>
  </si>
  <si>
    <t>明光区</t>
  </si>
  <si>
    <t>六合区</t>
  </si>
  <si>
    <t>江浦区</t>
  </si>
  <si>
    <t>滁州区</t>
  </si>
  <si>
    <t>1连</t>
    <phoneticPr fontId="20" type="noConversion"/>
  </si>
  <si>
    <t>2连</t>
    <phoneticPr fontId="20" type="noConversion"/>
  </si>
  <si>
    <t>3连</t>
    <phoneticPr fontId="20" type="noConversion"/>
  </si>
  <si>
    <t>番号</t>
    <phoneticPr fontId="20" type="noConversion"/>
  </si>
  <si>
    <t>4连</t>
  </si>
  <si>
    <t>5连</t>
  </si>
  <si>
    <t>6连</t>
  </si>
  <si>
    <t>汇总</t>
    <phoneticPr fontId="20" type="noConversion"/>
  </si>
  <si>
    <t>6.9BI目标</t>
    <phoneticPr fontId="20" type="noConversion"/>
  </si>
  <si>
    <t>6.9BI实际</t>
    <phoneticPr fontId="20" type="noConversion"/>
  </si>
  <si>
    <t>6.9时段增量</t>
    <phoneticPr fontId="20" type="noConversion"/>
  </si>
  <si>
    <t>售卖区整点日活目标</t>
    <phoneticPr fontId="20" type="noConversion"/>
  </si>
  <si>
    <t>售卖区整点日活实际</t>
    <phoneticPr fontId="20" type="noConversion"/>
  </si>
  <si>
    <t>8点</t>
  </si>
  <si>
    <t>8点</t>
    <phoneticPr fontId="20" type="noConversion"/>
  </si>
  <si>
    <t>整点目标完成率</t>
    <phoneticPr fontId="20" type="noConversion"/>
  </si>
  <si>
    <t>整点日活目标</t>
    <phoneticPr fontId="20" type="noConversion"/>
  </si>
  <si>
    <t>整时段增长目标</t>
    <phoneticPr fontId="20" type="noConversion"/>
  </si>
  <si>
    <t>整时段增长目标完成率</t>
    <phoneticPr fontId="20" type="noConversion"/>
  </si>
  <si>
    <t>分类</t>
    <phoneticPr fontId="20" type="noConversion"/>
  </si>
  <si>
    <t>同期和目标</t>
    <phoneticPr fontId="20" type="noConversion"/>
  </si>
  <si>
    <t>时段增量数据</t>
    <phoneticPr fontId="20" type="noConversion"/>
  </si>
  <si>
    <t>BI增长数据</t>
    <phoneticPr fontId="20" type="noConversion"/>
  </si>
  <si>
    <t>5.10BI</t>
    <phoneticPr fontId="20" type="noConversion"/>
  </si>
  <si>
    <t>采购激励</t>
    <phoneticPr fontId="20" type="noConversion"/>
  </si>
  <si>
    <t>费用预计</t>
    <phoneticPr fontId="20" type="noConversion"/>
  </si>
  <si>
    <t>1.目的：日活销售双增长</t>
    <phoneticPr fontId="20" type="noConversion"/>
  </si>
  <si>
    <t>2.采购100元本金挂靠，50元挂靠日活，50元挂靠销售额；增长分别奖励100元含本金50元。</t>
    <phoneticPr fontId="20" type="noConversion"/>
  </si>
  <si>
    <t>6.6实际日活</t>
    <phoneticPr fontId="20" type="noConversion"/>
  </si>
  <si>
    <t>6.6目标</t>
    <phoneticPr fontId="20" type="noConversion"/>
  </si>
  <si>
    <t>6.6完成率</t>
    <phoneticPr fontId="20" type="noConversion"/>
  </si>
  <si>
    <t>南京江北-浦口区1连-南京江北</t>
  </si>
  <si>
    <t>南京江北-六合区4连-南京江北</t>
  </si>
  <si>
    <t>南京江北-江浦区2连-南京江北</t>
  </si>
  <si>
    <t>南京江北-滁州区（W）5连-南京江北</t>
  </si>
  <si>
    <t>南京江北-泰山区3连-南京江北</t>
  </si>
  <si>
    <t>南京江北-盱眙区6连-南京江北</t>
  </si>
  <si>
    <t>番号</t>
    <phoneticPr fontId="20" type="noConversion"/>
  </si>
  <si>
    <t>5月份日均</t>
    <phoneticPr fontId="20" type="noConversion"/>
  </si>
  <si>
    <t>番号</t>
    <phoneticPr fontId="20" type="noConversion"/>
  </si>
  <si>
    <t>5月份日均</t>
    <phoneticPr fontId="20" type="noConversion"/>
  </si>
  <si>
    <t>鲜猪肉</t>
    <phoneticPr fontId="20" type="noConversion"/>
  </si>
  <si>
    <t>今日目标</t>
    <phoneticPr fontId="20" type="noConversion"/>
  </si>
  <si>
    <t>6.6日活</t>
    <phoneticPr fontId="20" type="noConversion"/>
  </si>
  <si>
    <t>1.目的：城市日活突破4500家</t>
    <phoneticPr fontId="20" type="noConversion"/>
  </si>
  <si>
    <t>先锋奖：</t>
    <phoneticPr fontId="20" type="noConversion"/>
  </si>
  <si>
    <t>一、</t>
    <phoneticPr fontId="20" type="noConversion"/>
  </si>
  <si>
    <t>达标奖：</t>
    <phoneticPr fontId="20" type="noConversion"/>
  </si>
  <si>
    <t>1.目的：节奏前置</t>
    <phoneticPr fontId="20" type="noConversion"/>
  </si>
  <si>
    <t>4.门槛：当天任务完成100%兑现，当天任务未完成兑现50%</t>
    <phoneticPr fontId="20" type="noConversion"/>
  </si>
  <si>
    <t>大牛奖：</t>
    <phoneticPr fontId="20" type="noConversion"/>
  </si>
  <si>
    <t>二、</t>
    <phoneticPr fontId="20" type="noConversion"/>
  </si>
  <si>
    <t>三、</t>
    <phoneticPr fontId="20" type="noConversion"/>
  </si>
  <si>
    <t>四、</t>
    <phoneticPr fontId="20" type="noConversion"/>
  </si>
  <si>
    <t>落后处罚：</t>
    <phoneticPr fontId="20" type="noConversion"/>
  </si>
  <si>
    <t>2.个人先锋：中午12点完成率≥50%，奖励实时累计日活*1</t>
    <phoneticPr fontId="20" type="noConversion"/>
  </si>
  <si>
    <t>3.团队先锋：下午14点完成率≥50%，奖励实时累计日活*0.5</t>
    <phoneticPr fontId="20" type="noConversion"/>
  </si>
  <si>
    <t>1.下午16点之前，前5位破百单的个人，现金奖励100元</t>
    <phoneticPr fontId="20" type="noConversion"/>
  </si>
  <si>
    <t>6.9日冲锋激励方案</t>
    <phoneticPr fontId="20" type="noConversion"/>
  </si>
  <si>
    <t>五、</t>
    <phoneticPr fontId="20" type="noConversion"/>
  </si>
  <si>
    <t>2.奖励：前3个完成任务的团队分别奖励388、288、188</t>
    <phoneticPr fontId="20" type="noConversion"/>
  </si>
  <si>
    <t>3.下滑无奖励本金不还。</t>
    <phoneticPr fontId="20" type="noConversion"/>
  </si>
  <si>
    <t>完成进度倒数且完成率最低的售卖区，倒数第一罚200，倒数第二罚100.</t>
    <phoneticPr fontId="20" type="noConversion"/>
  </si>
  <si>
    <t>江北实时业绩播报-6月9日</t>
    <phoneticPr fontId="20" type="noConversion"/>
  </si>
  <si>
    <t>部队番号</t>
    <phoneticPr fontId="20" type="noConversion"/>
  </si>
  <si>
    <t>1连</t>
    <phoneticPr fontId="20" type="noConversion"/>
  </si>
  <si>
    <t>3连</t>
  </si>
  <si>
    <t>3连</t>
    <phoneticPr fontId="20" type="noConversion"/>
  </si>
  <si>
    <t>4连</t>
    <phoneticPr fontId="20" type="noConversion"/>
  </si>
  <si>
    <t>六合合计</t>
    <phoneticPr fontId="20" type="noConversion"/>
  </si>
  <si>
    <t>5连</t>
    <phoneticPr fontId="20" type="noConversion"/>
  </si>
  <si>
    <t>6连</t>
    <phoneticPr fontId="20" type="noConversion"/>
  </si>
  <si>
    <t>6连</t>
    <phoneticPr fontId="20" type="noConversion"/>
  </si>
  <si>
    <t>连队番号</t>
    <phoneticPr fontId="20" type="noConversion"/>
  </si>
  <si>
    <t>作战区</t>
    <phoneticPr fontId="20" type="noConversion"/>
  </si>
  <si>
    <t>实时日活</t>
    <phoneticPr fontId="20" type="noConversion"/>
  </si>
  <si>
    <t>6.9目标</t>
    <phoneticPr fontId="20" type="noConversion"/>
  </si>
  <si>
    <t>冲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</si>
</sst>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 * #,##0.00_ ;_ * \-#,##0.00_ ;_ * &quot;-&quot;??_ ;_ @_ "/>
    <numFmt numFmtId="176" formatCode="0.0%"/>
    <numFmt numFmtId="177" formatCode="0.0"/>
    <numFmt numFmtId="178" formatCode="0.0_);[Red]\(0.0\)"/>
    <numFmt numFmtId="179" formatCode="_ * #,##0_ ;_ * \-#,##0_ ;_ * &quot;-&quot;??_ ;_ @_ "/>
    <numFmt numFmtId="181" formatCode="0_ "/>
  </numFmts>
  <fonts count="27" x14ac:knownFonts="1">
    <font>
      <sz val="11"/>
      <color theme="1"/>
      <name val="宋体"/>
      <charset val="134"/>
      <scheme val="minor"/>
    </font>
    <font>
      <sz val="8"/>
      <color theme="1"/>
      <name val="微软雅黑"/>
      <family val="2"/>
      <charset val="134"/>
    </font>
    <font>
      <b/>
      <sz val="8"/>
      <color theme="0" tint="-4.9989318521683403E-2"/>
      <name val="微软雅黑"/>
      <family val="2"/>
      <charset val="134"/>
    </font>
    <font>
      <b/>
      <sz val="8"/>
      <color theme="1"/>
      <name val="微软雅黑"/>
      <family val="2"/>
      <charset val="134"/>
    </font>
    <font>
      <b/>
      <sz val="14"/>
      <color theme="1"/>
      <name val="微软雅黑"/>
      <family val="2"/>
      <charset val="134"/>
    </font>
    <font>
      <b/>
      <sz val="8"/>
      <color theme="0"/>
      <name val="微软雅黑"/>
      <family val="2"/>
      <charset val="134"/>
    </font>
    <font>
      <b/>
      <sz val="8"/>
      <name val="微软雅黑"/>
      <family val="2"/>
      <charset val="134"/>
    </font>
    <font>
      <sz val="9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6"/>
      <color theme="1"/>
      <name val="微软雅黑"/>
      <family val="2"/>
      <charset val="134"/>
    </font>
    <font>
      <b/>
      <sz val="9"/>
      <color rgb="FFFF0000"/>
      <name val="微软雅黑"/>
      <family val="2"/>
      <charset val="134"/>
    </font>
    <font>
      <b/>
      <sz val="9"/>
      <color theme="0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sz val="10"/>
      <color theme="0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b/>
      <sz val="1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7"/>
      <color rgb="FF000000"/>
      <name val="Verdana"/>
      <family val="2"/>
    </font>
    <font>
      <sz val="9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sz val="10"/>
      <color theme="1"/>
      <name val="Segoe UI"/>
      <family val="2"/>
    </font>
    <font>
      <sz val="10"/>
      <color theme="1"/>
      <name val="Segoe UI"/>
      <family val="2"/>
    </font>
    <font>
      <b/>
      <sz val="10"/>
      <color theme="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8"/>
      <color rgb="FF000000"/>
      <name val="Verdana"/>
      <family val="2"/>
    </font>
  </fonts>
  <fills count="2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7F7F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AFAFA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EEF1F6"/>
        <bgColor indexed="64"/>
      </patternFill>
    </fill>
  </fills>
  <borders count="17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 style="medium">
        <color rgb="FFE8E8E8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4">
    <xf numFmtId="0" fontId="0" fillId="0" borderId="0"/>
    <xf numFmtId="43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17" fillId="0" borderId="0"/>
  </cellStyleXfs>
  <cellXfs count="163">
    <xf numFmtId="0" fontId="0" fillId="0" borderId="0" xfId="0"/>
    <xf numFmtId="0" fontId="0" fillId="0" borderId="0" xfId="0" applyAlignment="1">
      <alignment horizontal="center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3" fillId="0" borderId="0" xfId="0" applyFont="1"/>
    <xf numFmtId="0" fontId="3" fillId="3" borderId="0" xfId="0" applyFont="1" applyFill="1"/>
    <xf numFmtId="3" fontId="1" fillId="0" borderId="0" xfId="0" applyNumberFormat="1" applyFont="1"/>
    <xf numFmtId="10" fontId="1" fillId="0" borderId="0" xfId="0" applyNumberFormat="1" applyFont="1"/>
    <xf numFmtId="0" fontId="1" fillId="4" borderId="0" xfId="0" applyFont="1" applyFill="1" applyAlignment="1">
      <alignment horizontal="center"/>
    </xf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1" fillId="3" borderId="0" xfId="0" applyFont="1" applyFill="1"/>
    <xf numFmtId="0" fontId="1" fillId="7" borderId="0" xfId="0" applyFont="1" applyFill="1"/>
    <xf numFmtId="2" fontId="1" fillId="4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8" borderId="1" xfId="0" applyFont="1" applyFill="1" applyBorder="1" applyAlignment="1">
      <alignment horizontal="center"/>
    </xf>
    <xf numFmtId="0" fontId="5" fillId="9" borderId="1" xfId="0" applyFont="1" applyFill="1" applyBorder="1" applyAlignment="1">
      <alignment horizontal="center"/>
    </xf>
    <xf numFmtId="9" fontId="5" fillId="9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9" fontId="1" fillId="0" borderId="1" xfId="2" applyFont="1" applyBorder="1" applyAlignment="1">
      <alignment horizontal="center"/>
    </xf>
    <xf numFmtId="0" fontId="1" fillId="11" borderId="1" xfId="0" applyFont="1" applyFill="1" applyBorder="1" applyAlignment="1">
      <alignment horizontal="center"/>
    </xf>
    <xf numFmtId="9" fontId="1" fillId="11" borderId="1" xfId="2" applyFont="1" applyFill="1" applyBorder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14" fontId="8" fillId="0" borderId="1" xfId="0" applyNumberFormat="1" applyFont="1" applyBorder="1" applyAlignment="1">
      <alignment horizontal="center"/>
    </xf>
    <xf numFmtId="0" fontId="8" fillId="0" borderId="1" xfId="0" applyNumberFormat="1" applyFont="1" applyBorder="1" applyAlignment="1"/>
    <xf numFmtId="0" fontId="10" fillId="6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/>
    </xf>
    <xf numFmtId="0" fontId="1" fillId="0" borderId="1" xfId="3" applyFont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0" borderId="1" xfId="3" applyFont="1" applyFill="1" applyBorder="1" applyAlignment="1">
      <alignment horizontal="center"/>
    </xf>
    <xf numFmtId="0" fontId="3" fillId="12" borderId="1" xfId="3" applyFont="1" applyFill="1" applyBorder="1" applyAlignment="1">
      <alignment horizontal="center"/>
    </xf>
    <xf numFmtId="0" fontId="3" fillId="12" borderId="1" xfId="0" applyFont="1" applyFill="1" applyBorder="1" applyAlignment="1">
      <alignment horizontal="center"/>
    </xf>
    <xf numFmtId="177" fontId="3" fillId="12" borderId="1" xfId="0" applyNumberFormat="1" applyFont="1" applyFill="1" applyBorder="1" applyAlignment="1">
      <alignment horizontal="center"/>
    </xf>
    <xf numFmtId="176" fontId="1" fillId="0" borderId="1" xfId="2" applyNumberFormat="1" applyFont="1" applyBorder="1" applyAlignment="1">
      <alignment horizontal="center"/>
    </xf>
    <xf numFmtId="176" fontId="3" fillId="12" borderId="1" xfId="2" applyNumberFormat="1" applyFont="1" applyFill="1" applyBorder="1" applyAlignment="1">
      <alignment horizontal="center"/>
    </xf>
    <xf numFmtId="0" fontId="10" fillId="0" borderId="0" xfId="0" applyFont="1" applyAlignment="1">
      <alignment horizontal="left"/>
    </xf>
    <xf numFmtId="177" fontId="1" fillId="0" borderId="1" xfId="0" applyNumberFormat="1" applyFont="1" applyBorder="1" applyAlignment="1">
      <alignment horizontal="center"/>
    </xf>
    <xf numFmtId="178" fontId="3" fillId="12" borderId="1" xfId="0" applyNumberFormat="1" applyFont="1" applyFill="1" applyBorder="1" applyAlignment="1">
      <alignment horizontal="center"/>
    </xf>
    <xf numFmtId="0" fontId="7" fillId="5" borderId="0" xfId="0" applyFont="1" applyFill="1"/>
    <xf numFmtId="0" fontId="7" fillId="5" borderId="0" xfId="0" applyFont="1" applyFill="1" applyAlignment="1">
      <alignment horizontal="center"/>
    </xf>
    <xf numFmtId="1" fontId="1" fillId="0" borderId="1" xfId="0" applyNumberFormat="1" applyFont="1" applyBorder="1" applyAlignment="1">
      <alignment horizontal="center"/>
    </xf>
    <xf numFmtId="179" fontId="7" fillId="0" borderId="0" xfId="1" applyNumberFormat="1" applyFont="1" applyAlignment="1"/>
    <xf numFmtId="1" fontId="3" fillId="12" borderId="1" xfId="0" applyNumberFormat="1" applyFont="1" applyFill="1" applyBorder="1" applyAlignment="1">
      <alignment horizontal="center"/>
    </xf>
    <xf numFmtId="179" fontId="7" fillId="0" borderId="0" xfId="0" applyNumberFormat="1" applyFont="1"/>
    <xf numFmtId="0" fontId="13" fillId="15" borderId="0" xfId="0" applyFont="1" applyFill="1" applyAlignment="1">
      <alignment horizontal="center"/>
    </xf>
    <xf numFmtId="0" fontId="14" fillId="0" borderId="0" xfId="0" applyFont="1"/>
    <xf numFmtId="0" fontId="14" fillId="0" borderId="0" xfId="0" applyFont="1" applyAlignment="1">
      <alignment horizontal="center"/>
    </xf>
    <xf numFmtId="0" fontId="15" fillId="13" borderId="1" xfId="0" applyFont="1" applyFill="1" applyBorder="1" applyAlignment="1">
      <alignment horizontal="center" vertical="center"/>
    </xf>
    <xf numFmtId="0" fontId="16" fillId="16" borderId="1" xfId="0" applyFont="1" applyFill="1" applyBorder="1" applyAlignment="1">
      <alignment horizontal="center" vertical="center"/>
    </xf>
    <xf numFmtId="0" fontId="14" fillId="14" borderId="1" xfId="0" applyFont="1" applyFill="1" applyBorder="1" applyAlignment="1">
      <alignment horizontal="center" vertical="center"/>
    </xf>
    <xf numFmtId="0" fontId="14" fillId="6" borderId="1" xfId="0" applyFont="1" applyFill="1" applyBorder="1" applyAlignment="1">
      <alignment horizontal="center" vertical="center"/>
    </xf>
    <xf numFmtId="0" fontId="19" fillId="17" borderId="6" xfId="0" applyFont="1" applyFill="1" applyBorder="1" applyAlignment="1">
      <alignment horizontal="center" vertical="center" wrapText="1"/>
    </xf>
    <xf numFmtId="3" fontId="19" fillId="17" borderId="6" xfId="0" applyNumberFormat="1" applyFont="1" applyFill="1" applyBorder="1" applyAlignment="1">
      <alignment horizontal="right" vertical="center" wrapText="1"/>
    </xf>
    <xf numFmtId="10" fontId="19" fillId="17" borderId="6" xfId="0" applyNumberFormat="1" applyFont="1" applyFill="1" applyBorder="1" applyAlignment="1">
      <alignment horizontal="right" vertical="center" wrapText="1"/>
    </xf>
    <xf numFmtId="0" fontId="19" fillId="17" borderId="6" xfId="0" applyFont="1" applyFill="1" applyBorder="1" applyAlignment="1">
      <alignment horizontal="right" vertical="center" wrapText="1"/>
    </xf>
    <xf numFmtId="0" fontId="19" fillId="0" borderId="6" xfId="0" applyFont="1" applyBorder="1" applyAlignment="1">
      <alignment horizontal="center" vertical="center" wrapText="1"/>
    </xf>
    <xf numFmtId="3" fontId="19" fillId="0" borderId="6" xfId="0" applyNumberFormat="1" applyFont="1" applyBorder="1" applyAlignment="1">
      <alignment horizontal="right" vertical="center" wrapText="1"/>
    </xf>
    <xf numFmtId="10" fontId="19" fillId="0" borderId="6" xfId="0" applyNumberFormat="1" applyFont="1" applyBorder="1" applyAlignment="1">
      <alignment horizontal="right" vertical="center" wrapText="1"/>
    </xf>
    <xf numFmtId="0" fontId="19" fillId="0" borderId="6" xfId="0" applyFont="1" applyBorder="1" applyAlignment="1">
      <alignment horizontal="right" vertical="center" wrapText="1"/>
    </xf>
    <xf numFmtId="0" fontId="0" fillId="0" borderId="0" xfId="0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4" fillId="16" borderId="1" xfId="0" applyFont="1" applyFill="1" applyBorder="1" applyAlignment="1">
      <alignment horizontal="center" vertical="center"/>
    </xf>
    <xf numFmtId="9" fontId="14" fillId="16" borderId="1" xfId="0" applyNumberFormat="1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1" fillId="6" borderId="1" xfId="0" applyFont="1" applyFill="1" applyBorder="1" applyAlignment="1">
      <alignment horizontal="center" vertical="center"/>
    </xf>
    <xf numFmtId="0" fontId="21" fillId="14" borderId="1" xfId="0" applyFont="1" applyFill="1" applyBorder="1" applyAlignment="1">
      <alignment horizontal="center" vertical="center"/>
    </xf>
    <xf numFmtId="0" fontId="21" fillId="16" borderId="1" xfId="0" applyFont="1" applyFill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22" fillId="20" borderId="7" xfId="0" applyFont="1" applyFill="1" applyBorder="1" applyAlignment="1">
      <alignment horizontal="left" vertical="center"/>
    </xf>
    <xf numFmtId="0" fontId="22" fillId="19" borderId="7" xfId="0" applyFont="1" applyFill="1" applyBorder="1" applyAlignment="1">
      <alignment horizontal="left" vertical="center"/>
    </xf>
    <xf numFmtId="0" fontId="23" fillId="19" borderId="7" xfId="0" applyFont="1" applyFill="1" applyBorder="1" applyAlignment="1">
      <alignment vertical="center"/>
    </xf>
    <xf numFmtId="0" fontId="1" fillId="0" borderId="0" xfId="0" applyFont="1" applyFill="1" applyAlignment="1"/>
    <xf numFmtId="0" fontId="1" fillId="0" borderId="0" xfId="0" applyFont="1" applyAlignment="1"/>
    <xf numFmtId="0" fontId="1" fillId="18" borderId="1" xfId="0" applyFont="1" applyFill="1" applyBorder="1" applyAlignment="1">
      <alignment horizontal="center"/>
    </xf>
    <xf numFmtId="9" fontId="1" fillId="18" borderId="1" xfId="2" applyFont="1" applyFill="1" applyBorder="1" applyAlignment="1">
      <alignment horizontal="center"/>
    </xf>
    <xf numFmtId="0" fontId="1" fillId="21" borderId="1" xfId="3" applyFont="1" applyFill="1" applyBorder="1" applyAlignment="1">
      <alignment horizontal="center"/>
    </xf>
    <xf numFmtId="0" fontId="1" fillId="21" borderId="1" xfId="0" applyFont="1" applyFill="1" applyBorder="1" applyAlignment="1">
      <alignment horizontal="center"/>
    </xf>
    <xf numFmtId="0" fontId="24" fillId="13" borderId="1" xfId="0" applyFont="1" applyFill="1" applyBorder="1" applyAlignment="1">
      <alignment horizontal="center" vertical="center"/>
    </xf>
    <xf numFmtId="0" fontId="13" fillId="13" borderId="1" xfId="0" applyFont="1" applyFill="1" applyBorder="1" applyAlignment="1">
      <alignment horizontal="center" vertical="center"/>
    </xf>
    <xf numFmtId="176" fontId="0" fillId="0" borderId="0" xfId="2" applyNumberFormat="1" applyFont="1" applyAlignment="1">
      <alignment horizontal="center"/>
    </xf>
    <xf numFmtId="176" fontId="0" fillId="0" borderId="0" xfId="2" applyNumberFormat="1" applyFont="1" applyAlignment="1"/>
    <xf numFmtId="0" fontId="0" fillId="0" borderId="1" xfId="0" applyBorder="1" applyAlignment="1">
      <alignment horizontal="center"/>
    </xf>
    <xf numFmtId="176" fontId="1" fillId="21" borderId="1" xfId="2" applyNumberFormat="1" applyFont="1" applyFill="1" applyBorder="1" applyAlignment="1">
      <alignment horizontal="center"/>
    </xf>
    <xf numFmtId="1" fontId="1" fillId="0" borderId="0" xfId="0" applyNumberFormat="1" applyFont="1" applyAlignment="1">
      <alignment horizontal="center"/>
    </xf>
    <xf numFmtId="1" fontId="1" fillId="10" borderId="1" xfId="0" applyNumberFormat="1" applyFont="1" applyFill="1" applyBorder="1" applyAlignment="1">
      <alignment horizontal="center"/>
    </xf>
    <xf numFmtId="9" fontId="1" fillId="21" borderId="1" xfId="2" applyFont="1" applyFill="1" applyBorder="1" applyAlignment="1">
      <alignment horizontal="center"/>
    </xf>
    <xf numFmtId="1" fontId="1" fillId="18" borderId="1" xfId="0" applyNumberFormat="1" applyFont="1" applyFill="1" applyBorder="1" applyAlignment="1">
      <alignment horizontal="center"/>
    </xf>
    <xf numFmtId="181" fontId="5" fillId="9" borderId="1" xfId="0" applyNumberFormat="1" applyFont="1" applyFill="1" applyBorder="1" applyAlignment="1">
      <alignment horizontal="center"/>
    </xf>
    <xf numFmtId="181" fontId="5" fillId="22" borderId="1" xfId="0" applyNumberFormat="1" applyFont="1" applyFill="1" applyBorder="1" applyAlignment="1">
      <alignment horizontal="center"/>
    </xf>
    <xf numFmtId="181" fontId="5" fillId="3" borderId="1" xfId="0" applyNumberFormat="1" applyFont="1" applyFill="1" applyBorder="1" applyAlignment="1">
      <alignment horizontal="center"/>
    </xf>
    <xf numFmtId="181" fontId="5" fillId="2" borderId="1" xfId="0" applyNumberFormat="1" applyFont="1" applyFill="1" applyBorder="1" applyAlignment="1">
      <alignment horizontal="center"/>
    </xf>
    <xf numFmtId="181" fontId="1" fillId="23" borderId="1" xfId="0" applyNumberFormat="1" applyFont="1" applyFill="1" applyBorder="1" applyAlignment="1">
      <alignment horizontal="center"/>
    </xf>
    <xf numFmtId="181" fontId="1" fillId="0" borderId="1" xfId="0" applyNumberFormat="1" applyFont="1" applyBorder="1"/>
    <xf numFmtId="181" fontId="1" fillId="0" borderId="1" xfId="0" applyNumberFormat="1" applyFont="1" applyBorder="1" applyAlignment="1">
      <alignment horizontal="center"/>
    </xf>
    <xf numFmtId="181" fontId="1" fillId="11" borderId="1" xfId="0" applyNumberFormat="1" applyFont="1" applyFill="1" applyBorder="1" applyAlignment="1">
      <alignment horizontal="center"/>
    </xf>
    <xf numFmtId="181" fontId="1" fillId="18" borderId="1" xfId="0" applyNumberFormat="1" applyFont="1" applyFill="1" applyBorder="1" applyAlignment="1">
      <alignment horizontal="center"/>
    </xf>
    <xf numFmtId="181" fontId="1" fillId="18" borderId="1" xfId="0" applyNumberFormat="1" applyFont="1" applyFill="1" applyBorder="1"/>
    <xf numFmtId="181" fontId="1" fillId="21" borderId="1" xfId="0" applyNumberFormat="1" applyFont="1" applyFill="1" applyBorder="1" applyAlignment="1">
      <alignment horizontal="center"/>
    </xf>
    <xf numFmtId="181" fontId="1" fillId="21" borderId="1" xfId="0" applyNumberFormat="1" applyFont="1" applyFill="1" applyBorder="1"/>
    <xf numFmtId="181" fontId="1" fillId="0" borderId="0" xfId="0" applyNumberFormat="1" applyFont="1" applyAlignment="1">
      <alignment horizontal="center"/>
    </xf>
    <xf numFmtId="181" fontId="1" fillId="0" borderId="0" xfId="0" applyNumberFormat="1" applyFont="1"/>
    <xf numFmtId="0" fontId="1" fillId="16" borderId="1" xfId="0" applyFont="1" applyFill="1" applyBorder="1" applyAlignment="1">
      <alignment horizontal="center"/>
    </xf>
    <xf numFmtId="1" fontId="1" fillId="16" borderId="1" xfId="0" applyNumberFormat="1" applyFont="1" applyFill="1" applyBorder="1" applyAlignment="1">
      <alignment horizontal="center"/>
    </xf>
    <xf numFmtId="9" fontId="1" fillId="16" borderId="1" xfId="2" applyFont="1" applyFill="1" applyBorder="1" applyAlignment="1">
      <alignment horizontal="center"/>
    </xf>
    <xf numFmtId="181" fontId="1" fillId="16" borderId="1" xfId="0" applyNumberFormat="1" applyFont="1" applyFill="1" applyBorder="1" applyAlignment="1">
      <alignment horizontal="center"/>
    </xf>
    <xf numFmtId="1" fontId="1" fillId="16" borderId="0" xfId="0" applyNumberFormat="1" applyFont="1" applyFill="1" applyAlignment="1">
      <alignment horizontal="center"/>
    </xf>
    <xf numFmtId="1" fontId="1" fillId="21" borderId="1" xfId="0" applyNumberFormat="1" applyFont="1" applyFill="1" applyBorder="1" applyAlignment="1">
      <alignment horizontal="center"/>
    </xf>
    <xf numFmtId="0" fontId="12" fillId="0" borderId="0" xfId="0" applyFont="1" applyAlignment="1">
      <alignment horizontal="center"/>
    </xf>
    <xf numFmtId="0" fontId="3" fillId="0" borderId="1" xfId="3" applyFont="1" applyBorder="1" applyAlignment="1">
      <alignment horizontal="center"/>
    </xf>
    <xf numFmtId="0" fontId="7" fillId="0" borderId="1" xfId="0" applyFont="1" applyBorder="1"/>
    <xf numFmtId="0" fontId="12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24" fillId="13" borderId="4" xfId="0" applyFont="1" applyFill="1" applyBorder="1" applyAlignment="1">
      <alignment vertical="center"/>
    </xf>
    <xf numFmtId="0" fontId="24" fillId="13" borderId="9" xfId="0" applyFont="1" applyFill="1" applyBorder="1" applyAlignment="1">
      <alignment vertical="center"/>
    </xf>
    <xf numFmtId="0" fontId="16" fillId="13" borderId="1" xfId="0" applyFont="1" applyFill="1" applyBorder="1" applyAlignment="1">
      <alignment horizontal="center" vertical="center"/>
    </xf>
    <xf numFmtId="0" fontId="21" fillId="0" borderId="0" xfId="0" applyFont="1" applyAlignment="1">
      <alignment horizontal="center"/>
    </xf>
    <xf numFmtId="0" fontId="25" fillId="0" borderId="0" xfId="0" applyFont="1" applyAlignment="1">
      <alignment horizontal="center"/>
    </xf>
    <xf numFmtId="0" fontId="25" fillId="0" borderId="0" xfId="0" applyFont="1"/>
    <xf numFmtId="0" fontId="1" fillId="6" borderId="1" xfId="0" applyFont="1" applyFill="1" applyBorder="1" applyAlignment="1">
      <alignment horizontal="center"/>
    </xf>
    <xf numFmtId="0" fontId="4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 wrapText="1"/>
    </xf>
    <xf numFmtId="9" fontId="1" fillId="0" borderId="0" xfId="2" applyFont="1" applyAlignment="1">
      <alignment horizontal="center"/>
    </xf>
    <xf numFmtId="0" fontId="21" fillId="0" borderId="0" xfId="0" applyFont="1" applyAlignment="1">
      <alignment horizontal="left"/>
    </xf>
    <xf numFmtId="0" fontId="14" fillId="0" borderId="0" xfId="0" applyFont="1" applyAlignment="1">
      <alignment horizontal="left"/>
    </xf>
    <xf numFmtId="0" fontId="14" fillId="0" borderId="0" xfId="0" applyFont="1" applyAlignment="1">
      <alignment horizontal="left" wrapText="1"/>
    </xf>
    <xf numFmtId="0" fontId="14" fillId="0" borderId="0" xfId="0" applyFont="1" applyAlignment="1">
      <alignment wrapText="1"/>
    </xf>
    <xf numFmtId="0" fontId="14" fillId="3" borderId="0" xfId="0" applyFont="1" applyFill="1" applyAlignment="1">
      <alignment horizontal="left"/>
    </xf>
    <xf numFmtId="0" fontId="14" fillId="0" borderId="10" xfId="0" applyFont="1" applyBorder="1" applyAlignment="1">
      <alignment vertical="center" wrapText="1"/>
    </xf>
    <xf numFmtId="0" fontId="14" fillId="0" borderId="10" xfId="0" applyFont="1" applyBorder="1" applyAlignment="1">
      <alignment horizontal="center" vertical="center" wrapText="1"/>
    </xf>
    <xf numFmtId="0" fontId="14" fillId="14" borderId="11" xfId="0" applyFont="1" applyFill="1" applyBorder="1" applyAlignment="1">
      <alignment horizontal="center" vertical="center" wrapText="1"/>
    </xf>
    <xf numFmtId="0" fontId="14" fillId="14" borderId="12" xfId="0" applyFont="1" applyFill="1" applyBorder="1" applyAlignment="1">
      <alignment horizontal="center" vertical="center" wrapText="1"/>
    </xf>
    <xf numFmtId="0" fontId="14" fillId="14" borderId="5" xfId="0" applyFont="1" applyFill="1" applyBorder="1" applyAlignment="1">
      <alignment horizontal="center" vertical="center" wrapText="1"/>
    </xf>
    <xf numFmtId="0" fontId="14" fillId="6" borderId="11" xfId="0" applyFont="1" applyFill="1" applyBorder="1" applyAlignment="1">
      <alignment horizontal="center" vertical="center" wrapText="1"/>
    </xf>
    <xf numFmtId="0" fontId="14" fillId="6" borderId="12" xfId="0" applyFont="1" applyFill="1" applyBorder="1" applyAlignment="1">
      <alignment horizontal="center" vertical="center" wrapText="1"/>
    </xf>
    <xf numFmtId="0" fontId="14" fillId="6" borderId="5" xfId="0" applyFont="1" applyFill="1" applyBorder="1" applyAlignment="1">
      <alignment horizontal="center" vertical="center" wrapText="1"/>
    </xf>
    <xf numFmtId="0" fontId="14" fillId="16" borderId="11" xfId="0" applyFont="1" applyFill="1" applyBorder="1" applyAlignment="1">
      <alignment horizontal="center" vertical="center" wrapText="1"/>
    </xf>
    <xf numFmtId="0" fontId="14" fillId="16" borderId="5" xfId="0" applyFont="1" applyFill="1" applyBorder="1" applyAlignment="1">
      <alignment horizontal="center" vertical="center" wrapText="1"/>
    </xf>
    <xf numFmtId="0" fontId="14" fillId="6" borderId="10" xfId="0" applyFont="1" applyFill="1" applyBorder="1" applyAlignment="1">
      <alignment horizontal="center" vertical="center" wrapText="1"/>
    </xf>
    <xf numFmtId="0" fontId="7" fillId="14" borderId="0" xfId="0" applyFont="1" applyFill="1" applyAlignment="1">
      <alignment horizontal="center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181" fontId="1" fillId="16" borderId="1" xfId="0" applyNumberFormat="1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21" fillId="6" borderId="0" xfId="0" applyFont="1" applyFill="1" applyAlignment="1">
      <alignment horizontal="center" vertical="center"/>
    </xf>
    <xf numFmtId="0" fontId="26" fillId="24" borderId="6" xfId="0" applyFont="1" applyFill="1" applyBorder="1" applyAlignment="1">
      <alignment horizontal="center" vertical="center" wrapText="1"/>
    </xf>
    <xf numFmtId="0" fontId="19" fillId="19" borderId="6" xfId="0" applyFont="1" applyFill="1" applyBorder="1" applyAlignment="1">
      <alignment horizontal="center" vertical="center" wrapText="1"/>
    </xf>
    <xf numFmtId="0" fontId="26" fillId="24" borderId="13" xfId="0" applyFont="1" applyFill="1" applyBorder="1" applyAlignment="1">
      <alignment horizontal="center" vertical="center" wrapText="1"/>
    </xf>
    <xf numFmtId="0" fontId="26" fillId="24" borderId="14" xfId="0" applyFont="1" applyFill="1" applyBorder="1" applyAlignment="1">
      <alignment horizontal="center" vertical="center" wrapText="1"/>
    </xf>
    <xf numFmtId="0" fontId="26" fillId="24" borderId="15" xfId="0" applyFont="1" applyFill="1" applyBorder="1" applyAlignment="1">
      <alignment horizontal="center" vertical="center" wrapText="1"/>
    </xf>
    <xf numFmtId="0" fontId="26" fillId="24" borderId="16" xfId="0" applyFont="1" applyFill="1" applyBorder="1" applyAlignment="1">
      <alignment horizontal="center" vertical="center" wrapText="1"/>
    </xf>
    <xf numFmtId="0" fontId="11" fillId="2" borderId="11" xfId="0" applyFont="1" applyFill="1" applyBorder="1" applyAlignment="1">
      <alignment horizontal="center" vertical="center"/>
    </xf>
    <xf numFmtId="0" fontId="11" fillId="2" borderId="12" xfId="0" applyFont="1" applyFill="1" applyBorder="1" applyAlignment="1">
      <alignment horizontal="center" vertical="center"/>
    </xf>
    <xf numFmtId="0" fontId="11" fillId="2" borderId="5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</cellXfs>
  <cellStyles count="4">
    <cellStyle name="百分比" xfId="2" builtinId="5"/>
    <cellStyle name="常规" xfId="0" builtinId="0"/>
    <cellStyle name="常规 3" xfId="3"/>
    <cellStyle name="千位分隔" xfId="1" builtinId="3"/>
  </cellStyles>
  <dxfs count="2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/>
        <i/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江北美菜整点</a:t>
            </a:r>
            <a:r>
              <a:rPr lang="en-US" altLang="zh-CN"/>
              <a:t>BI</a:t>
            </a:r>
            <a:r>
              <a:rPr lang="zh-CN" altLang="en-US"/>
              <a:t>播报</a:t>
            </a:r>
            <a:r>
              <a:rPr lang="en-US" altLang="zh-CN"/>
              <a:t>-66</a:t>
            </a:r>
            <a:r>
              <a:rPr lang="zh-CN" altLang="en-US"/>
              <a:t>周年庆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620216497188979"/>
          <c:y val="9.9576399034654497E-2"/>
          <c:w val="0.76712304825033495"/>
          <c:h val="0.8380887012786024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城市!$B$33</c:f>
              <c:strCache>
                <c:ptCount val="1"/>
                <c:pt idx="0">
                  <c:v>6.04BI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城市!$C$31:$R$31</c:f>
              <c:strCache>
                <c:ptCount val="16"/>
                <c:pt idx="0">
                  <c:v>8点</c:v>
                </c:pt>
                <c:pt idx="1">
                  <c:v>9点</c:v>
                </c:pt>
                <c:pt idx="2">
                  <c:v>10点</c:v>
                </c:pt>
                <c:pt idx="3">
                  <c:v>11点</c:v>
                </c:pt>
                <c:pt idx="4">
                  <c:v>12点</c:v>
                </c:pt>
                <c:pt idx="5">
                  <c:v>13点</c:v>
                </c:pt>
                <c:pt idx="6">
                  <c:v>14点</c:v>
                </c:pt>
                <c:pt idx="7">
                  <c:v>15点</c:v>
                </c:pt>
                <c:pt idx="8">
                  <c:v>16点</c:v>
                </c:pt>
                <c:pt idx="9">
                  <c:v>17点</c:v>
                </c:pt>
                <c:pt idx="10">
                  <c:v>18点</c:v>
                </c:pt>
                <c:pt idx="11">
                  <c:v>19点</c:v>
                </c:pt>
                <c:pt idx="12">
                  <c:v>20定</c:v>
                </c:pt>
                <c:pt idx="13">
                  <c:v>21点</c:v>
                </c:pt>
                <c:pt idx="14">
                  <c:v>22点</c:v>
                </c:pt>
                <c:pt idx="15">
                  <c:v>23点</c:v>
                </c:pt>
              </c:strCache>
            </c:strRef>
          </c:cat>
          <c:val>
            <c:numRef>
              <c:f>城市!$C$33:$R$33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765781248"/>
        <c:axId val="765781792"/>
      </c:barChart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765781248"/>
        <c:axId val="765781792"/>
        <c:extLst>
          <c:ext xmlns:c15="http://schemas.microsoft.com/office/drawing/2012/chart" uri="{02D57815-91ED-43cb-92C2-25804820EDAC}">
            <c15:filteredB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城市!$B$40</c15:sqref>
                        </c15:formulaRef>
                      </c:ext>
                    </c:extLst>
                    <c:strCache>
                      <c:ptCount val="1"/>
                      <c:pt idx="0">
                        <c:v>6.9时段增量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城市!$C$31:$R$31</c15:sqref>
                        </c15:formulaRef>
                      </c:ext>
                    </c:extLst>
                    <c:strCache>
                      <c:ptCount val="16"/>
                      <c:pt idx="0">
                        <c:v>8点</c:v>
                      </c:pt>
                      <c:pt idx="1">
                        <c:v>9点</c:v>
                      </c:pt>
                      <c:pt idx="2">
                        <c:v>10点</c:v>
                      </c:pt>
                      <c:pt idx="3">
                        <c:v>11点</c:v>
                      </c:pt>
                      <c:pt idx="4">
                        <c:v>12点</c:v>
                      </c:pt>
                      <c:pt idx="5">
                        <c:v>13点</c:v>
                      </c:pt>
                      <c:pt idx="6">
                        <c:v>14点</c:v>
                      </c:pt>
                      <c:pt idx="7">
                        <c:v>15点</c:v>
                      </c:pt>
                      <c:pt idx="8">
                        <c:v>16点</c:v>
                      </c:pt>
                      <c:pt idx="9">
                        <c:v>17点</c:v>
                      </c:pt>
                      <c:pt idx="10">
                        <c:v>18点</c:v>
                      </c:pt>
                      <c:pt idx="11">
                        <c:v>19点</c:v>
                      </c:pt>
                      <c:pt idx="12">
                        <c:v>20定</c:v>
                      </c:pt>
                      <c:pt idx="13">
                        <c:v>21点</c:v>
                      </c:pt>
                      <c:pt idx="14">
                        <c:v>22点</c:v>
                      </c:pt>
                      <c:pt idx="15">
                        <c:v>23点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城市!$C$40:$R$40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778</c:v>
                      </c:pt>
                      <c:pt idx="1">
                        <c:v>389</c:v>
                      </c:pt>
                      <c:pt idx="2">
                        <c:v>382</c:v>
                      </c:pt>
                      <c:pt idx="3">
                        <c:v>321</c:v>
                      </c:pt>
                    </c:numCache>
                  </c:numRef>
                </c:val>
              </c15:ser>
            </c15:filteredBarSeries>
          </c:ext>
        </c:extLst>
      </c:barChart>
      <c:barChart>
        <c:barDir val="col"/>
        <c:grouping val="clustered"/>
        <c:varyColors val="0"/>
        <c:ser>
          <c:idx val="5"/>
          <c:order val="5"/>
          <c:tx>
            <c:strRef>
              <c:f>城市!$B$38</c:f>
              <c:strCache>
                <c:ptCount val="1"/>
                <c:pt idx="0">
                  <c:v>环比增量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城市!$C$31:$R$31</c:f>
              <c:strCache>
                <c:ptCount val="16"/>
                <c:pt idx="0">
                  <c:v>8点</c:v>
                </c:pt>
                <c:pt idx="1">
                  <c:v>9点</c:v>
                </c:pt>
                <c:pt idx="2">
                  <c:v>10点</c:v>
                </c:pt>
                <c:pt idx="3">
                  <c:v>11点</c:v>
                </c:pt>
                <c:pt idx="4">
                  <c:v>12点</c:v>
                </c:pt>
                <c:pt idx="5">
                  <c:v>13点</c:v>
                </c:pt>
                <c:pt idx="6">
                  <c:v>14点</c:v>
                </c:pt>
                <c:pt idx="7">
                  <c:v>15点</c:v>
                </c:pt>
                <c:pt idx="8">
                  <c:v>16点</c:v>
                </c:pt>
                <c:pt idx="9">
                  <c:v>17点</c:v>
                </c:pt>
                <c:pt idx="10">
                  <c:v>18点</c:v>
                </c:pt>
                <c:pt idx="11">
                  <c:v>19点</c:v>
                </c:pt>
                <c:pt idx="12">
                  <c:v>20定</c:v>
                </c:pt>
                <c:pt idx="13">
                  <c:v>21点</c:v>
                </c:pt>
                <c:pt idx="14">
                  <c:v>22点</c:v>
                </c:pt>
                <c:pt idx="15">
                  <c:v>23点</c:v>
                </c:pt>
              </c:strCache>
            </c:strRef>
          </c:cat>
          <c:val>
            <c:numRef>
              <c:f>城市!$C$38:$R$38</c:f>
              <c:numCache>
                <c:formatCode>General</c:formatCode>
                <c:ptCount val="16"/>
                <c:pt idx="0">
                  <c:v>778</c:v>
                </c:pt>
                <c:pt idx="1">
                  <c:v>539</c:v>
                </c:pt>
                <c:pt idx="2">
                  <c:v>405</c:v>
                </c:pt>
                <c:pt idx="3">
                  <c:v>416</c:v>
                </c:pt>
              </c:numCache>
            </c:numRef>
          </c:val>
        </c:ser>
        <c:ser>
          <c:idx val="8"/>
          <c:order val="8"/>
          <c:tx>
            <c:strRef>
              <c:f>城市!$B$41</c:f>
              <c:strCache>
                <c:ptCount val="1"/>
                <c:pt idx="0">
                  <c:v>每时段增量对比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城市!$C$31:$R$31</c:f>
              <c:strCache>
                <c:ptCount val="16"/>
                <c:pt idx="0">
                  <c:v>8点</c:v>
                </c:pt>
                <c:pt idx="1">
                  <c:v>9点</c:v>
                </c:pt>
                <c:pt idx="2">
                  <c:v>10点</c:v>
                </c:pt>
                <c:pt idx="3">
                  <c:v>11点</c:v>
                </c:pt>
                <c:pt idx="4">
                  <c:v>12点</c:v>
                </c:pt>
                <c:pt idx="5">
                  <c:v>13点</c:v>
                </c:pt>
                <c:pt idx="6">
                  <c:v>14点</c:v>
                </c:pt>
                <c:pt idx="7">
                  <c:v>15点</c:v>
                </c:pt>
                <c:pt idx="8">
                  <c:v>16点</c:v>
                </c:pt>
                <c:pt idx="9">
                  <c:v>17点</c:v>
                </c:pt>
                <c:pt idx="10">
                  <c:v>18点</c:v>
                </c:pt>
                <c:pt idx="11">
                  <c:v>19点</c:v>
                </c:pt>
                <c:pt idx="12">
                  <c:v>20定</c:v>
                </c:pt>
                <c:pt idx="13">
                  <c:v>21点</c:v>
                </c:pt>
                <c:pt idx="14">
                  <c:v>22点</c:v>
                </c:pt>
                <c:pt idx="15">
                  <c:v>23点</c:v>
                </c:pt>
              </c:strCache>
            </c:strRef>
          </c:cat>
          <c:val>
            <c:numRef>
              <c:f>城市!$C$41:$R$41</c:f>
              <c:numCache>
                <c:formatCode>General</c:formatCode>
                <c:ptCount val="16"/>
                <c:pt idx="1">
                  <c:v>-239</c:v>
                </c:pt>
                <c:pt idx="2">
                  <c:v>-134</c:v>
                </c:pt>
                <c:pt idx="3">
                  <c:v>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765782336"/>
        <c:axId val="765785600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城市!$B$35</c15:sqref>
                        </c15:formulaRef>
                      </c:ext>
                    </c:extLst>
                    <c:strCache>
                      <c:ptCount val="1"/>
                      <c:pt idx="0">
                        <c:v>6.9BI目标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城市!$C$31:$R$31</c15:sqref>
                        </c15:formulaRef>
                      </c:ext>
                    </c:extLst>
                    <c:strCache>
                      <c:ptCount val="16"/>
                      <c:pt idx="0">
                        <c:v>8点</c:v>
                      </c:pt>
                      <c:pt idx="1">
                        <c:v>9点</c:v>
                      </c:pt>
                      <c:pt idx="2">
                        <c:v>10点</c:v>
                      </c:pt>
                      <c:pt idx="3">
                        <c:v>11点</c:v>
                      </c:pt>
                      <c:pt idx="4">
                        <c:v>12点</c:v>
                      </c:pt>
                      <c:pt idx="5">
                        <c:v>13点</c:v>
                      </c:pt>
                      <c:pt idx="6">
                        <c:v>14点</c:v>
                      </c:pt>
                      <c:pt idx="7">
                        <c:v>15点</c:v>
                      </c:pt>
                      <c:pt idx="8">
                        <c:v>16点</c:v>
                      </c:pt>
                      <c:pt idx="9">
                        <c:v>17点</c:v>
                      </c:pt>
                      <c:pt idx="10">
                        <c:v>18点</c:v>
                      </c:pt>
                      <c:pt idx="11">
                        <c:v>19点</c:v>
                      </c:pt>
                      <c:pt idx="12">
                        <c:v>20定</c:v>
                      </c:pt>
                      <c:pt idx="13">
                        <c:v>21点</c:v>
                      </c:pt>
                      <c:pt idx="14">
                        <c:v>22点</c:v>
                      </c:pt>
                      <c:pt idx="15">
                        <c:v>23点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城市!$C$35:$R$35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1">
                        <c:v>682</c:v>
                      </c:pt>
                      <c:pt idx="2">
                        <c:v>1198</c:v>
                      </c:pt>
                      <c:pt idx="3">
                        <c:v>1508</c:v>
                      </c:pt>
                      <c:pt idx="4">
                        <c:v>1759</c:v>
                      </c:pt>
                      <c:pt idx="5">
                        <c:v>1831</c:v>
                      </c:pt>
                      <c:pt idx="6">
                        <c:v>1928</c:v>
                      </c:pt>
                      <c:pt idx="7">
                        <c:v>2145</c:v>
                      </c:pt>
                      <c:pt idx="8">
                        <c:v>2342</c:v>
                      </c:pt>
                      <c:pt idx="9">
                        <c:v>2544</c:v>
                      </c:pt>
                      <c:pt idx="10">
                        <c:v>2702</c:v>
                      </c:pt>
                      <c:pt idx="11">
                        <c:v>2858</c:v>
                      </c:pt>
                      <c:pt idx="12">
                        <c:v>3171</c:v>
                      </c:pt>
                      <c:pt idx="13">
                        <c:v>3628</c:v>
                      </c:pt>
                      <c:pt idx="14">
                        <c:v>4151</c:v>
                      </c:pt>
                      <c:pt idx="15">
                        <c:v>4500</c:v>
                      </c:pt>
                    </c:numCache>
                  </c:numRef>
                </c:val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城市!$B$37</c15:sqref>
                        </c15:formulaRef>
                      </c:ext>
                    </c:extLst>
                    <c:strCache>
                      <c:ptCount val="1"/>
                      <c:pt idx="0">
                        <c:v>日环比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城市!$C$31:$R$31</c15:sqref>
                        </c15:formulaRef>
                      </c:ext>
                    </c:extLst>
                    <c:strCache>
                      <c:ptCount val="16"/>
                      <c:pt idx="0">
                        <c:v>8点</c:v>
                      </c:pt>
                      <c:pt idx="1">
                        <c:v>9点</c:v>
                      </c:pt>
                      <c:pt idx="2">
                        <c:v>10点</c:v>
                      </c:pt>
                      <c:pt idx="3">
                        <c:v>11点</c:v>
                      </c:pt>
                      <c:pt idx="4">
                        <c:v>12点</c:v>
                      </c:pt>
                      <c:pt idx="5">
                        <c:v>13点</c:v>
                      </c:pt>
                      <c:pt idx="6">
                        <c:v>14点</c:v>
                      </c:pt>
                      <c:pt idx="7">
                        <c:v>15点</c:v>
                      </c:pt>
                      <c:pt idx="8">
                        <c:v>16点</c:v>
                      </c:pt>
                      <c:pt idx="9">
                        <c:v>17点</c:v>
                      </c:pt>
                      <c:pt idx="10">
                        <c:v>18点</c:v>
                      </c:pt>
                      <c:pt idx="11">
                        <c:v>19点</c:v>
                      </c:pt>
                      <c:pt idx="12">
                        <c:v>20定</c:v>
                      </c:pt>
                      <c:pt idx="13">
                        <c:v>21点</c:v>
                      </c:pt>
                      <c:pt idx="14">
                        <c:v>22点</c:v>
                      </c:pt>
                      <c:pt idx="15">
                        <c:v>23点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城市!$C$37:$R$37</c15:sqref>
                        </c15:formulaRef>
                      </c:ext>
                    </c:extLst>
                    <c:numCache>
                      <c:formatCode>0%</c:formatCode>
                      <c:ptCount val="16"/>
                      <c:pt idx="1">
                        <c:v>13.23</c:v>
                      </c:pt>
                      <c:pt idx="2">
                        <c:v>9.1199999999999992</c:v>
                      </c:pt>
                      <c:pt idx="3">
                        <c:v>7.02</c:v>
                      </c:pt>
                    </c:numCache>
                  </c:numRef>
                </c:val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城市!$B$39</c15:sqref>
                        </c15:formulaRef>
                      </c:ext>
                    </c:extLst>
                    <c:strCache>
                      <c:ptCount val="1"/>
                      <c:pt idx="0">
                        <c:v>6.6时段增量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城市!$C$31:$R$31</c15:sqref>
                        </c15:formulaRef>
                      </c:ext>
                    </c:extLst>
                    <c:strCache>
                      <c:ptCount val="16"/>
                      <c:pt idx="0">
                        <c:v>8点</c:v>
                      </c:pt>
                      <c:pt idx="1">
                        <c:v>9点</c:v>
                      </c:pt>
                      <c:pt idx="2">
                        <c:v>10点</c:v>
                      </c:pt>
                      <c:pt idx="3">
                        <c:v>11点</c:v>
                      </c:pt>
                      <c:pt idx="4">
                        <c:v>12点</c:v>
                      </c:pt>
                      <c:pt idx="5">
                        <c:v>13点</c:v>
                      </c:pt>
                      <c:pt idx="6">
                        <c:v>14点</c:v>
                      </c:pt>
                      <c:pt idx="7">
                        <c:v>15点</c:v>
                      </c:pt>
                      <c:pt idx="8">
                        <c:v>16点</c:v>
                      </c:pt>
                      <c:pt idx="9">
                        <c:v>17点</c:v>
                      </c:pt>
                      <c:pt idx="10">
                        <c:v>18点</c:v>
                      </c:pt>
                      <c:pt idx="11">
                        <c:v>19点</c:v>
                      </c:pt>
                      <c:pt idx="12">
                        <c:v>20定</c:v>
                      </c:pt>
                      <c:pt idx="13">
                        <c:v>21点</c:v>
                      </c:pt>
                      <c:pt idx="14">
                        <c:v>22点</c:v>
                      </c:pt>
                      <c:pt idx="15">
                        <c:v>23点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城市!$C$39:$R$39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1">
                        <c:v>628</c:v>
                      </c:pt>
                      <c:pt idx="2">
                        <c:v>516</c:v>
                      </c:pt>
                      <c:pt idx="3">
                        <c:v>310</c:v>
                      </c:pt>
                      <c:pt idx="4">
                        <c:v>251</c:v>
                      </c:pt>
                      <c:pt idx="5">
                        <c:v>72</c:v>
                      </c:pt>
                      <c:pt idx="6">
                        <c:v>97</c:v>
                      </c:pt>
                      <c:pt idx="7">
                        <c:v>217</c:v>
                      </c:pt>
                      <c:pt idx="8">
                        <c:v>197</c:v>
                      </c:pt>
                      <c:pt idx="9">
                        <c:v>202</c:v>
                      </c:pt>
                      <c:pt idx="10">
                        <c:v>158</c:v>
                      </c:pt>
                      <c:pt idx="11">
                        <c:v>156</c:v>
                      </c:pt>
                      <c:pt idx="12">
                        <c:v>313</c:v>
                      </c:pt>
                      <c:pt idx="13">
                        <c:v>457</c:v>
                      </c:pt>
                      <c:pt idx="14">
                        <c:v>523</c:v>
                      </c:pt>
                      <c:pt idx="15">
                        <c:v>349</c:v>
                      </c:pt>
                    </c:numCache>
                  </c:numRef>
                </c:val>
              </c15:ser>
            </c15:filteredBarSeries>
          </c:ext>
        </c:extLst>
      </c:barChart>
      <c:lineChart>
        <c:grouping val="standard"/>
        <c:varyColors val="0"/>
        <c:ser>
          <c:idx val="1"/>
          <c:order val="1"/>
          <c:tx>
            <c:strRef>
              <c:f>城市!$B$34</c:f>
              <c:strCache>
                <c:ptCount val="1"/>
                <c:pt idx="0">
                  <c:v>6.6BI实际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城市!$C$31:$R$31</c:f>
              <c:strCache>
                <c:ptCount val="16"/>
                <c:pt idx="0">
                  <c:v>8点</c:v>
                </c:pt>
                <c:pt idx="1">
                  <c:v>9点</c:v>
                </c:pt>
                <c:pt idx="2">
                  <c:v>10点</c:v>
                </c:pt>
                <c:pt idx="3">
                  <c:v>11点</c:v>
                </c:pt>
                <c:pt idx="4">
                  <c:v>12点</c:v>
                </c:pt>
                <c:pt idx="5">
                  <c:v>13点</c:v>
                </c:pt>
                <c:pt idx="6">
                  <c:v>14点</c:v>
                </c:pt>
                <c:pt idx="7">
                  <c:v>15点</c:v>
                </c:pt>
                <c:pt idx="8">
                  <c:v>16点</c:v>
                </c:pt>
                <c:pt idx="9">
                  <c:v>17点</c:v>
                </c:pt>
                <c:pt idx="10">
                  <c:v>18点</c:v>
                </c:pt>
                <c:pt idx="11">
                  <c:v>19点</c:v>
                </c:pt>
                <c:pt idx="12">
                  <c:v>20定</c:v>
                </c:pt>
                <c:pt idx="13">
                  <c:v>21点</c:v>
                </c:pt>
                <c:pt idx="14">
                  <c:v>22点</c:v>
                </c:pt>
                <c:pt idx="15">
                  <c:v>23点</c:v>
                </c:pt>
              </c:strCache>
            </c:strRef>
          </c:cat>
          <c:val>
            <c:numRef>
              <c:f>城市!$C$34:$R$34</c:f>
              <c:numCache>
                <c:formatCode>General</c:formatCode>
                <c:ptCount val="16"/>
                <c:pt idx="0">
                  <c:v>0</c:v>
                </c:pt>
                <c:pt idx="1">
                  <c:v>628</c:v>
                </c:pt>
                <c:pt idx="2">
                  <c:v>1144</c:v>
                </c:pt>
                <c:pt idx="3">
                  <c:v>1454</c:v>
                </c:pt>
                <c:pt idx="4">
                  <c:v>1705</c:v>
                </c:pt>
                <c:pt idx="5">
                  <c:v>1777</c:v>
                </c:pt>
                <c:pt idx="6">
                  <c:v>1874</c:v>
                </c:pt>
                <c:pt idx="7">
                  <c:v>2091</c:v>
                </c:pt>
                <c:pt idx="8">
                  <c:v>2288</c:v>
                </c:pt>
                <c:pt idx="9">
                  <c:v>2490</c:v>
                </c:pt>
                <c:pt idx="10">
                  <c:v>2648</c:v>
                </c:pt>
                <c:pt idx="11">
                  <c:v>2804</c:v>
                </c:pt>
                <c:pt idx="12">
                  <c:v>3117</c:v>
                </c:pt>
                <c:pt idx="13">
                  <c:v>3574</c:v>
                </c:pt>
                <c:pt idx="14">
                  <c:v>4097</c:v>
                </c:pt>
                <c:pt idx="15">
                  <c:v>4446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城市!$B$36</c:f>
              <c:strCache>
                <c:ptCount val="1"/>
                <c:pt idx="0">
                  <c:v>6.9BI实际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城市!$C$31:$R$31</c:f>
              <c:strCache>
                <c:ptCount val="16"/>
                <c:pt idx="0">
                  <c:v>8点</c:v>
                </c:pt>
                <c:pt idx="1">
                  <c:v>9点</c:v>
                </c:pt>
                <c:pt idx="2">
                  <c:v>10点</c:v>
                </c:pt>
                <c:pt idx="3">
                  <c:v>11点</c:v>
                </c:pt>
                <c:pt idx="4">
                  <c:v>12点</c:v>
                </c:pt>
                <c:pt idx="5">
                  <c:v>13点</c:v>
                </c:pt>
                <c:pt idx="6">
                  <c:v>14点</c:v>
                </c:pt>
                <c:pt idx="7">
                  <c:v>15点</c:v>
                </c:pt>
                <c:pt idx="8">
                  <c:v>16点</c:v>
                </c:pt>
                <c:pt idx="9">
                  <c:v>17点</c:v>
                </c:pt>
                <c:pt idx="10">
                  <c:v>18点</c:v>
                </c:pt>
                <c:pt idx="11">
                  <c:v>19点</c:v>
                </c:pt>
                <c:pt idx="12">
                  <c:v>20定</c:v>
                </c:pt>
                <c:pt idx="13">
                  <c:v>21点</c:v>
                </c:pt>
                <c:pt idx="14">
                  <c:v>22点</c:v>
                </c:pt>
                <c:pt idx="15">
                  <c:v>23点</c:v>
                </c:pt>
              </c:strCache>
            </c:strRef>
          </c:cat>
          <c:val>
            <c:numRef>
              <c:f>城市!$C$36:$R$36</c:f>
              <c:numCache>
                <c:formatCode>General</c:formatCode>
                <c:ptCount val="16"/>
                <c:pt idx="0">
                  <c:v>778</c:v>
                </c:pt>
                <c:pt idx="1">
                  <c:v>1167</c:v>
                </c:pt>
                <c:pt idx="2">
                  <c:v>1549</c:v>
                </c:pt>
                <c:pt idx="3">
                  <c:v>1870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5781248"/>
        <c:axId val="765781792"/>
      </c:lineChart>
      <c:catAx>
        <c:axId val="765781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5781792"/>
        <c:crosses val="autoZero"/>
        <c:auto val="1"/>
        <c:lblAlgn val="ctr"/>
        <c:lblOffset val="100"/>
        <c:noMultiLvlLbl val="0"/>
      </c:catAx>
      <c:valAx>
        <c:axId val="765781792"/>
        <c:scaling>
          <c:orientation val="minMax"/>
          <c:max val="4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5781248"/>
        <c:crosses val="autoZero"/>
        <c:crossBetween val="between"/>
      </c:valAx>
      <c:valAx>
        <c:axId val="765785600"/>
        <c:scaling>
          <c:orientation val="minMax"/>
          <c:max val="45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5782336"/>
        <c:crosses val="max"/>
        <c:crossBetween val="between"/>
      </c:valAx>
      <c:catAx>
        <c:axId val="7657823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657856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61912</xdr:rowOff>
    </xdr:from>
    <xdr:to>
      <xdr:col>18</xdr:col>
      <xdr:colOff>609599</xdr:colOff>
      <xdr:row>29</xdr:row>
      <xdr:rowOff>133350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J75"/>
  <sheetViews>
    <sheetView tabSelected="1" topLeftCell="A43" workbookViewId="0">
      <selection activeCell="A42" sqref="A2:S42"/>
    </sheetView>
  </sheetViews>
  <sheetFormatPr defaultRowHeight="16.5" customHeight="1" x14ac:dyDescent="0.15"/>
  <cols>
    <col min="1" max="1" width="4.75" style="51" customWidth="1"/>
    <col min="2" max="2" width="12.875" style="1" customWidth="1"/>
    <col min="3" max="3" width="5.375" customWidth="1"/>
    <col min="4" max="4" width="5.125" customWidth="1"/>
    <col min="5" max="5" width="5.5" customWidth="1"/>
    <col min="6" max="15" width="5.125" customWidth="1"/>
    <col min="16" max="16" width="5.5" style="1" customWidth="1"/>
    <col min="17" max="17" width="7" style="1" customWidth="1"/>
    <col min="18" max="18" width="5.5" style="1" bestFit="1" customWidth="1"/>
    <col min="19" max="21" width="8.25" customWidth="1"/>
  </cols>
  <sheetData>
    <row r="1" spans="2:36" ht="13.5" x14ac:dyDescent="0.15">
      <c r="B1" s="49" t="s">
        <v>199</v>
      </c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1"/>
      <c r="Q1" s="5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</row>
    <row r="2" spans="2:36" ht="13.5" x14ac:dyDescent="0.15"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</row>
    <row r="3" spans="2:36" ht="13.5" x14ac:dyDescent="0.15">
      <c r="B3" s="51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1"/>
      <c r="Q3" s="5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2:36" ht="13.5" x14ac:dyDescent="0.15">
      <c r="B4" s="51"/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1"/>
      <c r="Q4" s="5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</row>
    <row r="5" spans="2:36" ht="13.5" x14ac:dyDescent="0.15">
      <c r="B5" s="51"/>
      <c r="C5" s="50"/>
      <c r="D5" s="50"/>
      <c r="E5" s="50"/>
      <c r="F5" s="50"/>
      <c r="G5" s="50"/>
      <c r="H5" s="50"/>
      <c r="I5" s="50"/>
      <c r="J5" s="50"/>
      <c r="K5" s="50"/>
      <c r="L5" s="50"/>
      <c r="M5" s="50"/>
      <c r="N5" s="50"/>
      <c r="O5" s="50"/>
      <c r="P5" s="51"/>
      <c r="Q5" s="5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</row>
    <row r="6" spans="2:36" ht="13.5" x14ac:dyDescent="0.15">
      <c r="B6" s="51"/>
      <c r="C6" s="50"/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1"/>
      <c r="Q6" s="5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</row>
    <row r="7" spans="2:36" ht="13.5" x14ac:dyDescent="0.15">
      <c r="B7" s="51"/>
      <c r="C7" s="50"/>
      <c r="D7" s="50"/>
      <c r="E7" s="50"/>
      <c r="F7" s="50"/>
      <c r="G7" s="50"/>
      <c r="H7" s="50"/>
      <c r="I7" s="50"/>
      <c r="J7" s="50"/>
      <c r="K7" s="50"/>
      <c r="L7" s="50"/>
      <c r="M7" s="50"/>
      <c r="N7" s="50"/>
      <c r="O7" s="50"/>
      <c r="P7" s="51"/>
      <c r="Q7" s="5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</row>
    <row r="8" spans="2:36" ht="13.5" x14ac:dyDescent="0.15">
      <c r="B8" s="51"/>
      <c r="C8" s="50"/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P8" s="51"/>
      <c r="Q8" s="5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</row>
    <row r="9" spans="2:36" ht="13.5" x14ac:dyDescent="0.15">
      <c r="B9" s="51"/>
      <c r="C9" s="50"/>
      <c r="D9" s="50"/>
      <c r="E9" s="50"/>
      <c r="F9" s="50"/>
      <c r="G9" s="50"/>
      <c r="H9" s="50"/>
      <c r="I9" s="50"/>
      <c r="J9" s="50"/>
      <c r="K9" s="50"/>
      <c r="L9" s="50"/>
      <c r="M9" s="50"/>
      <c r="N9" s="50"/>
      <c r="O9" s="50"/>
      <c r="P9" s="51"/>
      <c r="Q9" s="5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</row>
    <row r="10" spans="2:36" ht="13.5" x14ac:dyDescent="0.15">
      <c r="B10" s="51"/>
      <c r="C10" s="50"/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1"/>
      <c r="Q10" s="5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</row>
    <row r="11" spans="2:36" ht="13.5" x14ac:dyDescent="0.15">
      <c r="B11" s="51"/>
      <c r="C11" s="50"/>
      <c r="D11" s="50"/>
      <c r="E11" s="50"/>
      <c r="F11" s="50"/>
      <c r="G11" s="50"/>
      <c r="H11" s="50"/>
      <c r="I11" s="50"/>
      <c r="J11" s="50"/>
      <c r="K11" s="50"/>
      <c r="L11" s="50"/>
      <c r="M11" s="50"/>
      <c r="N11" s="50"/>
      <c r="O11" s="50"/>
      <c r="P11" s="51"/>
      <c r="Q11" s="5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</row>
    <row r="12" spans="2:36" ht="13.5" x14ac:dyDescent="0.15">
      <c r="B12" s="51"/>
      <c r="C12" s="50"/>
      <c r="D12" s="50"/>
      <c r="E12" s="50"/>
      <c r="F12" s="50"/>
      <c r="G12" s="50"/>
      <c r="H12" s="50"/>
      <c r="I12" s="50"/>
      <c r="J12" s="50"/>
      <c r="K12" s="50"/>
      <c r="L12" s="50"/>
      <c r="M12" s="50"/>
      <c r="N12" s="50"/>
      <c r="O12" s="50"/>
      <c r="P12" s="51"/>
      <c r="Q12" s="5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</row>
    <row r="13" spans="2:36" ht="13.5" x14ac:dyDescent="0.15">
      <c r="B13" s="51"/>
      <c r="C13" s="50"/>
      <c r="D13" s="50"/>
      <c r="E13" s="50"/>
      <c r="F13" s="50"/>
      <c r="G13" s="50"/>
      <c r="H13" s="50"/>
      <c r="I13" s="50"/>
      <c r="J13" s="50"/>
      <c r="K13" s="50"/>
      <c r="L13" s="50"/>
      <c r="M13" s="50"/>
      <c r="N13" s="50"/>
      <c r="O13" s="50"/>
      <c r="P13" s="51"/>
      <c r="Q13" s="5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</row>
    <row r="14" spans="2:36" ht="13.5" x14ac:dyDescent="0.15">
      <c r="B14" s="51"/>
      <c r="C14" s="50"/>
      <c r="D14" s="50"/>
      <c r="E14" s="50"/>
      <c r="F14" s="50"/>
      <c r="G14" s="50"/>
      <c r="H14" s="50"/>
      <c r="I14" s="50"/>
      <c r="J14" s="50"/>
      <c r="K14" s="50"/>
      <c r="L14" s="50"/>
      <c r="M14" s="50"/>
      <c r="N14" s="50"/>
      <c r="O14" s="50"/>
      <c r="P14" s="51"/>
      <c r="Q14" s="5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</row>
    <row r="15" spans="2:36" ht="13.5" x14ac:dyDescent="0.15">
      <c r="B15" s="51"/>
      <c r="C15" s="50"/>
      <c r="D15" s="50"/>
      <c r="E15" s="50"/>
      <c r="F15" s="50"/>
      <c r="G15" s="50"/>
      <c r="H15" s="50"/>
      <c r="I15" s="50"/>
      <c r="J15" s="50"/>
      <c r="K15" s="50"/>
      <c r="L15" s="50"/>
      <c r="M15" s="50"/>
      <c r="N15" s="50"/>
      <c r="O15" s="50"/>
      <c r="P15" s="51"/>
      <c r="Q15" s="5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</row>
    <row r="16" spans="2:36" ht="13.5" x14ac:dyDescent="0.15">
      <c r="B16" s="51"/>
      <c r="C16" s="50"/>
      <c r="D16" s="50"/>
      <c r="E16" s="50"/>
      <c r="F16" s="50"/>
      <c r="G16" s="50"/>
      <c r="H16" s="50"/>
      <c r="I16" s="50"/>
      <c r="J16" s="50"/>
      <c r="K16" s="50"/>
      <c r="L16" s="50"/>
      <c r="M16" s="50"/>
      <c r="N16" s="50"/>
      <c r="O16" s="50"/>
      <c r="P16" s="51"/>
      <c r="Q16" s="5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</row>
    <row r="17" spans="1:36" ht="13.5" x14ac:dyDescent="0.15">
      <c r="B17" s="51"/>
      <c r="C17" s="50"/>
      <c r="D17" s="50"/>
      <c r="E17" s="50"/>
      <c r="F17" s="50"/>
      <c r="G17" s="50"/>
      <c r="H17" s="50"/>
      <c r="I17" s="50"/>
      <c r="J17" s="50"/>
      <c r="K17" s="50"/>
      <c r="L17" s="50"/>
      <c r="M17" s="50"/>
      <c r="N17" s="50"/>
      <c r="O17" s="50"/>
      <c r="P17" s="51"/>
      <c r="Q17" s="5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</row>
    <row r="18" spans="1:36" ht="13.5" x14ac:dyDescent="0.15">
      <c r="B18" s="51"/>
      <c r="C18" s="50"/>
      <c r="D18" s="50"/>
      <c r="E18" s="50"/>
      <c r="F18" s="50"/>
      <c r="G18" s="50"/>
      <c r="H18" s="50"/>
      <c r="I18" s="50"/>
      <c r="J18" s="50"/>
      <c r="K18" s="50"/>
      <c r="L18" s="50"/>
      <c r="M18" s="50"/>
      <c r="N18" s="50"/>
      <c r="O18" s="50"/>
      <c r="P18" s="51"/>
      <c r="Q18" s="5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</row>
    <row r="19" spans="1:36" ht="13.5" x14ac:dyDescent="0.15">
      <c r="B19" s="51"/>
      <c r="C19" s="50"/>
      <c r="D19" s="50"/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0"/>
      <c r="P19" s="51"/>
      <c r="Q19" s="5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</row>
    <row r="20" spans="1:36" ht="13.5" x14ac:dyDescent="0.15">
      <c r="B20" s="51"/>
      <c r="C20" s="50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1"/>
      <c r="Q20" s="5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</row>
    <row r="21" spans="1:36" ht="13.5" x14ac:dyDescent="0.15">
      <c r="B21" s="51"/>
      <c r="C21" s="50"/>
      <c r="D21" s="50"/>
      <c r="E21" s="50"/>
      <c r="F21" s="50"/>
      <c r="G21" s="50"/>
      <c r="H21" s="50"/>
      <c r="I21" s="50"/>
      <c r="J21" s="50"/>
      <c r="K21" s="50"/>
      <c r="L21" s="50"/>
      <c r="M21" s="50"/>
      <c r="N21" s="50"/>
      <c r="O21" s="50"/>
      <c r="P21" s="51"/>
      <c r="Q21" s="5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</row>
    <row r="22" spans="1:36" ht="13.5" x14ac:dyDescent="0.15">
      <c r="B22" s="51"/>
      <c r="C22" s="50"/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1"/>
      <c r="Q22" s="5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</row>
    <row r="23" spans="1:36" ht="13.5" x14ac:dyDescent="0.15">
      <c r="B23" s="51"/>
      <c r="C23" s="50"/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1"/>
      <c r="Q23" s="5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</row>
    <row r="24" spans="1:36" ht="13.5" x14ac:dyDescent="0.15">
      <c r="B24" s="51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1"/>
      <c r="Q24" s="5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</row>
    <row r="25" spans="1:36" ht="13.5" x14ac:dyDescent="0.15">
      <c r="B25" s="51"/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1"/>
      <c r="Q25" s="5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</row>
    <row r="26" spans="1:36" ht="13.5" x14ac:dyDescent="0.15">
      <c r="B26" s="51"/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1"/>
      <c r="Q26" s="5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</row>
    <row r="27" spans="1:36" ht="13.5" x14ac:dyDescent="0.15">
      <c r="B27" s="51"/>
      <c r="C27" s="50"/>
      <c r="D27" s="50"/>
      <c r="E27" s="50"/>
      <c r="F27" s="50"/>
      <c r="G27" s="50"/>
      <c r="H27" s="50"/>
      <c r="I27" s="50"/>
      <c r="J27" s="50"/>
      <c r="K27" s="50"/>
      <c r="L27" s="50"/>
      <c r="M27" s="50"/>
      <c r="N27" s="50"/>
      <c r="O27" s="50"/>
      <c r="P27" s="51"/>
      <c r="Q27" s="5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</row>
    <row r="28" spans="1:36" ht="13.5" x14ac:dyDescent="0.15">
      <c r="B28" s="51"/>
      <c r="C28" s="50"/>
      <c r="D28" s="50"/>
      <c r="E28" s="50"/>
      <c r="F28" s="50"/>
      <c r="G28" s="50"/>
      <c r="H28" s="50"/>
      <c r="I28" s="50"/>
      <c r="J28" s="50"/>
      <c r="K28" s="50"/>
      <c r="L28" s="50"/>
      <c r="M28" s="50"/>
      <c r="N28" s="50"/>
      <c r="O28" s="50"/>
      <c r="P28" s="51"/>
      <c r="Q28" s="5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</row>
    <row r="29" spans="1:36" ht="13.5" x14ac:dyDescent="0.15">
      <c r="B29" s="51"/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1"/>
      <c r="Q29" s="51"/>
    </row>
    <row r="30" spans="1:36" ht="13.5" x14ac:dyDescent="0.15">
      <c r="B30" s="51"/>
      <c r="C30" s="50"/>
      <c r="D30" s="50"/>
      <c r="E30" s="50"/>
      <c r="F30" s="50"/>
      <c r="G30" s="50"/>
      <c r="H30" s="50"/>
      <c r="I30" s="50"/>
      <c r="J30" s="50"/>
      <c r="K30" s="50"/>
      <c r="L30" s="50"/>
      <c r="M30" s="50"/>
      <c r="N30" s="50"/>
      <c r="O30" s="50"/>
      <c r="P30" s="51"/>
      <c r="Q30" s="51"/>
    </row>
    <row r="31" spans="1:36" s="122" customFormat="1" ht="13.5" x14ac:dyDescent="0.15">
      <c r="A31" s="119" t="s">
        <v>278</v>
      </c>
      <c r="B31" s="119" t="s">
        <v>200</v>
      </c>
      <c r="C31" s="119" t="s">
        <v>273</v>
      </c>
      <c r="D31" s="119" t="s">
        <v>201</v>
      </c>
      <c r="E31" s="119" t="s">
        <v>202</v>
      </c>
      <c r="F31" s="119" t="s">
        <v>203</v>
      </c>
      <c r="G31" s="119" t="s">
        <v>204</v>
      </c>
      <c r="H31" s="119" t="s">
        <v>205</v>
      </c>
      <c r="I31" s="119" t="s">
        <v>206</v>
      </c>
      <c r="J31" s="119" t="s">
        <v>207</v>
      </c>
      <c r="K31" s="119" t="s">
        <v>208</v>
      </c>
      <c r="L31" s="119" t="s">
        <v>209</v>
      </c>
      <c r="M31" s="119" t="s">
        <v>210</v>
      </c>
      <c r="N31" s="119" t="s">
        <v>211</v>
      </c>
      <c r="O31" s="119" t="s">
        <v>212</v>
      </c>
      <c r="P31" s="119" t="s">
        <v>213</v>
      </c>
      <c r="Q31" s="119" t="s">
        <v>214</v>
      </c>
      <c r="R31" s="119" t="s">
        <v>215</v>
      </c>
      <c r="S31" s="120" t="s">
        <v>228</v>
      </c>
      <c r="T31" s="121"/>
      <c r="U31" s="121"/>
      <c r="X31" s="121"/>
      <c r="Y31" s="121"/>
    </row>
    <row r="32" spans="1:36" s="122" customFormat="1" ht="22.5" hidden="1" customHeight="1" x14ac:dyDescent="0.15">
      <c r="A32" s="53"/>
      <c r="B32" s="71" t="s">
        <v>282</v>
      </c>
      <c r="C32" s="71"/>
      <c r="D32" s="66">
        <v>382</v>
      </c>
      <c r="E32" s="66">
        <v>605</v>
      </c>
      <c r="F32" s="66">
        <v>885</v>
      </c>
      <c r="G32" s="66">
        <v>1130</v>
      </c>
      <c r="H32" s="66">
        <v>1230</v>
      </c>
      <c r="I32" s="66">
        <v>1325</v>
      </c>
      <c r="J32" s="66">
        <v>1568</v>
      </c>
      <c r="K32" s="66">
        <v>1766</v>
      </c>
      <c r="L32" s="66">
        <v>1963</v>
      </c>
      <c r="M32" s="66">
        <v>2180</v>
      </c>
      <c r="N32" s="66">
        <v>2379</v>
      </c>
      <c r="O32" s="66">
        <v>2720</v>
      </c>
      <c r="P32" s="66">
        <v>3157</v>
      </c>
      <c r="Q32" s="66">
        <v>3724</v>
      </c>
      <c r="R32" s="66">
        <v>4129</v>
      </c>
      <c r="S32" s="120"/>
      <c r="T32" s="120"/>
      <c r="U32" s="120"/>
      <c r="V32" s="121"/>
      <c r="W32" s="121"/>
      <c r="Z32" s="121"/>
      <c r="AA32" s="121"/>
    </row>
    <row r="33" spans="1:23" ht="18.75" hidden="1" customHeight="1" x14ac:dyDescent="0.15">
      <c r="A33" s="53"/>
      <c r="B33" s="53" t="s">
        <v>216</v>
      </c>
      <c r="C33" s="53"/>
      <c r="D33" s="53">
        <v>182</v>
      </c>
      <c r="E33" s="53">
        <v>405</v>
      </c>
      <c r="F33" s="53">
        <v>685</v>
      </c>
      <c r="G33" s="53">
        <v>930</v>
      </c>
      <c r="H33" s="53">
        <v>1030</v>
      </c>
      <c r="I33" s="53">
        <v>1125</v>
      </c>
      <c r="J33" s="53">
        <v>1292</v>
      </c>
      <c r="K33" s="53">
        <v>1292</v>
      </c>
      <c r="L33" s="53">
        <v>1404</v>
      </c>
      <c r="M33" s="53">
        <v>1591</v>
      </c>
      <c r="N33" s="53">
        <v>1707</v>
      </c>
      <c r="O33" s="53">
        <v>2031</v>
      </c>
      <c r="P33" s="53">
        <v>2573</v>
      </c>
      <c r="Q33" s="53">
        <v>3040</v>
      </c>
      <c r="R33" s="53">
        <v>3580</v>
      </c>
      <c r="S33" s="51"/>
      <c r="T33" s="1"/>
      <c r="U33" s="1"/>
    </row>
    <row r="34" spans="1:23" ht="18.75" customHeight="1" x14ac:dyDescent="0.15">
      <c r="A34" s="140" t="s">
        <v>279</v>
      </c>
      <c r="B34" s="71" t="s">
        <v>217</v>
      </c>
      <c r="C34" s="71">
        <v>0</v>
      </c>
      <c r="D34" s="66">
        <v>628</v>
      </c>
      <c r="E34" s="66">
        <v>1144</v>
      </c>
      <c r="F34" s="66">
        <v>1454</v>
      </c>
      <c r="G34" s="66">
        <v>1705</v>
      </c>
      <c r="H34" s="66">
        <v>1777</v>
      </c>
      <c r="I34" s="66">
        <v>1874</v>
      </c>
      <c r="J34" s="66">
        <v>2091</v>
      </c>
      <c r="K34" s="66">
        <v>2288</v>
      </c>
      <c r="L34" s="66">
        <v>2490</v>
      </c>
      <c r="M34" s="66">
        <v>2648</v>
      </c>
      <c r="N34" s="66">
        <v>2804</v>
      </c>
      <c r="O34" s="66">
        <v>3117</v>
      </c>
      <c r="P34" s="66">
        <v>3574</v>
      </c>
      <c r="Q34" s="66">
        <v>4097</v>
      </c>
      <c r="R34" s="66">
        <v>4446</v>
      </c>
      <c r="S34" s="51"/>
      <c r="T34" s="1"/>
      <c r="U34" s="1"/>
    </row>
    <row r="35" spans="1:23" s="64" customFormat="1" ht="22.5" customHeight="1" x14ac:dyDescent="0.15">
      <c r="A35" s="141"/>
      <c r="B35" s="69" t="s">
        <v>267</v>
      </c>
      <c r="C35" s="69"/>
      <c r="D35" s="55">
        <f>D34+54</f>
        <v>682</v>
      </c>
      <c r="E35" s="55">
        <f t="shared" ref="E35:R35" si="0">E34+54</f>
        <v>1198</v>
      </c>
      <c r="F35" s="55">
        <f t="shared" si="0"/>
        <v>1508</v>
      </c>
      <c r="G35" s="55">
        <f t="shared" si="0"/>
        <v>1759</v>
      </c>
      <c r="H35" s="55">
        <f t="shared" si="0"/>
        <v>1831</v>
      </c>
      <c r="I35" s="55">
        <f t="shared" si="0"/>
        <v>1928</v>
      </c>
      <c r="J35" s="55">
        <f t="shared" si="0"/>
        <v>2145</v>
      </c>
      <c r="K35" s="55">
        <f t="shared" si="0"/>
        <v>2342</v>
      </c>
      <c r="L35" s="55">
        <f t="shared" si="0"/>
        <v>2544</v>
      </c>
      <c r="M35" s="55">
        <f t="shared" si="0"/>
        <v>2702</v>
      </c>
      <c r="N35" s="55">
        <f t="shared" si="0"/>
        <v>2858</v>
      </c>
      <c r="O35" s="55">
        <f t="shared" si="0"/>
        <v>3171</v>
      </c>
      <c r="P35" s="55">
        <f t="shared" si="0"/>
        <v>3628</v>
      </c>
      <c r="Q35" s="55">
        <f t="shared" si="0"/>
        <v>4151</v>
      </c>
      <c r="R35" s="55">
        <f t="shared" si="0"/>
        <v>4500</v>
      </c>
      <c r="S35" s="68"/>
      <c r="T35" s="1"/>
    </row>
    <row r="36" spans="1:23" ht="17.25" customHeight="1" x14ac:dyDescent="0.15">
      <c r="A36" s="134" t="s">
        <v>281</v>
      </c>
      <c r="B36" s="70" t="s">
        <v>268</v>
      </c>
      <c r="C36" s="70">
        <v>778</v>
      </c>
      <c r="D36" s="54">
        <v>1167</v>
      </c>
      <c r="E36" s="54">
        <v>1549</v>
      </c>
      <c r="F36" s="54">
        <v>1870</v>
      </c>
      <c r="G36" s="54"/>
      <c r="H36" s="54"/>
      <c r="I36" s="54"/>
      <c r="J36" s="54"/>
      <c r="K36" s="54"/>
      <c r="L36" s="54"/>
      <c r="M36" s="54"/>
      <c r="N36" s="54"/>
      <c r="O36" s="54"/>
      <c r="P36" s="54"/>
      <c r="Q36" s="54"/>
      <c r="R36" s="54"/>
      <c r="S36" s="51" t="s">
        <v>221</v>
      </c>
      <c r="T36" s="1">
        <f>4500-R36</f>
        <v>4500</v>
      </c>
      <c r="U36" s="1"/>
    </row>
    <row r="37" spans="1:23" ht="17.25" customHeight="1" x14ac:dyDescent="0.15">
      <c r="A37" s="135"/>
      <c r="B37" s="71" t="s">
        <v>219</v>
      </c>
      <c r="C37" s="71"/>
      <c r="D37" s="67">
        <v>13.23</v>
      </c>
      <c r="E37" s="67">
        <v>9.1199999999999992</v>
      </c>
      <c r="F37" s="67">
        <v>7.02</v>
      </c>
      <c r="G37" s="67"/>
      <c r="H37" s="67"/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51" t="s">
        <v>222</v>
      </c>
      <c r="T37" s="1"/>
      <c r="U37" s="1"/>
    </row>
    <row r="38" spans="1:23" ht="16.5" customHeight="1" x14ac:dyDescent="0.15">
      <c r="A38" s="136"/>
      <c r="B38" s="72" t="s">
        <v>218</v>
      </c>
      <c r="C38" s="72">
        <f>C36-C34</f>
        <v>778</v>
      </c>
      <c r="D38" s="65">
        <f>D36-D34</f>
        <v>539</v>
      </c>
      <c r="E38" s="65">
        <f>E36-E34</f>
        <v>405</v>
      </c>
      <c r="F38" s="65">
        <f>F36-F34</f>
        <v>416</v>
      </c>
      <c r="G38" s="65"/>
      <c r="H38" s="65"/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51" t="s">
        <v>223</v>
      </c>
      <c r="T38" s="1"/>
    </row>
    <row r="39" spans="1:23" ht="16.5" customHeight="1" x14ac:dyDescent="0.15">
      <c r="A39" s="137" t="s">
        <v>280</v>
      </c>
      <c r="B39" s="69" t="s">
        <v>220</v>
      </c>
      <c r="C39" s="69"/>
      <c r="D39" s="55">
        <f>D34</f>
        <v>628</v>
      </c>
      <c r="E39" s="55">
        <f>E34-D34</f>
        <v>516</v>
      </c>
      <c r="F39" s="55">
        <f>F34-E34</f>
        <v>310</v>
      </c>
      <c r="G39" s="55">
        <f t="shared" ref="F39:R39" si="1">G34-F34</f>
        <v>251</v>
      </c>
      <c r="H39" s="55">
        <f t="shared" si="1"/>
        <v>72</v>
      </c>
      <c r="I39" s="55">
        <f t="shared" si="1"/>
        <v>97</v>
      </c>
      <c r="J39" s="55">
        <f t="shared" si="1"/>
        <v>217</v>
      </c>
      <c r="K39" s="55">
        <f t="shared" si="1"/>
        <v>197</v>
      </c>
      <c r="L39" s="55">
        <f t="shared" si="1"/>
        <v>202</v>
      </c>
      <c r="M39" s="55">
        <f t="shared" si="1"/>
        <v>158</v>
      </c>
      <c r="N39" s="55">
        <f t="shared" si="1"/>
        <v>156</v>
      </c>
      <c r="O39" s="55">
        <f t="shared" si="1"/>
        <v>313</v>
      </c>
      <c r="P39" s="55">
        <f t="shared" si="1"/>
        <v>457</v>
      </c>
      <c r="Q39" s="55">
        <f t="shared" si="1"/>
        <v>523</v>
      </c>
      <c r="R39" s="55">
        <f t="shared" si="1"/>
        <v>349</v>
      </c>
      <c r="S39" s="51" t="s">
        <v>223</v>
      </c>
      <c r="T39" s="1"/>
    </row>
    <row r="40" spans="1:23" ht="16.5" customHeight="1" x14ac:dyDescent="0.15">
      <c r="A40" s="138"/>
      <c r="B40" s="72" t="s">
        <v>269</v>
      </c>
      <c r="C40" s="72">
        <f>C36</f>
        <v>778</v>
      </c>
      <c r="D40" s="65">
        <f>D36-C36</f>
        <v>389</v>
      </c>
      <c r="E40" s="65">
        <f>E36-D36</f>
        <v>382</v>
      </c>
      <c r="F40" s="65">
        <f>F36-E36</f>
        <v>321</v>
      </c>
      <c r="G40" s="65"/>
      <c r="H40" s="65"/>
      <c r="I40" s="65"/>
      <c r="J40" s="65"/>
      <c r="K40" s="65"/>
      <c r="L40" s="65"/>
      <c r="M40" s="65"/>
      <c r="N40" s="65"/>
      <c r="O40" s="65"/>
      <c r="P40" s="65"/>
      <c r="Q40" s="65"/>
      <c r="R40" s="65"/>
      <c r="S40" s="51" t="s">
        <v>223</v>
      </c>
      <c r="T40" s="1"/>
    </row>
    <row r="41" spans="1:23" ht="16.5" customHeight="1" x14ac:dyDescent="0.15">
      <c r="A41" s="139"/>
      <c r="B41" s="72" t="s">
        <v>224</v>
      </c>
      <c r="C41" s="72"/>
      <c r="D41" s="66">
        <f>D40-D39</f>
        <v>-239</v>
      </c>
      <c r="E41" s="66">
        <f>E40-E39</f>
        <v>-134</v>
      </c>
      <c r="F41" s="66">
        <f>F40-F39</f>
        <v>11</v>
      </c>
      <c r="G41" s="66"/>
      <c r="H41" s="66"/>
      <c r="I41" s="66"/>
      <c r="J41" s="66"/>
      <c r="K41" s="66"/>
      <c r="L41" s="66"/>
      <c r="M41" s="66"/>
      <c r="N41" s="66"/>
      <c r="O41" s="66"/>
      <c r="P41" s="66"/>
      <c r="Q41" s="66"/>
      <c r="R41" s="66"/>
      <c r="S41" s="51" t="s">
        <v>223</v>
      </c>
      <c r="T41" s="1"/>
    </row>
    <row r="42" spans="1:23" ht="16.5" customHeight="1" x14ac:dyDescent="0.15">
      <c r="A42" s="51" t="s">
        <v>336</v>
      </c>
      <c r="B42" s="82" t="s">
        <v>229</v>
      </c>
      <c r="C42" s="82"/>
      <c r="D42" s="83">
        <f>$R$34+D38</f>
        <v>4985</v>
      </c>
      <c r="E42" s="83">
        <f>$R$34+E38</f>
        <v>4851</v>
      </c>
      <c r="F42" s="83">
        <f>$R$34+F38</f>
        <v>4862</v>
      </c>
      <c r="G42" s="83"/>
      <c r="H42" s="83"/>
      <c r="I42" s="83"/>
      <c r="J42" s="83"/>
      <c r="K42" s="83"/>
      <c r="L42" s="83"/>
      <c r="M42" s="83"/>
      <c r="N42" s="83"/>
      <c r="O42" s="83"/>
      <c r="P42" s="83"/>
      <c r="Q42" s="83"/>
      <c r="R42" s="83"/>
      <c r="S42" s="51"/>
      <c r="T42" s="1"/>
    </row>
    <row r="43" spans="1:23" ht="11.25" customHeight="1" x14ac:dyDescent="0.15"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S43" s="1"/>
      <c r="T43" s="1"/>
      <c r="U43" s="1"/>
      <c r="V43" s="1"/>
      <c r="W43" s="1"/>
    </row>
    <row r="44" spans="1:23" ht="16.5" customHeight="1" x14ac:dyDescent="0.15">
      <c r="B44" s="117" t="s">
        <v>270</v>
      </c>
      <c r="C44" s="118"/>
      <c r="D44" s="118"/>
      <c r="E44" s="118"/>
      <c r="F44" s="118"/>
      <c r="G44" s="118"/>
      <c r="H44" s="118"/>
      <c r="I44" s="118"/>
      <c r="J44" s="118"/>
      <c r="K44" s="118"/>
      <c r="L44" s="118"/>
      <c r="M44" s="118"/>
      <c r="N44" s="118"/>
      <c r="O44" s="118"/>
      <c r="P44" s="118"/>
      <c r="Q44" s="118"/>
      <c r="R44" s="118"/>
      <c r="S44" s="118"/>
      <c r="T44" s="1"/>
    </row>
    <row r="45" spans="1:23" ht="16.5" customHeight="1" x14ac:dyDescent="0.15">
      <c r="B45" s="52" t="s">
        <v>239</v>
      </c>
      <c r="C45" s="52" t="s">
        <v>272</v>
      </c>
      <c r="D45" s="52" t="s">
        <v>201</v>
      </c>
      <c r="E45" s="52" t="s">
        <v>202</v>
      </c>
      <c r="F45" s="52" t="s">
        <v>203</v>
      </c>
      <c r="G45" s="52" t="s">
        <v>204</v>
      </c>
      <c r="H45" s="52" t="s">
        <v>205</v>
      </c>
      <c r="I45" s="52" t="s">
        <v>206</v>
      </c>
      <c r="J45" s="52" t="s">
        <v>207</v>
      </c>
      <c r="K45" s="52" t="s">
        <v>208</v>
      </c>
      <c r="L45" s="52" t="s">
        <v>209</v>
      </c>
      <c r="M45" s="52" t="s">
        <v>210</v>
      </c>
      <c r="N45" s="52" t="s">
        <v>211</v>
      </c>
      <c r="O45" s="52" t="s">
        <v>212</v>
      </c>
      <c r="P45" s="52" t="s">
        <v>213</v>
      </c>
      <c r="Q45" s="52" t="s">
        <v>214</v>
      </c>
      <c r="R45" s="52" t="s">
        <v>215</v>
      </c>
      <c r="S45" s="52" t="s">
        <v>242</v>
      </c>
      <c r="T45" s="1"/>
    </row>
    <row r="46" spans="1:23" ht="16.5" customHeight="1" x14ac:dyDescent="0.3">
      <c r="A46" s="142" t="s">
        <v>275</v>
      </c>
      <c r="B46" s="32" t="s">
        <v>10</v>
      </c>
      <c r="C46" s="32"/>
      <c r="D46" s="21">
        <v>101</v>
      </c>
      <c r="E46" s="21">
        <v>206</v>
      </c>
      <c r="F46" s="21">
        <v>255</v>
      </c>
      <c r="G46" s="21">
        <v>302</v>
      </c>
      <c r="H46" s="21">
        <v>309</v>
      </c>
      <c r="I46" s="21">
        <v>327</v>
      </c>
      <c r="J46" s="21">
        <v>381</v>
      </c>
      <c r="K46" s="21">
        <v>434</v>
      </c>
      <c r="L46" s="21">
        <v>474</v>
      </c>
      <c r="M46" s="21">
        <v>509</v>
      </c>
      <c r="N46" s="21">
        <v>558</v>
      </c>
      <c r="O46" s="21">
        <v>614</v>
      </c>
      <c r="P46" s="21">
        <v>723</v>
      </c>
      <c r="Q46" s="21">
        <v>862</v>
      </c>
      <c r="R46" s="21">
        <v>1018</v>
      </c>
      <c r="S46" s="45">
        <f>R46*3999/4500</f>
        <v>904.66266666666672</v>
      </c>
      <c r="T46" s="1"/>
    </row>
    <row r="47" spans="1:23" ht="16.5" customHeight="1" x14ac:dyDescent="0.3">
      <c r="A47" s="142"/>
      <c r="B47" s="32" t="s">
        <v>16</v>
      </c>
      <c r="C47" s="32"/>
      <c r="D47" s="21">
        <v>92</v>
      </c>
      <c r="E47" s="21">
        <v>166</v>
      </c>
      <c r="F47" s="21">
        <v>199</v>
      </c>
      <c r="G47" s="21">
        <v>242</v>
      </c>
      <c r="H47" s="21">
        <v>255</v>
      </c>
      <c r="I47" s="21">
        <v>272</v>
      </c>
      <c r="J47" s="21">
        <v>293</v>
      </c>
      <c r="K47" s="21">
        <v>322</v>
      </c>
      <c r="L47" s="21">
        <v>363</v>
      </c>
      <c r="M47" s="21">
        <v>399</v>
      </c>
      <c r="N47" s="21">
        <v>429</v>
      </c>
      <c r="O47" s="21">
        <v>461</v>
      </c>
      <c r="P47" s="21">
        <v>557</v>
      </c>
      <c r="Q47" s="21">
        <v>662</v>
      </c>
      <c r="R47" s="21">
        <v>746</v>
      </c>
      <c r="S47" s="45">
        <f>R47*3999/4500</f>
        <v>662.94533333333334</v>
      </c>
      <c r="T47" s="1"/>
    </row>
    <row r="48" spans="1:23" ht="16.5" customHeight="1" x14ac:dyDescent="0.3">
      <c r="A48" s="142"/>
      <c r="B48" s="32" t="s">
        <v>13</v>
      </c>
      <c r="C48" s="32"/>
      <c r="D48" s="21">
        <v>96</v>
      </c>
      <c r="E48" s="21">
        <v>200</v>
      </c>
      <c r="F48" s="21">
        <v>259</v>
      </c>
      <c r="G48" s="21">
        <v>315</v>
      </c>
      <c r="H48" s="21">
        <v>328</v>
      </c>
      <c r="I48" s="21">
        <v>345</v>
      </c>
      <c r="J48" s="21">
        <v>389</v>
      </c>
      <c r="K48" s="21">
        <v>432</v>
      </c>
      <c r="L48" s="21">
        <v>463</v>
      </c>
      <c r="M48" s="21">
        <v>482</v>
      </c>
      <c r="N48" s="21">
        <v>502</v>
      </c>
      <c r="O48" s="21">
        <v>548</v>
      </c>
      <c r="P48" s="21">
        <v>618</v>
      </c>
      <c r="Q48" s="21">
        <v>708</v>
      </c>
      <c r="R48" s="21">
        <v>776</v>
      </c>
      <c r="S48" s="45">
        <f t="shared" ref="S48:S51" si="2">R48*3999/4500</f>
        <v>689.60533333333331</v>
      </c>
      <c r="T48" s="1"/>
    </row>
    <row r="49" spans="1:20" ht="16.5" customHeight="1" x14ac:dyDescent="0.3">
      <c r="A49" s="142"/>
      <c r="B49" s="32" t="s">
        <v>19</v>
      </c>
      <c r="C49" s="32"/>
      <c r="D49" s="21">
        <v>82</v>
      </c>
      <c r="E49" s="21">
        <v>180</v>
      </c>
      <c r="F49" s="21">
        <v>226</v>
      </c>
      <c r="G49" s="21">
        <v>253</v>
      </c>
      <c r="H49" s="21">
        <v>259</v>
      </c>
      <c r="I49" s="21">
        <v>267</v>
      </c>
      <c r="J49" s="21">
        <v>300</v>
      </c>
      <c r="K49" s="21">
        <v>318</v>
      </c>
      <c r="L49" s="21">
        <v>356</v>
      </c>
      <c r="M49" s="21">
        <v>384</v>
      </c>
      <c r="N49" s="21">
        <v>409</v>
      </c>
      <c r="O49" s="21">
        <v>460</v>
      </c>
      <c r="P49" s="21">
        <v>507</v>
      </c>
      <c r="Q49" s="21">
        <v>564</v>
      </c>
      <c r="R49" s="21">
        <v>604</v>
      </c>
      <c r="S49" s="45">
        <f t="shared" si="2"/>
        <v>536.75466666666671</v>
      </c>
      <c r="T49" s="1"/>
    </row>
    <row r="50" spans="1:20" ht="16.5" customHeight="1" x14ac:dyDescent="0.3">
      <c r="A50" s="142"/>
      <c r="B50" s="32" t="s">
        <v>22</v>
      </c>
      <c r="C50" s="32"/>
      <c r="D50" s="21">
        <v>149</v>
      </c>
      <c r="E50" s="21">
        <v>242</v>
      </c>
      <c r="F50" s="21">
        <v>280</v>
      </c>
      <c r="G50" s="21">
        <v>302</v>
      </c>
      <c r="H50" s="21">
        <v>311</v>
      </c>
      <c r="I50" s="21">
        <v>327</v>
      </c>
      <c r="J50" s="21">
        <v>361</v>
      </c>
      <c r="K50" s="21">
        <v>394</v>
      </c>
      <c r="L50" s="21">
        <v>420</v>
      </c>
      <c r="M50" s="21">
        <v>451</v>
      </c>
      <c r="N50" s="21">
        <v>473</v>
      </c>
      <c r="O50" s="21">
        <v>511</v>
      </c>
      <c r="P50" s="21">
        <v>573</v>
      </c>
      <c r="Q50" s="21">
        <v>647</v>
      </c>
      <c r="R50" s="21">
        <v>647</v>
      </c>
      <c r="S50" s="45">
        <f t="shared" si="2"/>
        <v>574.96733333333339</v>
      </c>
      <c r="T50" s="1"/>
    </row>
    <row r="51" spans="1:20" ht="16.5" customHeight="1" x14ac:dyDescent="0.3">
      <c r="A51" s="142"/>
      <c r="B51" s="32" t="s">
        <v>25</v>
      </c>
      <c r="C51" s="32"/>
      <c r="D51" s="21">
        <v>108</v>
      </c>
      <c r="E51" s="21">
        <v>192</v>
      </c>
      <c r="F51" s="21">
        <v>235</v>
      </c>
      <c r="G51" s="21">
        <v>291</v>
      </c>
      <c r="H51" s="21">
        <v>315</v>
      </c>
      <c r="I51" s="21">
        <v>336</v>
      </c>
      <c r="J51" s="21">
        <v>367</v>
      </c>
      <c r="K51" s="21">
        <v>388</v>
      </c>
      <c r="L51" s="21">
        <v>414</v>
      </c>
      <c r="M51" s="21">
        <v>449</v>
      </c>
      <c r="N51" s="21">
        <v>482</v>
      </c>
      <c r="O51" s="21">
        <v>523</v>
      </c>
      <c r="P51" s="21">
        <v>596</v>
      </c>
      <c r="Q51" s="21">
        <v>654</v>
      </c>
      <c r="R51" s="21">
        <v>653</v>
      </c>
      <c r="S51" s="45">
        <f t="shared" si="2"/>
        <v>580.29933333333338</v>
      </c>
      <c r="T51" s="1"/>
    </row>
    <row r="52" spans="1:20" ht="16.5" customHeight="1" x14ac:dyDescent="0.3">
      <c r="B52" s="80" t="s">
        <v>237</v>
      </c>
      <c r="C52" s="80"/>
      <c r="D52" s="81">
        <f t="shared" ref="D52:R52" si="3">SUM(D46:D51)</f>
        <v>628</v>
      </c>
      <c r="E52" s="81">
        <f t="shared" si="3"/>
        <v>1186</v>
      </c>
      <c r="F52" s="81">
        <f t="shared" si="3"/>
        <v>1454</v>
      </c>
      <c r="G52" s="81">
        <f t="shared" si="3"/>
        <v>1705</v>
      </c>
      <c r="H52" s="81">
        <f t="shared" si="3"/>
        <v>1777</v>
      </c>
      <c r="I52" s="81">
        <f t="shared" si="3"/>
        <v>1874</v>
      </c>
      <c r="J52" s="81">
        <f t="shared" si="3"/>
        <v>2091</v>
      </c>
      <c r="K52" s="81">
        <f t="shared" si="3"/>
        <v>2288</v>
      </c>
      <c r="L52" s="81">
        <f t="shared" si="3"/>
        <v>2490</v>
      </c>
      <c r="M52" s="81">
        <f t="shared" si="3"/>
        <v>2674</v>
      </c>
      <c r="N52" s="81">
        <f t="shared" si="3"/>
        <v>2853</v>
      </c>
      <c r="O52" s="81">
        <f t="shared" si="3"/>
        <v>3117</v>
      </c>
      <c r="P52" s="81">
        <f t="shared" si="3"/>
        <v>3574</v>
      </c>
      <c r="Q52" s="81">
        <f t="shared" si="3"/>
        <v>4097</v>
      </c>
      <c r="R52" s="81">
        <f t="shared" si="3"/>
        <v>4444</v>
      </c>
      <c r="S52" s="81">
        <v>4500</v>
      </c>
      <c r="T52" s="1"/>
    </row>
    <row r="53" spans="1:20" ht="16.5" customHeight="1" x14ac:dyDescent="0.3">
      <c r="A53" s="142" t="s">
        <v>276</v>
      </c>
      <c r="B53" s="32" t="s">
        <v>10</v>
      </c>
      <c r="C53" s="32"/>
      <c r="D53" s="21">
        <f t="shared" ref="D53:D58" si="4">D46</f>
        <v>101</v>
      </c>
      <c r="E53" s="21">
        <f t="shared" ref="E53:R53" si="5">E46-D46</f>
        <v>105</v>
      </c>
      <c r="F53" s="21">
        <f t="shared" si="5"/>
        <v>49</v>
      </c>
      <c r="G53" s="21">
        <f t="shared" si="5"/>
        <v>47</v>
      </c>
      <c r="H53" s="21">
        <f t="shared" si="5"/>
        <v>7</v>
      </c>
      <c r="I53" s="21">
        <f t="shared" si="5"/>
        <v>18</v>
      </c>
      <c r="J53" s="21">
        <f t="shared" si="5"/>
        <v>54</v>
      </c>
      <c r="K53" s="21">
        <f t="shared" si="5"/>
        <v>53</v>
      </c>
      <c r="L53" s="21">
        <f t="shared" si="5"/>
        <v>40</v>
      </c>
      <c r="M53" s="21">
        <f t="shared" si="5"/>
        <v>35</v>
      </c>
      <c r="N53" s="21">
        <f t="shared" si="5"/>
        <v>49</v>
      </c>
      <c r="O53" s="21">
        <f t="shared" si="5"/>
        <v>56</v>
      </c>
      <c r="P53" s="21">
        <f t="shared" si="5"/>
        <v>109</v>
      </c>
      <c r="Q53" s="21">
        <f t="shared" si="5"/>
        <v>139</v>
      </c>
      <c r="R53" s="21">
        <f t="shared" si="5"/>
        <v>156</v>
      </c>
      <c r="S53" s="86"/>
      <c r="T53" s="1"/>
    </row>
    <row r="54" spans="1:20" ht="16.5" customHeight="1" x14ac:dyDescent="0.3">
      <c r="A54" s="142"/>
      <c r="B54" s="32" t="s">
        <v>16</v>
      </c>
      <c r="C54" s="32"/>
      <c r="D54" s="21">
        <f t="shared" si="4"/>
        <v>92</v>
      </c>
      <c r="E54" s="21">
        <f t="shared" ref="E54:R54" si="6">E47-D47</f>
        <v>74</v>
      </c>
      <c r="F54" s="21">
        <f t="shared" si="6"/>
        <v>33</v>
      </c>
      <c r="G54" s="21">
        <f t="shared" si="6"/>
        <v>43</v>
      </c>
      <c r="H54" s="21">
        <f t="shared" si="6"/>
        <v>13</v>
      </c>
      <c r="I54" s="21">
        <f t="shared" si="6"/>
        <v>17</v>
      </c>
      <c r="J54" s="21">
        <f t="shared" si="6"/>
        <v>21</v>
      </c>
      <c r="K54" s="21">
        <f t="shared" si="6"/>
        <v>29</v>
      </c>
      <c r="L54" s="21">
        <f t="shared" si="6"/>
        <v>41</v>
      </c>
      <c r="M54" s="21">
        <f t="shared" si="6"/>
        <v>36</v>
      </c>
      <c r="N54" s="21">
        <f t="shared" si="6"/>
        <v>30</v>
      </c>
      <c r="O54" s="21">
        <f t="shared" si="6"/>
        <v>32</v>
      </c>
      <c r="P54" s="21">
        <f t="shared" si="6"/>
        <v>96</v>
      </c>
      <c r="Q54" s="21">
        <f t="shared" si="6"/>
        <v>105</v>
      </c>
      <c r="R54" s="21">
        <f t="shared" si="6"/>
        <v>84</v>
      </c>
      <c r="S54" s="86"/>
      <c r="T54" s="1"/>
    </row>
    <row r="55" spans="1:20" ht="16.5" customHeight="1" x14ac:dyDescent="0.3">
      <c r="A55" s="142"/>
      <c r="B55" s="32" t="s">
        <v>13</v>
      </c>
      <c r="C55" s="32"/>
      <c r="D55" s="21">
        <f t="shared" si="4"/>
        <v>96</v>
      </c>
      <c r="E55" s="21">
        <f t="shared" ref="E55:R55" si="7">E48-D48</f>
        <v>104</v>
      </c>
      <c r="F55" s="21">
        <f t="shared" si="7"/>
        <v>59</v>
      </c>
      <c r="G55" s="21">
        <f t="shared" si="7"/>
        <v>56</v>
      </c>
      <c r="H55" s="21">
        <f t="shared" si="7"/>
        <v>13</v>
      </c>
      <c r="I55" s="21">
        <f t="shared" si="7"/>
        <v>17</v>
      </c>
      <c r="J55" s="21">
        <f t="shared" si="7"/>
        <v>44</v>
      </c>
      <c r="K55" s="21">
        <f t="shared" si="7"/>
        <v>43</v>
      </c>
      <c r="L55" s="21">
        <f t="shared" si="7"/>
        <v>31</v>
      </c>
      <c r="M55" s="21">
        <f t="shared" si="7"/>
        <v>19</v>
      </c>
      <c r="N55" s="21">
        <f t="shared" si="7"/>
        <v>20</v>
      </c>
      <c r="O55" s="21">
        <f t="shared" si="7"/>
        <v>46</v>
      </c>
      <c r="P55" s="21">
        <f t="shared" si="7"/>
        <v>70</v>
      </c>
      <c r="Q55" s="21">
        <f t="shared" si="7"/>
        <v>90</v>
      </c>
      <c r="R55" s="21">
        <f t="shared" si="7"/>
        <v>68</v>
      </c>
      <c r="S55" s="86"/>
      <c r="T55" s="1"/>
    </row>
    <row r="56" spans="1:20" ht="16.5" customHeight="1" x14ac:dyDescent="0.3">
      <c r="A56" s="142"/>
      <c r="B56" s="32" t="s">
        <v>19</v>
      </c>
      <c r="C56" s="32"/>
      <c r="D56" s="21">
        <f t="shared" si="4"/>
        <v>82</v>
      </c>
      <c r="E56" s="21">
        <f t="shared" ref="E56:R56" si="8">E49-D49</f>
        <v>98</v>
      </c>
      <c r="F56" s="21">
        <f t="shared" si="8"/>
        <v>46</v>
      </c>
      <c r="G56" s="21">
        <f t="shared" si="8"/>
        <v>27</v>
      </c>
      <c r="H56" s="21">
        <f t="shared" si="8"/>
        <v>6</v>
      </c>
      <c r="I56" s="21">
        <f t="shared" si="8"/>
        <v>8</v>
      </c>
      <c r="J56" s="21">
        <f t="shared" si="8"/>
        <v>33</v>
      </c>
      <c r="K56" s="21">
        <f t="shared" si="8"/>
        <v>18</v>
      </c>
      <c r="L56" s="21">
        <f t="shared" si="8"/>
        <v>38</v>
      </c>
      <c r="M56" s="21">
        <f t="shared" si="8"/>
        <v>28</v>
      </c>
      <c r="N56" s="21">
        <f t="shared" si="8"/>
        <v>25</v>
      </c>
      <c r="O56" s="21">
        <f t="shared" si="8"/>
        <v>51</v>
      </c>
      <c r="P56" s="21">
        <f t="shared" si="8"/>
        <v>47</v>
      </c>
      <c r="Q56" s="21">
        <f t="shared" si="8"/>
        <v>57</v>
      </c>
      <c r="R56" s="21">
        <f t="shared" si="8"/>
        <v>40</v>
      </c>
      <c r="S56" s="86"/>
      <c r="T56" s="1"/>
    </row>
    <row r="57" spans="1:20" ht="16.5" customHeight="1" x14ac:dyDescent="0.3">
      <c r="A57" s="142"/>
      <c r="B57" s="32" t="s">
        <v>22</v>
      </c>
      <c r="C57" s="32"/>
      <c r="D57" s="21">
        <f t="shared" si="4"/>
        <v>149</v>
      </c>
      <c r="E57" s="21">
        <f t="shared" ref="E57:Q57" si="9">E50-D50</f>
        <v>93</v>
      </c>
      <c r="F57" s="21">
        <f t="shared" si="9"/>
        <v>38</v>
      </c>
      <c r="G57" s="21">
        <f t="shared" si="9"/>
        <v>22</v>
      </c>
      <c r="H57" s="21">
        <f t="shared" si="9"/>
        <v>9</v>
      </c>
      <c r="I57" s="21">
        <f t="shared" si="9"/>
        <v>16</v>
      </c>
      <c r="J57" s="21">
        <f t="shared" si="9"/>
        <v>34</v>
      </c>
      <c r="K57" s="21">
        <f t="shared" si="9"/>
        <v>33</v>
      </c>
      <c r="L57" s="21">
        <f t="shared" si="9"/>
        <v>26</v>
      </c>
      <c r="M57" s="21">
        <f t="shared" si="9"/>
        <v>31</v>
      </c>
      <c r="N57" s="21">
        <f t="shared" si="9"/>
        <v>22</v>
      </c>
      <c r="O57" s="21">
        <f t="shared" si="9"/>
        <v>38</v>
      </c>
      <c r="P57" s="21">
        <f t="shared" si="9"/>
        <v>62</v>
      </c>
      <c r="Q57" s="21">
        <f t="shared" si="9"/>
        <v>74</v>
      </c>
      <c r="R57" s="21"/>
      <c r="S57" s="86"/>
      <c r="T57" s="1"/>
    </row>
    <row r="58" spans="1:20" ht="16.5" customHeight="1" x14ac:dyDescent="0.3">
      <c r="A58" s="142"/>
      <c r="B58" s="32" t="s">
        <v>25</v>
      </c>
      <c r="C58" s="32"/>
      <c r="D58" s="21">
        <f t="shared" si="4"/>
        <v>108</v>
      </c>
      <c r="E58" s="21">
        <f t="shared" ref="E58:Q58" si="10">E51-D51</f>
        <v>84</v>
      </c>
      <c r="F58" s="21">
        <f t="shared" si="10"/>
        <v>43</v>
      </c>
      <c r="G58" s="21">
        <f t="shared" si="10"/>
        <v>56</v>
      </c>
      <c r="H58" s="21">
        <f t="shared" si="10"/>
        <v>24</v>
      </c>
      <c r="I58" s="21">
        <f t="shared" si="10"/>
        <v>21</v>
      </c>
      <c r="J58" s="21">
        <f t="shared" si="10"/>
        <v>31</v>
      </c>
      <c r="K58" s="21">
        <f t="shared" si="10"/>
        <v>21</v>
      </c>
      <c r="L58" s="21">
        <f t="shared" si="10"/>
        <v>26</v>
      </c>
      <c r="M58" s="21">
        <f t="shared" si="10"/>
        <v>35</v>
      </c>
      <c r="N58" s="21">
        <f t="shared" si="10"/>
        <v>33</v>
      </c>
      <c r="O58" s="21">
        <f t="shared" si="10"/>
        <v>41</v>
      </c>
      <c r="P58" s="21">
        <f t="shared" si="10"/>
        <v>73</v>
      </c>
      <c r="Q58" s="21">
        <f t="shared" si="10"/>
        <v>58</v>
      </c>
      <c r="R58" s="21"/>
      <c r="S58" s="86"/>
      <c r="T58" s="1"/>
    </row>
    <row r="59" spans="1:20" ht="16.5" customHeight="1" x14ac:dyDescent="0.3">
      <c r="B59" s="80" t="s">
        <v>238</v>
      </c>
      <c r="C59" s="80"/>
      <c r="D59" s="81">
        <f t="shared" ref="D59:R59" si="11">SUM(D53:D58)</f>
        <v>628</v>
      </c>
      <c r="E59" s="81">
        <f t="shared" si="11"/>
        <v>558</v>
      </c>
      <c r="F59" s="81">
        <f t="shared" si="11"/>
        <v>268</v>
      </c>
      <c r="G59" s="81">
        <f t="shared" si="11"/>
        <v>251</v>
      </c>
      <c r="H59" s="81">
        <f t="shared" si="11"/>
        <v>72</v>
      </c>
      <c r="I59" s="81">
        <f t="shared" si="11"/>
        <v>97</v>
      </c>
      <c r="J59" s="81">
        <f t="shared" si="11"/>
        <v>217</v>
      </c>
      <c r="K59" s="81">
        <f t="shared" si="11"/>
        <v>197</v>
      </c>
      <c r="L59" s="81">
        <f t="shared" si="11"/>
        <v>202</v>
      </c>
      <c r="M59" s="81">
        <f t="shared" si="11"/>
        <v>184</v>
      </c>
      <c r="N59" s="81">
        <f t="shared" si="11"/>
        <v>179</v>
      </c>
      <c r="O59" s="81">
        <f t="shared" si="11"/>
        <v>264</v>
      </c>
      <c r="P59" s="81">
        <f t="shared" si="11"/>
        <v>457</v>
      </c>
      <c r="Q59" s="81">
        <f t="shared" si="11"/>
        <v>523</v>
      </c>
      <c r="R59" s="81">
        <f t="shared" si="11"/>
        <v>348</v>
      </c>
      <c r="S59" s="81" t="s">
        <v>241</v>
      </c>
      <c r="T59" s="1"/>
    </row>
    <row r="60" spans="1:20" ht="16.5" customHeight="1" x14ac:dyDescent="0.15">
      <c r="B60" s="117" t="s">
        <v>271</v>
      </c>
      <c r="C60" s="118"/>
      <c r="D60" s="118"/>
      <c r="E60" s="118"/>
      <c r="F60" s="118"/>
      <c r="G60" s="118"/>
      <c r="H60" s="118"/>
      <c r="I60" s="118"/>
      <c r="J60" s="118"/>
      <c r="K60" s="118"/>
      <c r="L60" s="118"/>
      <c r="M60" s="118"/>
      <c r="N60" s="118"/>
      <c r="O60" s="118"/>
      <c r="P60" s="118"/>
      <c r="Q60" s="118"/>
      <c r="R60" s="118"/>
      <c r="S60" s="118"/>
      <c r="T60" s="1"/>
    </row>
    <row r="61" spans="1:20" ht="16.5" customHeight="1" x14ac:dyDescent="0.15">
      <c r="B61" s="52" t="s">
        <v>239</v>
      </c>
      <c r="C61" s="52" t="s">
        <v>272</v>
      </c>
      <c r="D61" s="52" t="s">
        <v>201</v>
      </c>
      <c r="E61" s="52" t="s">
        <v>202</v>
      </c>
      <c r="F61" s="52" t="s">
        <v>203</v>
      </c>
      <c r="G61" s="52" t="s">
        <v>204</v>
      </c>
      <c r="H61" s="52" t="s">
        <v>205</v>
      </c>
      <c r="I61" s="52" t="s">
        <v>206</v>
      </c>
      <c r="J61" s="52" t="s">
        <v>207</v>
      </c>
      <c r="K61" s="52" t="s">
        <v>208</v>
      </c>
      <c r="L61" s="52" t="s">
        <v>209</v>
      </c>
      <c r="M61" s="52" t="s">
        <v>210</v>
      </c>
      <c r="N61" s="52" t="s">
        <v>211</v>
      </c>
      <c r="O61" s="52" t="s">
        <v>212</v>
      </c>
      <c r="P61" s="52" t="s">
        <v>213</v>
      </c>
      <c r="Q61" s="52" t="s">
        <v>214</v>
      </c>
      <c r="R61" s="52" t="s">
        <v>215</v>
      </c>
      <c r="S61" s="52" t="s">
        <v>242</v>
      </c>
      <c r="T61" s="1"/>
    </row>
    <row r="62" spans="1:20" ht="16.5" customHeight="1" x14ac:dyDescent="0.3">
      <c r="A62" s="133" t="s">
        <v>274</v>
      </c>
      <c r="B62" s="32" t="s">
        <v>10</v>
      </c>
      <c r="C62" s="32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45"/>
      <c r="T62" s="1"/>
    </row>
    <row r="63" spans="1:20" ht="16.5" customHeight="1" x14ac:dyDescent="0.3">
      <c r="A63" s="133"/>
      <c r="B63" s="32" t="s">
        <v>16</v>
      </c>
      <c r="C63" s="32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45"/>
      <c r="T63" s="1"/>
    </row>
    <row r="64" spans="1:20" ht="16.5" customHeight="1" x14ac:dyDescent="0.3">
      <c r="A64" s="133"/>
      <c r="B64" s="32" t="s">
        <v>13</v>
      </c>
      <c r="C64" s="32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45"/>
      <c r="T64" s="1"/>
    </row>
    <row r="65" spans="1:20" ht="16.5" customHeight="1" x14ac:dyDescent="0.3">
      <c r="A65" s="133"/>
      <c r="B65" s="32" t="s">
        <v>19</v>
      </c>
      <c r="C65" s="32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45"/>
      <c r="T65" s="1"/>
    </row>
    <row r="66" spans="1:20" ht="16.5" customHeight="1" x14ac:dyDescent="0.3">
      <c r="A66" s="133"/>
      <c r="B66" s="32" t="s">
        <v>22</v>
      </c>
      <c r="C66" s="32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45"/>
      <c r="T66" s="1"/>
    </row>
    <row r="67" spans="1:20" ht="16.5" customHeight="1" x14ac:dyDescent="0.3">
      <c r="A67" s="133"/>
      <c r="B67" s="32" t="s">
        <v>25</v>
      </c>
      <c r="C67" s="32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45"/>
      <c r="T67" s="1"/>
    </row>
    <row r="68" spans="1:20" s="85" customFormat="1" ht="16.5" customHeight="1" x14ac:dyDescent="0.3">
      <c r="A68" s="132"/>
      <c r="B68" s="87" t="s">
        <v>240</v>
      </c>
      <c r="C68" s="87"/>
      <c r="D68" s="87"/>
      <c r="E68" s="87"/>
      <c r="F68" s="87"/>
      <c r="G68" s="87"/>
      <c r="H68" s="87"/>
      <c r="I68" s="87"/>
      <c r="J68" s="87"/>
      <c r="K68" s="87"/>
      <c r="L68" s="87"/>
      <c r="M68" s="87"/>
      <c r="N68" s="87"/>
      <c r="O68" s="87"/>
      <c r="P68" s="87"/>
      <c r="Q68" s="87"/>
      <c r="R68" s="87"/>
      <c r="S68" s="87"/>
      <c r="T68" s="84"/>
    </row>
    <row r="69" spans="1:20" ht="16.5" customHeight="1" x14ac:dyDescent="0.3">
      <c r="A69" s="133" t="s">
        <v>277</v>
      </c>
      <c r="B69" s="32" t="s">
        <v>10</v>
      </c>
      <c r="C69" s="32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45"/>
    </row>
    <row r="70" spans="1:20" ht="16.5" customHeight="1" x14ac:dyDescent="0.3">
      <c r="A70" s="133"/>
      <c r="B70" s="32" t="s">
        <v>16</v>
      </c>
      <c r="C70" s="32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45"/>
    </row>
    <row r="71" spans="1:20" ht="16.5" customHeight="1" x14ac:dyDescent="0.3">
      <c r="A71" s="133"/>
      <c r="B71" s="32" t="s">
        <v>13</v>
      </c>
      <c r="C71" s="32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45"/>
    </row>
    <row r="72" spans="1:20" ht="16.5" customHeight="1" x14ac:dyDescent="0.3">
      <c r="A72" s="133"/>
      <c r="B72" s="32" t="s">
        <v>19</v>
      </c>
      <c r="C72" s="32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45"/>
    </row>
    <row r="73" spans="1:20" ht="16.5" customHeight="1" x14ac:dyDescent="0.3">
      <c r="A73" s="133"/>
      <c r="B73" s="32" t="s">
        <v>22</v>
      </c>
      <c r="C73" s="32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45"/>
    </row>
    <row r="74" spans="1:20" ht="16.5" customHeight="1" x14ac:dyDescent="0.3">
      <c r="A74" s="133"/>
      <c r="B74" s="32" t="s">
        <v>25</v>
      </c>
      <c r="C74" s="32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45"/>
    </row>
    <row r="75" spans="1:20" ht="16.5" customHeight="1" x14ac:dyDescent="0.3">
      <c r="A75" s="132"/>
      <c r="B75" s="87" t="s">
        <v>240</v>
      </c>
      <c r="C75" s="87"/>
      <c r="D75" s="87"/>
      <c r="E75" s="87"/>
      <c r="F75" s="87"/>
      <c r="G75" s="87"/>
      <c r="H75" s="87"/>
      <c r="I75" s="87"/>
      <c r="J75" s="87"/>
      <c r="K75" s="87"/>
      <c r="L75" s="87"/>
      <c r="M75" s="87"/>
      <c r="N75" s="87"/>
      <c r="O75" s="87"/>
      <c r="P75" s="87"/>
      <c r="Q75" s="87"/>
      <c r="R75" s="87"/>
      <c r="S75" s="87"/>
    </row>
  </sheetData>
  <mergeCells count="7">
    <mergeCell ref="A62:A67"/>
    <mergeCell ref="A69:A74"/>
    <mergeCell ref="A36:A38"/>
    <mergeCell ref="A39:A41"/>
    <mergeCell ref="A34:A35"/>
    <mergeCell ref="A46:A51"/>
    <mergeCell ref="A53:A58"/>
  </mergeCells>
  <phoneticPr fontId="20" type="noConversion"/>
  <conditionalFormatting sqref="D41:R41">
    <cfRule type="cellIs" dxfId="25" priority="12" operator="lessThan">
      <formula>0</formula>
    </cfRule>
  </conditionalFormatting>
  <conditionalFormatting sqref="D42:R42">
    <cfRule type="cellIs" dxfId="24" priority="11" operator="lessThan">
      <formula>0</formula>
    </cfRule>
  </conditionalFormatting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"/>
  <sheetViews>
    <sheetView workbookViewId="0">
      <selection activeCell="G18" sqref="G18"/>
    </sheetView>
  </sheetViews>
  <sheetFormatPr defaultColWidth="9" defaultRowHeight="13.5" x14ac:dyDescent="0.15"/>
  <cols>
    <col min="1" max="1" width="22.125" customWidth="1"/>
    <col min="2" max="2" width="14.625" style="1" customWidth="1"/>
  </cols>
  <sheetData>
    <row r="1" spans="1:2" ht="15.75" x14ac:dyDescent="0.3">
      <c r="A1" s="2" t="s">
        <v>164</v>
      </c>
      <c r="B1" s="3" t="s">
        <v>160</v>
      </c>
    </row>
    <row r="2" spans="1:2" ht="15.75" x14ac:dyDescent="0.3">
      <c r="A2" s="4" t="s">
        <v>171</v>
      </c>
      <c r="B2" s="5" t="s">
        <v>198</v>
      </c>
    </row>
    <row r="3" spans="1:2" ht="15.75" x14ac:dyDescent="0.3">
      <c r="A3" s="4" t="s">
        <v>172</v>
      </c>
      <c r="B3" s="5" t="s">
        <v>198</v>
      </c>
    </row>
    <row r="4" spans="1:2" ht="15.75" x14ac:dyDescent="0.3">
      <c r="A4" s="4" t="s">
        <v>173</v>
      </c>
      <c r="B4" s="5" t="s">
        <v>198</v>
      </c>
    </row>
    <row r="5" spans="1:2" ht="15.75" x14ac:dyDescent="0.3">
      <c r="A5" s="4" t="s">
        <v>174</v>
      </c>
      <c r="B5" s="5" t="s">
        <v>198</v>
      </c>
    </row>
    <row r="6" spans="1:2" ht="15.75" x14ac:dyDescent="0.3">
      <c r="A6" s="4" t="s">
        <v>175</v>
      </c>
      <c r="B6" s="5" t="s">
        <v>198</v>
      </c>
    </row>
    <row r="7" spans="1:2" ht="15.75" x14ac:dyDescent="0.3">
      <c r="A7" s="4" t="s">
        <v>176</v>
      </c>
      <c r="B7" s="5" t="s">
        <v>198</v>
      </c>
    </row>
    <row r="8" spans="1:2" ht="15.75" x14ac:dyDescent="0.3">
      <c r="A8" s="4" t="s">
        <v>177</v>
      </c>
      <c r="B8" s="5" t="s">
        <v>198</v>
      </c>
    </row>
    <row r="9" spans="1:2" ht="15.75" x14ac:dyDescent="0.3">
      <c r="A9" s="4" t="s">
        <v>178</v>
      </c>
      <c r="B9" s="5" t="s">
        <v>198</v>
      </c>
    </row>
    <row r="10" spans="1:2" ht="15.75" x14ac:dyDescent="0.3">
      <c r="A10" s="4" t="s">
        <v>179</v>
      </c>
      <c r="B10" s="5" t="s">
        <v>198</v>
      </c>
    </row>
    <row r="11" spans="1:2" ht="15.75" x14ac:dyDescent="0.3">
      <c r="A11" s="4" t="s">
        <v>180</v>
      </c>
      <c r="B11" s="5" t="s">
        <v>198</v>
      </c>
    </row>
    <row r="12" spans="1:2" ht="15.75" x14ac:dyDescent="0.3">
      <c r="A12" s="4" t="s">
        <v>181</v>
      </c>
      <c r="B12" s="5" t="s">
        <v>198</v>
      </c>
    </row>
    <row r="13" spans="1:2" ht="15.75" x14ac:dyDescent="0.3">
      <c r="A13" s="4" t="s">
        <v>182</v>
      </c>
      <c r="B13" s="5" t="s">
        <v>198</v>
      </c>
    </row>
    <row r="14" spans="1:2" ht="15.75" x14ac:dyDescent="0.3">
      <c r="A14" s="4" t="s">
        <v>183</v>
      </c>
      <c r="B14" s="5" t="s">
        <v>198</v>
      </c>
    </row>
    <row r="15" spans="1:2" ht="15.75" x14ac:dyDescent="0.3">
      <c r="A15" s="4" t="s">
        <v>185</v>
      </c>
      <c r="B15" s="5" t="s">
        <v>198</v>
      </c>
    </row>
    <row r="16" spans="1:2" ht="15.75" x14ac:dyDescent="0.3">
      <c r="A16" s="4" t="s">
        <v>186</v>
      </c>
      <c r="B16" s="5" t="s">
        <v>198</v>
      </c>
    </row>
    <row r="17" spans="1:2" ht="15.75" x14ac:dyDescent="0.3">
      <c r="A17" s="4" t="s">
        <v>187</v>
      </c>
      <c r="B17" s="5" t="s">
        <v>198</v>
      </c>
    </row>
    <row r="18" spans="1:2" ht="15.75" x14ac:dyDescent="0.3">
      <c r="A18" s="4" t="s">
        <v>188</v>
      </c>
      <c r="B18" s="5" t="s">
        <v>198</v>
      </c>
    </row>
    <row r="19" spans="1:2" ht="15.75" x14ac:dyDescent="0.3">
      <c r="A19" s="4" t="s">
        <v>189</v>
      </c>
      <c r="B19" s="5" t="s">
        <v>198</v>
      </c>
    </row>
    <row r="20" spans="1:2" ht="15.75" x14ac:dyDescent="0.3">
      <c r="A20" s="4" t="s">
        <v>190</v>
      </c>
      <c r="B20" s="5" t="s">
        <v>198</v>
      </c>
    </row>
    <row r="21" spans="1:2" ht="15.75" x14ac:dyDescent="0.3">
      <c r="A21" s="4" t="s">
        <v>191</v>
      </c>
      <c r="B21" s="5" t="s">
        <v>198</v>
      </c>
    </row>
    <row r="22" spans="1:2" ht="15.75" x14ac:dyDescent="0.3">
      <c r="A22" s="4" t="s">
        <v>192</v>
      </c>
      <c r="B22" s="5" t="s">
        <v>198</v>
      </c>
    </row>
    <row r="23" spans="1:2" ht="15.75" x14ac:dyDescent="0.3">
      <c r="A23" s="4" t="s">
        <v>37</v>
      </c>
      <c r="B23" s="5" t="s">
        <v>27</v>
      </c>
    </row>
    <row r="24" spans="1:2" ht="15.75" x14ac:dyDescent="0.3">
      <c r="A24" s="4" t="s">
        <v>40</v>
      </c>
      <c r="B24" s="5" t="s">
        <v>27</v>
      </c>
    </row>
    <row r="25" spans="1:2" ht="15.75" x14ac:dyDescent="0.3">
      <c r="A25" s="4" t="s">
        <v>39</v>
      </c>
      <c r="B25" s="5" t="s">
        <v>27</v>
      </c>
    </row>
    <row r="26" spans="1:2" ht="15.75" x14ac:dyDescent="0.3">
      <c r="A26" s="4" t="s">
        <v>41</v>
      </c>
      <c r="B26" s="5" t="s">
        <v>27</v>
      </c>
    </row>
    <row r="27" spans="1:2" ht="15.75" x14ac:dyDescent="0.3">
      <c r="A27" s="4" t="s">
        <v>53</v>
      </c>
      <c r="B27" s="5" t="s">
        <v>27</v>
      </c>
    </row>
    <row r="28" spans="1:2" ht="15.75" x14ac:dyDescent="0.3">
      <c r="A28" s="4" t="s">
        <v>38</v>
      </c>
      <c r="B28" s="5" t="s">
        <v>27</v>
      </c>
    </row>
    <row r="29" spans="1:2" ht="15.75" x14ac:dyDescent="0.3">
      <c r="A29" s="4" t="s">
        <v>193</v>
      </c>
      <c r="B29" s="5" t="s">
        <v>27</v>
      </c>
    </row>
    <row r="30" spans="1:2" ht="15.75" x14ac:dyDescent="0.3">
      <c r="A30" s="4" t="s">
        <v>55</v>
      </c>
      <c r="B30" s="5" t="s">
        <v>27</v>
      </c>
    </row>
    <row r="31" spans="1:2" ht="15.75" x14ac:dyDescent="0.3">
      <c r="A31" s="4" t="s">
        <v>42</v>
      </c>
      <c r="B31" s="5" t="s">
        <v>27</v>
      </c>
    </row>
  </sheetData>
  <phoneticPr fontId="20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C22"/>
  <sheetViews>
    <sheetView workbookViewId="0">
      <selection activeCell="G7" sqref="G7"/>
    </sheetView>
  </sheetViews>
  <sheetFormatPr defaultRowHeight="16.5" customHeight="1" x14ac:dyDescent="0.15"/>
  <cols>
    <col min="1" max="1" width="6.25" style="120" customWidth="1"/>
    <col min="2" max="2" width="53.25" style="50" customWidth="1"/>
    <col min="3" max="3" width="7.5" style="51" customWidth="1"/>
    <col min="4" max="16384" width="9" style="50"/>
  </cols>
  <sheetData>
    <row r="1" spans="1:3" ht="16.5" customHeight="1" x14ac:dyDescent="0.15">
      <c r="A1" s="151" t="s">
        <v>317</v>
      </c>
      <c r="B1" s="151"/>
    </row>
    <row r="2" spans="1:3" ht="16.5" customHeight="1" x14ac:dyDescent="0.15">
      <c r="A2" s="120" t="s">
        <v>305</v>
      </c>
      <c r="B2" s="127" t="s">
        <v>304</v>
      </c>
      <c r="C2" s="68" t="s">
        <v>284</v>
      </c>
    </row>
    <row r="3" spans="1:3" ht="16.5" customHeight="1" x14ac:dyDescent="0.15">
      <c r="B3" s="128" t="s">
        <v>307</v>
      </c>
    </row>
    <row r="4" spans="1:3" ht="16.5" customHeight="1" x14ac:dyDescent="0.15">
      <c r="B4" s="128" t="s">
        <v>314</v>
      </c>
      <c r="C4" s="51">
        <v>500</v>
      </c>
    </row>
    <row r="5" spans="1:3" ht="16.5" customHeight="1" x14ac:dyDescent="0.15">
      <c r="B5" s="128" t="s">
        <v>315</v>
      </c>
      <c r="C5" s="51">
        <v>1000</v>
      </c>
    </row>
    <row r="6" spans="1:3" ht="16.5" customHeight="1" x14ac:dyDescent="0.15">
      <c r="B6" s="128" t="s">
        <v>308</v>
      </c>
    </row>
    <row r="7" spans="1:3" ht="16.5" customHeight="1" x14ac:dyDescent="0.15">
      <c r="B7" s="128"/>
    </row>
    <row r="8" spans="1:3" ht="16.5" customHeight="1" x14ac:dyDescent="0.15">
      <c r="A8" s="120" t="s">
        <v>310</v>
      </c>
      <c r="B8" s="127" t="s">
        <v>309</v>
      </c>
    </row>
    <row r="9" spans="1:3" ht="16.5" customHeight="1" x14ac:dyDescent="0.15">
      <c r="B9" s="129" t="s">
        <v>316</v>
      </c>
      <c r="C9" s="51">
        <v>500</v>
      </c>
    </row>
    <row r="10" spans="1:3" ht="16.5" customHeight="1" x14ac:dyDescent="0.15">
      <c r="B10" s="128"/>
    </row>
    <row r="11" spans="1:3" ht="16.5" customHeight="1" x14ac:dyDescent="0.15">
      <c r="A11" s="120" t="s">
        <v>311</v>
      </c>
      <c r="B11" s="127" t="s">
        <v>306</v>
      </c>
    </row>
    <row r="12" spans="1:3" ht="16.5" customHeight="1" x14ac:dyDescent="0.15">
      <c r="B12" s="50" t="s">
        <v>303</v>
      </c>
    </row>
    <row r="13" spans="1:3" ht="16.5" customHeight="1" x14ac:dyDescent="0.15">
      <c r="B13" s="50" t="s">
        <v>319</v>
      </c>
      <c r="C13" s="51">
        <v>864</v>
      </c>
    </row>
    <row r="14" spans="1:3" ht="16.5" customHeight="1" x14ac:dyDescent="0.15">
      <c r="B14" s="128"/>
    </row>
    <row r="15" spans="1:3" ht="16.5" customHeight="1" x14ac:dyDescent="0.15">
      <c r="A15" s="120" t="s">
        <v>312</v>
      </c>
      <c r="B15" s="127" t="s">
        <v>313</v>
      </c>
    </row>
    <row r="16" spans="1:3" ht="16.5" customHeight="1" x14ac:dyDescent="0.15">
      <c r="B16" s="131" t="s">
        <v>321</v>
      </c>
      <c r="C16" s="51">
        <v>-300</v>
      </c>
    </row>
    <row r="17" spans="1:3" ht="16.5" customHeight="1" x14ac:dyDescent="0.15">
      <c r="B17" s="128"/>
    </row>
    <row r="18" spans="1:3" ht="16.5" customHeight="1" x14ac:dyDescent="0.15">
      <c r="A18" s="120" t="s">
        <v>318</v>
      </c>
      <c r="B18" s="127" t="s">
        <v>283</v>
      </c>
    </row>
    <row r="19" spans="1:3" ht="16.5" customHeight="1" x14ac:dyDescent="0.15">
      <c r="B19" s="50" t="s">
        <v>285</v>
      </c>
    </row>
    <row r="20" spans="1:3" ht="33" customHeight="1" x14ac:dyDescent="0.15">
      <c r="B20" s="130" t="s">
        <v>286</v>
      </c>
      <c r="C20" s="51">
        <v>600</v>
      </c>
    </row>
    <row r="21" spans="1:3" ht="16.5" customHeight="1" x14ac:dyDescent="0.15">
      <c r="B21" s="50" t="s">
        <v>320</v>
      </c>
    </row>
    <row r="22" spans="1:3" ht="16.5" customHeight="1" x14ac:dyDescent="0.15">
      <c r="C22" s="51">
        <f>SUM(C3:C21)</f>
        <v>3164</v>
      </c>
    </row>
  </sheetData>
  <mergeCells count="1">
    <mergeCell ref="A1:B1"/>
  </mergeCells>
  <phoneticPr fontId="20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60"/>
  <sheetViews>
    <sheetView showGridLines="0" topLeftCell="B2" workbookViewId="0">
      <selection activeCell="R23" sqref="R23"/>
    </sheetView>
  </sheetViews>
  <sheetFormatPr defaultColWidth="9" defaultRowHeight="15.75" customHeight="1" x14ac:dyDescent="0.3"/>
  <cols>
    <col min="1" max="1" width="23.5" style="26" hidden="1" customWidth="1"/>
    <col min="2" max="2" width="6.75" style="112" customWidth="1"/>
    <col min="3" max="3" width="6.5" style="27" customWidth="1"/>
    <col min="4" max="4" width="0.125" style="27" hidden="1" customWidth="1"/>
    <col min="5" max="5" width="7.625" style="27" hidden="1" customWidth="1"/>
    <col min="6" max="6" width="6.875" style="27" hidden="1" customWidth="1"/>
    <col min="7" max="7" width="9" style="27" customWidth="1"/>
    <col min="8" max="8" width="9.5" style="27" customWidth="1"/>
    <col min="9" max="9" width="7.5" style="27" customWidth="1"/>
    <col min="10" max="10" width="7.625" style="27" customWidth="1"/>
    <col min="11" max="11" width="6.75" style="27" customWidth="1"/>
    <col min="12" max="12" width="7.5" style="27" customWidth="1"/>
    <col min="13" max="13" width="12.25" style="27" bestFit="1" customWidth="1"/>
    <col min="14" max="14" width="10.5" style="26" bestFit="1" customWidth="1"/>
    <col min="15" max="15" width="10.5" style="27" bestFit="1" customWidth="1"/>
    <col min="16" max="16" width="0" style="26" hidden="1" customWidth="1"/>
    <col min="17" max="17" width="9" style="27"/>
    <col min="18" max="16384" width="9" style="26"/>
  </cols>
  <sheetData>
    <row r="1" spans="1:17" ht="15.75" hidden="1" customHeight="1" x14ac:dyDescent="0.3">
      <c r="A1" s="114"/>
      <c r="B1" s="115"/>
      <c r="C1" s="116"/>
      <c r="D1" s="116"/>
      <c r="E1" s="116"/>
      <c r="F1" s="116"/>
      <c r="G1" s="116"/>
      <c r="H1" s="116"/>
      <c r="I1" s="116"/>
      <c r="J1" s="116"/>
      <c r="K1" s="116"/>
      <c r="L1" s="116"/>
      <c r="M1" s="116"/>
    </row>
    <row r="2" spans="1:17" ht="22.5" customHeight="1" x14ac:dyDescent="0.35">
      <c r="A2" s="114"/>
      <c r="B2" s="158" t="s">
        <v>323</v>
      </c>
      <c r="C2" s="28" t="str">
        <f ca="1">D2</f>
        <v>11:00</v>
      </c>
      <c r="D2" s="29" t="str">
        <f ca="1">HOUR(NOW())&amp;":00"</f>
        <v>11:00</v>
      </c>
      <c r="E2" s="144" t="s">
        <v>322</v>
      </c>
      <c r="F2" s="145"/>
      <c r="G2" s="145"/>
      <c r="H2" s="145"/>
      <c r="I2" s="145"/>
      <c r="J2" s="145"/>
      <c r="K2" s="145"/>
      <c r="L2" s="145"/>
      <c r="M2" s="146"/>
    </row>
    <row r="3" spans="1:17" ht="15.75" hidden="1" customHeight="1" x14ac:dyDescent="0.3">
      <c r="A3" s="114"/>
      <c r="B3" s="159"/>
      <c r="C3" s="30" t="s">
        <v>0</v>
      </c>
      <c r="D3" s="30" t="s">
        <v>1</v>
      </c>
      <c r="E3" s="30"/>
      <c r="F3" s="30"/>
      <c r="G3" s="31" t="s">
        <v>2</v>
      </c>
      <c r="H3" s="31" t="s">
        <v>3</v>
      </c>
      <c r="I3" s="31" t="s">
        <v>4</v>
      </c>
      <c r="J3" s="31" t="s">
        <v>5</v>
      </c>
      <c r="K3" s="31" t="s">
        <v>6</v>
      </c>
      <c r="L3" s="31" t="s">
        <v>7</v>
      </c>
      <c r="M3" s="31" t="s">
        <v>8</v>
      </c>
      <c r="O3" s="26"/>
    </row>
    <row r="4" spans="1:17" ht="15.75" hidden="1" customHeight="1" x14ac:dyDescent="0.3">
      <c r="A4" s="114" t="s">
        <v>9</v>
      </c>
      <c r="B4" s="159"/>
      <c r="C4" s="32" t="s">
        <v>10</v>
      </c>
      <c r="D4" s="32" t="s">
        <v>11</v>
      </c>
      <c r="E4" s="32"/>
      <c r="F4" s="32"/>
      <c r="G4" s="33">
        <v>7</v>
      </c>
      <c r="H4" s="21">
        <f>SUMIFS(CRM!I:I,CRM!A:A,售卖区!A4)</f>
        <v>0</v>
      </c>
      <c r="I4" s="21">
        <f>SUMIFS(CRM!Q:Q,CRM!A:A,售卖区!A4)</f>
        <v>0</v>
      </c>
      <c r="J4" s="33">
        <v>1</v>
      </c>
      <c r="K4" s="33">
        <v>20</v>
      </c>
      <c r="L4" s="41">
        <f t="shared" ref="L4:L10" si="0">H4/G4</f>
        <v>0</v>
      </c>
      <c r="M4" s="41">
        <f t="shared" ref="M4:M10" si="1">I4/G4</f>
        <v>0</v>
      </c>
      <c r="O4" s="26"/>
    </row>
    <row r="5" spans="1:17" ht="15.75" hidden="1" customHeight="1" x14ac:dyDescent="0.3">
      <c r="A5" s="114" t="s">
        <v>12</v>
      </c>
      <c r="B5" s="159"/>
      <c r="C5" s="32" t="s">
        <v>13</v>
      </c>
      <c r="D5" s="34" t="s">
        <v>14</v>
      </c>
      <c r="E5" s="34"/>
      <c r="F5" s="34"/>
      <c r="G5" s="33">
        <v>8</v>
      </c>
      <c r="H5" s="21">
        <f>SUMIFS(CRM!I:I,CRM!A:A,售卖区!A5)</f>
        <v>0</v>
      </c>
      <c r="I5" s="21">
        <f>SUMIFS(CRM!Q:Q,CRM!A:A,售卖区!A5)</f>
        <v>0</v>
      </c>
      <c r="J5" s="33">
        <v>1</v>
      </c>
      <c r="K5" s="33">
        <v>20</v>
      </c>
      <c r="L5" s="41">
        <f t="shared" si="0"/>
        <v>0</v>
      </c>
      <c r="M5" s="41">
        <f t="shared" si="1"/>
        <v>0</v>
      </c>
      <c r="O5" s="26"/>
    </row>
    <row r="6" spans="1:17" ht="15.75" hidden="1" customHeight="1" x14ac:dyDescent="0.3">
      <c r="A6" s="114" t="s">
        <v>15</v>
      </c>
      <c r="B6" s="159"/>
      <c r="C6" s="32" t="s">
        <v>16</v>
      </c>
      <c r="D6" s="32" t="s">
        <v>17</v>
      </c>
      <c r="E6" s="32"/>
      <c r="F6" s="32"/>
      <c r="G6" s="33">
        <v>7</v>
      </c>
      <c r="H6" s="21">
        <f>SUMIFS(CRM!I:I,CRM!A:A,售卖区!A6)</f>
        <v>0</v>
      </c>
      <c r="I6" s="21">
        <f>SUMIFS(CRM!Q:Q,CRM!A:A,售卖区!A6)</f>
        <v>0</v>
      </c>
      <c r="J6" s="33">
        <v>1</v>
      </c>
      <c r="K6" s="33">
        <v>20</v>
      </c>
      <c r="L6" s="41">
        <f t="shared" si="0"/>
        <v>0</v>
      </c>
      <c r="M6" s="41">
        <f t="shared" si="1"/>
        <v>0</v>
      </c>
      <c r="O6" s="26"/>
    </row>
    <row r="7" spans="1:17" ht="15.75" hidden="1" customHeight="1" x14ac:dyDescent="0.3">
      <c r="A7" s="114" t="s">
        <v>18</v>
      </c>
      <c r="B7" s="159"/>
      <c r="C7" s="32" t="s">
        <v>19</v>
      </c>
      <c r="D7" s="32" t="s">
        <v>20</v>
      </c>
      <c r="E7" s="32"/>
      <c r="F7" s="32"/>
      <c r="G7" s="33">
        <v>7</v>
      </c>
      <c r="H7" s="21">
        <f>SUMIFS(CRM!I:I,CRM!A:A,售卖区!A7)</f>
        <v>0</v>
      </c>
      <c r="I7" s="21">
        <f>SUMIFS(CRM!Q:Q,CRM!A:A,售卖区!A7)</f>
        <v>0</v>
      </c>
      <c r="J7" s="33">
        <v>1</v>
      </c>
      <c r="K7" s="33">
        <v>20</v>
      </c>
      <c r="L7" s="41">
        <f t="shared" si="0"/>
        <v>0</v>
      </c>
      <c r="M7" s="41">
        <f t="shared" si="1"/>
        <v>0</v>
      </c>
      <c r="O7" s="26"/>
    </row>
    <row r="8" spans="1:17" ht="15.75" hidden="1" customHeight="1" x14ac:dyDescent="0.3">
      <c r="A8" s="114" t="s">
        <v>21</v>
      </c>
      <c r="B8" s="159"/>
      <c r="C8" s="32" t="s">
        <v>22</v>
      </c>
      <c r="D8" s="32" t="s">
        <v>23</v>
      </c>
      <c r="E8" s="32"/>
      <c r="F8" s="32"/>
      <c r="G8" s="33">
        <v>10</v>
      </c>
      <c r="H8" s="21">
        <f>SUMIFS(CRM!I:I,CRM!A:A,售卖区!A8)</f>
        <v>0</v>
      </c>
      <c r="I8" s="21">
        <f>SUMIFS(CRM!Q:Q,CRM!A:A,售卖区!A8)</f>
        <v>0</v>
      </c>
      <c r="J8" s="33">
        <v>1</v>
      </c>
      <c r="K8" s="33">
        <v>20</v>
      </c>
      <c r="L8" s="41">
        <f t="shared" si="0"/>
        <v>0</v>
      </c>
      <c r="M8" s="41">
        <f t="shared" si="1"/>
        <v>0</v>
      </c>
      <c r="O8" s="26"/>
    </row>
    <row r="9" spans="1:17" ht="15.75" hidden="1" customHeight="1" x14ac:dyDescent="0.3">
      <c r="A9" s="114" t="s">
        <v>24</v>
      </c>
      <c r="B9" s="159"/>
      <c r="C9" s="32" t="s">
        <v>25</v>
      </c>
      <c r="D9" s="32" t="s">
        <v>26</v>
      </c>
      <c r="E9" s="32"/>
      <c r="F9" s="32"/>
      <c r="G9" s="33">
        <v>21</v>
      </c>
      <c r="H9" s="21">
        <f>SUMIFS(CRM!I:I,CRM!A:A,售卖区!A9)</f>
        <v>0</v>
      </c>
      <c r="I9" s="21">
        <f>SUMIFS(CRM!Q:Q,CRM!A:A,售卖区!A9)</f>
        <v>0</v>
      </c>
      <c r="J9" s="33">
        <v>1</v>
      </c>
      <c r="K9" s="33">
        <v>15</v>
      </c>
      <c r="L9" s="41">
        <f t="shared" si="0"/>
        <v>0</v>
      </c>
      <c r="M9" s="41">
        <f t="shared" si="1"/>
        <v>0</v>
      </c>
      <c r="O9" s="26"/>
    </row>
    <row r="10" spans="1:17" ht="15.75" hidden="1" customHeight="1" x14ac:dyDescent="0.3">
      <c r="A10" s="114"/>
      <c r="B10" s="159"/>
      <c r="C10" s="35" t="s">
        <v>27</v>
      </c>
      <c r="D10" s="36"/>
      <c r="E10" s="36"/>
      <c r="F10" s="36"/>
      <c r="G10" s="36">
        <f>SUM(G4:G9)</f>
        <v>60</v>
      </c>
      <c r="H10" s="36">
        <f>SUM(H4:H9)</f>
        <v>0</v>
      </c>
      <c r="I10" s="36">
        <f>SUM(I4:I9)</f>
        <v>0</v>
      </c>
      <c r="J10" s="37">
        <v>1</v>
      </c>
      <c r="K10" s="37">
        <v>17</v>
      </c>
      <c r="L10" s="42">
        <f t="shared" si="0"/>
        <v>0</v>
      </c>
      <c r="M10" s="37">
        <f t="shared" si="1"/>
        <v>0</v>
      </c>
      <c r="N10" s="143" t="s">
        <v>28</v>
      </c>
      <c r="O10" s="143"/>
    </row>
    <row r="11" spans="1:17" ht="15.75" customHeight="1" thickBot="1" x14ac:dyDescent="0.35">
      <c r="A11" s="114"/>
      <c r="B11" s="160"/>
      <c r="C11" s="31" t="s">
        <v>29</v>
      </c>
      <c r="D11" s="31"/>
      <c r="E11" s="31" t="s">
        <v>250</v>
      </c>
      <c r="F11" s="31" t="s">
        <v>302</v>
      </c>
      <c r="G11" s="31" t="s">
        <v>301</v>
      </c>
      <c r="H11" s="31" t="s">
        <v>30</v>
      </c>
      <c r="I11" s="31" t="s">
        <v>31</v>
      </c>
      <c r="J11" s="31" t="s">
        <v>32</v>
      </c>
      <c r="K11" s="31" t="s">
        <v>31</v>
      </c>
      <c r="L11" s="31" t="s">
        <v>33</v>
      </c>
      <c r="M11" s="31" t="s">
        <v>34</v>
      </c>
      <c r="N11" s="43" t="s">
        <v>35</v>
      </c>
      <c r="O11" s="44" t="s">
        <v>36</v>
      </c>
    </row>
    <row r="12" spans="1:17" ht="15.75" customHeight="1" thickBot="1" x14ac:dyDescent="0.35">
      <c r="A12" s="56" t="s">
        <v>290</v>
      </c>
      <c r="B12" s="113" t="s">
        <v>259</v>
      </c>
      <c r="C12" s="32" t="s">
        <v>10</v>
      </c>
      <c r="D12" s="32" t="s">
        <v>11</v>
      </c>
      <c r="E12" s="32">
        <v>647</v>
      </c>
      <c r="F12" s="21">
        <v>1018</v>
      </c>
      <c r="G12" s="33">
        <v>1050</v>
      </c>
      <c r="H12" s="21">
        <f>SUMIFS(实时bi!D:D,实时bi!A:A,售卖区!A12)</f>
        <v>376</v>
      </c>
      <c r="I12" s="38">
        <f>SUMIFS(实时bi!E:E,实时bi!$A:$A,售卖区!$A12)</f>
        <v>10.75</v>
      </c>
      <c r="J12" s="21">
        <f>SUMIFS(实时bi!B:B,实时bi!$A:$A,售卖区!$A12)</f>
        <v>71740</v>
      </c>
      <c r="K12" s="38">
        <f>SUMIFS(实时bi!C:C,实时bi!$A:$A,售卖区!$A12)</f>
        <v>14.4247</v>
      </c>
      <c r="L12" s="45">
        <f t="shared" ref="L12:L18" si="2">J12/H12</f>
        <v>190.79787234042553</v>
      </c>
      <c r="M12" s="38">
        <f t="shared" ref="M12:M18" si="3">H12/G12</f>
        <v>0.35809523809523808</v>
      </c>
      <c r="N12" s="46">
        <f t="shared" ref="N12:N17" si="4">H12/(1+I12)</f>
        <v>32</v>
      </c>
      <c r="O12" s="46">
        <f t="shared" ref="O12:O17" si="5">J12/(1+K12)</f>
        <v>4650.9818667461932</v>
      </c>
      <c r="P12" s="26">
        <f>G12/E12-1</f>
        <v>0.62287480680061824</v>
      </c>
      <c r="Q12" s="27">
        <f>G12-E12</f>
        <v>403</v>
      </c>
    </row>
    <row r="13" spans="1:17" ht="15.75" customHeight="1" thickBot="1" x14ac:dyDescent="0.35">
      <c r="A13" s="56" t="s">
        <v>292</v>
      </c>
      <c r="B13" s="113" t="s">
        <v>260</v>
      </c>
      <c r="C13" s="32" t="s">
        <v>16</v>
      </c>
      <c r="D13" s="32" t="s">
        <v>17</v>
      </c>
      <c r="E13" s="32">
        <v>573</v>
      </c>
      <c r="F13" s="21">
        <v>746</v>
      </c>
      <c r="G13" s="33">
        <v>760</v>
      </c>
      <c r="H13" s="21">
        <f>SUMIFS(实时bi!D:D,实时bi!A:A,售卖区!A13)</f>
        <v>289</v>
      </c>
      <c r="I13" s="38">
        <f>SUMIFS(实时bi!E:E,实时bi!$A:$A,售卖区!$A13)</f>
        <v>4.5576999999999996</v>
      </c>
      <c r="J13" s="21">
        <f>SUMIFS(实时bi!B:B,实时bi!$A:$A,售卖区!$A13)</f>
        <v>55948</v>
      </c>
      <c r="K13" s="38">
        <f>SUMIFS(实时bi!C:C,实时bi!$A:$A,售卖区!$A13)</f>
        <v>4.2808000000000002</v>
      </c>
      <c r="L13" s="45">
        <f>J13/H13</f>
        <v>193.5916955017301</v>
      </c>
      <c r="M13" s="38">
        <f>H13/G13</f>
        <v>0.38026315789473686</v>
      </c>
      <c r="N13" s="46">
        <f>H13/(1+I13)</f>
        <v>51.99992802778128</v>
      </c>
      <c r="O13" s="46">
        <f>J13/(1+K13)</f>
        <v>10594.606877745795</v>
      </c>
      <c r="P13" s="26">
        <f t="shared" ref="P13:P17" si="6">G13/E13-1</f>
        <v>0.32635253054101221</v>
      </c>
      <c r="Q13" s="27">
        <f t="shared" ref="Q13:Q17" si="7">G13-E13</f>
        <v>187</v>
      </c>
    </row>
    <row r="14" spans="1:17" ht="15.75" customHeight="1" thickBot="1" x14ac:dyDescent="0.35">
      <c r="A14" s="56" t="s">
        <v>294</v>
      </c>
      <c r="B14" s="113" t="s">
        <v>261</v>
      </c>
      <c r="C14" s="32" t="s">
        <v>13</v>
      </c>
      <c r="D14" s="34" t="s">
        <v>14</v>
      </c>
      <c r="E14" s="34">
        <v>578</v>
      </c>
      <c r="F14" s="21">
        <v>776</v>
      </c>
      <c r="G14" s="33">
        <v>777</v>
      </c>
      <c r="H14" s="21">
        <f>SUMIFS(实时bi!D:D,实时bi!A:A,售卖区!A14)</f>
        <v>287</v>
      </c>
      <c r="I14" s="38">
        <f>SUMIFS(实时bi!E:E,实时bi!$A:$A,售卖区!$A14)</f>
        <v>6.1749999999999998</v>
      </c>
      <c r="J14" s="21">
        <f>SUMIFS(实时bi!B:B,实时bi!$A:$A,售卖区!$A14)</f>
        <v>65576</v>
      </c>
      <c r="K14" s="38">
        <f>SUMIFS(实时bi!C:C,实时bi!$A:$A,售卖区!$A14)</f>
        <v>5.6109</v>
      </c>
      <c r="L14" s="45">
        <f t="shared" si="2"/>
        <v>228.48780487804879</v>
      </c>
      <c r="M14" s="38">
        <f t="shared" si="3"/>
        <v>0.36936936936936937</v>
      </c>
      <c r="N14" s="46">
        <f t="shared" si="4"/>
        <v>40</v>
      </c>
      <c r="O14" s="46">
        <f t="shared" si="5"/>
        <v>9919.3755766990871</v>
      </c>
      <c r="P14" s="26">
        <f t="shared" si="6"/>
        <v>0.34429065743944642</v>
      </c>
      <c r="Q14" s="27">
        <f t="shared" si="7"/>
        <v>199</v>
      </c>
    </row>
    <row r="15" spans="1:17" ht="15.75" customHeight="1" thickBot="1" x14ac:dyDescent="0.35">
      <c r="A15" s="60" t="s">
        <v>291</v>
      </c>
      <c r="B15" s="113" t="s">
        <v>263</v>
      </c>
      <c r="C15" s="32" t="s">
        <v>19</v>
      </c>
      <c r="D15" s="32" t="s">
        <v>20</v>
      </c>
      <c r="E15" s="32">
        <v>466</v>
      </c>
      <c r="F15" s="21">
        <v>604</v>
      </c>
      <c r="G15" s="33">
        <v>610</v>
      </c>
      <c r="H15" s="21">
        <f>SUMIFS(实时bi!$D:$D,实时bi!$A:$A,售卖区!$A15)</f>
        <v>219</v>
      </c>
      <c r="I15" s="38">
        <f>SUMIFS(实时bi!E:E,实时bi!$A:$A,售卖区!$A15)</f>
        <v>5.6364000000000001</v>
      </c>
      <c r="J15" s="21">
        <f>SUMIFS(实时bi!B:B,实时bi!$A:$A,售卖区!$A15)</f>
        <v>65688</v>
      </c>
      <c r="K15" s="38">
        <f>SUMIFS(实时bi!C:C,实时bi!$A:$A,售卖区!$A15)</f>
        <v>8.1664999999999992</v>
      </c>
      <c r="L15" s="45">
        <f t="shared" si="2"/>
        <v>299.94520547945206</v>
      </c>
      <c r="M15" s="38">
        <f t="shared" si="3"/>
        <v>0.35901639344262293</v>
      </c>
      <c r="N15" s="46">
        <f t="shared" si="4"/>
        <v>32.999819179072993</v>
      </c>
      <c r="O15" s="46">
        <f t="shared" si="5"/>
        <v>7166.0939289805274</v>
      </c>
      <c r="P15" s="26">
        <f t="shared" si="6"/>
        <v>0.30901287553648071</v>
      </c>
      <c r="Q15" s="27">
        <f t="shared" si="7"/>
        <v>144</v>
      </c>
    </row>
    <row r="16" spans="1:17" ht="15.75" customHeight="1" thickBot="1" x14ac:dyDescent="0.35">
      <c r="A16" s="60" t="s">
        <v>293</v>
      </c>
      <c r="B16" s="113" t="s">
        <v>264</v>
      </c>
      <c r="C16" s="32" t="s">
        <v>22</v>
      </c>
      <c r="D16" s="32" t="s">
        <v>23</v>
      </c>
      <c r="E16" s="32">
        <v>471</v>
      </c>
      <c r="F16" s="21">
        <v>647</v>
      </c>
      <c r="G16" s="33">
        <v>650</v>
      </c>
      <c r="H16" s="21">
        <f>SUMIFS(实时bi!D:D,实时bi!A:A,售卖区!A16)</f>
        <v>360</v>
      </c>
      <c r="I16" s="38">
        <f>SUMIFS(实时bi!E:E,实时bi!$A:$A,售卖区!$A16)</f>
        <v>7.3720999999999997</v>
      </c>
      <c r="J16" s="21">
        <f>SUMIFS(实时bi!B:B,实时bi!$A:$A,售卖区!$A16)</f>
        <v>61525</v>
      </c>
      <c r="K16" s="38">
        <f>SUMIFS(实时bi!C:C,实时bi!$A:$A,售卖区!$A16)</f>
        <v>6.4161999999999999</v>
      </c>
      <c r="L16" s="45">
        <f t="shared" si="2"/>
        <v>170.90277777777777</v>
      </c>
      <c r="M16" s="38">
        <f t="shared" si="3"/>
        <v>0.55384615384615388</v>
      </c>
      <c r="N16" s="46">
        <f t="shared" si="4"/>
        <v>42.999964166696529</v>
      </c>
      <c r="O16" s="46">
        <f t="shared" si="5"/>
        <v>8296.0276152207334</v>
      </c>
      <c r="P16" s="26">
        <f t="shared" si="6"/>
        <v>0.38004246284501053</v>
      </c>
      <c r="Q16" s="27">
        <f t="shared" si="7"/>
        <v>179</v>
      </c>
    </row>
    <row r="17" spans="1:17" ht="15.75" customHeight="1" thickBot="1" x14ac:dyDescent="0.35">
      <c r="A17" s="60" t="s">
        <v>295</v>
      </c>
      <c r="B17" s="113" t="s">
        <v>265</v>
      </c>
      <c r="C17" s="32" t="s">
        <v>25</v>
      </c>
      <c r="D17" s="32" t="s">
        <v>26</v>
      </c>
      <c r="E17" s="32">
        <v>388</v>
      </c>
      <c r="F17" s="21">
        <v>653</v>
      </c>
      <c r="G17" s="33">
        <v>650</v>
      </c>
      <c r="H17" s="21">
        <f>SUMIFS(实时bi!D:D,实时bi!A:A,售卖区!A17)</f>
        <v>339</v>
      </c>
      <c r="I17" s="38">
        <f>SUMIFS(实时bi!E:E,实时bi!$A:$A,售卖区!$A17)</f>
        <v>9.2727000000000004</v>
      </c>
      <c r="J17" s="21">
        <f>SUMIFS(实时bi!B:B,实时bi!$A:$A,售卖区!$A17)</f>
        <v>77220</v>
      </c>
      <c r="K17" s="38">
        <f>SUMIFS(实时bi!C:C,实时bi!$A:$A,售卖区!$A17)</f>
        <v>8.4741999999999997</v>
      </c>
      <c r="L17" s="45">
        <f t="shared" si="2"/>
        <v>227.78761061946904</v>
      </c>
      <c r="M17" s="38">
        <f t="shared" si="3"/>
        <v>0.52153846153846151</v>
      </c>
      <c r="N17" s="46">
        <f t="shared" si="4"/>
        <v>33.000087610852063</v>
      </c>
      <c r="O17" s="46">
        <f t="shared" si="5"/>
        <v>8150.5562474931921</v>
      </c>
      <c r="P17" s="26">
        <f t="shared" si="6"/>
        <v>0.67525773195876293</v>
      </c>
      <c r="Q17" s="27">
        <f t="shared" si="7"/>
        <v>262</v>
      </c>
    </row>
    <row r="18" spans="1:17" ht="15.75" customHeight="1" x14ac:dyDescent="0.3">
      <c r="A18" s="114" t="s">
        <v>27</v>
      </c>
      <c r="B18" s="35" t="s">
        <v>266</v>
      </c>
      <c r="C18" s="35" t="s">
        <v>27</v>
      </c>
      <c r="D18" s="36"/>
      <c r="E18" s="36">
        <v>3122</v>
      </c>
      <c r="F18" s="36">
        <v>4444</v>
      </c>
      <c r="G18" s="36">
        <v>4500</v>
      </c>
      <c r="H18" s="36">
        <f>SUM(H12:H17)</f>
        <v>1870</v>
      </c>
      <c r="I18" s="39">
        <f>(H18-N18)/N18</f>
        <v>7.0257579970065942</v>
      </c>
      <c r="J18" s="36">
        <f>SUM(J12:J17)</f>
        <v>397697</v>
      </c>
      <c r="K18" s="39">
        <f>(J18-O18)/O18</f>
        <v>7.1532641344084338</v>
      </c>
      <c r="L18" s="47">
        <f t="shared" si="2"/>
        <v>212.672192513369</v>
      </c>
      <c r="M18" s="39">
        <f t="shared" si="3"/>
        <v>0.41555555555555557</v>
      </c>
      <c r="N18" s="48">
        <f>SUM(N12:N17)</f>
        <v>232.99979898440284</v>
      </c>
      <c r="O18" s="48">
        <f>SUM(O12:O17)</f>
        <v>48777.642112885529</v>
      </c>
    </row>
    <row r="19" spans="1:17" ht="15" customHeight="1" thickBot="1" x14ac:dyDescent="0.35">
      <c r="A19" s="114"/>
      <c r="B19" s="31" t="s">
        <v>262</v>
      </c>
      <c r="C19" s="31" t="s">
        <v>50</v>
      </c>
      <c r="D19" s="31"/>
      <c r="E19" s="31" t="s">
        <v>250</v>
      </c>
      <c r="F19" s="31"/>
      <c r="G19" s="31" t="s">
        <v>301</v>
      </c>
      <c r="H19" s="31" t="s">
        <v>30</v>
      </c>
      <c r="I19" s="31" t="s">
        <v>31</v>
      </c>
      <c r="J19" s="31" t="s">
        <v>32</v>
      </c>
      <c r="K19" s="31" t="s">
        <v>31</v>
      </c>
      <c r="L19" s="31" t="s">
        <v>44</v>
      </c>
      <c r="M19" s="31" t="s">
        <v>45</v>
      </c>
      <c r="N19" s="43" t="s">
        <v>35</v>
      </c>
      <c r="O19" s="44" t="s">
        <v>36</v>
      </c>
    </row>
    <row r="20" spans="1:17" ht="15" thickBot="1" x14ac:dyDescent="0.35">
      <c r="A20" s="56" t="s">
        <v>290</v>
      </c>
      <c r="B20" s="113" t="s">
        <v>259</v>
      </c>
      <c r="C20" s="32" t="s">
        <v>10</v>
      </c>
      <c r="D20" s="32" t="s">
        <v>51</v>
      </c>
      <c r="E20" s="32">
        <v>504</v>
      </c>
      <c r="F20" s="32">
        <v>609</v>
      </c>
      <c r="G20" s="33">
        <f>SUMIFS('5月bi'!AL:AL,'5月bi'!AG:AG,售卖区!A20)</f>
        <v>0</v>
      </c>
      <c r="H20" s="21">
        <f>SUMIFS(实时bi!I:I,实时bi!F:F,售卖区!A20)</f>
        <v>187</v>
      </c>
      <c r="I20" s="23">
        <f>SUMIFS(实时bi!J:J,实时bi!F:F,售卖区!A20)</f>
        <v>7.5</v>
      </c>
      <c r="J20" s="21">
        <f>SUMIFS(实时bi!G:G,实时bi!F:F,售卖区!A20)</f>
        <v>21138</v>
      </c>
      <c r="K20" s="23">
        <f>SUMIFS(实时bi!H:H,实时bi!F:F,售卖区!A20)</f>
        <v>14.004899999999999</v>
      </c>
      <c r="L20" s="38">
        <f t="shared" ref="L20:L25" si="8">H20/H12</f>
        <v>0.49734042553191488</v>
      </c>
      <c r="M20" s="38">
        <f t="shared" ref="M20:M25" si="9">J20/J12</f>
        <v>0.29464733760802897</v>
      </c>
      <c r="N20" s="46">
        <f t="shared" ref="N20:N25" si="10">H20/(1+I20)</f>
        <v>22</v>
      </c>
      <c r="O20" s="46">
        <f t="shared" ref="O20:O25" si="11">J20/(1+K20)</f>
        <v>1408.7398116615241</v>
      </c>
    </row>
    <row r="21" spans="1:17" ht="15" thickBot="1" x14ac:dyDescent="0.35">
      <c r="A21" s="56" t="s">
        <v>292</v>
      </c>
      <c r="B21" s="113" t="s">
        <v>260</v>
      </c>
      <c r="C21" s="32" t="s">
        <v>16</v>
      </c>
      <c r="D21" s="32" t="s">
        <v>17</v>
      </c>
      <c r="E21" s="32">
        <v>486</v>
      </c>
      <c r="F21" s="32">
        <v>473</v>
      </c>
      <c r="G21" s="33">
        <f>SUMIFS('5月bi'!AL:AL,'5月bi'!AG:AG,售卖区!A21)</f>
        <v>0</v>
      </c>
      <c r="H21" s="21">
        <f>SUMIFS(实时bi!I:I,实时bi!F:F,售卖区!A21)</f>
        <v>221</v>
      </c>
      <c r="I21" s="23">
        <f>SUMIFS(实时bi!J:J,实时bi!F:F,售卖区!A21)</f>
        <v>4.8158000000000003</v>
      </c>
      <c r="J21" s="21">
        <f>SUMIFS(实时bi!G:G,实时bi!F:F,售卖区!A21)</f>
        <v>28520</v>
      </c>
      <c r="K21" s="23">
        <f>SUMIFS(实时bi!H:H,实时bi!F:F,售卖区!A21)</f>
        <v>4.1307</v>
      </c>
      <c r="L21" s="38">
        <f t="shared" si="8"/>
        <v>0.76470588235294112</v>
      </c>
      <c r="M21" s="38">
        <f t="shared" si="9"/>
        <v>0.50975906198612997</v>
      </c>
      <c r="N21" s="46">
        <f t="shared" si="10"/>
        <v>37.999931221843937</v>
      </c>
      <c r="O21" s="46">
        <f t="shared" si="11"/>
        <v>5558.6956945446036</v>
      </c>
    </row>
    <row r="22" spans="1:17" ht="15" thickBot="1" x14ac:dyDescent="0.35">
      <c r="A22" s="56" t="s">
        <v>294</v>
      </c>
      <c r="B22" s="113" t="s">
        <v>261</v>
      </c>
      <c r="C22" s="32" t="s">
        <v>13</v>
      </c>
      <c r="D22" s="34" t="s">
        <v>14</v>
      </c>
      <c r="E22" s="34">
        <v>483</v>
      </c>
      <c r="F22" s="34">
        <v>376</v>
      </c>
      <c r="G22" s="33">
        <f>SUMIFS('5月bi'!AL:AL,'5月bi'!AG:AG,售卖区!A22)</f>
        <v>0</v>
      </c>
      <c r="H22" s="21">
        <f>SUMIFS(实时bi!I:I,实时bi!F:F,售卖区!A22)</f>
        <v>176</v>
      </c>
      <c r="I22" s="23">
        <f>SUMIFS(实时bi!J:J,实时bi!F:F,售卖区!A22)</f>
        <v>3.8889</v>
      </c>
      <c r="J22" s="21">
        <f>SUMIFS(实时bi!G:G,实时bi!F:F,售卖区!A22)</f>
        <v>17684</v>
      </c>
      <c r="K22" s="23">
        <f>SUMIFS(实时bi!H:H,实时bi!F:F,售卖区!A22)</f>
        <v>1.94</v>
      </c>
      <c r="L22" s="38">
        <f t="shared" si="8"/>
        <v>0.61324041811846686</v>
      </c>
      <c r="M22" s="38">
        <f t="shared" si="9"/>
        <v>0.26967183115774063</v>
      </c>
      <c r="N22" s="46">
        <f t="shared" si="10"/>
        <v>35.999918182004137</v>
      </c>
      <c r="O22" s="46">
        <f t="shared" si="11"/>
        <v>6014.9659863945581</v>
      </c>
    </row>
    <row r="23" spans="1:17" ht="15" thickBot="1" x14ac:dyDescent="0.35">
      <c r="A23" s="60" t="s">
        <v>291</v>
      </c>
      <c r="B23" s="113" t="s">
        <v>263</v>
      </c>
      <c r="C23" s="32" t="s">
        <v>19</v>
      </c>
      <c r="D23" s="32" t="s">
        <v>11</v>
      </c>
      <c r="E23" s="32">
        <v>363</v>
      </c>
      <c r="F23" s="32">
        <v>335</v>
      </c>
      <c r="G23" s="33">
        <f>SUMIFS('5月bi'!AL:AL,'5月bi'!AG:AG,售卖区!A23)</f>
        <v>0</v>
      </c>
      <c r="H23" s="21">
        <f>SUMIFS(实时bi!I:I,实时bi!F:F,售卖区!A23)</f>
        <v>127</v>
      </c>
      <c r="I23" s="23">
        <f>SUMIFS(实时bi!J:J,实时bi!F:F,售卖区!A23)</f>
        <v>3.8845999999999998</v>
      </c>
      <c r="J23" s="21">
        <f>SUMIFS(实时bi!G:G,实时bi!F:F,售卖区!A23)</f>
        <v>12935</v>
      </c>
      <c r="K23" s="23">
        <f>SUMIFS(实时bi!H:H,实时bi!F:F,售卖区!A23)</f>
        <v>4.5941999999999998</v>
      </c>
      <c r="L23" s="38">
        <f t="shared" si="8"/>
        <v>0.57990867579908678</v>
      </c>
      <c r="M23" s="38">
        <f t="shared" si="9"/>
        <v>0.19691572281086347</v>
      </c>
      <c r="N23" s="46">
        <f t="shared" si="10"/>
        <v>26.000081890021701</v>
      </c>
      <c r="O23" s="46">
        <f t="shared" si="11"/>
        <v>2312.21622394623</v>
      </c>
    </row>
    <row r="24" spans="1:17" ht="15" thickBot="1" x14ac:dyDescent="0.35">
      <c r="A24" s="60" t="s">
        <v>293</v>
      </c>
      <c r="B24" s="113" t="s">
        <v>264</v>
      </c>
      <c r="C24" s="32" t="s">
        <v>22</v>
      </c>
      <c r="D24" s="32" t="s">
        <v>23</v>
      </c>
      <c r="E24" s="32">
        <v>357</v>
      </c>
      <c r="F24" s="32">
        <v>254</v>
      </c>
      <c r="G24" s="33">
        <f>SUMIFS('5月bi'!AL:AL,'5月bi'!AG:AG,售卖区!A24)</f>
        <v>0</v>
      </c>
      <c r="H24" s="21">
        <f>SUMIFS(实时bi!I:I,实时bi!F:F,售卖区!A24)</f>
        <v>168</v>
      </c>
      <c r="I24" s="23">
        <f>SUMIFS(实时bi!J:J,实时bi!F:F,售卖区!A24)</f>
        <v>4.7930999999999999</v>
      </c>
      <c r="J24" s="21">
        <f>SUMIFS(实时bi!G:G,实时bi!F:F,售卖区!A24)</f>
        <v>14232</v>
      </c>
      <c r="K24" s="23">
        <f>SUMIFS(实时bi!H:H,实时bi!F:F,售卖区!A24)</f>
        <v>4.1172000000000004</v>
      </c>
      <c r="L24" s="38">
        <f t="shared" si="8"/>
        <v>0.46666666666666667</v>
      </c>
      <c r="M24" s="38">
        <f t="shared" si="9"/>
        <v>0.23132060138155222</v>
      </c>
      <c r="N24" s="46">
        <f t="shared" si="10"/>
        <v>29.000017261915037</v>
      </c>
      <c r="O24" s="46">
        <f t="shared" si="11"/>
        <v>2781.2084733838815</v>
      </c>
    </row>
    <row r="25" spans="1:17" ht="15" thickBot="1" x14ac:dyDescent="0.35">
      <c r="A25" s="60" t="s">
        <v>295</v>
      </c>
      <c r="B25" s="113" t="s">
        <v>265</v>
      </c>
      <c r="C25" s="32" t="s">
        <v>25</v>
      </c>
      <c r="D25" s="32" t="s">
        <v>26</v>
      </c>
      <c r="E25" s="32">
        <v>253</v>
      </c>
      <c r="F25" s="32">
        <v>286</v>
      </c>
      <c r="G25" s="33">
        <f>SUMIFS('5月bi'!AL:AL,'5月bi'!AG:AG,售卖区!A25)</f>
        <v>0</v>
      </c>
      <c r="H25" s="21">
        <f>SUMIFS(实时bi!I:I,实时bi!F:F,售卖区!A25)</f>
        <v>162</v>
      </c>
      <c r="I25" s="23">
        <f>SUMIFS(实时bi!J:J,实时bi!F:F,售卖区!A25)</f>
        <v>5.75</v>
      </c>
      <c r="J25" s="21">
        <f>SUMIFS(实时bi!G:G,实时bi!F:F,售卖区!A25)</f>
        <v>31405</v>
      </c>
      <c r="K25" s="23">
        <f>SUMIFS(实时bi!H:H,实时bi!F:F,售卖区!A25)</f>
        <v>9.0340000000000007</v>
      </c>
      <c r="L25" s="38">
        <f t="shared" si="8"/>
        <v>0.47787610619469029</v>
      </c>
      <c r="M25" s="38">
        <f t="shared" si="9"/>
        <v>0.40669515669515671</v>
      </c>
      <c r="N25" s="46">
        <f t="shared" si="10"/>
        <v>24</v>
      </c>
      <c r="O25" s="46">
        <f t="shared" si="11"/>
        <v>3129.8584811640421</v>
      </c>
    </row>
    <row r="26" spans="1:17" ht="14.25" x14ac:dyDescent="0.3">
      <c r="A26" s="114"/>
      <c r="B26" s="35" t="s">
        <v>266</v>
      </c>
      <c r="C26" s="35" t="s">
        <v>27</v>
      </c>
      <c r="D26" s="36"/>
      <c r="E26" s="36">
        <v>2447</v>
      </c>
      <c r="F26" s="36">
        <v>2333</v>
      </c>
      <c r="G26" s="36"/>
      <c r="H26" s="36">
        <f>SUM(H20:H25)</f>
        <v>1041</v>
      </c>
      <c r="I26" s="39">
        <f>(H26-N26)/N26</f>
        <v>4.9485731772553061</v>
      </c>
      <c r="J26" s="36">
        <f>SUM(J20:J25)</f>
        <v>125914</v>
      </c>
      <c r="K26" s="39">
        <f>(J26-O26)/O26</f>
        <v>4.9377474461662407</v>
      </c>
      <c r="L26" s="47">
        <f t="shared" ref="L26" si="12">J26/H26</f>
        <v>120.95485110470702</v>
      </c>
      <c r="M26" s="39" t="e">
        <f t="shared" ref="M26" si="13">H26/G26</f>
        <v>#DIV/0!</v>
      </c>
      <c r="N26" s="48">
        <f>SUM(N20:N25)</f>
        <v>174.99994855578481</v>
      </c>
      <c r="O26" s="48">
        <f>SUM(O20:O25)</f>
        <v>21205.684671094841</v>
      </c>
    </row>
    <row r="27" spans="1:17" ht="15.75" customHeight="1" thickBot="1" x14ac:dyDescent="0.35">
      <c r="A27" s="114"/>
      <c r="B27" s="31" t="s">
        <v>296</v>
      </c>
      <c r="C27" s="31" t="s">
        <v>43</v>
      </c>
      <c r="D27" s="31"/>
      <c r="E27" s="31" t="s">
        <v>297</v>
      </c>
      <c r="F27" s="31"/>
      <c r="G27" s="31" t="s">
        <v>301</v>
      </c>
      <c r="H27" s="31" t="s">
        <v>30</v>
      </c>
      <c r="I27" s="31" t="s">
        <v>31</v>
      </c>
      <c r="J27" s="31" t="s">
        <v>32</v>
      </c>
      <c r="K27" s="31" t="s">
        <v>31</v>
      </c>
      <c r="L27" s="31" t="s">
        <v>44</v>
      </c>
      <c r="M27" s="31" t="s">
        <v>45</v>
      </c>
      <c r="N27" s="43" t="s">
        <v>35</v>
      </c>
      <c r="O27" s="44" t="s">
        <v>36</v>
      </c>
    </row>
    <row r="28" spans="1:17" ht="15.75" customHeight="1" thickBot="1" x14ac:dyDescent="0.35">
      <c r="A28" s="56" t="s">
        <v>290</v>
      </c>
      <c r="B28" s="113" t="s">
        <v>259</v>
      </c>
      <c r="C28" s="32" t="s">
        <v>10</v>
      </c>
      <c r="D28" s="32" t="s">
        <v>11</v>
      </c>
      <c r="E28" s="32">
        <v>383</v>
      </c>
      <c r="F28" s="32"/>
      <c r="G28" s="33">
        <v>609</v>
      </c>
      <c r="H28" s="21">
        <f>SUMIFS(实时bi!N:N,实时bi!K:K,售卖区!A28)</f>
        <v>108</v>
      </c>
      <c r="I28" s="38">
        <f>SUMIFS(实时bi!O:O,实时bi!K:K,售卖区!A28)</f>
        <v>5.75</v>
      </c>
      <c r="J28" s="21">
        <f>SUMIFS(实时bi!L:L,实时bi!K:K,售卖区!A28)</f>
        <v>4304</v>
      </c>
      <c r="K28" s="38">
        <f>SUMIFS(实时bi!M:M,实时bi!K:K,售卖区!A28)</f>
        <v>10.842000000000001</v>
      </c>
      <c r="L28" s="38">
        <f t="shared" ref="L28:L34" si="14">H28/H12</f>
        <v>0.28723404255319152</v>
      </c>
      <c r="M28" s="38">
        <f t="shared" ref="M28:M34" si="15">J28/J12</f>
        <v>5.9994424310008364E-2</v>
      </c>
      <c r="N28" s="46">
        <f t="shared" ref="N28:N33" si="16">H28/(1+I28)</f>
        <v>16</v>
      </c>
      <c r="O28" s="46">
        <f t="shared" ref="O28:O33" si="17">J28/(1+K28)</f>
        <v>363.45211957439619</v>
      </c>
    </row>
    <row r="29" spans="1:17" ht="15.75" customHeight="1" thickBot="1" x14ac:dyDescent="0.35">
      <c r="A29" s="56" t="s">
        <v>292</v>
      </c>
      <c r="B29" s="113" t="s">
        <v>260</v>
      </c>
      <c r="C29" s="32" t="s">
        <v>16</v>
      </c>
      <c r="D29" s="32" t="s">
        <v>17</v>
      </c>
      <c r="E29" s="32">
        <v>371</v>
      </c>
      <c r="F29" s="32"/>
      <c r="G29" s="33">
        <v>473</v>
      </c>
      <c r="H29" s="21">
        <f>SUMIFS(实时bi!N:N,实时bi!K:K,售卖区!A29)</f>
        <v>124</v>
      </c>
      <c r="I29" s="38">
        <f>SUMIFS(实时bi!O:O,实时bi!K:K,售卖区!A29)</f>
        <v>4.3913000000000002</v>
      </c>
      <c r="J29" s="21">
        <f>SUMIFS(实时bi!L:L,实时bi!K:K,售卖区!A29)</f>
        <v>6753</v>
      </c>
      <c r="K29" s="38">
        <f>SUMIFS(实时bi!M:M,实时bi!K:K,售卖区!A29)</f>
        <v>4.7257999999999996</v>
      </c>
      <c r="L29" s="38">
        <f t="shared" si="14"/>
        <v>0.4290657439446367</v>
      </c>
      <c r="M29" s="38">
        <f t="shared" si="15"/>
        <v>0.12070136555372846</v>
      </c>
      <c r="N29" s="46">
        <f t="shared" si="16"/>
        <v>23.000018548402053</v>
      </c>
      <c r="O29" s="46">
        <f t="shared" si="17"/>
        <v>1179.3985119983236</v>
      </c>
    </row>
    <row r="30" spans="1:17" ht="15.75" customHeight="1" thickBot="1" x14ac:dyDescent="0.35">
      <c r="A30" s="56" t="s">
        <v>294</v>
      </c>
      <c r="B30" s="113" t="s">
        <v>261</v>
      </c>
      <c r="C30" s="32" t="s">
        <v>13</v>
      </c>
      <c r="D30" s="34" t="s">
        <v>14</v>
      </c>
      <c r="E30" s="34">
        <v>357</v>
      </c>
      <c r="F30" s="34"/>
      <c r="G30" s="33">
        <v>376</v>
      </c>
      <c r="H30" s="21">
        <f>SUMIFS(实时bi!N:N,实时bi!K:K,售卖区!A30)</f>
        <v>106</v>
      </c>
      <c r="I30" s="38">
        <f>SUMIFS(实时bi!O:O,实时bi!K:K,售卖区!A30)</f>
        <v>3.4167000000000001</v>
      </c>
      <c r="J30" s="21">
        <f>SUMIFS(实时bi!L:L,实时bi!K:K,售卖区!A30)</f>
        <v>3333</v>
      </c>
      <c r="K30" s="38">
        <f>SUMIFS(实时bi!M:M,实时bi!K:K,售卖区!A30)</f>
        <v>1.4562999999999999</v>
      </c>
      <c r="L30" s="38">
        <f t="shared" si="14"/>
        <v>0.36933797909407667</v>
      </c>
      <c r="M30" s="38">
        <f t="shared" si="15"/>
        <v>5.0826521898255463E-2</v>
      </c>
      <c r="N30" s="46">
        <f t="shared" si="16"/>
        <v>23.999818869291548</v>
      </c>
      <c r="O30" s="46">
        <f t="shared" si="17"/>
        <v>1356.9189431258399</v>
      </c>
    </row>
    <row r="31" spans="1:17" ht="15.75" customHeight="1" thickBot="1" x14ac:dyDescent="0.35">
      <c r="A31" s="60" t="s">
        <v>291</v>
      </c>
      <c r="B31" s="113" t="s">
        <v>263</v>
      </c>
      <c r="C31" s="32" t="s">
        <v>19</v>
      </c>
      <c r="D31" s="32" t="s">
        <v>20</v>
      </c>
      <c r="E31" s="32">
        <v>263</v>
      </c>
      <c r="F31" s="32"/>
      <c r="G31" s="33">
        <v>335</v>
      </c>
      <c r="H31" s="21">
        <f>SUMIFS(实时bi!N:N,实时bi!K:K,售卖区!A31)</f>
        <v>78</v>
      </c>
      <c r="I31" s="38">
        <f>SUMIFS(实时bi!O:O,实时bi!K:K,售卖区!A31)</f>
        <v>3.875</v>
      </c>
      <c r="J31" s="21">
        <f>SUMIFS(实时bi!L:L,实时bi!K:K,售卖区!A31)</f>
        <v>2381</v>
      </c>
      <c r="K31" s="38">
        <f>SUMIFS(实时bi!M:M,实时bi!K:K,售卖区!A31)</f>
        <v>2.4988999999999999</v>
      </c>
      <c r="L31" s="38">
        <f t="shared" si="14"/>
        <v>0.35616438356164382</v>
      </c>
      <c r="M31" s="38">
        <f t="shared" si="15"/>
        <v>3.6247107538667639E-2</v>
      </c>
      <c r="N31" s="46">
        <f t="shared" si="16"/>
        <v>16</v>
      </c>
      <c r="O31" s="46">
        <f t="shared" si="17"/>
        <v>680.49958558404069</v>
      </c>
    </row>
    <row r="32" spans="1:17" ht="15.75" customHeight="1" thickBot="1" x14ac:dyDescent="0.35">
      <c r="A32" s="60" t="s">
        <v>293</v>
      </c>
      <c r="B32" s="113" t="s">
        <v>264</v>
      </c>
      <c r="C32" s="32" t="s">
        <v>22</v>
      </c>
      <c r="D32" s="32" t="s">
        <v>23</v>
      </c>
      <c r="E32" s="32">
        <v>274</v>
      </c>
      <c r="F32" s="32"/>
      <c r="G32" s="33">
        <v>254</v>
      </c>
      <c r="H32" s="21">
        <f>SUMIFS(实时bi!N:N,实时bi!K:K,售卖区!A32)</f>
        <v>123</v>
      </c>
      <c r="I32" s="38">
        <f>SUMIFS(实时bi!O:O,实时bi!K:K,售卖区!A32)</f>
        <v>4.8571</v>
      </c>
      <c r="J32" s="21">
        <f>SUMIFS(实时bi!L:L,实时bi!K:K,售卖区!A32)</f>
        <v>3636</v>
      </c>
      <c r="K32" s="38">
        <f>SUMIFS(实时bi!M:M,实时bi!K:K,售卖区!A32)</f>
        <v>3.5666000000000002</v>
      </c>
      <c r="L32" s="38">
        <f t="shared" si="14"/>
        <v>0.34166666666666667</v>
      </c>
      <c r="M32" s="38">
        <f t="shared" si="15"/>
        <v>5.909792767167818E-2</v>
      </c>
      <c r="N32" s="46">
        <f t="shared" si="16"/>
        <v>21.000153659660924</v>
      </c>
      <c r="O32" s="46">
        <f t="shared" si="17"/>
        <v>796.21600315333069</v>
      </c>
    </row>
    <row r="33" spans="1:15" ht="15.75" customHeight="1" thickBot="1" x14ac:dyDescent="0.35">
      <c r="A33" s="60" t="s">
        <v>295</v>
      </c>
      <c r="B33" s="113" t="s">
        <v>265</v>
      </c>
      <c r="C33" s="32" t="s">
        <v>25</v>
      </c>
      <c r="D33" s="32" t="s">
        <v>26</v>
      </c>
      <c r="E33" s="32">
        <v>188</v>
      </c>
      <c r="F33" s="32"/>
      <c r="G33" s="33">
        <v>286</v>
      </c>
      <c r="H33" s="21">
        <f>SUMIFS(实时bi!N:N,实时bi!K:K,售卖区!A33)</f>
        <v>76</v>
      </c>
      <c r="I33" s="38">
        <f>SUMIFS(实时bi!O:O,实时bi!K:K,售卖区!A33)</f>
        <v>3.75</v>
      </c>
      <c r="J33" s="21">
        <f>SUMIFS(实时bi!L:L,实时bi!K:K,售卖区!A33)</f>
        <v>2070</v>
      </c>
      <c r="K33" s="38">
        <f>SUMIFS(实时bi!M:M,实时bi!K:K,售卖区!A33)</f>
        <v>2.4472999999999998</v>
      </c>
      <c r="L33" s="38">
        <f t="shared" si="14"/>
        <v>0.22418879056047197</v>
      </c>
      <c r="M33" s="38">
        <f t="shared" si="15"/>
        <v>2.6806526806526808E-2</v>
      </c>
      <c r="N33" s="46">
        <f t="shared" si="16"/>
        <v>16</v>
      </c>
      <c r="O33" s="46">
        <f t="shared" si="17"/>
        <v>600.46993299103644</v>
      </c>
    </row>
    <row r="34" spans="1:15" ht="15.75" customHeight="1" x14ac:dyDescent="0.3">
      <c r="A34" s="114"/>
      <c r="B34" s="35" t="s">
        <v>266</v>
      </c>
      <c r="C34" s="35" t="s">
        <v>27</v>
      </c>
      <c r="D34" s="36"/>
      <c r="E34" s="36">
        <v>1837</v>
      </c>
      <c r="F34" s="36"/>
      <c r="G34" s="36">
        <v>2333</v>
      </c>
      <c r="H34" s="36">
        <f>SUM(H28:H33)</f>
        <v>615</v>
      </c>
      <c r="I34" s="39">
        <f>(H34-N34)/N34</f>
        <v>4.3017245457362803</v>
      </c>
      <c r="J34" s="36">
        <f>SUM(J28:J33)</f>
        <v>22477</v>
      </c>
      <c r="K34" s="39">
        <f>(J34-O34)/O34</f>
        <v>3.5162151485225546</v>
      </c>
      <c r="L34" s="39">
        <f t="shared" si="14"/>
        <v>0.32887700534759357</v>
      </c>
      <c r="M34" s="39">
        <f t="shared" si="15"/>
        <v>5.651790181972708E-2</v>
      </c>
      <c r="N34" s="48">
        <f>SUM(N28:N33)</f>
        <v>115.99999107735452</v>
      </c>
      <c r="O34" s="48">
        <f>SUM(O28:O33)</f>
        <v>4976.9550964269674</v>
      </c>
    </row>
    <row r="35" spans="1:15" ht="15.75" customHeight="1" thickBot="1" x14ac:dyDescent="0.35">
      <c r="A35" s="114"/>
      <c r="B35" s="31" t="s">
        <v>298</v>
      </c>
      <c r="C35" s="31" t="s">
        <v>47</v>
      </c>
      <c r="D35" s="31"/>
      <c r="E35" s="31" t="s">
        <v>299</v>
      </c>
      <c r="F35" s="31"/>
      <c r="G35" s="31" t="s">
        <v>301</v>
      </c>
      <c r="H35" s="31" t="s">
        <v>30</v>
      </c>
      <c r="I35" s="31" t="s">
        <v>31</v>
      </c>
      <c r="J35" s="31" t="s">
        <v>32</v>
      </c>
      <c r="K35" s="31" t="s">
        <v>31</v>
      </c>
      <c r="L35" s="31" t="s">
        <v>44</v>
      </c>
      <c r="M35" s="31" t="s">
        <v>45</v>
      </c>
      <c r="N35" s="43" t="s">
        <v>35</v>
      </c>
      <c r="O35" s="44" t="s">
        <v>36</v>
      </c>
    </row>
    <row r="36" spans="1:15" ht="15.75" customHeight="1" thickBot="1" x14ac:dyDescent="0.35">
      <c r="A36" s="56" t="s">
        <v>290</v>
      </c>
      <c r="B36" s="113" t="s">
        <v>259</v>
      </c>
      <c r="C36" s="32" t="s">
        <v>10</v>
      </c>
      <c r="D36" s="32" t="s">
        <v>11</v>
      </c>
      <c r="E36" s="32">
        <v>155</v>
      </c>
      <c r="F36" s="32"/>
      <c r="G36" s="33">
        <v>187</v>
      </c>
      <c r="H36" s="21">
        <f>SUMIFS(实时bi!S:S,实时bi!$P:$P,售卖区!$A36)</f>
        <v>32</v>
      </c>
      <c r="I36" s="38">
        <f>SUMIFS(实时bi!T:T,实时bi!$P:$P,售卖区!$A36)</f>
        <v>31</v>
      </c>
      <c r="J36" s="21">
        <f>SUMIFS(实时bi!Q:Q,实时bi!$P:$P,售卖区!$A36)</f>
        <v>6443</v>
      </c>
      <c r="K36" s="38">
        <f>SUMIFS(实时bi!R:R,实时bi!$P:$P,售卖区!$A36)</f>
        <v>87.502399999999994</v>
      </c>
      <c r="L36" s="38">
        <f t="shared" ref="L36:L42" si="18">H36/H12</f>
        <v>8.5106382978723402E-2</v>
      </c>
      <c r="M36" s="38">
        <f t="shared" ref="M36:M42" si="19">J36/J12</f>
        <v>8.9810426540284358E-2</v>
      </c>
      <c r="N36" s="46">
        <f t="shared" ref="N36:N41" si="20">H36/(1+I36)</f>
        <v>1</v>
      </c>
      <c r="O36" s="46">
        <f t="shared" ref="O36:O41" si="21">J36/(1+K36)</f>
        <v>72.8002856419713</v>
      </c>
    </row>
    <row r="37" spans="1:15" ht="15.75" customHeight="1" thickBot="1" x14ac:dyDescent="0.35">
      <c r="A37" s="56" t="s">
        <v>292</v>
      </c>
      <c r="B37" s="113" t="s">
        <v>260</v>
      </c>
      <c r="C37" s="32" t="s">
        <v>16</v>
      </c>
      <c r="D37" s="32" t="s">
        <v>17</v>
      </c>
      <c r="E37" s="32">
        <v>192</v>
      </c>
      <c r="F37" s="32"/>
      <c r="G37" s="33">
        <v>169</v>
      </c>
      <c r="H37" s="21">
        <f>SUMIFS(实时bi!S:S,实时bi!$P:$P,售卖区!$A37)</f>
        <v>51</v>
      </c>
      <c r="I37" s="38">
        <f>SUMIFS(实时bi!T:T,实时bi!$P:$P,售卖区!$A37)</f>
        <v>3.6364000000000001</v>
      </c>
      <c r="J37" s="21">
        <f>SUMIFS(实时bi!Q:Q,实时bi!$P:$P,售卖区!$A37)</f>
        <v>6542</v>
      </c>
      <c r="K37" s="38">
        <f>SUMIFS(实时bi!R:R,实时bi!$P:$P,售卖区!$A37)</f>
        <v>3.7267000000000001</v>
      </c>
      <c r="L37" s="38">
        <f t="shared" si="18"/>
        <v>0.17647058823529413</v>
      </c>
      <c r="M37" s="38">
        <f t="shared" si="19"/>
        <v>0.11693000643454636</v>
      </c>
      <c r="N37" s="46">
        <f>H37/(1+I37)</f>
        <v>10.999913726166854</v>
      </c>
      <c r="O37" s="46">
        <f>J37/(1+K37)</f>
        <v>1384.0522986438741</v>
      </c>
    </row>
    <row r="38" spans="1:15" ht="15.75" customHeight="1" thickBot="1" x14ac:dyDescent="0.35">
      <c r="A38" s="56" t="s">
        <v>294</v>
      </c>
      <c r="B38" s="113" t="s">
        <v>261</v>
      </c>
      <c r="C38" s="32" t="s">
        <v>13</v>
      </c>
      <c r="D38" s="34" t="s">
        <v>14</v>
      </c>
      <c r="E38" s="34">
        <v>164</v>
      </c>
      <c r="F38" s="34"/>
      <c r="G38" s="33">
        <v>138</v>
      </c>
      <c r="H38" s="21">
        <f>SUMIFS(实时bi!S:S,实时bi!$P:$P,售卖区!$A38)</f>
        <v>25</v>
      </c>
      <c r="I38" s="38">
        <f>SUMIFS(实时bi!T:T,实时bi!$P:$P,售卖区!$A38)</f>
        <v>0.92310000000000003</v>
      </c>
      <c r="J38" s="21">
        <f>SUMIFS(实时bi!Q:Q,实时bi!$P:$P,售卖区!$A38)</f>
        <v>3650</v>
      </c>
      <c r="K38" s="38">
        <f>SUMIFS(实时bi!R:R,实时bi!$P:$P,售卖区!$A38)</f>
        <v>0.20269999999999999</v>
      </c>
      <c r="L38" s="38">
        <f t="shared" si="18"/>
        <v>8.7108013937282236E-2</v>
      </c>
      <c r="M38" s="38">
        <f t="shared" si="19"/>
        <v>5.5660607539343661E-2</v>
      </c>
      <c r="N38" s="46">
        <f t="shared" si="20"/>
        <v>12.999844001871978</v>
      </c>
      <c r="O38" s="46">
        <f t="shared" si="21"/>
        <v>3034.8382805354618</v>
      </c>
    </row>
    <row r="39" spans="1:15" ht="15.75" customHeight="1" thickBot="1" x14ac:dyDescent="0.35">
      <c r="A39" s="60" t="s">
        <v>291</v>
      </c>
      <c r="B39" s="113" t="s">
        <v>263</v>
      </c>
      <c r="C39" s="32" t="s">
        <v>19</v>
      </c>
      <c r="D39" s="32" t="s">
        <v>20</v>
      </c>
      <c r="E39" s="32">
        <v>124</v>
      </c>
      <c r="F39" s="32"/>
      <c r="G39" s="33">
        <v>115</v>
      </c>
      <c r="H39" s="21">
        <f>SUMIFS(实时bi!S:S,实时bi!$P:$P,售卖区!$A39)</f>
        <v>24</v>
      </c>
      <c r="I39" s="38">
        <f>SUMIFS(实时bi!T:T,实时bi!$P:$P,售卖区!$A39)</f>
        <v>5</v>
      </c>
      <c r="J39" s="21">
        <f>SUMIFS(实时bi!Q:Q,实时bi!$P:$P,售卖区!$A39)</f>
        <v>3476</v>
      </c>
      <c r="K39" s="38">
        <f>SUMIFS(实时bi!R:R,实时bi!$P:$P,售卖区!$A39)</f>
        <v>6.7588999999999997</v>
      </c>
      <c r="L39" s="38">
        <f t="shared" si="18"/>
        <v>0.1095890410958904</v>
      </c>
      <c r="M39" s="38">
        <f t="shared" si="19"/>
        <v>5.2916818901473636E-2</v>
      </c>
      <c r="N39" s="46">
        <f t="shared" si="20"/>
        <v>4</v>
      </c>
      <c r="O39" s="46">
        <f t="shared" si="21"/>
        <v>448.00164971838791</v>
      </c>
    </row>
    <row r="40" spans="1:15" ht="15.75" customHeight="1" thickBot="1" x14ac:dyDescent="0.35">
      <c r="A40" s="60" t="s">
        <v>293</v>
      </c>
      <c r="B40" s="113" t="s">
        <v>264</v>
      </c>
      <c r="C40" s="32" t="s">
        <v>22</v>
      </c>
      <c r="D40" s="32" t="s">
        <v>23</v>
      </c>
      <c r="E40" s="32">
        <v>138</v>
      </c>
      <c r="F40" s="32"/>
      <c r="G40" s="33">
        <v>101</v>
      </c>
      <c r="H40" s="21">
        <f>SUMIFS(实时bi!S:S,实时bi!$P:$P,售卖区!$A41)</f>
        <v>62</v>
      </c>
      <c r="I40" s="38">
        <f>SUMIFS(实时bi!T:T,实时bi!$P:$P,售卖区!$A41)</f>
        <v>4.1666999999999996</v>
      </c>
      <c r="J40" s="21">
        <f>SUMIFS(实时bi!Q:Q,实时bi!$P:$P,售卖区!$A41)</f>
        <v>20388</v>
      </c>
      <c r="K40" s="38">
        <f>SUMIFS(实时bi!R:R,实时bi!$P:$P,售卖区!$A41)</f>
        <v>9.4764999999999997</v>
      </c>
      <c r="L40" s="38">
        <f t="shared" si="18"/>
        <v>0.17222222222222222</v>
      </c>
      <c r="M40" s="38">
        <f t="shared" si="19"/>
        <v>0.33137748882568063</v>
      </c>
      <c r="N40" s="46">
        <f>H40/(1+I40)</f>
        <v>11.999922581144638</v>
      </c>
      <c r="O40" s="46">
        <f>J40/(1+K40)</f>
        <v>1946.0697752111871</v>
      </c>
    </row>
    <row r="41" spans="1:15" ht="15.75" customHeight="1" thickBot="1" x14ac:dyDescent="0.35">
      <c r="A41" s="60" t="s">
        <v>295</v>
      </c>
      <c r="B41" s="113" t="s">
        <v>265</v>
      </c>
      <c r="C41" s="32" t="s">
        <v>25</v>
      </c>
      <c r="D41" s="32" t="s">
        <v>26</v>
      </c>
      <c r="E41" s="32">
        <v>86</v>
      </c>
      <c r="F41" s="32"/>
      <c r="G41" s="33">
        <v>93</v>
      </c>
      <c r="H41" s="21">
        <f>SUMIFS(实时bi!S:S,实时bi!$P:$P,售卖区!$A40)</f>
        <v>37</v>
      </c>
      <c r="I41" s="38">
        <f>SUMIFS(实时bi!T:T,实时bi!$P:$P,售卖区!$A40)</f>
        <v>3.1111</v>
      </c>
      <c r="J41" s="21">
        <f>SUMIFS(实时bi!Q:Q,实时bi!$P:$P,售卖区!$A40)</f>
        <v>4539</v>
      </c>
      <c r="K41" s="38">
        <f>SUMIFS(实时bi!R:R,实时bi!$P:$P,售卖区!$A40)</f>
        <v>5.1341999999999999</v>
      </c>
      <c r="L41" s="38">
        <f t="shared" si="18"/>
        <v>0.10914454277286136</v>
      </c>
      <c r="M41" s="38">
        <f t="shared" si="19"/>
        <v>5.8780108780108781E-2</v>
      </c>
      <c r="N41" s="46">
        <f t="shared" si="20"/>
        <v>9.0000243243900648</v>
      </c>
      <c r="O41" s="46">
        <f t="shared" si="21"/>
        <v>739.94978970362888</v>
      </c>
    </row>
    <row r="42" spans="1:15" ht="15.75" customHeight="1" x14ac:dyDescent="0.3">
      <c r="A42" s="114"/>
      <c r="B42" s="35" t="s">
        <v>266</v>
      </c>
      <c r="C42" s="35" t="s">
        <v>27</v>
      </c>
      <c r="D42" s="36"/>
      <c r="E42" s="36">
        <v>859</v>
      </c>
      <c r="F42" s="36"/>
      <c r="G42" s="36">
        <v>803</v>
      </c>
      <c r="H42" s="36">
        <f>SUM(H36:H41)</f>
        <v>231</v>
      </c>
      <c r="I42" s="39">
        <f>(H42-N42)/N42</f>
        <v>3.6200272920190293</v>
      </c>
      <c r="J42" s="36">
        <f>SUM(J36:J41)</f>
        <v>45038</v>
      </c>
      <c r="K42" s="39">
        <f>(J42-O42)/O42</f>
        <v>4.9060713977574792</v>
      </c>
      <c r="L42" s="39">
        <f t="shared" si="18"/>
        <v>0.12352941176470589</v>
      </c>
      <c r="M42" s="39">
        <f t="shared" si="19"/>
        <v>0.11324701971601496</v>
      </c>
      <c r="N42" s="48">
        <f>SUM(N36:N41)</f>
        <v>49.999704633573529</v>
      </c>
      <c r="O42" s="48">
        <f>SUM(O36:O41)</f>
        <v>7625.7120794545108</v>
      </c>
    </row>
    <row r="43" spans="1:15" ht="15.75" customHeight="1" thickBot="1" x14ac:dyDescent="0.35">
      <c r="A43" s="114"/>
      <c r="B43" s="31" t="s">
        <v>262</v>
      </c>
      <c r="C43" s="31" t="s">
        <v>48</v>
      </c>
      <c r="D43" s="31"/>
      <c r="E43" s="31" t="s">
        <v>250</v>
      </c>
      <c r="F43" s="31"/>
      <c r="G43" s="31" t="s">
        <v>301</v>
      </c>
      <c r="H43" s="31" t="s">
        <v>30</v>
      </c>
      <c r="I43" s="31" t="s">
        <v>49</v>
      </c>
      <c r="J43" s="31" t="s">
        <v>32</v>
      </c>
      <c r="K43" s="31" t="s">
        <v>31</v>
      </c>
      <c r="L43" s="31" t="s">
        <v>44</v>
      </c>
      <c r="M43" s="31" t="s">
        <v>45</v>
      </c>
      <c r="N43" s="43" t="s">
        <v>35</v>
      </c>
      <c r="O43" s="44" t="s">
        <v>36</v>
      </c>
    </row>
    <row r="44" spans="1:15" ht="15.75" customHeight="1" thickBot="1" x14ac:dyDescent="0.35">
      <c r="A44" s="56" t="s">
        <v>290</v>
      </c>
      <c r="B44" s="113" t="s">
        <v>259</v>
      </c>
      <c r="C44" s="32" t="s">
        <v>10</v>
      </c>
      <c r="D44" s="32" t="s">
        <v>11</v>
      </c>
      <c r="E44" s="32">
        <v>179</v>
      </c>
      <c r="F44" s="32"/>
      <c r="G44" s="33">
        <v>209</v>
      </c>
      <c r="H44" s="21">
        <f>SUMIFS(实时bi!X:X,实时bi!U:U,售卖区!A44)</f>
        <v>64</v>
      </c>
      <c r="I44" s="23">
        <f t="shared" ref="I44:I50" si="22">H44/G44</f>
        <v>0.30622009569377989</v>
      </c>
      <c r="J44" s="21">
        <f>SUMIFS(实时bi!V:V,实时bi!$U:$U,售卖区!$A44)</f>
        <v>6674</v>
      </c>
      <c r="K44" s="23">
        <f>SUMIFS(实时bi!W:W,实时bi!$U:$U,售卖区!$A44)</f>
        <v>8.3071000000000002</v>
      </c>
      <c r="L44" s="38">
        <f t="shared" ref="L44:L58" si="23">H44/H12</f>
        <v>0.1702127659574468</v>
      </c>
      <c r="M44" s="38">
        <f t="shared" ref="M44:M58" si="24">J44/J12</f>
        <v>9.3030387510454421E-2</v>
      </c>
      <c r="N44" s="46">
        <f t="shared" ref="N44:N49" si="25">H44/(1+I44)</f>
        <v>48.996336996336993</v>
      </c>
      <c r="O44" s="46">
        <f t="shared" ref="O44:O49" si="26">J44/(1+K44)</f>
        <v>717.08695512028453</v>
      </c>
    </row>
    <row r="45" spans="1:15" ht="15.75" customHeight="1" thickBot="1" x14ac:dyDescent="0.35">
      <c r="A45" s="56" t="s">
        <v>292</v>
      </c>
      <c r="B45" s="113" t="s">
        <v>260</v>
      </c>
      <c r="C45" s="32" t="s">
        <v>16</v>
      </c>
      <c r="D45" s="32" t="s">
        <v>17</v>
      </c>
      <c r="E45" s="32">
        <v>129</v>
      </c>
      <c r="F45" s="32"/>
      <c r="G45" s="33">
        <v>139</v>
      </c>
      <c r="H45" s="21">
        <f>SUMIFS(实时bi!X:X,实时bi!U:U,售卖区!A45)</f>
        <v>58</v>
      </c>
      <c r="I45" s="23">
        <f>H45/G45</f>
        <v>0.41726618705035973</v>
      </c>
      <c r="J45" s="21">
        <f>SUMIFS(实时bi!V:V,实时bi!$U:$U,售卖区!$A45)</f>
        <v>6327</v>
      </c>
      <c r="K45" s="23">
        <f>SUMIFS(实时bi!W:W,实时bi!$U:$U,售卖区!$A45)</f>
        <v>2.7816000000000001</v>
      </c>
      <c r="L45" s="38">
        <f t="shared" si="23"/>
        <v>0.20069204152249134</v>
      </c>
      <c r="M45" s="38">
        <f t="shared" si="24"/>
        <v>0.11308715235575892</v>
      </c>
      <c r="N45" s="46">
        <f t="shared" si="25"/>
        <v>40.923857868020299</v>
      </c>
      <c r="O45" s="46">
        <f>J45/(1+K45)</f>
        <v>1673.1013327691983</v>
      </c>
    </row>
    <row r="46" spans="1:15" ht="15.75" customHeight="1" thickBot="1" x14ac:dyDescent="0.35">
      <c r="A46" s="56" t="s">
        <v>294</v>
      </c>
      <c r="B46" s="113" t="s">
        <v>261</v>
      </c>
      <c r="C46" s="32" t="s">
        <v>13</v>
      </c>
      <c r="D46" s="34" t="s">
        <v>14</v>
      </c>
      <c r="E46" s="34">
        <v>148</v>
      </c>
      <c r="F46" s="34"/>
      <c r="G46" s="33">
        <v>158</v>
      </c>
      <c r="H46" s="21">
        <f>SUMIFS(实时bi!X:X,实时bi!U:U,售卖区!A46)</f>
        <v>51</v>
      </c>
      <c r="I46" s="23">
        <f t="shared" si="22"/>
        <v>0.32278481012658228</v>
      </c>
      <c r="J46" s="21">
        <f>SUMIFS(实时bi!V:V,实时bi!$U:$U,售卖区!$A46)</f>
        <v>5771</v>
      </c>
      <c r="K46" s="23">
        <f>SUMIFS(实时bi!W:W,实时bi!$U:$U,售卖区!$A46)</f>
        <v>3.5354999999999999</v>
      </c>
      <c r="L46" s="38">
        <f t="shared" si="23"/>
        <v>0.17770034843205576</v>
      </c>
      <c r="M46" s="38">
        <f t="shared" si="24"/>
        <v>8.8004757838233499E-2</v>
      </c>
      <c r="N46" s="46">
        <f t="shared" si="25"/>
        <v>38.555023923444978</v>
      </c>
      <c r="O46" s="46">
        <f t="shared" si="26"/>
        <v>1272.4065703891522</v>
      </c>
    </row>
    <row r="47" spans="1:15" ht="15.75" customHeight="1" thickBot="1" x14ac:dyDescent="0.35">
      <c r="A47" s="60" t="s">
        <v>291</v>
      </c>
      <c r="B47" s="113" t="s">
        <v>263</v>
      </c>
      <c r="C47" s="32" t="s">
        <v>19</v>
      </c>
      <c r="D47" s="32" t="s">
        <v>20</v>
      </c>
      <c r="E47" s="32">
        <v>110</v>
      </c>
      <c r="F47" s="32"/>
      <c r="G47" s="33">
        <v>100</v>
      </c>
      <c r="H47" s="21">
        <f>SUMIFS(实时bi!$X:$X,实时bi!$U:$U,售卖区!$A47)</f>
        <v>41</v>
      </c>
      <c r="I47" s="23">
        <f t="shared" si="22"/>
        <v>0.41</v>
      </c>
      <c r="J47" s="21">
        <f>SUMIFS(实时bi!V:V,实时bi!$U:$U,售卖区!$A47)</f>
        <v>5516</v>
      </c>
      <c r="K47" s="23">
        <f>SUMIFS(实时bi!W:W,实时bi!$U:$U,售卖区!$A47)</f>
        <v>3.4262999999999999</v>
      </c>
      <c r="L47" s="38">
        <f t="shared" si="23"/>
        <v>0.18721461187214611</v>
      </c>
      <c r="M47" s="38">
        <f t="shared" si="24"/>
        <v>8.3972719522591652E-2</v>
      </c>
      <c r="N47" s="46">
        <f t="shared" si="25"/>
        <v>29.078014184397166</v>
      </c>
      <c r="O47" s="46">
        <f t="shared" si="26"/>
        <v>1246.1875607166257</v>
      </c>
    </row>
    <row r="48" spans="1:15" ht="15.75" customHeight="1" thickBot="1" x14ac:dyDescent="0.35">
      <c r="A48" s="60" t="s">
        <v>293</v>
      </c>
      <c r="B48" s="113" t="s">
        <v>264</v>
      </c>
      <c r="C48" s="32" t="s">
        <v>22</v>
      </c>
      <c r="D48" s="32" t="s">
        <v>23</v>
      </c>
      <c r="E48" s="32">
        <v>127</v>
      </c>
      <c r="F48" s="32"/>
      <c r="G48" s="33">
        <v>120</v>
      </c>
      <c r="H48" s="21">
        <f>SUMIFS(实时bi!X:X,实时bi!U:U,售卖区!A48)</f>
        <v>71</v>
      </c>
      <c r="I48" s="23">
        <f t="shared" si="22"/>
        <v>0.59166666666666667</v>
      </c>
      <c r="J48" s="21">
        <f>SUMIFS(实时bi!V:V,实时bi!$U:$U,售卖区!$A48)</f>
        <v>9497</v>
      </c>
      <c r="K48" s="23">
        <f>SUMIFS(实时bi!W:W,实时bi!$U:$U,售卖区!$A48)</f>
        <v>4.2788000000000004</v>
      </c>
      <c r="L48" s="38">
        <f t="shared" si="23"/>
        <v>0.19722222222222222</v>
      </c>
      <c r="M48" s="38">
        <f t="shared" si="24"/>
        <v>0.15436001625355547</v>
      </c>
      <c r="N48" s="46">
        <f t="shared" si="25"/>
        <v>44.607329842931932</v>
      </c>
      <c r="O48" s="46">
        <f t="shared" si="26"/>
        <v>1799.0831249526407</v>
      </c>
    </row>
    <row r="49" spans="1:16" ht="15.75" customHeight="1" thickBot="1" x14ac:dyDescent="0.35">
      <c r="A49" s="60" t="s">
        <v>295</v>
      </c>
      <c r="B49" s="113" t="s">
        <v>265</v>
      </c>
      <c r="C49" s="32" t="s">
        <v>25</v>
      </c>
      <c r="D49" s="32" t="s">
        <v>26</v>
      </c>
      <c r="E49" s="32">
        <v>81</v>
      </c>
      <c r="F49" s="32"/>
      <c r="G49" s="33">
        <v>92</v>
      </c>
      <c r="H49" s="21">
        <f>SUMIFS(实时bi!X:X,实时bi!U:U,售卖区!A49)</f>
        <v>47</v>
      </c>
      <c r="I49" s="23">
        <f t="shared" si="22"/>
        <v>0.51086956521739135</v>
      </c>
      <c r="J49" s="21">
        <f>SUMIFS(实时bi!V:V,实时bi!$U:$U,售卖区!$A49)</f>
        <v>5063</v>
      </c>
      <c r="K49" s="23">
        <f>SUMIFS(实时bi!W:W,实时bi!$U:$U,售卖区!$A49)</f>
        <v>2.3429000000000002</v>
      </c>
      <c r="L49" s="38">
        <f t="shared" si="23"/>
        <v>0.13864306784660768</v>
      </c>
      <c r="M49" s="38">
        <f t="shared" si="24"/>
        <v>6.5565915565915567E-2</v>
      </c>
      <c r="N49" s="46">
        <f t="shared" si="25"/>
        <v>31.107913669064747</v>
      </c>
      <c r="O49" s="46">
        <f t="shared" si="26"/>
        <v>1514.5532322235183</v>
      </c>
    </row>
    <row r="50" spans="1:16" ht="14.25" x14ac:dyDescent="0.3">
      <c r="A50" s="114"/>
      <c r="B50" s="35" t="s">
        <v>266</v>
      </c>
      <c r="C50" s="35" t="s">
        <v>27</v>
      </c>
      <c r="D50" s="36"/>
      <c r="E50" s="36">
        <v>773</v>
      </c>
      <c r="F50" s="36"/>
      <c r="G50" s="36">
        <v>818</v>
      </c>
      <c r="H50" s="36">
        <f>SUM(H44:H49)</f>
        <v>332</v>
      </c>
      <c r="I50" s="39">
        <f t="shared" si="22"/>
        <v>0.40586797066014668</v>
      </c>
      <c r="J50" s="36">
        <f>SUM(J44:J49)</f>
        <v>38848</v>
      </c>
      <c r="K50" s="39">
        <f>(J50-O50)/O50</f>
        <v>3.7246438131540507</v>
      </c>
      <c r="L50" s="39">
        <f t="shared" si="23"/>
        <v>0.17754010695187167</v>
      </c>
      <c r="M50" s="39">
        <f t="shared" si="24"/>
        <v>9.7682406455165613E-2</v>
      </c>
      <c r="N50" s="48">
        <f>SUM(N44:N49)</f>
        <v>233.2684764841961</v>
      </c>
      <c r="O50" s="48">
        <f>SUM(O44:O49)</f>
        <v>8222.4187761714202</v>
      </c>
    </row>
    <row r="51" spans="1:16" ht="15" thickBot="1" x14ac:dyDescent="0.35">
      <c r="A51" s="114"/>
      <c r="B51" s="31" t="s">
        <v>262</v>
      </c>
      <c r="C51" s="31" t="s">
        <v>52</v>
      </c>
      <c r="D51" s="31"/>
      <c r="E51" s="31" t="s">
        <v>250</v>
      </c>
      <c r="F51" s="31"/>
      <c r="G51" s="31" t="s">
        <v>301</v>
      </c>
      <c r="H51" s="31" t="s">
        <v>30</v>
      </c>
      <c r="I51" s="31" t="s">
        <v>49</v>
      </c>
      <c r="J51" s="31" t="s">
        <v>32</v>
      </c>
      <c r="K51" s="31" t="s">
        <v>31</v>
      </c>
      <c r="L51" s="31" t="s">
        <v>44</v>
      </c>
      <c r="M51" s="31" t="s">
        <v>45</v>
      </c>
      <c r="N51" s="43" t="s">
        <v>35</v>
      </c>
      <c r="O51" s="44" t="s">
        <v>36</v>
      </c>
    </row>
    <row r="52" spans="1:16" ht="15" thickBot="1" x14ac:dyDescent="0.35">
      <c r="A52" s="56" t="s">
        <v>290</v>
      </c>
      <c r="B52" s="113" t="s">
        <v>259</v>
      </c>
      <c r="C52" s="32" t="s">
        <v>10</v>
      </c>
      <c r="D52" s="32" t="s">
        <v>51</v>
      </c>
      <c r="E52" s="32">
        <v>105</v>
      </c>
      <c r="F52" s="32"/>
      <c r="G52" s="33">
        <v>120</v>
      </c>
      <c r="H52" s="21">
        <f>SUMIFS(实时bi!AC:AC,实时bi!Z:Z,售卖区!A52)</f>
        <v>19</v>
      </c>
      <c r="I52" s="23">
        <f t="shared" ref="I52:I56" si="27">H52/G52</f>
        <v>0.15833333333333333</v>
      </c>
      <c r="J52" s="21">
        <f>SUMIFS(实时bi!AA:AA,实时bi!$Z:$Z,售卖区!$A52)</f>
        <v>2429</v>
      </c>
      <c r="K52" s="23">
        <f>SUMIFS(实时bi!AB:AB,实时bi!$Z:$Z,售卖区!$A52)</f>
        <v>32.366100000000003</v>
      </c>
      <c r="L52" s="38">
        <f>H52/H12</f>
        <v>5.0531914893617018E-2</v>
      </c>
      <c r="M52" s="38">
        <f t="shared" si="24"/>
        <v>0.11491153373072192</v>
      </c>
      <c r="N52" s="46">
        <f t="shared" ref="N52:N57" si="28">H52/(1+I52)</f>
        <v>16.402877697841728</v>
      </c>
      <c r="O52" s="46">
        <f t="shared" ref="O52:O56" si="29">J52/(1+K52)</f>
        <v>72.798439134330948</v>
      </c>
      <c r="P52" s="26" t="s">
        <v>258</v>
      </c>
    </row>
    <row r="53" spans="1:16" ht="15" thickBot="1" x14ac:dyDescent="0.35">
      <c r="A53" s="56" t="s">
        <v>292</v>
      </c>
      <c r="B53" s="113" t="s">
        <v>260</v>
      </c>
      <c r="C53" s="32" t="s">
        <v>16</v>
      </c>
      <c r="D53" s="32" t="s">
        <v>17</v>
      </c>
      <c r="E53" s="32">
        <v>141</v>
      </c>
      <c r="F53" s="32"/>
      <c r="G53" s="33">
        <v>150</v>
      </c>
      <c r="H53" s="21">
        <f>SUMIFS(实时bi!AC:AC,实时bi!Z:Z,售卖区!A53)</f>
        <v>38</v>
      </c>
      <c r="I53" s="23">
        <f t="shared" si="27"/>
        <v>0.25333333333333335</v>
      </c>
      <c r="J53" s="21">
        <f>SUMIFS(实时bi!AA:AA,实时bi!$Z:$Z,售卖区!$A53)</f>
        <v>3912</v>
      </c>
      <c r="K53" s="23">
        <f>SUMIFS(实时bi!AB:AB,实时bi!$Z:$Z,售卖区!$A53)</f>
        <v>3.2397</v>
      </c>
      <c r="L53" s="38">
        <f t="shared" ref="L53:L58" si="30">H53/H13</f>
        <v>0.13148788927335639</v>
      </c>
      <c r="M53" s="38">
        <f t="shared" si="24"/>
        <v>0.13716690042075735</v>
      </c>
      <c r="N53" s="46">
        <f t="shared" si="28"/>
        <v>30.319148936170212</v>
      </c>
      <c r="O53" s="46">
        <f t="shared" si="29"/>
        <v>922.70679529211975</v>
      </c>
      <c r="P53" s="26" t="s">
        <v>257</v>
      </c>
    </row>
    <row r="54" spans="1:16" ht="15" thickBot="1" x14ac:dyDescent="0.35">
      <c r="A54" s="56" t="s">
        <v>294</v>
      </c>
      <c r="B54" s="113" t="s">
        <v>261</v>
      </c>
      <c r="C54" s="32" t="s">
        <v>13</v>
      </c>
      <c r="D54" s="34" t="s">
        <v>14</v>
      </c>
      <c r="E54" s="34">
        <v>112</v>
      </c>
      <c r="F54" s="34"/>
      <c r="G54" s="33">
        <v>120</v>
      </c>
      <c r="H54" s="21">
        <f>SUMIFS(实时bi!AC:AC,实时bi!Z:Z,售卖区!A54)</f>
        <v>15</v>
      </c>
      <c r="I54" s="23">
        <f t="shared" si="27"/>
        <v>0.125</v>
      </c>
      <c r="J54" s="21">
        <f>SUMIFS(实时bi!AA:AA,实时bi!$Z:$Z,售卖区!$A54)</f>
        <v>1224</v>
      </c>
      <c r="K54" s="23">
        <f>SUMIFS(实时bi!AB:AB,实时bi!$Z:$Z,售卖区!$A54)</f>
        <v>0.62880000000000003</v>
      </c>
      <c r="L54" s="38">
        <f t="shared" si="30"/>
        <v>5.2264808362369339E-2</v>
      </c>
      <c r="M54" s="38">
        <f t="shared" si="24"/>
        <v>6.9215109703686953E-2</v>
      </c>
      <c r="N54" s="46">
        <f t="shared" si="28"/>
        <v>13.333333333333334</v>
      </c>
      <c r="O54" s="46">
        <f t="shared" si="29"/>
        <v>751.47347740667976</v>
      </c>
      <c r="P54" s="26" t="s">
        <v>256</v>
      </c>
    </row>
    <row r="55" spans="1:16" ht="15" thickBot="1" x14ac:dyDescent="0.35">
      <c r="A55" s="60" t="s">
        <v>291</v>
      </c>
      <c r="B55" s="113" t="s">
        <v>263</v>
      </c>
      <c r="C55" s="32" t="s">
        <v>19</v>
      </c>
      <c r="D55" s="32" t="s">
        <v>11</v>
      </c>
      <c r="E55" s="32">
        <v>89</v>
      </c>
      <c r="F55" s="32"/>
      <c r="G55" s="33">
        <v>100</v>
      </c>
      <c r="H55" s="21">
        <f>SUMIFS(实时bi!AC:AC,实时bi!Z:Z,售卖区!A55)</f>
        <v>14</v>
      </c>
      <c r="I55" s="23">
        <f>H55/G55</f>
        <v>0.14000000000000001</v>
      </c>
      <c r="J55" s="21">
        <f>SUMIFS(实时bi!AA:AA,实时bi!$Z:$Z,售卖区!$A55)</f>
        <v>1314</v>
      </c>
      <c r="K55" s="23">
        <f>SUMIFS(实时bi!AB:AB,实时bi!$Z:$Z,售卖区!$A55)</f>
        <v>10.738799999999999</v>
      </c>
      <c r="L55" s="38">
        <f t="shared" si="30"/>
        <v>6.3926940639269403E-2</v>
      </c>
      <c r="M55" s="38">
        <f t="shared" si="24"/>
        <v>0.10158484731349053</v>
      </c>
      <c r="N55" s="46">
        <f t="shared" si="28"/>
        <v>12.280701754385964</v>
      </c>
      <c r="O55" s="46">
        <f t="shared" si="29"/>
        <v>111.93648413807205</v>
      </c>
      <c r="P55" s="26" t="s">
        <v>255</v>
      </c>
    </row>
    <row r="56" spans="1:16" ht="15" thickBot="1" x14ac:dyDescent="0.35">
      <c r="A56" s="60" t="s">
        <v>293</v>
      </c>
      <c r="B56" s="113" t="s">
        <v>264</v>
      </c>
      <c r="C56" s="32" t="s">
        <v>22</v>
      </c>
      <c r="D56" s="32" t="s">
        <v>23</v>
      </c>
      <c r="E56" s="32">
        <v>95</v>
      </c>
      <c r="F56" s="32"/>
      <c r="G56" s="33">
        <v>100</v>
      </c>
      <c r="H56" s="21">
        <f>SUMIFS(实时bi!AC:AC,实时bi!Z:Z,售卖区!A56)</f>
        <v>16</v>
      </c>
      <c r="I56" s="23">
        <f t="shared" si="27"/>
        <v>0.16</v>
      </c>
      <c r="J56" s="21">
        <f>SUMIFS(实时bi!AA:AA,实时bi!$Z:$Z,售卖区!$A56)</f>
        <v>1359</v>
      </c>
      <c r="K56" s="23">
        <f>SUMIFS(实时bi!AB:AB,实时bi!$Z:$Z,售卖区!$A56)</f>
        <v>6.508</v>
      </c>
      <c r="L56" s="38">
        <f t="shared" si="30"/>
        <v>4.4444444444444446E-2</v>
      </c>
      <c r="M56" s="38">
        <f t="shared" si="24"/>
        <v>9.5489038785834743E-2</v>
      </c>
      <c r="N56" s="46">
        <f t="shared" si="28"/>
        <v>13.793103448275863</v>
      </c>
      <c r="O56" s="46">
        <f t="shared" si="29"/>
        <v>181.00692594565797</v>
      </c>
      <c r="P56" s="26" t="s">
        <v>254</v>
      </c>
    </row>
    <row r="57" spans="1:16" ht="15" thickBot="1" x14ac:dyDescent="0.35">
      <c r="A57" s="60" t="s">
        <v>295</v>
      </c>
      <c r="B57" s="113" t="s">
        <v>265</v>
      </c>
      <c r="C57" s="32" t="s">
        <v>25</v>
      </c>
      <c r="D57" s="32" t="s">
        <v>26</v>
      </c>
      <c r="E57" s="32">
        <v>48</v>
      </c>
      <c r="F57" s="32"/>
      <c r="G57" s="33">
        <v>50</v>
      </c>
      <c r="H57" s="21">
        <f>SUMIFS(实时bi!AC:AC,实时bi!Z:Z,售卖区!A57)</f>
        <v>15</v>
      </c>
      <c r="I57" s="23">
        <f>H57/G57</f>
        <v>0.3</v>
      </c>
      <c r="J57" s="21">
        <f>SUMIFS(实时bi!AA:AA,实时bi!$Z:$Z,售卖区!$A57)</f>
        <v>1023</v>
      </c>
      <c r="K57" s="23">
        <f>SUMIFS(实时bi!AB:AB,实时bi!$Z:$Z,售卖区!$A57)</f>
        <v>0.54430000000000001</v>
      </c>
      <c r="L57" s="38">
        <f t="shared" si="30"/>
        <v>4.4247787610619468E-2</v>
      </c>
      <c r="M57" s="38">
        <f t="shared" si="24"/>
        <v>3.257443082311734E-2</v>
      </c>
      <c r="N57" s="46">
        <f t="shared" si="28"/>
        <v>11.538461538461538</v>
      </c>
      <c r="O57" s="48">
        <f>SUM(O52:O56)</f>
        <v>2039.9221219168605</v>
      </c>
      <c r="P57" s="26" t="s">
        <v>253</v>
      </c>
    </row>
    <row r="58" spans="1:16" ht="14.25" x14ac:dyDescent="0.3">
      <c r="A58" s="114"/>
      <c r="B58" s="35" t="s">
        <v>266</v>
      </c>
      <c r="C58" s="35" t="s">
        <v>27</v>
      </c>
      <c r="D58" s="36"/>
      <c r="E58" s="36">
        <f>SUM(E52:E57)</f>
        <v>590</v>
      </c>
      <c r="F58" s="36"/>
      <c r="G58" s="36">
        <f>SUM(G52:G57)</f>
        <v>640</v>
      </c>
      <c r="H58" s="36">
        <f>SUM(H53:H57)</f>
        <v>98</v>
      </c>
      <c r="I58" s="39">
        <f t="shared" ref="I58" si="31">H58/G58</f>
        <v>0.15312500000000001</v>
      </c>
      <c r="J58" s="36">
        <f>SUM(J53:J57)</f>
        <v>8832</v>
      </c>
      <c r="K58" s="39">
        <f>(J58-O58)/O58</f>
        <v>1.1647885243042526</v>
      </c>
      <c r="L58" s="39">
        <f t="shared" si="30"/>
        <v>5.2406417112299465E-2</v>
      </c>
      <c r="M58" s="39">
        <f t="shared" si="24"/>
        <v>7.0143113553695374E-2</v>
      </c>
      <c r="N58" s="48">
        <f t="shared" ref="N58:O58" si="32">SUM(N52:N57)</f>
        <v>97.667626708468632</v>
      </c>
      <c r="O58" s="48">
        <f t="shared" si="32"/>
        <v>4079.8442438337211</v>
      </c>
      <c r="P58" s="26" t="s">
        <v>252</v>
      </c>
    </row>
    <row r="59" spans="1:16" ht="14.25" x14ac:dyDescent="0.3">
      <c r="B59" s="40"/>
      <c r="C59" s="40" t="s">
        <v>57</v>
      </c>
      <c r="P59" s="26" t="s">
        <v>251</v>
      </c>
    </row>
    <row r="60" spans="1:16" ht="14.25" x14ac:dyDescent="0.3">
      <c r="P60" s="26" t="s">
        <v>27</v>
      </c>
    </row>
  </sheetData>
  <mergeCells count="3">
    <mergeCell ref="N10:O10"/>
    <mergeCell ref="E2:M2"/>
    <mergeCell ref="B2:B11"/>
  </mergeCells>
  <phoneticPr fontId="20" type="noConversion"/>
  <conditionalFormatting sqref="I12:I17">
    <cfRule type="dataBar" priority="4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{7B6D1B4B-53F6-48B1-AC48-18B8C1F1333A}</x14:id>
        </ext>
      </extLst>
    </cfRule>
  </conditionalFormatting>
  <conditionalFormatting sqref="I28:I33">
    <cfRule type="dataBar" priority="5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{CE803E6F-39DD-44F2-B79C-ACEB4B6B1066}</x14:id>
        </ext>
      </extLst>
    </cfRule>
  </conditionalFormatting>
  <conditionalFormatting sqref="I44:I49">
    <cfRule type="dataBar" priority="10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{A92BBCE6-9216-4E26-A660-CAB44D7D4B88}</x14:id>
        </ext>
      </extLst>
    </cfRule>
  </conditionalFormatting>
  <conditionalFormatting sqref="I20:I25">
    <cfRule type="dataBar" priority="8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{34ACEC72-D1DA-47CC-B963-7C1BD22AA5E2}</x14:id>
        </ext>
      </extLst>
    </cfRule>
  </conditionalFormatting>
  <conditionalFormatting sqref="K12:K17">
    <cfRule type="dataBar" priority="4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{34C61EF9-B70B-4334-9A68-F6AB355E5957}</x14:id>
        </ext>
      </extLst>
    </cfRule>
  </conditionalFormatting>
  <conditionalFormatting sqref="K28:K33">
    <cfRule type="dataBar" priority="5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{9C5439DB-588C-4D23-83D6-AE1E2D9D955E}</x14:id>
        </ext>
      </extLst>
    </cfRule>
  </conditionalFormatting>
  <conditionalFormatting sqref="K44:K49">
    <cfRule type="dataBar" priority="10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{7E7827CA-6449-4A00-814D-1625605674E2}</x14:id>
        </ext>
      </extLst>
    </cfRule>
  </conditionalFormatting>
  <conditionalFormatting sqref="K20:K25">
    <cfRule type="dataBar" priority="8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{436AF657-0013-4865-B985-223E74AE1420}</x14:id>
        </ext>
      </extLst>
    </cfRule>
  </conditionalFormatting>
  <conditionalFormatting sqref="L28:L33">
    <cfRule type="colorScale" priority="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44:L49">
    <cfRule type="colorScale" priority="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0:L25">
    <cfRule type="colorScale" priority="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2:M17">
    <cfRule type="dataBar" priority="4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{F4CDF8D8-46F1-4DB2-AA09-F26DAE612768}</x14:id>
        </ext>
      </extLst>
    </cfRule>
  </conditionalFormatting>
  <conditionalFormatting sqref="M28:M33">
    <cfRule type="colorScale" priority="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44:M49">
    <cfRule type="colorScale" priority="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0:M25">
    <cfRule type="colorScale" priority="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4:M9">
    <cfRule type="dataBar" priority="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{CAF29C3F-7C50-43E9-AF06-F3D814D890C1}</x14:id>
        </ext>
      </extLst>
    </cfRule>
  </conditionalFormatting>
  <conditionalFormatting sqref="I52:I57">
    <cfRule type="dataBar" priority="10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{19C4E4EC-E24D-40DD-A54A-B1D40E4D200B}</x14:id>
        </ext>
      </extLst>
    </cfRule>
  </conditionalFormatting>
  <conditionalFormatting sqref="I36:I41">
    <cfRule type="dataBar" priority="11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{37DE4184-0524-403B-9F27-F5860DCA9A7B}</x14:id>
        </ext>
      </extLst>
    </cfRule>
  </conditionalFormatting>
  <conditionalFormatting sqref="K36:K41">
    <cfRule type="dataBar" priority="11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{670E899E-A835-40AB-AEAB-5766128C696D}</x14:id>
        </ext>
      </extLst>
    </cfRule>
  </conditionalFormatting>
  <conditionalFormatting sqref="L36:L41">
    <cfRule type="colorScale" priority="1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36:M41">
    <cfRule type="colorScale" priority="1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52:K57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{B59D9C93-59EF-4279-93DB-FA35D4FA17DF}</x14:id>
        </ext>
      </extLst>
    </cfRule>
  </conditionalFormatting>
  <conditionalFormatting sqref="L52:L57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52:M5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horizontalDpi="100" verticalDpi="10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B6D1B4B-53F6-48B1-AC48-18B8C1F1333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I12:I17</xm:sqref>
        </x14:conditionalFormatting>
        <x14:conditionalFormatting xmlns:xm="http://schemas.microsoft.com/office/excel/2006/main">
          <x14:cfRule type="dataBar" id="{CE803E6F-39DD-44F2-B79C-ACEB4B6B106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I28:I33</xm:sqref>
        </x14:conditionalFormatting>
        <x14:conditionalFormatting xmlns:xm="http://schemas.microsoft.com/office/excel/2006/main">
          <x14:cfRule type="dataBar" id="{A92BBCE6-9216-4E26-A660-CAB44D7D4B8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I44:I49</xm:sqref>
        </x14:conditionalFormatting>
        <x14:conditionalFormatting xmlns:xm="http://schemas.microsoft.com/office/excel/2006/main">
          <x14:cfRule type="dataBar" id="{34ACEC72-D1DA-47CC-B963-7C1BD22AA5E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I20:I25</xm:sqref>
        </x14:conditionalFormatting>
        <x14:conditionalFormatting xmlns:xm="http://schemas.microsoft.com/office/excel/2006/main">
          <x14:cfRule type="dataBar" id="{34C61EF9-B70B-4334-9A68-F6AB355E595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K12:K17</xm:sqref>
        </x14:conditionalFormatting>
        <x14:conditionalFormatting xmlns:xm="http://schemas.microsoft.com/office/excel/2006/main">
          <x14:cfRule type="dataBar" id="{9C5439DB-588C-4D23-83D6-AE1E2D9D955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K28:K33</xm:sqref>
        </x14:conditionalFormatting>
        <x14:conditionalFormatting xmlns:xm="http://schemas.microsoft.com/office/excel/2006/main">
          <x14:cfRule type="dataBar" id="{7E7827CA-6449-4A00-814D-1625605674E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K44:K49</xm:sqref>
        </x14:conditionalFormatting>
        <x14:conditionalFormatting xmlns:xm="http://schemas.microsoft.com/office/excel/2006/main">
          <x14:cfRule type="dataBar" id="{436AF657-0013-4865-B985-223E74AE142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K20:K25</xm:sqref>
        </x14:conditionalFormatting>
        <x14:conditionalFormatting xmlns:xm="http://schemas.microsoft.com/office/excel/2006/main">
          <x14:cfRule type="dataBar" id="{F4CDF8D8-46F1-4DB2-AA09-F26DAE61276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M12:M17</xm:sqref>
        </x14:conditionalFormatting>
        <x14:conditionalFormatting xmlns:xm="http://schemas.microsoft.com/office/excel/2006/main">
          <x14:cfRule type="dataBar" id="{CAF29C3F-7C50-43E9-AF06-F3D814D890C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L4:M9</xm:sqref>
        </x14:conditionalFormatting>
        <x14:conditionalFormatting xmlns:xm="http://schemas.microsoft.com/office/excel/2006/main">
          <x14:cfRule type="dataBar" id="{19C4E4EC-E24D-40DD-A54A-B1D40E4D200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I52:I57</xm:sqref>
        </x14:conditionalFormatting>
        <x14:conditionalFormatting xmlns:xm="http://schemas.microsoft.com/office/excel/2006/main">
          <x14:cfRule type="dataBar" id="{37DE4184-0524-403B-9F27-F5860DCA9A7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I36:I41</xm:sqref>
        </x14:conditionalFormatting>
        <x14:conditionalFormatting xmlns:xm="http://schemas.microsoft.com/office/excel/2006/main">
          <x14:cfRule type="dataBar" id="{670E899E-A835-40AB-AEAB-5766128C69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K36:K41</xm:sqref>
        </x14:conditionalFormatting>
        <x14:conditionalFormatting xmlns:xm="http://schemas.microsoft.com/office/excel/2006/main">
          <x14:cfRule type="dataBar" id="{B59D9C93-59EF-4279-93DB-FA35D4FA17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K52:K57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U121"/>
  <sheetViews>
    <sheetView showGridLines="0" workbookViewId="0">
      <pane ySplit="3" topLeftCell="A4" activePane="bottomLeft" state="frozen"/>
      <selection pane="bottomLeft" activeCell="A4" sqref="A4:XFD4"/>
    </sheetView>
  </sheetViews>
  <sheetFormatPr defaultColWidth="9" defaultRowHeight="13.5" x14ac:dyDescent="0.3"/>
  <cols>
    <col min="1" max="1" width="6.75" style="5" customWidth="1"/>
    <col min="2" max="2" width="7.5" style="5" customWidth="1"/>
    <col min="3" max="3" width="44" style="5" hidden="1" customWidth="1"/>
    <col min="4" max="4" width="9.5" style="5" customWidth="1"/>
    <col min="5" max="5" width="7.25" style="5" customWidth="1"/>
    <col min="6" max="6" width="6.375" style="5" bestFit="1" customWidth="1"/>
    <col min="7" max="8" width="7.625" style="5" customWidth="1"/>
    <col min="9" max="10" width="7" style="5" hidden="1" customWidth="1"/>
    <col min="11" max="11" width="8.375" style="5" hidden="1" customWidth="1"/>
    <col min="12" max="12" width="5.625" style="5" customWidth="1"/>
    <col min="13" max="13" width="6" style="5" customWidth="1"/>
    <col min="14" max="14" width="12.875" style="104" hidden="1" customWidth="1"/>
    <col min="15" max="15" width="4.25" style="104" hidden="1" customWidth="1"/>
    <col min="16" max="16" width="7" style="105" hidden="1" customWidth="1"/>
    <col min="17" max="17" width="5.25" style="104" hidden="1" customWidth="1"/>
    <col min="18" max="18" width="5.25" style="104" customWidth="1"/>
    <col min="19" max="19" width="6.375" style="104" customWidth="1"/>
    <col min="20" max="20" width="8.875" style="5" bestFit="1" customWidth="1"/>
    <col min="21" max="21" width="8.375" style="5" customWidth="1"/>
    <col min="22" max="16384" width="9" style="4"/>
  </cols>
  <sheetData>
    <row r="1" spans="1:21" ht="21" x14ac:dyDescent="0.3">
      <c r="A1" s="161" t="str">
        <f ca="1">"销售实时数据"&amp;HOUR(NOW())&amp;":00"</f>
        <v>销售实时数据11:00</v>
      </c>
      <c r="B1" s="161"/>
      <c r="C1" s="161"/>
      <c r="D1" s="161"/>
      <c r="E1" s="161"/>
      <c r="F1" s="161"/>
      <c r="G1" s="161"/>
      <c r="H1" s="161"/>
      <c r="I1" s="161"/>
      <c r="J1" s="161"/>
      <c r="K1" s="161"/>
      <c r="L1" s="161"/>
      <c r="M1" s="161"/>
      <c r="N1" s="161"/>
      <c r="O1" s="161"/>
      <c r="P1" s="161"/>
      <c r="Q1" s="162"/>
      <c r="R1" s="124"/>
      <c r="S1" s="124"/>
    </row>
    <row r="2" spans="1:21" ht="21" hidden="1" x14ac:dyDescent="0.3">
      <c r="B2" s="148" t="s">
        <v>247</v>
      </c>
      <c r="C2" s="149"/>
      <c r="D2" s="149"/>
      <c r="E2" s="149"/>
      <c r="F2" s="149"/>
      <c r="G2" s="149"/>
      <c r="H2" s="149"/>
      <c r="I2" s="149"/>
      <c r="J2" s="149"/>
      <c r="K2" s="149"/>
      <c r="L2" s="149"/>
      <c r="M2" s="149"/>
      <c r="N2" s="149"/>
      <c r="O2" s="149"/>
      <c r="P2" s="149"/>
      <c r="Q2" s="150"/>
      <c r="R2" s="124"/>
      <c r="S2" s="125"/>
    </row>
    <row r="3" spans="1:21" ht="16.5" customHeight="1" x14ac:dyDescent="0.3">
      <c r="A3" s="17" t="s">
        <v>332</v>
      </c>
      <c r="B3" s="17" t="s">
        <v>333</v>
      </c>
      <c r="C3" s="17" t="s">
        <v>58</v>
      </c>
      <c r="D3" s="17" t="s">
        <v>59</v>
      </c>
      <c r="E3" s="17" t="s">
        <v>60</v>
      </c>
      <c r="F3" s="18" t="s">
        <v>335</v>
      </c>
      <c r="G3" s="17" t="s">
        <v>334</v>
      </c>
      <c r="H3" s="17" t="s">
        <v>62</v>
      </c>
      <c r="I3" s="18" t="s">
        <v>63</v>
      </c>
      <c r="J3" s="17" t="s">
        <v>64</v>
      </c>
      <c r="K3" s="17" t="s">
        <v>65</v>
      </c>
      <c r="L3" s="17" t="s">
        <v>66</v>
      </c>
      <c r="M3" s="17" t="s">
        <v>67</v>
      </c>
      <c r="N3" s="93" t="s">
        <v>243</v>
      </c>
      <c r="O3" s="94" t="s">
        <v>244</v>
      </c>
      <c r="P3" s="95" t="s">
        <v>246</v>
      </c>
      <c r="Q3" s="96" t="s">
        <v>249</v>
      </c>
      <c r="R3" s="124"/>
      <c r="S3" s="18" t="s">
        <v>288</v>
      </c>
      <c r="T3" s="5" t="s">
        <v>287</v>
      </c>
      <c r="U3" s="5" t="s">
        <v>289</v>
      </c>
    </row>
    <row r="4" spans="1:21" ht="16.5" customHeight="1" x14ac:dyDescent="0.3">
      <c r="A4" s="19"/>
      <c r="B4" s="19" t="s">
        <v>68</v>
      </c>
      <c r="C4" s="19"/>
      <c r="D4" s="19"/>
      <c r="E4" s="19"/>
      <c r="F4" s="19">
        <v>4500</v>
      </c>
      <c r="G4" s="19">
        <f>G49+G20+G38+G12+G29+G75</f>
        <v>1849</v>
      </c>
      <c r="H4" s="20">
        <f t="shared" ref="H4:H49" si="0">G4/F4</f>
        <v>0.41088888888888891</v>
      </c>
      <c r="I4" s="19">
        <v>1046</v>
      </c>
      <c r="J4" s="19">
        <f>J49+J20+J38+J12+J29+J75</f>
        <v>558</v>
      </c>
      <c r="K4" s="20">
        <f t="shared" ref="K4:K49" si="1">J4/I4</f>
        <v>0.53346080305927346</v>
      </c>
      <c r="L4" s="19">
        <f>L49+L20+L38+L12+L29+L75</f>
        <v>7</v>
      </c>
      <c r="M4" s="19">
        <f>M49+M20+M38+M12+M29+M75</f>
        <v>427</v>
      </c>
      <c r="N4" s="92">
        <f>N49+N20+N38+N12+N29+N75</f>
        <v>-341</v>
      </c>
      <c r="O4" s="92">
        <f>O49+O20+O38+O12+O29+O75</f>
        <v>-444.5</v>
      </c>
      <c r="P4" s="97"/>
      <c r="Q4" s="92">
        <f>N4+O4</f>
        <v>-785.5</v>
      </c>
      <c r="R4" s="124"/>
      <c r="S4" s="19">
        <v>3999</v>
      </c>
      <c r="T4" s="5">
        <v>4323</v>
      </c>
      <c r="U4" s="126">
        <f>T4/S4</f>
        <v>1.081020255063766</v>
      </c>
    </row>
    <row r="5" spans="1:21" ht="16.5" customHeight="1" x14ac:dyDescent="0.3">
      <c r="A5" s="21" t="s">
        <v>324</v>
      </c>
      <c r="B5" s="21" t="str">
        <f t="shared" ref="B5:B11" si="2">MID(C5,24,3)</f>
        <v>浦口区</v>
      </c>
      <c r="C5" s="21" t="s">
        <v>9</v>
      </c>
      <c r="D5" s="21">
        <v>340679</v>
      </c>
      <c r="E5" s="21" t="s">
        <v>97</v>
      </c>
      <c r="F5" s="22">
        <v>200</v>
      </c>
      <c r="G5" s="21">
        <f>IFERROR(VLOOKUP($D5,CRM!$B:$R,17,0),0)</f>
        <v>67</v>
      </c>
      <c r="H5" s="23">
        <f t="shared" ref="H5:H40" si="3">G5/F5</f>
        <v>0.33500000000000002</v>
      </c>
      <c r="I5" s="22">
        <v>42</v>
      </c>
      <c r="J5" s="21">
        <f>IFERROR(VLOOKUP($D5,'CRM-米'!B:L,11,0),0)</f>
        <v>20</v>
      </c>
      <c r="K5" s="23">
        <f t="shared" ref="K5:K40" si="4">J5/I5</f>
        <v>0.47619047619047616</v>
      </c>
      <c r="L5" s="21">
        <f>IFERROR(VLOOKUP($D5,CRM!$B:$R,8,0),0)</f>
        <v>0</v>
      </c>
      <c r="M5" s="21">
        <f>IFERROR(VLOOKUP($D5,CRM!$B:$R,16,0),0)</f>
        <v>20</v>
      </c>
      <c r="N5" s="98">
        <f t="shared" ref="N5:N48" si="5">F5*0.5+G5-F5</f>
        <v>-33</v>
      </c>
      <c r="O5" s="98"/>
      <c r="P5" s="97"/>
      <c r="Q5" s="98"/>
      <c r="R5" s="124"/>
      <c r="S5" s="22">
        <v>180</v>
      </c>
      <c r="T5" s="5">
        <v>212</v>
      </c>
      <c r="U5" s="126">
        <f t="shared" ref="U5:U68" si="6">T5/S5</f>
        <v>1.1777777777777778</v>
      </c>
    </row>
    <row r="6" spans="1:21" ht="16.5" customHeight="1" x14ac:dyDescent="0.3">
      <c r="A6" s="21" t="s">
        <v>324</v>
      </c>
      <c r="B6" s="21" t="str">
        <f>MID(C6,24,3)</f>
        <v>浦口区</v>
      </c>
      <c r="C6" s="21" t="s">
        <v>9</v>
      </c>
      <c r="D6" s="21">
        <v>269063</v>
      </c>
      <c r="E6" s="21" t="s">
        <v>96</v>
      </c>
      <c r="F6" s="22">
        <v>180</v>
      </c>
      <c r="G6" s="21">
        <f>IFERROR(VLOOKUP($D6,CRM!$B:$R,17,0),0)</f>
        <v>71</v>
      </c>
      <c r="H6" s="23">
        <f t="shared" si="3"/>
        <v>0.39444444444444443</v>
      </c>
      <c r="I6" s="22">
        <v>49</v>
      </c>
      <c r="J6" s="21">
        <f>IFERROR(VLOOKUP($D6,'CRM-米'!B:L,11,0),0)</f>
        <v>20</v>
      </c>
      <c r="K6" s="23">
        <f t="shared" si="4"/>
        <v>0.40816326530612246</v>
      </c>
      <c r="L6" s="21">
        <f>IFERROR(VLOOKUP($D6,CRM!$B:$R,8,0),0)</f>
        <v>1</v>
      </c>
      <c r="M6" s="21">
        <f>IFERROR(VLOOKUP($D6,CRM!$B:$R,16,0),0)</f>
        <v>20</v>
      </c>
      <c r="N6" s="98">
        <f t="shared" si="5"/>
        <v>-19</v>
      </c>
      <c r="O6" s="98"/>
      <c r="P6" s="97"/>
      <c r="Q6" s="98"/>
      <c r="R6" s="124"/>
      <c r="S6" s="22">
        <v>159</v>
      </c>
      <c r="T6" s="5">
        <v>159</v>
      </c>
      <c r="U6" s="126">
        <f t="shared" si="6"/>
        <v>1</v>
      </c>
    </row>
    <row r="7" spans="1:21" ht="16.5" customHeight="1" x14ac:dyDescent="0.3">
      <c r="A7" s="21" t="s">
        <v>324</v>
      </c>
      <c r="B7" s="21" t="str">
        <f>MID(C7,24,3)</f>
        <v>浦口区</v>
      </c>
      <c r="C7" s="21" t="s">
        <v>9</v>
      </c>
      <c r="D7" s="21">
        <v>335129</v>
      </c>
      <c r="E7" s="21" t="s">
        <v>102</v>
      </c>
      <c r="F7" s="22">
        <v>150</v>
      </c>
      <c r="G7" s="21">
        <f>IFERROR(VLOOKUP($D7,CRM!$B:$R,17,0),0)</f>
        <v>61</v>
      </c>
      <c r="H7" s="23">
        <f t="shared" si="3"/>
        <v>0.40666666666666668</v>
      </c>
      <c r="I7" s="22">
        <v>45</v>
      </c>
      <c r="J7" s="21">
        <f>IFERROR(VLOOKUP($D7,'CRM-米'!B:L,11,0),0)</f>
        <v>8</v>
      </c>
      <c r="K7" s="23">
        <f t="shared" si="4"/>
        <v>0.17777777777777778</v>
      </c>
      <c r="L7" s="21">
        <f>IFERROR(VLOOKUP($D7,CRM!$B:$R,8,0),0)</f>
        <v>1</v>
      </c>
      <c r="M7" s="21">
        <f>IFERROR(VLOOKUP($D7,CRM!$B:$R,16,0),0)</f>
        <v>7</v>
      </c>
      <c r="N7" s="98">
        <f t="shared" si="5"/>
        <v>-14</v>
      </c>
      <c r="O7" s="98"/>
      <c r="P7" s="97"/>
      <c r="Q7" s="98"/>
      <c r="R7" s="124"/>
      <c r="S7" s="22">
        <v>135</v>
      </c>
      <c r="T7" s="5">
        <v>156</v>
      </c>
      <c r="U7" s="126">
        <f t="shared" si="6"/>
        <v>1.1555555555555554</v>
      </c>
    </row>
    <row r="8" spans="1:21" ht="16.5" customHeight="1" x14ac:dyDescent="0.3">
      <c r="A8" s="21" t="s">
        <v>324</v>
      </c>
      <c r="B8" s="21" t="str">
        <f t="shared" si="2"/>
        <v>浦口区</v>
      </c>
      <c r="C8" s="21" t="s">
        <v>9</v>
      </c>
      <c r="D8" s="21">
        <v>335258</v>
      </c>
      <c r="E8" s="21" t="s">
        <v>98</v>
      </c>
      <c r="F8" s="22">
        <v>150</v>
      </c>
      <c r="G8" s="21">
        <f>IFERROR(VLOOKUP($D8,CRM!$B:$R,17,0),0)</f>
        <v>63</v>
      </c>
      <c r="H8" s="23">
        <f t="shared" si="3"/>
        <v>0.42</v>
      </c>
      <c r="I8" s="22">
        <v>38</v>
      </c>
      <c r="J8" s="21">
        <f>IFERROR(VLOOKUP($D8,'CRM-米'!B:L,11,0),0)</f>
        <v>11</v>
      </c>
      <c r="K8" s="23">
        <f t="shared" si="4"/>
        <v>0.28947368421052633</v>
      </c>
      <c r="L8" s="21">
        <f>IFERROR(VLOOKUP($D8,CRM!$B:$R,8,0),0)</f>
        <v>0</v>
      </c>
      <c r="M8" s="21">
        <f>IFERROR(VLOOKUP($D8,CRM!$B:$R,16,0),0)</f>
        <v>14</v>
      </c>
      <c r="N8" s="98">
        <f t="shared" si="5"/>
        <v>-12</v>
      </c>
      <c r="O8" s="98"/>
      <c r="P8" s="97"/>
      <c r="Q8" s="98"/>
      <c r="R8" s="124"/>
      <c r="S8" s="22">
        <v>135</v>
      </c>
      <c r="T8" s="5">
        <v>148</v>
      </c>
      <c r="U8" s="126">
        <f t="shared" si="6"/>
        <v>1.0962962962962963</v>
      </c>
    </row>
    <row r="9" spans="1:21" ht="16.5" customHeight="1" x14ac:dyDescent="0.3">
      <c r="A9" s="21" t="s">
        <v>324</v>
      </c>
      <c r="B9" s="21" t="str">
        <f t="shared" si="2"/>
        <v>浦口区</v>
      </c>
      <c r="C9" s="21" t="s">
        <v>9</v>
      </c>
      <c r="D9" s="21">
        <v>115922</v>
      </c>
      <c r="E9" s="21" t="s">
        <v>99</v>
      </c>
      <c r="F9" s="22">
        <v>140</v>
      </c>
      <c r="G9" s="21">
        <f>IFERROR(VLOOKUP($D9,CRM!$B:$R,17,0),0)</f>
        <v>25</v>
      </c>
      <c r="H9" s="23">
        <f t="shared" si="3"/>
        <v>0.17857142857142858</v>
      </c>
      <c r="I9" s="22">
        <v>46</v>
      </c>
      <c r="J9" s="21">
        <f>IFERROR(VLOOKUP($D9,'CRM-米'!B:L,11,0),0)</f>
        <v>11</v>
      </c>
      <c r="K9" s="23">
        <f t="shared" si="4"/>
        <v>0.2391304347826087</v>
      </c>
      <c r="L9" s="21">
        <f>IFERROR(VLOOKUP($D9,CRM!$B:$R,8,0),0)</f>
        <v>0</v>
      </c>
      <c r="M9" s="21">
        <f>IFERROR(VLOOKUP($D9,CRM!$B:$R,16,0),0)</f>
        <v>7</v>
      </c>
      <c r="N9" s="98"/>
      <c r="O9" s="98">
        <f>-F9*1*0.5</f>
        <v>-70</v>
      </c>
      <c r="P9" s="97"/>
      <c r="Q9" s="98"/>
      <c r="R9" s="124"/>
      <c r="S9" s="22">
        <v>108</v>
      </c>
      <c r="T9" s="5">
        <v>102</v>
      </c>
      <c r="U9" s="126">
        <f t="shared" si="6"/>
        <v>0.94444444444444442</v>
      </c>
    </row>
    <row r="10" spans="1:21" ht="16.5" customHeight="1" x14ac:dyDescent="0.3">
      <c r="A10" s="21" t="s">
        <v>324</v>
      </c>
      <c r="B10" s="21" t="str">
        <f>MID(C10,24,3)</f>
        <v>浦口区</v>
      </c>
      <c r="C10" s="21" t="s">
        <v>9</v>
      </c>
      <c r="D10" s="21">
        <v>223136</v>
      </c>
      <c r="E10" s="21" t="s">
        <v>101</v>
      </c>
      <c r="F10" s="22">
        <v>130</v>
      </c>
      <c r="G10" s="21">
        <f>IFERROR(VLOOKUP($D10,CRM!$B:$R,17,0),0)</f>
        <v>55</v>
      </c>
      <c r="H10" s="23">
        <f t="shared" si="3"/>
        <v>0.42307692307692307</v>
      </c>
      <c r="I10" s="22">
        <v>20</v>
      </c>
      <c r="J10" s="21">
        <f>IFERROR(VLOOKUP($D10,'CRM-米'!B:L,11,0),0)</f>
        <v>13</v>
      </c>
      <c r="K10" s="23">
        <f t="shared" si="4"/>
        <v>0.65</v>
      </c>
      <c r="L10" s="21">
        <f>IFERROR(VLOOKUP($D10,CRM!$B:$R,8,0),0)</f>
        <v>0</v>
      </c>
      <c r="M10" s="21">
        <f>IFERROR(VLOOKUP($D10,CRM!$B:$R,16,0),0)</f>
        <v>5</v>
      </c>
      <c r="N10" s="98">
        <f t="shared" si="5"/>
        <v>-10</v>
      </c>
      <c r="O10" s="98"/>
      <c r="P10" s="97"/>
      <c r="Q10" s="98"/>
      <c r="R10" s="124"/>
      <c r="S10" s="22">
        <v>100</v>
      </c>
      <c r="T10" s="5">
        <v>128</v>
      </c>
      <c r="U10" s="126">
        <f t="shared" si="6"/>
        <v>1.28</v>
      </c>
    </row>
    <row r="11" spans="1:21" ht="16.5" customHeight="1" x14ac:dyDescent="0.3">
      <c r="A11" s="21" t="s">
        <v>324</v>
      </c>
      <c r="B11" s="21" t="str">
        <f t="shared" si="2"/>
        <v>浦口区</v>
      </c>
      <c r="C11" s="21" t="s">
        <v>9</v>
      </c>
      <c r="D11" s="21">
        <v>400643</v>
      </c>
      <c r="E11" s="21" t="s">
        <v>100</v>
      </c>
      <c r="F11" s="22">
        <v>100</v>
      </c>
      <c r="G11" s="21">
        <f>IFERROR(VLOOKUP($D11,CRM!$B:$R,17,0),0)</f>
        <v>32</v>
      </c>
      <c r="H11" s="23">
        <f t="shared" si="3"/>
        <v>0.32</v>
      </c>
      <c r="I11" s="22">
        <v>25</v>
      </c>
      <c r="J11" s="21">
        <f>IFERROR(VLOOKUP($D11,'CRM-米'!B:L,11,0),0)</f>
        <v>12</v>
      </c>
      <c r="K11" s="23">
        <f t="shared" si="4"/>
        <v>0.48</v>
      </c>
      <c r="L11" s="21">
        <f>IFERROR(VLOOKUP($D11,CRM!$B:$R,8,0),0)</f>
        <v>0</v>
      </c>
      <c r="M11" s="21">
        <f>IFERROR(VLOOKUP($D11,CRM!$B:$R,16,0),0)</f>
        <v>7</v>
      </c>
      <c r="N11" s="98">
        <f t="shared" si="5"/>
        <v>-18</v>
      </c>
      <c r="O11" s="98"/>
      <c r="P11" s="97"/>
      <c r="Q11" s="98"/>
      <c r="R11" s="124"/>
      <c r="S11" s="22">
        <v>83</v>
      </c>
      <c r="T11" s="5">
        <v>89</v>
      </c>
      <c r="U11" s="126">
        <f t="shared" si="6"/>
        <v>1.072289156626506</v>
      </c>
    </row>
    <row r="12" spans="1:21" ht="16.5" customHeight="1" x14ac:dyDescent="0.3">
      <c r="A12" s="81" t="s">
        <v>324</v>
      </c>
      <c r="B12" s="81" t="s">
        <v>103</v>
      </c>
      <c r="C12" s="24"/>
      <c r="D12" s="24"/>
      <c r="E12" s="24"/>
      <c r="F12" s="81">
        <f>SUM(F5:F11)</f>
        <v>1050</v>
      </c>
      <c r="G12" s="81">
        <f>SUM(G5:G11)</f>
        <v>374</v>
      </c>
      <c r="H12" s="90">
        <f t="shared" si="3"/>
        <v>0.35619047619047617</v>
      </c>
      <c r="I12" s="24">
        <f>SUM(I5:I11)</f>
        <v>265</v>
      </c>
      <c r="J12" s="24">
        <f>SUM(J5:J11)</f>
        <v>95</v>
      </c>
      <c r="K12" s="25">
        <f t="shared" si="4"/>
        <v>0.35849056603773582</v>
      </c>
      <c r="L12" s="81">
        <f>SUM(L5:L11)</f>
        <v>2</v>
      </c>
      <c r="M12" s="81">
        <f>SUM(M5:M11)</f>
        <v>80</v>
      </c>
      <c r="N12" s="102">
        <f>SUM(N5:N11)</f>
        <v>-106</v>
      </c>
      <c r="O12" s="102">
        <f>SUM(O5:O11)</f>
        <v>-70</v>
      </c>
      <c r="P12" s="99"/>
      <c r="Q12" s="102">
        <f>N12+O12</f>
        <v>-176</v>
      </c>
      <c r="R12" s="124"/>
      <c r="S12" s="81">
        <v>900</v>
      </c>
      <c r="T12" s="5">
        <v>994</v>
      </c>
      <c r="U12" s="126">
        <f t="shared" si="6"/>
        <v>1.1044444444444443</v>
      </c>
    </row>
    <row r="13" spans="1:21" ht="16.5" customHeight="1" x14ac:dyDescent="0.3">
      <c r="A13" s="21" t="s">
        <v>260</v>
      </c>
      <c r="B13" s="21" t="str">
        <f t="shared" ref="B13:B19" si="7">MID(C13,24,3)</f>
        <v>江浦区</v>
      </c>
      <c r="C13" s="21" t="s">
        <v>15</v>
      </c>
      <c r="D13" s="21">
        <v>211238</v>
      </c>
      <c r="E13" s="21" t="s">
        <v>80</v>
      </c>
      <c r="F13" s="22">
        <v>155</v>
      </c>
      <c r="G13" s="21">
        <f>IFERROR(VLOOKUP($D13,CRM!$B:$R,17,0),0)</f>
        <v>55</v>
      </c>
      <c r="H13" s="23">
        <f>G13/F13</f>
        <v>0.35483870967741937</v>
      </c>
      <c r="I13" s="22">
        <v>42</v>
      </c>
      <c r="J13" s="21">
        <f>IFERROR(VLOOKUP($D13,'CRM-米'!B:L,11,0),0)</f>
        <v>23</v>
      </c>
      <c r="K13" s="23">
        <f>J13/I13</f>
        <v>0.54761904761904767</v>
      </c>
      <c r="L13" s="21">
        <f>IFERROR(VLOOKUP($D13,CRM!$B:$R,8,0),0)</f>
        <v>0</v>
      </c>
      <c r="M13" s="21">
        <f>IFERROR(VLOOKUP($D13,CRM!$B:$R,16,0),0)</f>
        <v>9</v>
      </c>
      <c r="N13" s="98"/>
      <c r="O13" s="98">
        <f>-F13*1*0.5</f>
        <v>-77.5</v>
      </c>
      <c r="P13" s="97"/>
      <c r="Q13" s="98"/>
      <c r="R13" s="124"/>
      <c r="S13" s="22">
        <v>150</v>
      </c>
      <c r="T13" s="5">
        <v>142</v>
      </c>
      <c r="U13" s="126">
        <f>T13/S13</f>
        <v>0.94666666666666666</v>
      </c>
    </row>
    <row r="14" spans="1:21" ht="16.5" customHeight="1" x14ac:dyDescent="0.3">
      <c r="A14" s="21" t="s">
        <v>260</v>
      </c>
      <c r="B14" s="21" t="str">
        <f t="shared" si="7"/>
        <v>江浦区</v>
      </c>
      <c r="C14" s="21" t="s">
        <v>15</v>
      </c>
      <c r="D14" s="21">
        <v>229184</v>
      </c>
      <c r="E14" s="21" t="s">
        <v>81</v>
      </c>
      <c r="F14" s="22">
        <v>145</v>
      </c>
      <c r="G14" s="21">
        <f>IFERROR(VLOOKUP($D14,CRM!$B:$R,17,0),0)</f>
        <v>57</v>
      </c>
      <c r="H14" s="23">
        <f>G14/F14</f>
        <v>0.39310344827586208</v>
      </c>
      <c r="I14" s="22">
        <v>33</v>
      </c>
      <c r="J14" s="21">
        <f>IFERROR(VLOOKUP($D14,'CRM-米'!B:L,11,0),0)</f>
        <v>14</v>
      </c>
      <c r="K14" s="23">
        <f>J14/I14</f>
        <v>0.42424242424242425</v>
      </c>
      <c r="L14" s="21">
        <f>IFERROR(VLOOKUP($D14,CRM!$B:$R,8,0),0)</f>
        <v>0</v>
      </c>
      <c r="M14" s="21">
        <f>IFERROR(VLOOKUP($D14,CRM!$B:$R,16,0),0)</f>
        <v>7</v>
      </c>
      <c r="N14" s="98">
        <f t="shared" ref="N14:N19" si="8">F14*0.5+G14-F14</f>
        <v>-15.5</v>
      </c>
      <c r="O14" s="98"/>
      <c r="P14" s="97"/>
      <c r="Q14" s="98"/>
      <c r="R14" s="124"/>
      <c r="S14" s="22">
        <v>135</v>
      </c>
      <c r="T14" s="5">
        <v>141</v>
      </c>
      <c r="U14" s="126">
        <f>T14/S14</f>
        <v>1.0444444444444445</v>
      </c>
    </row>
    <row r="15" spans="1:21" ht="16.5" customHeight="1" x14ac:dyDescent="0.3">
      <c r="A15" s="21" t="s">
        <v>260</v>
      </c>
      <c r="B15" s="21" t="str">
        <f>MID(C15,24,3)</f>
        <v>江浦区</v>
      </c>
      <c r="C15" s="21" t="s">
        <v>15</v>
      </c>
      <c r="D15" s="21">
        <v>398327</v>
      </c>
      <c r="E15" s="21" t="s">
        <v>82</v>
      </c>
      <c r="F15" s="22">
        <v>140</v>
      </c>
      <c r="G15" s="21">
        <f>IFERROR(VLOOKUP($D15,CRM!$B:$R,17,0),0)</f>
        <v>30</v>
      </c>
      <c r="H15" s="23">
        <f>G15/F15</f>
        <v>0.21428571428571427</v>
      </c>
      <c r="I15" s="22">
        <v>30</v>
      </c>
      <c r="J15" s="21">
        <f>IFERROR(VLOOKUP($D15,'CRM-米'!B:L,11,0),0)</f>
        <v>18</v>
      </c>
      <c r="K15" s="23">
        <f>J15/I15</f>
        <v>0.6</v>
      </c>
      <c r="L15" s="21">
        <f>IFERROR(VLOOKUP($D15,CRM!$B:$R,8,0),0)</f>
        <v>0</v>
      </c>
      <c r="M15" s="21">
        <f>IFERROR(VLOOKUP($D15,CRM!$B:$R,16,0),0)</f>
        <v>5</v>
      </c>
      <c r="N15" s="98">
        <f t="shared" si="8"/>
        <v>-40</v>
      </c>
      <c r="O15" s="98"/>
      <c r="P15" s="97"/>
      <c r="Q15" s="98"/>
      <c r="R15" s="124"/>
      <c r="S15" s="22">
        <v>135</v>
      </c>
      <c r="T15" s="5">
        <v>140</v>
      </c>
      <c r="U15" s="126">
        <f>T15/S15</f>
        <v>1.037037037037037</v>
      </c>
    </row>
    <row r="16" spans="1:21" ht="16.5" customHeight="1" x14ac:dyDescent="0.3">
      <c r="A16" s="21" t="s">
        <v>260</v>
      </c>
      <c r="B16" s="21" t="str">
        <f>MID(C16,24,3)</f>
        <v>江浦区</v>
      </c>
      <c r="C16" s="21" t="s">
        <v>15</v>
      </c>
      <c r="D16" s="21">
        <v>244208</v>
      </c>
      <c r="E16" s="21" t="s">
        <v>83</v>
      </c>
      <c r="F16" s="22">
        <v>130</v>
      </c>
      <c r="G16" s="21">
        <f>IFERROR(VLOOKUP($D16,CRM!$B:$R,17,0),0)</f>
        <v>45</v>
      </c>
      <c r="H16" s="23">
        <f>G16/F16</f>
        <v>0.34615384615384615</v>
      </c>
      <c r="I16" s="22">
        <v>33</v>
      </c>
      <c r="J16" s="21">
        <f>IFERROR(VLOOKUP($D16,'CRM-米'!B:L,11,0),0)</f>
        <v>27</v>
      </c>
      <c r="K16" s="23">
        <f>J16/I16</f>
        <v>0.81818181818181823</v>
      </c>
      <c r="L16" s="21">
        <f>IFERROR(VLOOKUP($D16,CRM!$B:$R,8,0),0)</f>
        <v>0</v>
      </c>
      <c r="M16" s="21">
        <f>IFERROR(VLOOKUP($D16,CRM!$B:$R,16,0),0)</f>
        <v>7</v>
      </c>
      <c r="N16" s="98">
        <f t="shared" si="8"/>
        <v>-20</v>
      </c>
      <c r="O16" s="98"/>
      <c r="P16" s="97"/>
      <c r="Q16" s="98"/>
      <c r="R16" s="124"/>
      <c r="S16" s="22">
        <v>120</v>
      </c>
      <c r="T16" s="5">
        <v>129</v>
      </c>
      <c r="U16" s="126">
        <f>T16/S16</f>
        <v>1.075</v>
      </c>
    </row>
    <row r="17" spans="1:21" ht="16.5" customHeight="1" x14ac:dyDescent="0.3">
      <c r="A17" s="21" t="s">
        <v>260</v>
      </c>
      <c r="B17" s="21" t="str">
        <f t="shared" si="7"/>
        <v>江浦区</v>
      </c>
      <c r="C17" s="21" t="s">
        <v>15</v>
      </c>
      <c r="D17" s="21">
        <v>344006</v>
      </c>
      <c r="E17" s="21" t="s">
        <v>84</v>
      </c>
      <c r="F17" s="22">
        <v>130</v>
      </c>
      <c r="G17" s="21">
        <f>IFERROR(VLOOKUP($D17,CRM!$B:$R,17,0),0)</f>
        <v>53</v>
      </c>
      <c r="H17" s="23">
        <f>G17/F17</f>
        <v>0.40769230769230769</v>
      </c>
      <c r="I17" s="22">
        <v>25</v>
      </c>
      <c r="J17" s="21">
        <f>IFERROR(VLOOKUP($D17,'CRM-米'!B:L,11,0),0)</f>
        <v>13</v>
      </c>
      <c r="K17" s="23">
        <f>J17/I17</f>
        <v>0.52</v>
      </c>
      <c r="L17" s="21">
        <f>IFERROR(VLOOKUP($D17,CRM!$B:$R,8,0),0)</f>
        <v>0</v>
      </c>
      <c r="M17" s="21">
        <f>IFERROR(VLOOKUP($D17,CRM!$B:$R,16,0),0)</f>
        <v>5</v>
      </c>
      <c r="N17" s="98">
        <f t="shared" si="8"/>
        <v>-12</v>
      </c>
      <c r="O17" s="98"/>
      <c r="P17" s="97"/>
      <c r="Q17" s="98"/>
      <c r="R17" s="124"/>
      <c r="S17" s="22">
        <v>120</v>
      </c>
      <c r="T17" s="5">
        <v>129</v>
      </c>
      <c r="U17" s="126">
        <f>T17/S17</f>
        <v>1.075</v>
      </c>
    </row>
    <row r="18" spans="1:21" ht="16.5" customHeight="1" x14ac:dyDescent="0.3">
      <c r="A18" s="21" t="s">
        <v>260</v>
      </c>
      <c r="B18" s="21" t="str">
        <f t="shared" si="7"/>
        <v>江浦区</v>
      </c>
      <c r="C18" s="21" t="s">
        <v>15</v>
      </c>
      <c r="D18" s="21">
        <v>680405</v>
      </c>
      <c r="E18" s="21" t="s">
        <v>85</v>
      </c>
      <c r="F18" s="22">
        <v>30</v>
      </c>
      <c r="G18" s="21">
        <f>IFERROR(VLOOKUP($D18,CRM!$B:$R,17,0),0)</f>
        <v>21</v>
      </c>
      <c r="H18" s="23">
        <f>G18/F18</f>
        <v>0.7</v>
      </c>
      <c r="I18" s="22">
        <v>5</v>
      </c>
      <c r="J18" s="21">
        <f>IFERROR(VLOOKUP($D18,'CRM-米'!B:L,11,0),0)</f>
        <v>4</v>
      </c>
      <c r="K18" s="23">
        <f>J18/I18</f>
        <v>0.8</v>
      </c>
      <c r="L18" s="21">
        <f>IFERROR(VLOOKUP($D18,CRM!$B:$R,8,0),0)</f>
        <v>0</v>
      </c>
      <c r="M18" s="21">
        <f>IFERROR(VLOOKUP($D18,CRM!$B:$R,16,0),0)</f>
        <v>4</v>
      </c>
      <c r="N18" s="98">
        <f t="shared" si="8"/>
        <v>6</v>
      </c>
      <c r="O18" s="98">
        <f>-F18*1</f>
        <v>-30</v>
      </c>
      <c r="P18" s="97"/>
      <c r="Q18" s="98"/>
      <c r="R18" s="124"/>
      <c r="S18" s="22">
        <v>30</v>
      </c>
      <c r="T18" s="5">
        <v>22</v>
      </c>
      <c r="U18" s="126">
        <f>T18/S18</f>
        <v>0.73333333333333328</v>
      </c>
    </row>
    <row r="19" spans="1:21" ht="16.5" customHeight="1" x14ac:dyDescent="0.3">
      <c r="A19" s="21" t="s">
        <v>260</v>
      </c>
      <c r="B19" s="21" t="str">
        <f t="shared" si="7"/>
        <v>江浦区</v>
      </c>
      <c r="C19" s="21" t="s">
        <v>15</v>
      </c>
      <c r="D19" s="21">
        <v>471773</v>
      </c>
      <c r="E19" s="21" t="s">
        <v>86</v>
      </c>
      <c r="F19" s="22">
        <v>30</v>
      </c>
      <c r="G19" s="21">
        <f>IFERROR(VLOOKUP($D19,CRM!$B:$R,17,0),0)</f>
        <v>8</v>
      </c>
      <c r="H19" s="23">
        <f>G19/F19</f>
        <v>0.26666666666666666</v>
      </c>
      <c r="I19" s="22">
        <v>5</v>
      </c>
      <c r="J19" s="21">
        <f>IFERROR(VLOOKUP($D19,'CRM-米'!B:L,11,0),0)</f>
        <v>1</v>
      </c>
      <c r="K19" s="23">
        <f>J19/I19</f>
        <v>0.2</v>
      </c>
      <c r="L19" s="21">
        <f>IFERROR(VLOOKUP($D19,CRM!$B:$R,8,0),0)</f>
        <v>0</v>
      </c>
      <c r="M19" s="21">
        <f>IFERROR(VLOOKUP($D19,CRM!$B:$R,16,0),0)</f>
        <v>6</v>
      </c>
      <c r="N19" s="98">
        <f t="shared" si="8"/>
        <v>-7</v>
      </c>
      <c r="O19" s="98">
        <f>-F19*1</f>
        <v>-30</v>
      </c>
      <c r="P19" s="97"/>
      <c r="Q19" s="98"/>
      <c r="R19" s="124"/>
      <c r="S19" s="22">
        <v>30</v>
      </c>
      <c r="T19" s="5">
        <v>20</v>
      </c>
      <c r="U19" s="126">
        <f>T19/S19</f>
        <v>0.66666666666666663</v>
      </c>
    </row>
    <row r="20" spans="1:21" ht="16.5" customHeight="1" x14ac:dyDescent="0.3">
      <c r="A20" s="81" t="s">
        <v>260</v>
      </c>
      <c r="B20" s="81" t="s">
        <v>87</v>
      </c>
      <c r="C20" s="78"/>
      <c r="D20" s="78"/>
      <c r="E20" s="78"/>
      <c r="F20" s="111">
        <f>SUM(F13:F19)</f>
        <v>760</v>
      </c>
      <c r="G20" s="81">
        <f>SUM(G13:G19)</f>
        <v>269</v>
      </c>
      <c r="H20" s="90">
        <f>G20/F20</f>
        <v>0.35394736842105262</v>
      </c>
      <c r="I20" s="78">
        <f>SUM(I13:I19)</f>
        <v>173</v>
      </c>
      <c r="J20" s="78">
        <f>SUM(J13:J19)</f>
        <v>100</v>
      </c>
      <c r="K20" s="79">
        <f>J20/I20</f>
        <v>0.5780346820809249</v>
      </c>
      <c r="L20" s="81">
        <f>SUM(L13:L19)</f>
        <v>0</v>
      </c>
      <c r="M20" s="81">
        <f>SUM(M13:M19)</f>
        <v>43</v>
      </c>
      <c r="N20" s="102">
        <f>SUM(N13:N19)</f>
        <v>-88.5</v>
      </c>
      <c r="O20" s="102">
        <f>SUM(O13:O19)</f>
        <v>-137.5</v>
      </c>
      <c r="P20" s="101"/>
      <c r="Q20" s="102">
        <f>N20+O20</f>
        <v>-226</v>
      </c>
      <c r="R20" s="124"/>
      <c r="S20" s="111">
        <v>720</v>
      </c>
      <c r="T20" s="5">
        <v>723</v>
      </c>
      <c r="U20" s="126">
        <f>T20/S20</f>
        <v>1.0041666666666667</v>
      </c>
    </row>
    <row r="21" spans="1:21" ht="16.5" customHeight="1" x14ac:dyDescent="0.3">
      <c r="A21" s="21" t="s">
        <v>326</v>
      </c>
      <c r="B21" s="21" t="str">
        <f t="shared" ref="B21:B28" si="9">MID(C21,24,3)</f>
        <v>泰山区</v>
      </c>
      <c r="C21" s="21" t="s">
        <v>12</v>
      </c>
      <c r="D21" s="21">
        <v>150320</v>
      </c>
      <c r="E21" s="21" t="s">
        <v>104</v>
      </c>
      <c r="F21" s="22">
        <v>145</v>
      </c>
      <c r="G21" s="21">
        <f>IFERROR(VLOOKUP($D21,CRM!$B:$R,17,0),0)</f>
        <v>45</v>
      </c>
      <c r="H21" s="23">
        <f t="shared" si="3"/>
        <v>0.31034482758620691</v>
      </c>
      <c r="I21" s="22">
        <v>45</v>
      </c>
      <c r="J21" s="21">
        <f>IFERROR(VLOOKUP($D21,'CRM-米'!B:L,11,0),0)</f>
        <v>26</v>
      </c>
      <c r="K21" s="23">
        <f t="shared" si="4"/>
        <v>0.57777777777777772</v>
      </c>
      <c r="L21" s="21">
        <f>IFERROR(VLOOKUP($D21,CRM!$B:$R,8,0),0)</f>
        <v>0</v>
      </c>
      <c r="M21" s="21">
        <f>IFERROR(VLOOKUP($D21,CRM!$B:$R,16,0),0)</f>
        <v>8</v>
      </c>
      <c r="N21" s="98">
        <f t="shared" ref="N21:N23" si="10">F21*0.5+G21-F21</f>
        <v>-27.5</v>
      </c>
      <c r="O21" s="98"/>
      <c r="P21" s="97"/>
      <c r="Q21" s="98"/>
      <c r="R21" s="124"/>
      <c r="S21" s="22">
        <v>140</v>
      </c>
      <c r="T21" s="5">
        <v>141</v>
      </c>
      <c r="U21" s="126">
        <f t="shared" si="6"/>
        <v>1.0071428571428571</v>
      </c>
    </row>
    <row r="22" spans="1:21" ht="16.5" customHeight="1" x14ac:dyDescent="0.3">
      <c r="A22" s="21" t="s">
        <v>326</v>
      </c>
      <c r="B22" s="21" t="str">
        <f t="shared" si="9"/>
        <v>泰山区</v>
      </c>
      <c r="C22" s="21" t="s">
        <v>12</v>
      </c>
      <c r="D22" s="21">
        <v>323123</v>
      </c>
      <c r="E22" s="21" t="s">
        <v>105</v>
      </c>
      <c r="F22" s="22">
        <v>125</v>
      </c>
      <c r="G22" s="21">
        <f>IFERROR(VLOOKUP($D22,CRM!$B:$R,17,0),0)</f>
        <v>37</v>
      </c>
      <c r="H22" s="23">
        <f t="shared" si="3"/>
        <v>0.29599999999999999</v>
      </c>
      <c r="I22" s="22">
        <v>40</v>
      </c>
      <c r="J22" s="21">
        <f>IFERROR(VLOOKUP($D22,'CRM-米'!B:L,11,0),0)</f>
        <v>27</v>
      </c>
      <c r="K22" s="23">
        <f t="shared" si="4"/>
        <v>0.67500000000000004</v>
      </c>
      <c r="L22" s="21">
        <f>IFERROR(VLOOKUP($D22,CRM!$B:$R,8,0),0)</f>
        <v>0</v>
      </c>
      <c r="M22" s="21">
        <f>IFERROR(VLOOKUP($D22,CRM!$B:$R,16,0),0)</f>
        <v>4</v>
      </c>
      <c r="N22" s="98">
        <f t="shared" si="10"/>
        <v>-25.5</v>
      </c>
      <c r="O22" s="98"/>
      <c r="P22" s="97"/>
      <c r="Q22" s="98"/>
      <c r="R22" s="124"/>
      <c r="S22" s="22">
        <v>120</v>
      </c>
      <c r="T22" s="5">
        <v>120</v>
      </c>
      <c r="U22" s="126">
        <f t="shared" si="6"/>
        <v>1</v>
      </c>
    </row>
    <row r="23" spans="1:21" ht="16.5" customHeight="1" x14ac:dyDescent="0.3">
      <c r="A23" s="21" t="s">
        <v>325</v>
      </c>
      <c r="B23" s="21" t="str">
        <f t="shared" si="9"/>
        <v>泰山区</v>
      </c>
      <c r="C23" s="21" t="s">
        <v>12</v>
      </c>
      <c r="D23" s="21">
        <v>226769</v>
      </c>
      <c r="E23" s="21" t="s">
        <v>106</v>
      </c>
      <c r="F23" s="22">
        <v>105</v>
      </c>
      <c r="G23" s="21">
        <f>IFERROR(VLOOKUP($D23,CRM!$B:$R,17,0),0)</f>
        <v>53</v>
      </c>
      <c r="H23" s="23">
        <f t="shared" si="3"/>
        <v>0.50476190476190474</v>
      </c>
      <c r="I23" s="22">
        <v>35</v>
      </c>
      <c r="J23" s="21">
        <f>IFERROR(VLOOKUP($D23,'CRM-米'!B:L,11,0),0)</f>
        <v>18</v>
      </c>
      <c r="K23" s="23">
        <f t="shared" si="4"/>
        <v>0.51428571428571423</v>
      </c>
      <c r="L23" s="21">
        <f>IFERROR(VLOOKUP($D23,CRM!$B:$R,8,0),0)</f>
        <v>0</v>
      </c>
      <c r="M23" s="21">
        <f>IFERROR(VLOOKUP($D23,CRM!$B:$R,16,0),0)</f>
        <v>10</v>
      </c>
      <c r="N23" s="98">
        <f t="shared" si="10"/>
        <v>0.5</v>
      </c>
      <c r="O23" s="98"/>
      <c r="P23" s="97"/>
      <c r="Q23" s="98"/>
      <c r="R23" s="124"/>
      <c r="S23" s="22">
        <v>100</v>
      </c>
      <c r="T23" s="5">
        <v>110</v>
      </c>
      <c r="U23" s="126">
        <f t="shared" si="6"/>
        <v>1.1000000000000001</v>
      </c>
    </row>
    <row r="24" spans="1:21" ht="16.5" customHeight="1" x14ac:dyDescent="0.3">
      <c r="A24" s="21" t="s">
        <v>325</v>
      </c>
      <c r="B24" s="21" t="str">
        <f>MID(C24,24,3)</f>
        <v>泰山区</v>
      </c>
      <c r="C24" s="21" t="s">
        <v>12</v>
      </c>
      <c r="D24" s="21">
        <v>346892</v>
      </c>
      <c r="E24" s="21" t="s">
        <v>107</v>
      </c>
      <c r="F24" s="22">
        <v>95</v>
      </c>
      <c r="G24" s="21">
        <f>IFERROR(VLOOKUP($D24,CRM!$B:$R,17,0),0)</f>
        <v>33</v>
      </c>
      <c r="H24" s="23">
        <f t="shared" si="3"/>
        <v>0.3473684210526316</v>
      </c>
      <c r="I24" s="22">
        <v>10</v>
      </c>
      <c r="J24" s="21">
        <f>IFERROR(VLOOKUP($D24,'CRM-米'!B:L,11,0),0)</f>
        <v>9</v>
      </c>
      <c r="K24" s="23">
        <f t="shared" si="4"/>
        <v>0.9</v>
      </c>
      <c r="L24" s="21">
        <f>IFERROR(VLOOKUP($D24,CRM!$B:$R,8,0),0)</f>
        <v>1</v>
      </c>
      <c r="M24" s="21">
        <f>IFERROR(VLOOKUP($D24,CRM!$B:$R,16,0),0)</f>
        <v>6</v>
      </c>
      <c r="N24" s="98"/>
      <c r="O24" s="98">
        <f t="shared" ref="O24:O25" si="11">-F24*1*0.5</f>
        <v>-47.5</v>
      </c>
      <c r="P24" s="97"/>
      <c r="Q24" s="98"/>
      <c r="R24" s="124"/>
      <c r="S24" s="22">
        <v>95</v>
      </c>
      <c r="T24" s="5">
        <v>90</v>
      </c>
      <c r="U24" s="126">
        <f t="shared" si="6"/>
        <v>0.94736842105263153</v>
      </c>
    </row>
    <row r="25" spans="1:21" ht="16.5" customHeight="1" x14ac:dyDescent="0.3">
      <c r="A25" s="21" t="s">
        <v>325</v>
      </c>
      <c r="B25" s="21" t="str">
        <f>MID(C25,24,3)</f>
        <v>泰山区</v>
      </c>
      <c r="C25" s="21" t="s">
        <v>12</v>
      </c>
      <c r="D25" s="21">
        <v>313898</v>
      </c>
      <c r="E25" s="21" t="s">
        <v>108</v>
      </c>
      <c r="F25" s="22">
        <v>90</v>
      </c>
      <c r="G25" s="21">
        <f>IFERROR(VLOOKUP($D25,CRM!$B:$R,17,0),0)</f>
        <v>35</v>
      </c>
      <c r="H25" s="23">
        <f t="shared" si="3"/>
        <v>0.3888888888888889</v>
      </c>
      <c r="I25" s="22">
        <v>12</v>
      </c>
      <c r="J25" s="21">
        <f>IFERROR(VLOOKUP($D25,'CRM-米'!B:L,11,0),0)</f>
        <v>7</v>
      </c>
      <c r="K25" s="23">
        <f t="shared" si="4"/>
        <v>0.58333333333333337</v>
      </c>
      <c r="L25" s="21">
        <f>IFERROR(VLOOKUP($D25,CRM!$B:$R,8,0),0)</f>
        <v>0</v>
      </c>
      <c r="M25" s="21">
        <f>IFERROR(VLOOKUP($D25,CRM!$B:$R,16,0),0)</f>
        <v>5</v>
      </c>
      <c r="N25" s="98"/>
      <c r="O25" s="98">
        <f t="shared" si="11"/>
        <v>-45</v>
      </c>
      <c r="P25" s="97"/>
      <c r="Q25" s="98"/>
      <c r="R25" s="124"/>
      <c r="S25" s="22">
        <v>95</v>
      </c>
      <c r="T25" s="5">
        <v>90</v>
      </c>
      <c r="U25" s="126">
        <f t="shared" si="6"/>
        <v>0.94736842105263153</v>
      </c>
    </row>
    <row r="26" spans="1:21" ht="16.5" customHeight="1" x14ac:dyDescent="0.3">
      <c r="A26" s="21" t="s">
        <v>325</v>
      </c>
      <c r="B26" s="21" t="str">
        <f>MID(C26,24,3)</f>
        <v>泰山区</v>
      </c>
      <c r="C26" s="21" t="s">
        <v>12</v>
      </c>
      <c r="D26" s="21">
        <v>396185</v>
      </c>
      <c r="E26" s="21" t="s">
        <v>109</v>
      </c>
      <c r="F26" s="22">
        <v>75</v>
      </c>
      <c r="G26" s="21">
        <f>IFERROR(VLOOKUP($D26,CRM!$B:$R,17,0),0)</f>
        <v>33</v>
      </c>
      <c r="H26" s="23">
        <f t="shared" si="3"/>
        <v>0.44</v>
      </c>
      <c r="I26" s="22">
        <v>15</v>
      </c>
      <c r="J26" s="21">
        <f>IFERROR(VLOOKUP($D26,'CRM-米'!B:L,11,0),0)</f>
        <v>20</v>
      </c>
      <c r="K26" s="23">
        <f t="shared" si="4"/>
        <v>1.3333333333333333</v>
      </c>
      <c r="L26" s="21">
        <f>IFERROR(VLOOKUP($D26,CRM!$B:$R,8,0),0)</f>
        <v>1</v>
      </c>
      <c r="M26" s="21">
        <f>IFERROR(VLOOKUP($D26,CRM!$B:$R,16,0),0)</f>
        <v>9</v>
      </c>
      <c r="N26" s="98">
        <f>F26*0.5+G26-F26</f>
        <v>-4.5</v>
      </c>
      <c r="O26" s="98"/>
      <c r="P26" s="97"/>
      <c r="Q26" s="98"/>
      <c r="R26" s="124"/>
      <c r="S26" s="22">
        <v>70</v>
      </c>
      <c r="T26" s="5">
        <v>81</v>
      </c>
      <c r="U26" s="126">
        <f t="shared" si="6"/>
        <v>1.1571428571428573</v>
      </c>
    </row>
    <row r="27" spans="1:21" ht="16.5" customHeight="1" x14ac:dyDescent="0.3">
      <c r="A27" s="21" t="s">
        <v>325</v>
      </c>
      <c r="B27" s="21" t="str">
        <f>MID(C27,24,3)</f>
        <v>泰山区</v>
      </c>
      <c r="C27" s="21" t="s">
        <v>12</v>
      </c>
      <c r="D27" s="21">
        <v>269510</v>
      </c>
      <c r="E27" s="21" t="s">
        <v>110</v>
      </c>
      <c r="F27" s="22">
        <v>85</v>
      </c>
      <c r="G27" s="21">
        <f>IFERROR(VLOOKUP($D27,CRM!$B:$R,17,0),0)</f>
        <v>32</v>
      </c>
      <c r="H27" s="23">
        <f t="shared" si="3"/>
        <v>0.37647058823529411</v>
      </c>
      <c r="I27" s="22">
        <v>30</v>
      </c>
      <c r="J27" s="21">
        <f>IFERROR(VLOOKUP($D27,'CRM-米'!B:L,11,0),0)</f>
        <v>10</v>
      </c>
      <c r="K27" s="23">
        <f t="shared" si="4"/>
        <v>0.33333333333333331</v>
      </c>
      <c r="L27" s="21">
        <f>IFERROR(VLOOKUP($D27,CRM!$B:$R,8,0),0)</f>
        <v>0</v>
      </c>
      <c r="M27" s="21">
        <f>IFERROR(VLOOKUP($D27,CRM!$B:$R,16,0),0)</f>
        <v>9</v>
      </c>
      <c r="N27" s="98">
        <f>F27*0.5+G27-F27</f>
        <v>-10.5</v>
      </c>
      <c r="O27" s="98"/>
      <c r="P27" s="97"/>
      <c r="Q27" s="98"/>
      <c r="R27" s="124"/>
      <c r="S27" s="22">
        <v>80</v>
      </c>
      <c r="T27" s="5">
        <v>87</v>
      </c>
      <c r="U27" s="126">
        <f t="shared" si="6"/>
        <v>1.0874999999999999</v>
      </c>
    </row>
    <row r="28" spans="1:21" ht="16.5" customHeight="1" x14ac:dyDescent="0.3">
      <c r="A28" s="21" t="s">
        <v>325</v>
      </c>
      <c r="B28" s="21" t="str">
        <f t="shared" si="9"/>
        <v>泰山区</v>
      </c>
      <c r="C28" s="21" t="s">
        <v>12</v>
      </c>
      <c r="D28" s="21">
        <v>454388</v>
      </c>
      <c r="E28" s="21" t="s">
        <v>111</v>
      </c>
      <c r="F28" s="22">
        <v>50</v>
      </c>
      <c r="G28" s="21">
        <f>IFERROR(VLOOKUP($D28,CRM!$B:$R,17,0),0)</f>
        <v>19</v>
      </c>
      <c r="H28" s="23">
        <f t="shared" si="3"/>
        <v>0.38</v>
      </c>
      <c r="I28" s="22">
        <v>4</v>
      </c>
      <c r="J28" s="21">
        <f>IFERROR(VLOOKUP($D28,'CRM-米'!B:L,11,0),0)</f>
        <v>1</v>
      </c>
      <c r="K28" s="23">
        <f t="shared" si="4"/>
        <v>0.25</v>
      </c>
      <c r="L28" s="21">
        <f>IFERROR(VLOOKUP($D28,CRM!$B:$R,8,0),0)</f>
        <v>0</v>
      </c>
      <c r="M28" s="21">
        <f>IFERROR(VLOOKUP($D28,CRM!$B:$R,16,0),0)</f>
        <v>9</v>
      </c>
      <c r="N28" s="98">
        <f>F28*0.5+G28-F28</f>
        <v>-6</v>
      </c>
      <c r="O28" s="98"/>
      <c r="P28" s="97"/>
      <c r="Q28" s="98"/>
      <c r="R28" s="124"/>
      <c r="S28" s="22">
        <v>20</v>
      </c>
      <c r="T28" s="5">
        <v>24</v>
      </c>
      <c r="U28" s="126">
        <f t="shared" si="6"/>
        <v>1.2</v>
      </c>
    </row>
    <row r="29" spans="1:21" ht="16.5" customHeight="1" x14ac:dyDescent="0.3">
      <c r="A29" s="81" t="s">
        <v>325</v>
      </c>
      <c r="B29" s="81" t="s">
        <v>112</v>
      </c>
      <c r="C29" s="78"/>
      <c r="D29" s="78"/>
      <c r="E29" s="78"/>
      <c r="F29" s="111">
        <f>SUM(F21:F28)</f>
        <v>770</v>
      </c>
      <c r="G29" s="81">
        <f>SUM(G21:G28)</f>
        <v>287</v>
      </c>
      <c r="H29" s="90">
        <f t="shared" si="3"/>
        <v>0.37272727272727274</v>
      </c>
      <c r="I29" s="78">
        <f>SUM(I21:I28)</f>
        <v>191</v>
      </c>
      <c r="J29" s="78">
        <f>SUM(J21:J28)</f>
        <v>118</v>
      </c>
      <c r="K29" s="79">
        <f t="shared" si="4"/>
        <v>0.61780104712041883</v>
      </c>
      <c r="L29" s="81">
        <f>SUM(L21:L28)</f>
        <v>2</v>
      </c>
      <c r="M29" s="81">
        <f>SUM(M21:M28)</f>
        <v>60</v>
      </c>
      <c r="N29" s="102">
        <f>SUM(N21:N28)</f>
        <v>-73.5</v>
      </c>
      <c r="O29" s="102">
        <f>SUM(O21:O28)</f>
        <v>-92.5</v>
      </c>
      <c r="P29" s="101"/>
      <c r="Q29" s="102">
        <f>N29+O29</f>
        <v>-166</v>
      </c>
      <c r="R29" s="124"/>
      <c r="S29" s="111">
        <v>720</v>
      </c>
      <c r="T29" s="5">
        <v>743</v>
      </c>
      <c r="U29" s="126">
        <f t="shared" si="6"/>
        <v>1.0319444444444446</v>
      </c>
    </row>
    <row r="30" spans="1:21" ht="16.5" customHeight="1" x14ac:dyDescent="0.3">
      <c r="A30" s="21" t="s">
        <v>327</v>
      </c>
      <c r="B30" s="21" t="str">
        <f t="shared" ref="B30:B37" si="12">MID(C30,24,3)</f>
        <v>六合区</v>
      </c>
      <c r="C30" s="21" t="s">
        <v>18</v>
      </c>
      <c r="D30" s="21">
        <v>314921</v>
      </c>
      <c r="E30" s="21" t="s">
        <v>88</v>
      </c>
      <c r="F30" s="22">
        <v>125</v>
      </c>
      <c r="G30" s="21">
        <f>IFERROR(VLOOKUP($D30,CRM!$B:$R,17,0),0)</f>
        <v>66</v>
      </c>
      <c r="H30" s="23">
        <f t="shared" si="3"/>
        <v>0.52800000000000002</v>
      </c>
      <c r="I30" s="22">
        <v>30</v>
      </c>
      <c r="J30" s="21">
        <f>IFERROR(VLOOKUP($D30,'CRM-米'!B:L,11,0),0)</f>
        <v>18</v>
      </c>
      <c r="K30" s="23">
        <f t="shared" si="4"/>
        <v>0.6</v>
      </c>
      <c r="L30" s="21">
        <f>IFERROR(VLOOKUP($D30,CRM!$B:$R,8,0),0)</f>
        <v>0</v>
      </c>
      <c r="M30" s="21">
        <f>IFERROR(VLOOKUP($D30,CRM!$B:$R,16,0),0)</f>
        <v>16</v>
      </c>
      <c r="N30" s="98">
        <f t="shared" ref="N30:N36" si="13">F30*0.5+G30-F30</f>
        <v>3.5</v>
      </c>
      <c r="O30" s="98"/>
      <c r="P30" s="97"/>
      <c r="Q30" s="98"/>
      <c r="R30" s="124"/>
      <c r="S30" s="22">
        <v>105</v>
      </c>
      <c r="T30" s="5">
        <v>140</v>
      </c>
      <c r="U30" s="126">
        <f t="shared" si="6"/>
        <v>1.3333333333333333</v>
      </c>
    </row>
    <row r="31" spans="1:21" ht="16.5" customHeight="1" x14ac:dyDescent="0.3">
      <c r="A31" s="21" t="s">
        <v>327</v>
      </c>
      <c r="B31" s="21" t="str">
        <f t="shared" si="12"/>
        <v>六合区</v>
      </c>
      <c r="C31" s="21" t="s">
        <v>18</v>
      </c>
      <c r="D31" s="21">
        <v>362591</v>
      </c>
      <c r="E31" s="21" t="s">
        <v>89</v>
      </c>
      <c r="F31" s="22">
        <v>100</v>
      </c>
      <c r="G31" s="21">
        <f>IFERROR(VLOOKUP($D31,CRM!$B:$R,17,0),0)</f>
        <v>41</v>
      </c>
      <c r="H31" s="23">
        <f t="shared" si="3"/>
        <v>0.41</v>
      </c>
      <c r="I31" s="22">
        <v>25</v>
      </c>
      <c r="J31" s="21">
        <f>IFERROR(VLOOKUP($D31,'CRM-米'!B:L,11,0),0)</f>
        <v>14</v>
      </c>
      <c r="K31" s="23">
        <f t="shared" si="4"/>
        <v>0.56000000000000005</v>
      </c>
      <c r="L31" s="21">
        <f>IFERROR(VLOOKUP($D31,CRM!$B:$R,8,0),0)</f>
        <v>0</v>
      </c>
      <c r="M31" s="21">
        <f>IFERROR(VLOOKUP($D31,CRM!$B:$R,16,0),0)</f>
        <v>6</v>
      </c>
      <c r="N31" s="98">
        <f t="shared" si="13"/>
        <v>-9</v>
      </c>
      <c r="O31" s="98"/>
      <c r="P31" s="97"/>
      <c r="Q31" s="98"/>
      <c r="R31" s="124"/>
      <c r="S31" s="22">
        <v>85</v>
      </c>
      <c r="T31" s="5">
        <v>94</v>
      </c>
      <c r="U31" s="126">
        <f t="shared" si="6"/>
        <v>1.1058823529411765</v>
      </c>
    </row>
    <row r="32" spans="1:21" ht="16.5" customHeight="1" x14ac:dyDescent="0.3">
      <c r="A32" s="21" t="s">
        <v>327</v>
      </c>
      <c r="B32" s="21" t="str">
        <f t="shared" si="12"/>
        <v>六合区</v>
      </c>
      <c r="C32" s="21" t="s">
        <v>18</v>
      </c>
      <c r="D32" s="21">
        <v>206765</v>
      </c>
      <c r="E32" s="21" t="s">
        <v>90</v>
      </c>
      <c r="F32" s="22">
        <v>135</v>
      </c>
      <c r="G32" s="21">
        <f>IFERROR(VLOOKUP($D32,CRM!$B:$R,17,0),0)</f>
        <v>38</v>
      </c>
      <c r="H32" s="23">
        <f t="shared" si="3"/>
        <v>0.2814814814814815</v>
      </c>
      <c r="I32" s="22">
        <v>35</v>
      </c>
      <c r="J32" s="21">
        <f>IFERROR(VLOOKUP($D32,'CRM-米'!B:L,11,0),0)</f>
        <v>16</v>
      </c>
      <c r="K32" s="23">
        <f t="shared" si="4"/>
        <v>0.45714285714285713</v>
      </c>
      <c r="L32" s="21">
        <f>IFERROR(VLOOKUP($D32,CRM!$B:$R,8,0),0)</f>
        <v>0</v>
      </c>
      <c r="M32" s="21">
        <f>IFERROR(VLOOKUP($D32,CRM!$B:$R,16,0),0)</f>
        <v>3</v>
      </c>
      <c r="N32" s="98">
        <f t="shared" si="13"/>
        <v>-29.5</v>
      </c>
      <c r="O32" s="98"/>
      <c r="P32" s="97"/>
      <c r="Q32" s="98"/>
      <c r="R32" s="124"/>
      <c r="S32" s="22">
        <v>115</v>
      </c>
      <c r="T32" s="5">
        <v>128</v>
      </c>
      <c r="U32" s="126">
        <f t="shared" si="6"/>
        <v>1.1130434782608696</v>
      </c>
    </row>
    <row r="33" spans="1:21" ht="16.5" customHeight="1" x14ac:dyDescent="0.3">
      <c r="A33" s="21" t="s">
        <v>327</v>
      </c>
      <c r="B33" s="21" t="str">
        <f t="shared" si="12"/>
        <v>六合区</v>
      </c>
      <c r="C33" s="21" t="s">
        <v>18</v>
      </c>
      <c r="D33" s="21">
        <v>373334</v>
      </c>
      <c r="E33" s="21" t="s">
        <v>91</v>
      </c>
      <c r="F33" s="22">
        <v>50</v>
      </c>
      <c r="G33" s="21">
        <f>IFERROR(VLOOKUP($D33,CRM!$B:$R,17,0),0)</f>
        <v>17</v>
      </c>
      <c r="H33" s="23">
        <f t="shared" si="3"/>
        <v>0.34</v>
      </c>
      <c r="I33" s="22">
        <v>15</v>
      </c>
      <c r="J33" s="21">
        <f>IFERROR(VLOOKUP($D33,'CRM-米'!B:L,11,0),0)</f>
        <v>7</v>
      </c>
      <c r="K33" s="23">
        <f t="shared" si="4"/>
        <v>0.46666666666666667</v>
      </c>
      <c r="L33" s="21">
        <f>IFERROR(VLOOKUP($D33,CRM!$B:$R,8,0),0)</f>
        <v>0</v>
      </c>
      <c r="M33" s="21">
        <f>IFERROR(VLOOKUP($D33,CRM!$B:$R,16,0),0)</f>
        <v>4</v>
      </c>
      <c r="N33" s="98">
        <f t="shared" si="13"/>
        <v>-8</v>
      </c>
      <c r="O33" s="98"/>
      <c r="P33" s="97"/>
      <c r="Q33" s="98"/>
      <c r="R33" s="124"/>
      <c r="S33" s="22">
        <v>45</v>
      </c>
      <c r="T33" s="5">
        <v>47</v>
      </c>
      <c r="U33" s="126">
        <f t="shared" si="6"/>
        <v>1.0444444444444445</v>
      </c>
    </row>
    <row r="34" spans="1:21" ht="16.5" customHeight="1" x14ac:dyDescent="0.3">
      <c r="A34" s="21" t="s">
        <v>327</v>
      </c>
      <c r="B34" s="21" t="str">
        <f t="shared" si="12"/>
        <v>六合区</v>
      </c>
      <c r="C34" s="21" t="s">
        <v>18</v>
      </c>
      <c r="D34" s="21">
        <v>176522</v>
      </c>
      <c r="E34" s="21" t="s">
        <v>92</v>
      </c>
      <c r="F34" s="22">
        <v>105</v>
      </c>
      <c r="G34" s="21">
        <f>IFERROR(VLOOKUP($D34,CRM!$B:$R,17,0),0)</f>
        <v>30</v>
      </c>
      <c r="H34" s="23">
        <f t="shared" si="3"/>
        <v>0.2857142857142857</v>
      </c>
      <c r="I34" s="22">
        <v>30</v>
      </c>
      <c r="J34" s="21">
        <f>IFERROR(VLOOKUP($D34,'CRM-米'!B:L,11,0),0)</f>
        <v>8</v>
      </c>
      <c r="K34" s="23">
        <f t="shared" si="4"/>
        <v>0.26666666666666666</v>
      </c>
      <c r="L34" s="21">
        <f>IFERROR(VLOOKUP($D34,CRM!$B:$R,8,0),0)</f>
        <v>0</v>
      </c>
      <c r="M34" s="21">
        <f>IFERROR(VLOOKUP($D34,CRM!$B:$R,16,0),0)</f>
        <v>5</v>
      </c>
      <c r="N34" s="98">
        <f t="shared" si="13"/>
        <v>-22.5</v>
      </c>
      <c r="O34" s="98"/>
      <c r="P34" s="97"/>
      <c r="Q34" s="98"/>
      <c r="R34" s="124"/>
      <c r="S34" s="22">
        <v>95</v>
      </c>
      <c r="T34" s="5">
        <v>108</v>
      </c>
      <c r="U34" s="126">
        <f t="shared" si="6"/>
        <v>1.1368421052631579</v>
      </c>
    </row>
    <row r="35" spans="1:21" ht="16.5" customHeight="1" x14ac:dyDescent="0.3">
      <c r="A35" s="21" t="s">
        <v>327</v>
      </c>
      <c r="B35" s="21" t="str">
        <f>MID(C35,24,3)</f>
        <v>六合区</v>
      </c>
      <c r="C35" s="21" t="s">
        <v>18</v>
      </c>
      <c r="D35" s="21">
        <v>206855</v>
      </c>
      <c r="E35" s="21" t="s">
        <v>93</v>
      </c>
      <c r="F35" s="22"/>
      <c r="G35" s="21">
        <f>IFERROR(VLOOKUP($D35,CRM!$B:$R,17,0),0)</f>
        <v>0</v>
      </c>
      <c r="H35" s="23" t="e">
        <f t="shared" si="3"/>
        <v>#DIV/0!</v>
      </c>
      <c r="I35" s="22">
        <v>5</v>
      </c>
      <c r="J35" s="21">
        <f>IFERROR(VLOOKUP($D35,'CRM-米'!B:L,11,0),0)</f>
        <v>6</v>
      </c>
      <c r="K35" s="23">
        <f t="shared" si="4"/>
        <v>1.2</v>
      </c>
      <c r="L35" s="21">
        <f>IFERROR(VLOOKUP($D35,CRM!$B:$R,8,0),0)</f>
        <v>0</v>
      </c>
      <c r="M35" s="21">
        <f>IFERROR(VLOOKUP($D35,CRM!$B:$R,16,0),0)</f>
        <v>0</v>
      </c>
      <c r="N35" s="98">
        <f t="shared" si="13"/>
        <v>0</v>
      </c>
      <c r="O35" s="98"/>
      <c r="P35" s="97"/>
      <c r="Q35" s="98"/>
      <c r="R35" s="124"/>
      <c r="S35" s="22">
        <v>5</v>
      </c>
      <c r="T35" s="5">
        <v>8</v>
      </c>
      <c r="U35" s="126">
        <f t="shared" si="6"/>
        <v>1.6</v>
      </c>
    </row>
    <row r="36" spans="1:21" ht="16.5" customHeight="1" x14ac:dyDescent="0.3">
      <c r="A36" s="21" t="s">
        <v>327</v>
      </c>
      <c r="B36" s="21" t="str">
        <f>MID(C36,24,3)</f>
        <v>六合区</v>
      </c>
      <c r="C36" s="21" t="s">
        <v>18</v>
      </c>
      <c r="D36" s="21">
        <v>455039</v>
      </c>
      <c r="E36" s="21" t="s">
        <v>94</v>
      </c>
      <c r="F36" s="22">
        <v>50</v>
      </c>
      <c r="G36" s="21">
        <f>IFERROR(VLOOKUP($D36,CRM!$B:$R,17,0),0)</f>
        <v>21</v>
      </c>
      <c r="H36" s="23">
        <f t="shared" si="3"/>
        <v>0.42</v>
      </c>
      <c r="I36" s="22">
        <v>15</v>
      </c>
      <c r="J36" s="21">
        <f>IFERROR(VLOOKUP($D36,'CRM-米'!B:L,11,0),0)</f>
        <v>5</v>
      </c>
      <c r="K36" s="23">
        <f t="shared" si="4"/>
        <v>0.33333333333333331</v>
      </c>
      <c r="L36" s="21">
        <f>IFERROR(VLOOKUP($D36,CRM!$B:$R,8,0),0)</f>
        <v>0</v>
      </c>
      <c r="M36" s="21">
        <f>IFERROR(VLOOKUP($D36,CRM!$B:$R,16,0),0)</f>
        <v>11</v>
      </c>
      <c r="N36" s="98">
        <f t="shared" si="13"/>
        <v>-4</v>
      </c>
      <c r="O36" s="98"/>
      <c r="P36" s="97"/>
      <c r="Q36" s="98"/>
      <c r="R36" s="124"/>
      <c r="S36" s="22">
        <v>35</v>
      </c>
      <c r="T36" s="5">
        <v>35</v>
      </c>
      <c r="U36" s="126">
        <f t="shared" si="6"/>
        <v>1</v>
      </c>
    </row>
    <row r="37" spans="1:21" ht="16.5" customHeight="1" x14ac:dyDescent="0.3">
      <c r="A37" s="21" t="s">
        <v>327</v>
      </c>
      <c r="B37" s="21" t="str">
        <f t="shared" si="12"/>
        <v>六合区</v>
      </c>
      <c r="C37" s="21" t="s">
        <v>18</v>
      </c>
      <c r="D37" s="21">
        <v>407855</v>
      </c>
      <c r="E37" s="21" t="s">
        <v>95</v>
      </c>
      <c r="F37" s="22">
        <v>50</v>
      </c>
      <c r="G37" s="21">
        <f>IFERROR(VLOOKUP($D37,CRM!$B:$R,17,0),0)</f>
        <v>8</v>
      </c>
      <c r="H37" s="23">
        <f t="shared" si="3"/>
        <v>0.16</v>
      </c>
      <c r="I37" s="22">
        <v>5</v>
      </c>
      <c r="J37" s="21">
        <f>IFERROR(VLOOKUP($D37,'CRM-米'!B:L,11,0),0)</f>
        <v>6</v>
      </c>
      <c r="K37" s="23">
        <f t="shared" si="4"/>
        <v>1.2</v>
      </c>
      <c r="L37" s="21">
        <f>IFERROR(VLOOKUP($D37,CRM!$B:$R,8,0),0)</f>
        <v>0</v>
      </c>
      <c r="M37" s="21">
        <f>IFERROR(VLOOKUP($D37,CRM!$B:$R,16,0),0)</f>
        <v>4</v>
      </c>
      <c r="N37" s="98">
        <f t="shared" ref="N37" si="14">F37*0.5+G37-F37</f>
        <v>-17</v>
      </c>
      <c r="O37" s="98"/>
      <c r="P37" s="97"/>
      <c r="Q37" s="98"/>
      <c r="R37" s="124"/>
      <c r="S37" s="22">
        <v>15</v>
      </c>
      <c r="T37" s="5">
        <v>21</v>
      </c>
      <c r="U37" s="126">
        <f t="shared" si="6"/>
        <v>1.4</v>
      </c>
    </row>
    <row r="38" spans="1:21" ht="16.5" customHeight="1" x14ac:dyDescent="0.3">
      <c r="A38" s="81" t="s">
        <v>327</v>
      </c>
      <c r="B38" s="81" t="s">
        <v>328</v>
      </c>
      <c r="C38" s="78"/>
      <c r="D38" s="78"/>
      <c r="E38" s="78"/>
      <c r="F38" s="111">
        <f>SUM(F30:F37)</f>
        <v>615</v>
      </c>
      <c r="G38" s="81">
        <f>SUM(G30:G37)</f>
        <v>221</v>
      </c>
      <c r="H38" s="90">
        <f t="shared" si="3"/>
        <v>0.35934959349593498</v>
      </c>
      <c r="I38" s="78">
        <f>SUM(I30:I37)</f>
        <v>160</v>
      </c>
      <c r="J38" s="78">
        <f>SUM(J30:J37)</f>
        <v>80</v>
      </c>
      <c r="K38" s="79">
        <f t="shared" si="4"/>
        <v>0.5</v>
      </c>
      <c r="L38" s="81">
        <f>SUM(L30:L37)</f>
        <v>0</v>
      </c>
      <c r="M38" s="81">
        <f>SUM(M30:M37)</f>
        <v>49</v>
      </c>
      <c r="N38" s="102">
        <f>SUM(N30:N37)</f>
        <v>-86.5</v>
      </c>
      <c r="O38" s="102">
        <f>SUM(O30:O37)</f>
        <v>0</v>
      </c>
      <c r="P38" s="101"/>
      <c r="Q38" s="102">
        <f>N38+O38</f>
        <v>-86.5</v>
      </c>
      <c r="R38" s="124"/>
      <c r="S38" s="111">
        <v>500</v>
      </c>
      <c r="T38" s="5">
        <v>581</v>
      </c>
      <c r="U38" s="126">
        <f t="shared" si="6"/>
        <v>1.1619999999999999</v>
      </c>
    </row>
    <row r="39" spans="1:21" ht="16.5" customHeight="1" x14ac:dyDescent="0.3">
      <c r="A39" s="21" t="s">
        <v>329</v>
      </c>
      <c r="B39" s="21" t="str">
        <f>MID(C39,24,3)</f>
        <v>滁州区</v>
      </c>
      <c r="C39" s="21" t="s">
        <v>21</v>
      </c>
      <c r="D39" s="21">
        <v>194213</v>
      </c>
      <c r="E39" s="21" t="s">
        <v>69</v>
      </c>
      <c r="F39" s="89">
        <v>117</v>
      </c>
      <c r="G39" s="21">
        <f>IFERROR(VLOOKUP($D39,CRM!$B:$R,17,0),0)</f>
        <v>72</v>
      </c>
      <c r="H39" s="23">
        <f t="shared" si="3"/>
        <v>0.61538461538461542</v>
      </c>
      <c r="I39" s="22">
        <v>32</v>
      </c>
      <c r="J39" s="21">
        <f>IFERROR(VLOOKUP($D39,'CRM-米'!B:L,11,0),0)</f>
        <v>12</v>
      </c>
      <c r="K39" s="23">
        <f t="shared" si="4"/>
        <v>0.375</v>
      </c>
      <c r="L39" s="21">
        <f>IFERROR(VLOOKUP($D39,CRM!$B:$R,8,0),0)</f>
        <v>0</v>
      </c>
      <c r="M39" s="21">
        <f>IFERROR(VLOOKUP($D39,CRM!$B:$R,16,0),0)</f>
        <v>17</v>
      </c>
      <c r="N39" s="98">
        <f t="shared" si="5"/>
        <v>13.5</v>
      </c>
      <c r="O39" s="98"/>
      <c r="P39" s="97"/>
      <c r="Q39" s="98"/>
      <c r="R39" s="124"/>
      <c r="S39" s="89">
        <v>91.0625</v>
      </c>
      <c r="T39" s="5">
        <v>95</v>
      </c>
      <c r="U39" s="126">
        <f t="shared" si="6"/>
        <v>1.0432395332875772</v>
      </c>
    </row>
    <row r="40" spans="1:21" ht="16.5" customHeight="1" x14ac:dyDescent="0.3">
      <c r="A40" s="21" t="s">
        <v>329</v>
      </c>
      <c r="B40" s="21" t="str">
        <f>MID(C40,24,3)</f>
        <v>滁州区</v>
      </c>
      <c r="C40" s="21" t="s">
        <v>21</v>
      </c>
      <c r="D40" s="21">
        <v>377138</v>
      </c>
      <c r="E40" s="21" t="s">
        <v>70</v>
      </c>
      <c r="F40" s="89">
        <v>98</v>
      </c>
      <c r="G40" s="21">
        <f>IFERROR(VLOOKUP($D40,CRM!$B:$R,17,0),0)</f>
        <v>52</v>
      </c>
      <c r="H40" s="23">
        <f t="shared" si="3"/>
        <v>0.53061224489795922</v>
      </c>
      <c r="I40" s="22">
        <v>26</v>
      </c>
      <c r="J40" s="21">
        <f>IFERROR(VLOOKUP($D40,'CRM-米'!B:L,11,0),0)</f>
        <v>16</v>
      </c>
      <c r="K40" s="23">
        <f t="shared" si="4"/>
        <v>0.61538461538461542</v>
      </c>
      <c r="L40" s="21">
        <f>IFERROR(VLOOKUP($D40,CRM!$B:$R,8,0),0)</f>
        <v>0</v>
      </c>
      <c r="M40" s="21">
        <f>IFERROR(VLOOKUP($D40,CRM!$B:$R,16,0),0)</f>
        <v>11</v>
      </c>
      <c r="N40" s="98">
        <f t="shared" si="5"/>
        <v>3</v>
      </c>
      <c r="O40" s="98"/>
      <c r="P40" s="97"/>
      <c r="Q40" s="98"/>
      <c r="R40" s="124"/>
      <c r="S40" s="89">
        <v>79.4375</v>
      </c>
      <c r="T40" s="5">
        <v>82</v>
      </c>
      <c r="U40" s="126">
        <f t="shared" si="6"/>
        <v>1.032258064516129</v>
      </c>
    </row>
    <row r="41" spans="1:21" ht="16.5" customHeight="1" x14ac:dyDescent="0.3">
      <c r="A41" s="21" t="s">
        <v>329</v>
      </c>
      <c r="B41" s="21" t="str">
        <f t="shared" ref="B41:B48" si="15">MID(C41,24,3)</f>
        <v>滁州区</v>
      </c>
      <c r="C41" s="21" t="s">
        <v>21</v>
      </c>
      <c r="D41" s="21">
        <v>393299</v>
      </c>
      <c r="E41" s="21" t="s">
        <v>71</v>
      </c>
      <c r="F41" s="89">
        <v>72</v>
      </c>
      <c r="G41" s="21">
        <f>IFERROR(VLOOKUP($D41,CRM!$B:$R,17,0),0)</f>
        <v>29</v>
      </c>
      <c r="H41" s="23">
        <f t="shared" si="0"/>
        <v>0.40277777777777779</v>
      </c>
      <c r="I41" s="22">
        <v>17</v>
      </c>
      <c r="J41" s="21">
        <f>IFERROR(VLOOKUP($D41,'CRM-米'!B:L,11,0),0)</f>
        <v>11</v>
      </c>
      <c r="K41" s="23">
        <f t="shared" si="1"/>
        <v>0.6470588235294118</v>
      </c>
      <c r="L41" s="21">
        <f>IFERROR(VLOOKUP($D41,CRM!$B:$R,8,0),0)</f>
        <v>0</v>
      </c>
      <c r="M41" s="21">
        <f>IFERROR(VLOOKUP($D41,CRM!$B:$R,16,0),0)</f>
        <v>3</v>
      </c>
      <c r="N41" s="98">
        <f t="shared" si="5"/>
        <v>-7</v>
      </c>
      <c r="O41" s="98"/>
      <c r="P41" s="97"/>
      <c r="Q41" s="98"/>
      <c r="R41" s="124"/>
      <c r="S41" s="89">
        <v>58.125</v>
      </c>
      <c r="T41" s="5">
        <v>61</v>
      </c>
      <c r="U41" s="126">
        <f t="shared" si="6"/>
        <v>1.0494623655913979</v>
      </c>
    </row>
    <row r="42" spans="1:21" ht="16.5" customHeight="1" x14ac:dyDescent="0.3">
      <c r="A42" s="21" t="s">
        <v>329</v>
      </c>
      <c r="B42" s="21" t="str">
        <f>MID(C42,24,3)</f>
        <v>滁州区</v>
      </c>
      <c r="C42" s="21" t="s">
        <v>21</v>
      </c>
      <c r="D42" s="21">
        <v>366164</v>
      </c>
      <c r="E42" s="21" t="s">
        <v>72</v>
      </c>
      <c r="F42" s="89">
        <v>77</v>
      </c>
      <c r="G42" s="21">
        <f>IFERROR(VLOOKUP($D42,CRM!$B:$R,17,0),0)</f>
        <v>47</v>
      </c>
      <c r="H42" s="23">
        <f>G42/F42</f>
        <v>0.61038961038961037</v>
      </c>
      <c r="I42" s="22">
        <v>17</v>
      </c>
      <c r="J42" s="21">
        <f>IFERROR(VLOOKUP($D42,'CRM-米'!B:L,11,0),0)</f>
        <v>8</v>
      </c>
      <c r="K42" s="23">
        <f>J42/I42</f>
        <v>0.47058823529411764</v>
      </c>
      <c r="L42" s="21">
        <f>IFERROR(VLOOKUP($D42,CRM!$B:$R,8,0),0)</f>
        <v>0</v>
      </c>
      <c r="M42" s="21">
        <f>IFERROR(VLOOKUP($D42,CRM!$B:$R,16,0),0)</f>
        <v>7</v>
      </c>
      <c r="N42" s="98">
        <f t="shared" si="5"/>
        <v>8.5</v>
      </c>
      <c r="O42" s="98"/>
      <c r="P42" s="97"/>
      <c r="Q42" s="98"/>
      <c r="R42" s="124"/>
      <c r="S42" s="89">
        <v>62.96875</v>
      </c>
      <c r="T42" s="5">
        <v>82</v>
      </c>
      <c r="U42" s="126">
        <f t="shared" si="6"/>
        <v>1.3022332506203473</v>
      </c>
    </row>
    <row r="43" spans="1:21" ht="16.5" customHeight="1" x14ac:dyDescent="0.3">
      <c r="A43" s="21" t="s">
        <v>329</v>
      </c>
      <c r="B43" s="21" t="str">
        <f>MID(C43,24,3)</f>
        <v>滁州区</v>
      </c>
      <c r="C43" s="21" t="s">
        <v>21</v>
      </c>
      <c r="D43" s="21">
        <v>393302</v>
      </c>
      <c r="E43" s="21" t="s">
        <v>73</v>
      </c>
      <c r="F43" s="89">
        <v>40</v>
      </c>
      <c r="G43" s="21">
        <f>IFERROR(VLOOKUP($D43,CRM!$B:$R,17,0),0)</f>
        <v>3</v>
      </c>
      <c r="H43" s="23">
        <f>G43/F43</f>
        <v>7.4999999999999997E-2</v>
      </c>
      <c r="I43" s="22">
        <v>37</v>
      </c>
      <c r="J43" s="21">
        <f>IFERROR(VLOOKUP($D43,'CRM-米'!B:L,11,0),0)</f>
        <v>9</v>
      </c>
      <c r="K43" s="23">
        <f>J43/I43</f>
        <v>0.24324324324324326</v>
      </c>
      <c r="L43" s="21">
        <f>IFERROR(VLOOKUP($D43,CRM!$B:$R,8,0),0)</f>
        <v>0</v>
      </c>
      <c r="M43" s="21">
        <f>IFERROR(VLOOKUP($D43,CRM!$B:$R,16,0),0)</f>
        <v>0</v>
      </c>
      <c r="N43" s="98">
        <f t="shared" si="5"/>
        <v>-17</v>
      </c>
      <c r="O43" s="98"/>
      <c r="P43" s="97"/>
      <c r="Q43" s="98"/>
      <c r="R43" s="124"/>
      <c r="S43" s="89">
        <v>62.96875</v>
      </c>
      <c r="T43" s="5">
        <v>69</v>
      </c>
      <c r="U43" s="126">
        <f t="shared" si="6"/>
        <v>1.0957816377171217</v>
      </c>
    </row>
    <row r="44" spans="1:21" ht="16.5" customHeight="1" x14ac:dyDescent="0.3">
      <c r="A44" s="21" t="s">
        <v>329</v>
      </c>
      <c r="B44" s="21" t="str">
        <f t="shared" si="15"/>
        <v>滁州区</v>
      </c>
      <c r="C44" s="21" t="s">
        <v>21</v>
      </c>
      <c r="D44" s="21">
        <v>408140</v>
      </c>
      <c r="E44" s="21" t="s">
        <v>74</v>
      </c>
      <c r="F44" s="89">
        <v>57</v>
      </c>
      <c r="G44" s="21">
        <f>IFERROR(VLOOKUP($D44,CRM!$B:$R,17,0),0)</f>
        <v>24</v>
      </c>
      <c r="H44" s="23">
        <f t="shared" si="0"/>
        <v>0.42105263157894735</v>
      </c>
      <c r="I44" s="22">
        <v>11</v>
      </c>
      <c r="J44" s="21">
        <f>IFERROR(VLOOKUP($D44,'CRM-米'!B:L,11,0),0)</f>
        <v>8</v>
      </c>
      <c r="K44" s="23">
        <f t="shared" si="1"/>
        <v>0.72727272727272729</v>
      </c>
      <c r="L44" s="21">
        <f>IFERROR(VLOOKUP($D44,CRM!$B:$R,8,0),0)</f>
        <v>0</v>
      </c>
      <c r="M44" s="21">
        <f>IFERROR(VLOOKUP($D44,CRM!$B:$R,16,0),0)</f>
        <v>6</v>
      </c>
      <c r="N44" s="98">
        <f t="shared" si="5"/>
        <v>-4.5</v>
      </c>
      <c r="O44" s="98"/>
      <c r="P44" s="97"/>
      <c r="Q44" s="98"/>
      <c r="R44" s="124"/>
      <c r="S44" s="89">
        <v>53</v>
      </c>
      <c r="T44" s="5">
        <v>53</v>
      </c>
      <c r="U44" s="126">
        <f t="shared" si="6"/>
        <v>1</v>
      </c>
    </row>
    <row r="45" spans="1:21" ht="16.5" customHeight="1" x14ac:dyDescent="0.3">
      <c r="A45" s="21" t="s">
        <v>329</v>
      </c>
      <c r="B45" s="21" t="str">
        <f t="shared" si="15"/>
        <v>滁州区</v>
      </c>
      <c r="C45" s="21" t="s">
        <v>21</v>
      </c>
      <c r="D45" s="21">
        <v>148067</v>
      </c>
      <c r="E45" s="21" t="s">
        <v>75</v>
      </c>
      <c r="F45" s="89">
        <v>72</v>
      </c>
      <c r="G45" s="21">
        <f>IFERROR(VLOOKUP($D45,CRM!$B:$R,17,0),0)</f>
        <v>47</v>
      </c>
      <c r="H45" s="23">
        <f t="shared" si="0"/>
        <v>0.65277777777777779</v>
      </c>
      <c r="I45" s="22">
        <v>11</v>
      </c>
      <c r="J45" s="21">
        <f>IFERROR(VLOOKUP($D45,'CRM-米'!B:L,11,0),0)</f>
        <v>5</v>
      </c>
      <c r="K45" s="23">
        <f t="shared" si="1"/>
        <v>0.45454545454545453</v>
      </c>
      <c r="L45" s="21">
        <f>IFERROR(VLOOKUP($D45,CRM!$B:$R,8,0),0)</f>
        <v>0</v>
      </c>
      <c r="M45" s="21">
        <f>IFERROR(VLOOKUP($D45,CRM!$B:$R,16,0),0)</f>
        <v>4</v>
      </c>
      <c r="N45" s="98">
        <f t="shared" si="5"/>
        <v>11</v>
      </c>
      <c r="O45" s="98"/>
      <c r="P45" s="97"/>
      <c r="Q45" s="98"/>
      <c r="R45" s="124"/>
      <c r="S45" s="89">
        <v>48.4375</v>
      </c>
      <c r="T45" s="5">
        <v>53</v>
      </c>
      <c r="U45" s="126">
        <f t="shared" si="6"/>
        <v>1.0941935483870968</v>
      </c>
    </row>
    <row r="46" spans="1:21" ht="16.5" customHeight="1" x14ac:dyDescent="0.3">
      <c r="A46" s="21" t="s">
        <v>329</v>
      </c>
      <c r="B46" s="21" t="str">
        <f t="shared" si="15"/>
        <v>滁州区</v>
      </c>
      <c r="C46" s="21" t="s">
        <v>21</v>
      </c>
      <c r="D46" s="21">
        <v>395438</v>
      </c>
      <c r="E46" s="21" t="s">
        <v>76</v>
      </c>
      <c r="F46" s="89">
        <v>60</v>
      </c>
      <c r="G46" s="21">
        <f>IFERROR(VLOOKUP($D46,CRM!$B:$R,17,0),0)</f>
        <v>29</v>
      </c>
      <c r="H46" s="23">
        <f t="shared" si="0"/>
        <v>0.48333333333333334</v>
      </c>
      <c r="I46" s="22">
        <v>26</v>
      </c>
      <c r="J46" s="21">
        <f>IFERROR(VLOOKUP($D46,'CRM-米'!B:L,11,0),0)</f>
        <v>11</v>
      </c>
      <c r="K46" s="23">
        <f t="shared" si="1"/>
        <v>0.42307692307692307</v>
      </c>
      <c r="L46" s="21">
        <f>IFERROR(VLOOKUP($D46,CRM!$B:$R,8,0),0)</f>
        <v>0</v>
      </c>
      <c r="M46" s="21">
        <f>IFERROR(VLOOKUP($D46,CRM!$B:$R,16,0),0)</f>
        <v>10</v>
      </c>
      <c r="N46" s="98">
        <f t="shared" si="5"/>
        <v>-1</v>
      </c>
      <c r="O46" s="98">
        <f>-F46*1</f>
        <v>-60</v>
      </c>
      <c r="P46" s="97"/>
      <c r="Q46" s="98"/>
      <c r="R46" s="124"/>
      <c r="S46" s="89">
        <v>62.96875</v>
      </c>
      <c r="T46" s="5">
        <v>44</v>
      </c>
      <c r="U46" s="126">
        <f t="shared" si="6"/>
        <v>0.69875930521091811</v>
      </c>
    </row>
    <row r="47" spans="1:21" ht="16.5" customHeight="1" x14ac:dyDescent="0.3">
      <c r="A47" s="21" t="s">
        <v>329</v>
      </c>
      <c r="B47" s="21" t="str">
        <f t="shared" si="15"/>
        <v>滁州区</v>
      </c>
      <c r="C47" s="21" t="s">
        <v>21</v>
      </c>
      <c r="D47" s="21">
        <v>402602</v>
      </c>
      <c r="E47" s="21" t="s">
        <v>77</v>
      </c>
      <c r="F47" s="89">
        <v>63</v>
      </c>
      <c r="G47" s="21">
        <f>IFERROR(VLOOKUP($D47,CRM!$B:$R,17,0),0)</f>
        <v>39</v>
      </c>
      <c r="H47" s="23">
        <f t="shared" si="0"/>
        <v>0.61904761904761907</v>
      </c>
      <c r="I47" s="22">
        <v>7</v>
      </c>
      <c r="J47" s="21">
        <f>IFERROR(VLOOKUP($D47,'CRM-米'!B:L,11,0),0)</f>
        <v>6</v>
      </c>
      <c r="K47" s="23">
        <f t="shared" si="1"/>
        <v>0.8571428571428571</v>
      </c>
      <c r="L47" s="21">
        <f>IFERROR(VLOOKUP($D47,CRM!$B:$R,8,0),0)</f>
        <v>0</v>
      </c>
      <c r="M47" s="21">
        <f>IFERROR(VLOOKUP($D47,CRM!$B:$R,16,0),0)</f>
        <v>12</v>
      </c>
      <c r="N47" s="98">
        <f t="shared" si="5"/>
        <v>7.5</v>
      </c>
      <c r="O47" s="98"/>
      <c r="P47" s="97"/>
      <c r="Q47" s="98"/>
      <c r="R47" s="124"/>
      <c r="S47" s="89">
        <v>48.4375</v>
      </c>
      <c r="T47" s="5">
        <v>53</v>
      </c>
      <c r="U47" s="126">
        <f t="shared" si="6"/>
        <v>1.0941935483870968</v>
      </c>
    </row>
    <row r="48" spans="1:21" ht="16.5" customHeight="1" x14ac:dyDescent="0.3">
      <c r="A48" s="21" t="s">
        <v>329</v>
      </c>
      <c r="B48" s="21" t="str">
        <f t="shared" si="15"/>
        <v>滁州区</v>
      </c>
      <c r="C48" s="21" t="s">
        <v>21</v>
      </c>
      <c r="D48" s="21">
        <v>251408</v>
      </c>
      <c r="E48" s="21" t="s">
        <v>78</v>
      </c>
      <c r="F48" s="89">
        <v>70</v>
      </c>
      <c r="G48" s="21">
        <f>IFERROR(VLOOKUP($D48,CRM!$B:$R,17,0),0)</f>
        <v>22</v>
      </c>
      <c r="H48" s="23">
        <f t="shared" si="0"/>
        <v>0.31428571428571428</v>
      </c>
      <c r="I48" s="22">
        <v>17</v>
      </c>
      <c r="J48" s="21">
        <f>IFERROR(VLOOKUP($D48,'CRM-米'!B:L,11,0),0)</f>
        <v>1</v>
      </c>
      <c r="K48" s="23">
        <f t="shared" si="1"/>
        <v>5.8823529411764705E-2</v>
      </c>
      <c r="L48" s="21">
        <f>IFERROR(VLOOKUP($D48,CRM!$B:$R,8,0),0)</f>
        <v>0</v>
      </c>
      <c r="M48" s="21">
        <f>IFERROR(VLOOKUP($D48,CRM!$B:$R,16,0),0)</f>
        <v>9</v>
      </c>
      <c r="N48" s="98">
        <f t="shared" si="5"/>
        <v>-13</v>
      </c>
      <c r="O48" s="98">
        <f>-F48*1*0.5</f>
        <v>-35</v>
      </c>
      <c r="P48" s="97"/>
      <c r="Q48" s="98"/>
      <c r="R48" s="124"/>
      <c r="S48" s="89">
        <v>54.25</v>
      </c>
      <c r="T48" s="5">
        <v>52</v>
      </c>
      <c r="U48" s="126">
        <f t="shared" si="6"/>
        <v>0.95852534562211977</v>
      </c>
    </row>
    <row r="49" spans="1:21" ht="16.5" customHeight="1" x14ac:dyDescent="0.3">
      <c r="A49" s="81" t="s">
        <v>329</v>
      </c>
      <c r="B49" s="81" t="s">
        <v>79</v>
      </c>
      <c r="C49" s="78"/>
      <c r="D49" s="78"/>
      <c r="E49" s="78"/>
      <c r="F49" s="111">
        <f>SUM(F39:F48)</f>
        <v>726</v>
      </c>
      <c r="G49" s="81">
        <f>SUM(G39:G48)</f>
        <v>364</v>
      </c>
      <c r="H49" s="90">
        <f t="shared" si="0"/>
        <v>0.50137741046831952</v>
      </c>
      <c r="I49" s="78">
        <f>SUM(I39:I48)</f>
        <v>201</v>
      </c>
      <c r="J49" s="78">
        <f>SUM(J39:J48)</f>
        <v>87</v>
      </c>
      <c r="K49" s="79">
        <f t="shared" si="1"/>
        <v>0.43283582089552236</v>
      </c>
      <c r="L49" s="81">
        <f>SUM(L39:L48)</f>
        <v>0</v>
      </c>
      <c r="M49" s="81">
        <f>SUM(M39:M48)</f>
        <v>79</v>
      </c>
      <c r="N49" s="102">
        <f>SUM(N39:N48)</f>
        <v>1</v>
      </c>
      <c r="O49" s="102">
        <f>SUM(O39:O48)</f>
        <v>-95</v>
      </c>
      <c r="P49" s="101"/>
      <c r="Q49" s="102">
        <f>N49+O49</f>
        <v>-94</v>
      </c>
      <c r="R49" s="124"/>
      <c r="S49" s="111">
        <v>620</v>
      </c>
      <c r="T49" s="5">
        <v>644</v>
      </c>
      <c r="U49" s="126">
        <f t="shared" si="6"/>
        <v>1.0387096774193549</v>
      </c>
    </row>
    <row r="50" spans="1:21" ht="16.5" customHeight="1" x14ac:dyDescent="0.3">
      <c r="A50" s="21" t="s">
        <v>330</v>
      </c>
      <c r="B50" s="21" t="str">
        <f t="shared" ref="B50:B56" si="16">MID(C50,24,3)</f>
        <v>盱眙区</v>
      </c>
      <c r="C50" s="21" t="s">
        <v>24</v>
      </c>
      <c r="D50" s="21">
        <v>436394</v>
      </c>
      <c r="E50" s="21" t="s">
        <v>116</v>
      </c>
      <c r="F50" s="89">
        <v>35</v>
      </c>
      <c r="G50" s="21">
        <f>IFERROR(VLOOKUP($D50,CRM!$B:$R,17,0),0)</f>
        <v>8</v>
      </c>
      <c r="H50" s="23">
        <f>G50/F50</f>
        <v>0.22857142857142856</v>
      </c>
      <c r="I50" s="22">
        <v>8</v>
      </c>
      <c r="J50" s="21">
        <f>IFERROR(VLOOKUP($D50,'CRM-米'!B:L,11,0),0)</f>
        <v>9</v>
      </c>
      <c r="K50" s="23">
        <f>J50/I50</f>
        <v>1.125</v>
      </c>
      <c r="L50" s="21">
        <f>IFERROR(VLOOKUP($D50,CRM!$B:$R,8,0),0)</f>
        <v>0</v>
      </c>
      <c r="M50" s="21">
        <f>IFERROR(VLOOKUP($D50,CRM!$B:$R,16,0),0)</f>
        <v>0</v>
      </c>
      <c r="N50" s="98">
        <f t="shared" ref="N50:N54" si="17">F50*0.5+G50-F50</f>
        <v>-9.5</v>
      </c>
      <c r="O50" s="98"/>
      <c r="P50" s="97"/>
      <c r="Q50" s="98"/>
      <c r="R50" s="124"/>
      <c r="S50" s="89">
        <v>30.483870967741936</v>
      </c>
      <c r="T50" s="88">
        <v>46</v>
      </c>
      <c r="U50" s="126">
        <f t="shared" si="6"/>
        <v>1.5089947089947089</v>
      </c>
    </row>
    <row r="51" spans="1:21" ht="16.5" customHeight="1" x14ac:dyDescent="0.3">
      <c r="A51" s="21" t="s">
        <v>330</v>
      </c>
      <c r="B51" s="21" t="str">
        <f t="shared" si="16"/>
        <v>盱眙区</v>
      </c>
      <c r="C51" s="21" t="s">
        <v>24</v>
      </c>
      <c r="D51" s="21">
        <v>442556</v>
      </c>
      <c r="E51" s="21" t="s">
        <v>118</v>
      </c>
      <c r="F51" s="89">
        <v>25</v>
      </c>
      <c r="G51" s="21">
        <f>IFERROR(VLOOKUP($D51,CRM!$B:$R,17,0),0)</f>
        <v>12</v>
      </c>
      <c r="H51" s="23">
        <f>G51/F51</f>
        <v>0.48</v>
      </c>
      <c r="I51" s="22">
        <v>8</v>
      </c>
      <c r="J51" s="21">
        <f>IFERROR(VLOOKUP($D51,'CRM-米'!B:L,11,0),0)</f>
        <v>9</v>
      </c>
      <c r="K51" s="23">
        <f>J51/I51</f>
        <v>1.125</v>
      </c>
      <c r="L51" s="21">
        <f>IFERROR(VLOOKUP($D51,CRM!$B:$R,8,0),0)</f>
        <v>0</v>
      </c>
      <c r="M51" s="21">
        <f>IFERROR(VLOOKUP($D51,CRM!$B:$R,16,0),0)</f>
        <v>2</v>
      </c>
      <c r="N51" s="98">
        <f t="shared" si="17"/>
        <v>-0.5</v>
      </c>
      <c r="O51" s="98"/>
      <c r="P51" s="97"/>
      <c r="Q51" s="98"/>
      <c r="R51" s="124"/>
      <c r="S51" s="89">
        <v>21.774193548387096</v>
      </c>
      <c r="T51" s="88">
        <v>32</v>
      </c>
      <c r="U51" s="126">
        <f t="shared" si="6"/>
        <v>1.4696296296296296</v>
      </c>
    </row>
    <row r="52" spans="1:21" ht="16.5" customHeight="1" x14ac:dyDescent="0.3">
      <c r="A52" s="21" t="s">
        <v>330</v>
      </c>
      <c r="B52" s="21" t="str">
        <f t="shared" si="16"/>
        <v>盱眙区</v>
      </c>
      <c r="C52" s="21" t="s">
        <v>24</v>
      </c>
      <c r="D52" s="21">
        <v>456062</v>
      </c>
      <c r="E52" s="21" t="s">
        <v>119</v>
      </c>
      <c r="F52" s="89">
        <v>25</v>
      </c>
      <c r="G52" s="21">
        <f>IFERROR(VLOOKUP($D52,CRM!$B:$R,17,0),0)</f>
        <v>11</v>
      </c>
      <c r="H52" s="23">
        <f>G52/F52</f>
        <v>0.44</v>
      </c>
      <c r="I52" s="22">
        <v>8</v>
      </c>
      <c r="J52" s="21">
        <f>IFERROR(VLOOKUP($D52,'CRM-米'!B:L,11,0),0)</f>
        <v>8</v>
      </c>
      <c r="K52" s="23">
        <f>J52/I52</f>
        <v>1</v>
      </c>
      <c r="L52" s="21">
        <f>IFERROR(VLOOKUP($D52,CRM!$B:$R,8,0),0)</f>
        <v>0</v>
      </c>
      <c r="M52" s="21">
        <f>IFERROR(VLOOKUP($D52,CRM!$B:$R,16,0),0)</f>
        <v>3</v>
      </c>
      <c r="N52" s="98">
        <f t="shared" si="17"/>
        <v>-1.5</v>
      </c>
      <c r="O52" s="98"/>
      <c r="P52" s="97"/>
      <c r="Q52" s="98"/>
      <c r="R52" s="124"/>
      <c r="S52" s="89">
        <v>21.774193548387096</v>
      </c>
      <c r="T52" s="88">
        <v>34</v>
      </c>
      <c r="U52" s="126">
        <f t="shared" si="6"/>
        <v>1.5614814814814815</v>
      </c>
    </row>
    <row r="53" spans="1:21" ht="16.5" customHeight="1" x14ac:dyDescent="0.3">
      <c r="A53" s="21" t="s">
        <v>330</v>
      </c>
      <c r="B53" s="21" t="str">
        <f t="shared" si="16"/>
        <v>盱眙区</v>
      </c>
      <c r="C53" s="21" t="s">
        <v>24</v>
      </c>
      <c r="D53" s="21">
        <v>452561</v>
      </c>
      <c r="E53" s="21" t="s">
        <v>121</v>
      </c>
      <c r="F53" s="89">
        <v>15</v>
      </c>
      <c r="G53" s="21">
        <f>IFERROR(VLOOKUP($D53,CRM!$B:$R,17,0),0)</f>
        <v>7</v>
      </c>
      <c r="H53" s="23">
        <f>G53/F53</f>
        <v>0.46666666666666667</v>
      </c>
      <c r="I53" s="22">
        <v>5</v>
      </c>
      <c r="J53" s="21">
        <f>IFERROR(VLOOKUP($D53,'CRM-米'!B:L,11,0),0)</f>
        <v>4</v>
      </c>
      <c r="K53" s="23">
        <f>J53/I53</f>
        <v>0.8</v>
      </c>
      <c r="L53" s="21">
        <f>IFERROR(VLOOKUP($D53,CRM!$B:$R,8,0),0)</f>
        <v>0</v>
      </c>
      <c r="M53" s="21">
        <f>IFERROR(VLOOKUP($D53,CRM!$B:$R,16,0),0)</f>
        <v>3</v>
      </c>
      <c r="N53" s="98"/>
      <c r="O53" s="98">
        <f>-F53*0.5</f>
        <v>-7.5</v>
      </c>
      <c r="P53" s="97"/>
      <c r="Q53" s="98"/>
      <c r="R53" s="124"/>
      <c r="S53" s="89">
        <v>13.064516129032258</v>
      </c>
      <c r="T53" s="88">
        <v>12</v>
      </c>
      <c r="U53" s="126">
        <f t="shared" si="6"/>
        <v>0.91851851851851851</v>
      </c>
    </row>
    <row r="54" spans="1:21" ht="16.5" customHeight="1" x14ac:dyDescent="0.3">
      <c r="A54" s="21" t="s">
        <v>330</v>
      </c>
      <c r="B54" s="21" t="str">
        <f t="shared" si="16"/>
        <v>盱眙区</v>
      </c>
      <c r="C54" s="21" t="s">
        <v>24</v>
      </c>
      <c r="D54" s="21">
        <v>459749</v>
      </c>
      <c r="E54" s="21" t="s">
        <v>123</v>
      </c>
      <c r="F54" s="89">
        <v>15</v>
      </c>
      <c r="G54" s="21">
        <f>IFERROR(VLOOKUP($D54,CRM!$B:$R,17,0),0)</f>
        <v>8</v>
      </c>
      <c r="H54" s="23">
        <f>G54/F54</f>
        <v>0.53333333333333333</v>
      </c>
      <c r="I54" s="22">
        <v>5</v>
      </c>
      <c r="J54" s="21">
        <f>IFERROR(VLOOKUP($D54,'CRM-米'!B:L,11,0),0)</f>
        <v>2</v>
      </c>
      <c r="K54" s="23">
        <f>J54/I54</f>
        <v>0.4</v>
      </c>
      <c r="L54" s="21">
        <f>IFERROR(VLOOKUP($D54,CRM!$B:$R,8,0),0)</f>
        <v>0</v>
      </c>
      <c r="M54" s="21">
        <f>IFERROR(VLOOKUP($D54,CRM!$B:$R,16,0),0)</f>
        <v>3</v>
      </c>
      <c r="N54" s="98">
        <f t="shared" si="17"/>
        <v>0.5</v>
      </c>
      <c r="O54" s="98"/>
      <c r="P54" s="97"/>
      <c r="Q54" s="98"/>
      <c r="R54" s="124"/>
      <c r="S54" s="89">
        <v>13.064516129032258</v>
      </c>
      <c r="T54" s="88">
        <v>20</v>
      </c>
      <c r="U54" s="126">
        <f t="shared" si="6"/>
        <v>1.5308641975308641</v>
      </c>
    </row>
    <row r="55" spans="1:21" ht="16.5" customHeight="1" x14ac:dyDescent="0.3">
      <c r="A55" s="21" t="s">
        <v>330</v>
      </c>
      <c r="B55" s="21" t="str">
        <f t="shared" ref="B55" si="18">MID(C55,24,3)</f>
        <v>盱眙区</v>
      </c>
      <c r="C55" s="21" t="s">
        <v>24</v>
      </c>
      <c r="D55" s="123">
        <v>446849</v>
      </c>
      <c r="E55" s="21" t="s">
        <v>225</v>
      </c>
      <c r="F55" s="89">
        <v>6</v>
      </c>
      <c r="G55" s="21">
        <f>IFERROR(VLOOKUP($D55,CRM!$B:$R,17,0),0)</f>
        <v>0</v>
      </c>
      <c r="H55" s="23">
        <f>G55/F55</f>
        <v>0</v>
      </c>
      <c r="I55" s="22"/>
      <c r="J55" s="21"/>
      <c r="K55" s="23"/>
      <c r="L55" s="21">
        <f>IFERROR(VLOOKUP($D55,CRM!$B:$R,8,0),0)</f>
        <v>0</v>
      </c>
      <c r="M55" s="21">
        <f>IFERROR(VLOOKUP($D55,CRM!$B:$R,16,0),0)</f>
        <v>0</v>
      </c>
      <c r="N55" s="98"/>
      <c r="O55" s="98"/>
      <c r="P55" s="97"/>
      <c r="Q55" s="98"/>
      <c r="R55" s="124"/>
      <c r="S55" s="89">
        <v>4.354838709677419</v>
      </c>
      <c r="T55" s="88"/>
      <c r="U55" s="126">
        <f t="shared" si="6"/>
        <v>0</v>
      </c>
    </row>
    <row r="56" spans="1:21" ht="16.5" customHeight="1" x14ac:dyDescent="0.3">
      <c r="A56" s="21" t="s">
        <v>330</v>
      </c>
      <c r="B56" s="21" t="str">
        <f t="shared" si="16"/>
        <v>盱眙区</v>
      </c>
      <c r="C56" s="21" t="s">
        <v>24</v>
      </c>
      <c r="D56" s="21">
        <v>680453</v>
      </c>
      <c r="E56" s="21" t="s">
        <v>128</v>
      </c>
      <c r="F56" s="89">
        <v>6</v>
      </c>
      <c r="G56" s="21">
        <f>IFERROR(VLOOKUP($D56,CRM!$B:$R,17,0),0)</f>
        <v>2</v>
      </c>
      <c r="H56" s="23">
        <f>G56/F56</f>
        <v>0.33333333333333331</v>
      </c>
      <c r="I56" s="22">
        <v>2</v>
      </c>
      <c r="J56" s="21">
        <f>IFERROR(VLOOKUP($D56,'CRM-米'!B:L,11,0),0)</f>
        <v>1</v>
      </c>
      <c r="K56" s="23">
        <f>J56/I56</f>
        <v>0.5</v>
      </c>
      <c r="L56" s="21">
        <f>IFERROR(VLOOKUP($D56,CRM!$B:$R,8,0),0)</f>
        <v>0</v>
      </c>
      <c r="M56" s="21">
        <f>IFERROR(VLOOKUP($D56,CRM!$B:$R,16,0),0)</f>
        <v>0</v>
      </c>
      <c r="N56" s="98"/>
      <c r="O56" s="98"/>
      <c r="P56" s="97"/>
      <c r="Q56" s="98"/>
      <c r="R56" s="124"/>
      <c r="S56" s="89">
        <v>4.354838709677419</v>
      </c>
      <c r="T56" s="88">
        <v>0</v>
      </c>
      <c r="U56" s="126">
        <f t="shared" si="6"/>
        <v>0</v>
      </c>
    </row>
    <row r="57" spans="1:21" ht="16.5" customHeight="1" x14ac:dyDescent="0.3">
      <c r="A57" s="78" t="s">
        <v>331</v>
      </c>
      <c r="B57" s="78" t="s">
        <v>226</v>
      </c>
      <c r="C57" s="78"/>
      <c r="D57" s="78"/>
      <c r="E57" s="78"/>
      <c r="F57" s="91">
        <f>SUM(F50:F56)</f>
        <v>127</v>
      </c>
      <c r="G57" s="78">
        <f>SUM(G50:G56)</f>
        <v>48</v>
      </c>
      <c r="H57" s="79">
        <f t="shared" ref="H57:H75" si="19">G57/F57</f>
        <v>0.37795275590551181</v>
      </c>
      <c r="I57" s="78"/>
      <c r="J57" s="78"/>
      <c r="K57" s="79"/>
      <c r="L57" s="78">
        <f t="shared" ref="L57:O57" si="20">SUM(L50:L56)</f>
        <v>0</v>
      </c>
      <c r="M57" s="78">
        <f t="shared" si="20"/>
        <v>11</v>
      </c>
      <c r="N57" s="100">
        <f t="shared" si="20"/>
        <v>-11</v>
      </c>
      <c r="O57" s="100">
        <f t="shared" si="20"/>
        <v>-7.5</v>
      </c>
      <c r="P57" s="101"/>
      <c r="Q57" s="98">
        <f>N57+O57</f>
        <v>-18.5</v>
      </c>
      <c r="R57" s="124"/>
      <c r="S57" s="91">
        <v>108.87096774193549</v>
      </c>
      <c r="T57" s="88">
        <v>144</v>
      </c>
      <c r="U57" s="126">
        <f t="shared" si="6"/>
        <v>1.3226666666666667</v>
      </c>
    </row>
    <row r="58" spans="1:21" ht="16.5" customHeight="1" x14ac:dyDescent="0.3">
      <c r="A58" s="106" t="s">
        <v>330</v>
      </c>
      <c r="B58" s="106" t="str">
        <f t="shared" ref="B58:B64" si="21">MID(C58,24,3)</f>
        <v>盱眙区</v>
      </c>
      <c r="C58" s="106" t="s">
        <v>24</v>
      </c>
      <c r="D58" s="106">
        <v>274211</v>
      </c>
      <c r="E58" s="106" t="s">
        <v>113</v>
      </c>
      <c r="F58" s="107">
        <v>65</v>
      </c>
      <c r="G58" s="106">
        <f>IFERROR(VLOOKUP($D58,CRM!$B:$R,17,0),0)</f>
        <v>34</v>
      </c>
      <c r="H58" s="108">
        <f t="shared" si="19"/>
        <v>0.52307692307692311</v>
      </c>
      <c r="I58" s="106">
        <v>5</v>
      </c>
      <c r="J58" s="106">
        <f>IFERROR(VLOOKUP($D58,'CRM-米'!B:L,11,0),0)</f>
        <v>10</v>
      </c>
      <c r="K58" s="108">
        <f t="shared" ref="K58:K64" si="22">J58/I58</f>
        <v>2</v>
      </c>
      <c r="L58" s="106">
        <f>IFERROR(VLOOKUP($D58,CRM!$B:$R,8,0),0)</f>
        <v>0</v>
      </c>
      <c r="M58" s="106">
        <f>IFERROR(VLOOKUP($D58,CRM!$B:$R,16,0),0)</f>
        <v>15</v>
      </c>
      <c r="N58" s="109">
        <f t="shared" ref="N58:N59" si="23">F58*0.5+G58-F58</f>
        <v>1.5</v>
      </c>
      <c r="O58" s="109"/>
      <c r="P58" s="147" t="s">
        <v>245</v>
      </c>
      <c r="Q58" s="109"/>
      <c r="R58" s="124"/>
      <c r="S58" s="107">
        <v>56.612903225806448</v>
      </c>
      <c r="T58" s="110">
        <v>61</v>
      </c>
      <c r="U58" s="126">
        <f t="shared" si="6"/>
        <v>1.0774928774928776</v>
      </c>
    </row>
    <row r="59" spans="1:21" ht="16.5" customHeight="1" x14ac:dyDescent="0.3">
      <c r="A59" s="106" t="s">
        <v>330</v>
      </c>
      <c r="B59" s="106" t="str">
        <f t="shared" si="21"/>
        <v>盱眙区</v>
      </c>
      <c r="C59" s="106" t="s">
        <v>24</v>
      </c>
      <c r="D59" s="106">
        <v>433676</v>
      </c>
      <c r="E59" s="106" t="s">
        <v>114</v>
      </c>
      <c r="F59" s="107">
        <v>40</v>
      </c>
      <c r="G59" s="106">
        <f>IFERROR(VLOOKUP($D59,CRM!$B:$R,17,0),0)</f>
        <v>19</v>
      </c>
      <c r="H59" s="108">
        <f t="shared" si="19"/>
        <v>0.47499999999999998</v>
      </c>
      <c r="I59" s="106">
        <v>8</v>
      </c>
      <c r="J59" s="106">
        <f>IFERROR(VLOOKUP($D59,'CRM-米'!B:L,11,0),0)</f>
        <v>2</v>
      </c>
      <c r="K59" s="108">
        <f t="shared" si="22"/>
        <v>0.25</v>
      </c>
      <c r="L59" s="106">
        <f>IFERROR(VLOOKUP($D59,CRM!$B:$R,8,0),0)</f>
        <v>0</v>
      </c>
      <c r="M59" s="106">
        <f>IFERROR(VLOOKUP($D59,CRM!$B:$R,16,0),0)</f>
        <v>7</v>
      </c>
      <c r="N59" s="109">
        <f t="shared" si="23"/>
        <v>-1</v>
      </c>
      <c r="O59" s="109"/>
      <c r="P59" s="147"/>
      <c r="Q59" s="109"/>
      <c r="R59" s="124"/>
      <c r="S59" s="107">
        <v>34.838709677419352</v>
      </c>
      <c r="T59" s="110">
        <v>37</v>
      </c>
      <c r="U59" s="126">
        <f t="shared" si="6"/>
        <v>1.0620370370370371</v>
      </c>
    </row>
    <row r="60" spans="1:21" ht="16.5" customHeight="1" x14ac:dyDescent="0.3">
      <c r="A60" s="106" t="s">
        <v>330</v>
      </c>
      <c r="B60" s="106" t="str">
        <f t="shared" si="21"/>
        <v>盱眙区</v>
      </c>
      <c r="C60" s="106" t="s">
        <v>24</v>
      </c>
      <c r="D60" s="106">
        <v>213518</v>
      </c>
      <c r="E60" s="106" t="s">
        <v>54</v>
      </c>
      <c r="F60" s="107">
        <v>60</v>
      </c>
      <c r="G60" s="106">
        <f>IFERROR(VLOOKUP($D60,CRM!$B:$R,17,0),0)</f>
        <v>29</v>
      </c>
      <c r="H60" s="108">
        <f t="shared" si="19"/>
        <v>0.48333333333333334</v>
      </c>
      <c r="I60" s="106">
        <v>12</v>
      </c>
      <c r="J60" s="106">
        <f>IFERROR(VLOOKUP($D60,'CRM-米'!B:L,11,0),0)</f>
        <v>3</v>
      </c>
      <c r="K60" s="108">
        <f t="shared" si="22"/>
        <v>0.25</v>
      </c>
      <c r="L60" s="106">
        <f>IFERROR(VLOOKUP($D60,CRM!$B:$R,8,0),0)</f>
        <v>1</v>
      </c>
      <c r="M60" s="106">
        <f>IFERROR(VLOOKUP($D60,CRM!$B:$R,16,0),0)</f>
        <v>16</v>
      </c>
      <c r="N60" s="109"/>
      <c r="O60" s="109">
        <f>-F60*1*0.5</f>
        <v>-30</v>
      </c>
      <c r="P60" s="147"/>
      <c r="Q60" s="109"/>
      <c r="R60" s="124"/>
      <c r="S60" s="107">
        <v>52.258064516129032</v>
      </c>
      <c r="T60" s="110">
        <v>48</v>
      </c>
      <c r="U60" s="126">
        <f t="shared" si="6"/>
        <v>0.91851851851851851</v>
      </c>
    </row>
    <row r="61" spans="1:21" ht="16.5" customHeight="1" x14ac:dyDescent="0.3">
      <c r="A61" s="106" t="s">
        <v>330</v>
      </c>
      <c r="B61" s="106" t="str">
        <f t="shared" si="21"/>
        <v>盱眙区</v>
      </c>
      <c r="C61" s="106" t="s">
        <v>24</v>
      </c>
      <c r="D61" s="106">
        <v>94762</v>
      </c>
      <c r="E61" s="106" t="s">
        <v>115</v>
      </c>
      <c r="F61" s="107">
        <v>50</v>
      </c>
      <c r="G61" s="106">
        <f>IFERROR(VLOOKUP($D61,CRM!$B:$R,17,0),0)</f>
        <v>30</v>
      </c>
      <c r="H61" s="108">
        <f t="shared" si="19"/>
        <v>0.6</v>
      </c>
      <c r="I61" s="106">
        <v>11</v>
      </c>
      <c r="J61" s="106">
        <f>IFERROR(VLOOKUP($D61,'CRM-米'!B:L,11,0),0)</f>
        <v>8</v>
      </c>
      <c r="K61" s="108">
        <f t="shared" si="22"/>
        <v>0.72727272727272729</v>
      </c>
      <c r="L61" s="106">
        <f>IFERROR(VLOOKUP($D61,CRM!$B:$R,8,0),0)</f>
        <v>0</v>
      </c>
      <c r="M61" s="106">
        <f>IFERROR(VLOOKUP($D61,CRM!$B:$R,16,0),0)</f>
        <v>10</v>
      </c>
      <c r="N61" s="109">
        <f t="shared" ref="N61:N62" si="24">F61*0.5+G61-F61</f>
        <v>5</v>
      </c>
      <c r="O61" s="109"/>
      <c r="P61" s="147"/>
      <c r="Q61" s="109"/>
      <c r="R61" s="124"/>
      <c r="S61" s="107">
        <v>43.548387096774192</v>
      </c>
      <c r="T61" s="110">
        <v>49</v>
      </c>
      <c r="U61" s="126">
        <f t="shared" si="6"/>
        <v>1.1251851851851853</v>
      </c>
    </row>
    <row r="62" spans="1:21" ht="16.5" customHeight="1" x14ac:dyDescent="0.3">
      <c r="A62" s="106" t="s">
        <v>330</v>
      </c>
      <c r="B62" s="106" t="str">
        <f t="shared" si="21"/>
        <v>盱眙区</v>
      </c>
      <c r="C62" s="106" t="s">
        <v>24</v>
      </c>
      <c r="D62" s="106">
        <v>397772</v>
      </c>
      <c r="E62" s="106" t="s">
        <v>117</v>
      </c>
      <c r="F62" s="107">
        <v>45</v>
      </c>
      <c r="G62" s="106">
        <f>IFERROR(VLOOKUP($D62,CRM!$B:$R,17,0),0)</f>
        <v>29</v>
      </c>
      <c r="H62" s="108">
        <f t="shared" si="19"/>
        <v>0.64444444444444449</v>
      </c>
      <c r="I62" s="106">
        <v>11</v>
      </c>
      <c r="J62" s="106">
        <f>IFERROR(VLOOKUP($D62,'CRM-米'!B:L,11,0),0)</f>
        <v>9</v>
      </c>
      <c r="K62" s="108">
        <f t="shared" si="22"/>
        <v>0.81818181818181823</v>
      </c>
      <c r="L62" s="106">
        <f>IFERROR(VLOOKUP($D62,CRM!$B:$R,8,0),0)</f>
        <v>0</v>
      </c>
      <c r="M62" s="106">
        <f>IFERROR(VLOOKUP($D62,CRM!$B:$R,16,0),0)</f>
        <v>16</v>
      </c>
      <c r="N62" s="109">
        <f t="shared" si="24"/>
        <v>6.5</v>
      </c>
      <c r="O62" s="109"/>
      <c r="P62" s="147"/>
      <c r="Q62" s="109"/>
      <c r="R62" s="124"/>
      <c r="S62" s="107">
        <v>39</v>
      </c>
      <c r="T62" s="110">
        <v>39</v>
      </c>
      <c r="U62" s="126">
        <f t="shared" si="6"/>
        <v>1</v>
      </c>
    </row>
    <row r="63" spans="1:21" ht="16.5" customHeight="1" x14ac:dyDescent="0.3">
      <c r="A63" s="106" t="s">
        <v>330</v>
      </c>
      <c r="B63" s="106" t="str">
        <f t="shared" si="21"/>
        <v>盱眙区</v>
      </c>
      <c r="C63" s="106" t="s">
        <v>24</v>
      </c>
      <c r="D63" s="106">
        <v>315296</v>
      </c>
      <c r="E63" s="106" t="s">
        <v>120</v>
      </c>
      <c r="F63" s="107">
        <v>50</v>
      </c>
      <c r="G63" s="106">
        <f>IFERROR(VLOOKUP($D63,CRM!$B:$R,17,0),0)</f>
        <v>33</v>
      </c>
      <c r="H63" s="108">
        <f t="shared" si="19"/>
        <v>0.66</v>
      </c>
      <c r="I63" s="106">
        <v>10</v>
      </c>
      <c r="J63" s="106">
        <f>IFERROR(VLOOKUP($D63,'CRM-米'!B:L,11,0),0)</f>
        <v>4</v>
      </c>
      <c r="K63" s="108">
        <f t="shared" si="22"/>
        <v>0.4</v>
      </c>
      <c r="L63" s="106">
        <f>IFERROR(VLOOKUP($D63,CRM!$B:$R,8,0),0)</f>
        <v>0</v>
      </c>
      <c r="M63" s="106">
        <f>IFERROR(VLOOKUP($D63,CRM!$B:$R,16,0),0)</f>
        <v>5</v>
      </c>
      <c r="N63" s="109">
        <f t="shared" ref="N63:N64" si="25">F63*0.5+G63-F63</f>
        <v>8</v>
      </c>
      <c r="O63" s="109"/>
      <c r="P63" s="147"/>
      <c r="Q63" s="109"/>
      <c r="R63" s="124"/>
      <c r="S63" s="107">
        <v>43.548387096774192</v>
      </c>
      <c r="T63" s="110">
        <v>45</v>
      </c>
      <c r="U63" s="126">
        <f t="shared" si="6"/>
        <v>1.0333333333333334</v>
      </c>
    </row>
    <row r="64" spans="1:21" ht="16.5" customHeight="1" x14ac:dyDescent="0.3">
      <c r="A64" s="106" t="s">
        <v>330</v>
      </c>
      <c r="B64" s="106" t="str">
        <f t="shared" si="21"/>
        <v>盱眙区</v>
      </c>
      <c r="C64" s="106" t="s">
        <v>24</v>
      </c>
      <c r="D64" s="106">
        <v>466088</v>
      </c>
      <c r="E64" s="106" t="s">
        <v>122</v>
      </c>
      <c r="F64" s="107">
        <v>25</v>
      </c>
      <c r="G64" s="106">
        <f>IFERROR(VLOOKUP($D64,CRM!$B:$R,17,0),0)</f>
        <v>17</v>
      </c>
      <c r="H64" s="108">
        <f t="shared" si="19"/>
        <v>0.68</v>
      </c>
      <c r="I64" s="106">
        <v>9</v>
      </c>
      <c r="J64" s="106">
        <f>IFERROR(VLOOKUP($D64,'CRM-米'!B:L,11,0),0)</f>
        <v>2</v>
      </c>
      <c r="K64" s="108">
        <f t="shared" si="22"/>
        <v>0.22222222222222221</v>
      </c>
      <c r="L64" s="106">
        <f>IFERROR(VLOOKUP($D64,CRM!$B:$R,8,0),0)</f>
        <v>0</v>
      </c>
      <c r="M64" s="106">
        <f>IFERROR(VLOOKUP($D64,CRM!$B:$R,16,0),0)</f>
        <v>9</v>
      </c>
      <c r="N64" s="109">
        <f t="shared" si="25"/>
        <v>4.5</v>
      </c>
      <c r="O64" s="109"/>
      <c r="P64" s="147"/>
      <c r="Q64" s="109"/>
      <c r="R64" s="124"/>
      <c r="S64" s="107">
        <v>21.774193548387096</v>
      </c>
      <c r="T64" s="110">
        <v>24</v>
      </c>
      <c r="U64" s="126">
        <f t="shared" si="6"/>
        <v>1.1022222222222222</v>
      </c>
    </row>
    <row r="65" spans="1:21" ht="16.5" customHeight="1" x14ac:dyDescent="0.3">
      <c r="A65" s="78" t="s">
        <v>331</v>
      </c>
      <c r="B65" s="78" t="s">
        <v>227</v>
      </c>
      <c r="C65" s="78"/>
      <c r="D65" s="78"/>
      <c r="E65" s="78"/>
      <c r="F65" s="91">
        <f>SUM(F58:F64)</f>
        <v>335</v>
      </c>
      <c r="G65" s="78">
        <f>SUM(G58:G64)</f>
        <v>191</v>
      </c>
      <c r="H65" s="79">
        <f t="shared" si="19"/>
        <v>0.57014925373134329</v>
      </c>
      <c r="I65" s="78"/>
      <c r="J65" s="78"/>
      <c r="K65" s="79"/>
      <c r="L65" s="78">
        <f t="shared" ref="L65:O65" si="26">SUM(L58:L64)</f>
        <v>1</v>
      </c>
      <c r="M65" s="78">
        <f t="shared" si="26"/>
        <v>78</v>
      </c>
      <c r="N65" s="100">
        <f t="shared" si="26"/>
        <v>24.5</v>
      </c>
      <c r="O65" s="100">
        <f t="shared" si="26"/>
        <v>-30</v>
      </c>
      <c r="P65" s="101"/>
      <c r="Q65" s="98">
        <f>N65+O65</f>
        <v>-5.5</v>
      </c>
      <c r="R65" s="124"/>
      <c r="S65" s="91">
        <v>291.58064516129031</v>
      </c>
      <c r="T65" s="88">
        <v>303</v>
      </c>
      <c r="U65" s="126">
        <f t="shared" si="6"/>
        <v>1.0391636242947229</v>
      </c>
    </row>
    <row r="66" spans="1:21" ht="16.5" customHeight="1" x14ac:dyDescent="0.3">
      <c r="A66" s="21" t="s">
        <v>330</v>
      </c>
      <c r="B66" s="21" t="str">
        <f t="shared" ref="B66:B73" si="27">MID(C66,24,3)</f>
        <v>盱眙区</v>
      </c>
      <c r="C66" s="21" t="s">
        <v>24</v>
      </c>
      <c r="D66" s="21">
        <v>400613</v>
      </c>
      <c r="E66" s="21" t="s">
        <v>124</v>
      </c>
      <c r="F66" s="89">
        <v>24</v>
      </c>
      <c r="G66" s="21">
        <f>IFERROR(VLOOKUP($D66,CRM!$B:$R,17,0),0)</f>
        <v>8</v>
      </c>
      <c r="H66" s="23">
        <f t="shared" si="19"/>
        <v>0.33333333333333331</v>
      </c>
      <c r="I66" s="22">
        <v>5</v>
      </c>
      <c r="J66" s="21">
        <f>IFERROR(VLOOKUP($D66,'CRM-米'!B:L,11,0),0)</f>
        <v>2</v>
      </c>
      <c r="K66" s="23">
        <f t="shared" ref="K66:K73" si="28">J66/I66</f>
        <v>0.4</v>
      </c>
      <c r="L66" s="21">
        <f>IFERROR(VLOOKUP($D66,CRM!$B:$R,8,0),0)</f>
        <v>0</v>
      </c>
      <c r="M66" s="21">
        <f>IFERROR(VLOOKUP($D66,CRM!$B:$R,16,0),0)</f>
        <v>0</v>
      </c>
      <c r="N66" s="98">
        <f t="shared" ref="N66:N69" si="29">F66*0.5+G66-F66</f>
        <v>-4</v>
      </c>
      <c r="O66" s="98"/>
      <c r="P66" s="97"/>
      <c r="Q66" s="98"/>
      <c r="R66" s="124"/>
      <c r="S66" s="89">
        <v>17.419354838709676</v>
      </c>
      <c r="T66" s="88">
        <v>19</v>
      </c>
      <c r="U66" s="126">
        <f t="shared" si="6"/>
        <v>1.0907407407407408</v>
      </c>
    </row>
    <row r="67" spans="1:21" ht="16.5" customHeight="1" x14ac:dyDescent="0.3">
      <c r="A67" s="21" t="s">
        <v>330</v>
      </c>
      <c r="B67" s="21" t="str">
        <f t="shared" si="27"/>
        <v>盱眙区</v>
      </c>
      <c r="C67" s="21" t="s">
        <v>24</v>
      </c>
      <c r="D67" s="21">
        <v>435701</v>
      </c>
      <c r="E67" s="21" t="s">
        <v>125</v>
      </c>
      <c r="F67" s="89">
        <v>24</v>
      </c>
      <c r="G67" s="21">
        <f>IFERROR(VLOOKUP($D67,CRM!$B:$R,17,0),0)</f>
        <v>16</v>
      </c>
      <c r="H67" s="23">
        <f t="shared" si="19"/>
        <v>0.66666666666666663</v>
      </c>
      <c r="I67" s="22">
        <v>5</v>
      </c>
      <c r="J67" s="21">
        <f>IFERROR(VLOOKUP($D67,'CRM-米'!B:L,11,0),0)</f>
        <v>2</v>
      </c>
      <c r="K67" s="23">
        <f t="shared" si="28"/>
        <v>0.4</v>
      </c>
      <c r="L67" s="21">
        <f>IFERROR(VLOOKUP($D67,CRM!$B:$R,8,0),0)</f>
        <v>0</v>
      </c>
      <c r="M67" s="21">
        <f>IFERROR(VLOOKUP($D67,CRM!$B:$R,16,0),0)</f>
        <v>5</v>
      </c>
      <c r="N67" s="98">
        <f t="shared" si="29"/>
        <v>4</v>
      </c>
      <c r="O67" s="98"/>
      <c r="P67" s="97"/>
      <c r="Q67" s="98"/>
      <c r="R67" s="124"/>
      <c r="S67" s="89">
        <v>17.419354838709676</v>
      </c>
      <c r="T67" s="88">
        <v>23</v>
      </c>
      <c r="U67" s="126">
        <f t="shared" si="6"/>
        <v>1.3203703703703704</v>
      </c>
    </row>
    <row r="68" spans="1:21" ht="16.5" customHeight="1" x14ac:dyDescent="0.3">
      <c r="A68" s="21" t="s">
        <v>330</v>
      </c>
      <c r="B68" s="21" t="str">
        <f t="shared" si="27"/>
        <v>盱眙区</v>
      </c>
      <c r="C68" s="21" t="s">
        <v>24</v>
      </c>
      <c r="D68" s="21">
        <v>452123</v>
      </c>
      <c r="E68" s="21" t="s">
        <v>126</v>
      </c>
      <c r="F68" s="89">
        <v>24</v>
      </c>
      <c r="G68" s="21">
        <f>IFERROR(VLOOKUP($D68,CRM!$B:$R,17,0),0)</f>
        <v>23</v>
      </c>
      <c r="H68" s="23">
        <f t="shared" si="19"/>
        <v>0.95833333333333337</v>
      </c>
      <c r="I68" s="22">
        <v>5</v>
      </c>
      <c r="J68" s="21">
        <f>IFERROR(VLOOKUP($D68,'CRM-米'!B:L,11,0),0)</f>
        <v>1</v>
      </c>
      <c r="K68" s="23">
        <f t="shared" si="28"/>
        <v>0.2</v>
      </c>
      <c r="L68" s="21">
        <f>IFERROR(VLOOKUP($D68,CRM!$B:$R,8,0),0)</f>
        <v>2</v>
      </c>
      <c r="M68" s="21">
        <f>IFERROR(VLOOKUP($D68,CRM!$B:$R,16,0),0)</f>
        <v>5</v>
      </c>
      <c r="N68" s="98">
        <f t="shared" si="29"/>
        <v>11</v>
      </c>
      <c r="O68" s="98"/>
      <c r="P68" s="97"/>
      <c r="Q68" s="98"/>
      <c r="R68" s="124"/>
      <c r="S68" s="89">
        <v>17.419354838709676</v>
      </c>
      <c r="T68" s="88">
        <v>25</v>
      </c>
      <c r="U68" s="126">
        <f t="shared" si="6"/>
        <v>1.4351851851851853</v>
      </c>
    </row>
    <row r="69" spans="1:21" ht="16.5" customHeight="1" x14ac:dyDescent="0.3">
      <c r="A69" s="21" t="s">
        <v>330</v>
      </c>
      <c r="B69" s="21" t="str">
        <f t="shared" si="27"/>
        <v>盱眙区</v>
      </c>
      <c r="C69" s="21" t="s">
        <v>24</v>
      </c>
      <c r="D69" s="21">
        <v>406034</v>
      </c>
      <c r="E69" s="21" t="s">
        <v>127</v>
      </c>
      <c r="F69" s="89">
        <v>24</v>
      </c>
      <c r="G69" s="21">
        <f>IFERROR(VLOOKUP($D69,CRM!$B:$R,17,0),0)</f>
        <v>6</v>
      </c>
      <c r="H69" s="23">
        <f t="shared" si="19"/>
        <v>0.25</v>
      </c>
      <c r="I69" s="22">
        <v>5</v>
      </c>
      <c r="J69" s="21">
        <f>IFERROR(VLOOKUP($D69,'CRM-米'!B:L,11,0),0)</f>
        <v>0</v>
      </c>
      <c r="K69" s="23">
        <f t="shared" si="28"/>
        <v>0</v>
      </c>
      <c r="L69" s="21">
        <f>IFERROR(VLOOKUP($D69,CRM!$B:$R,8,0),0)</f>
        <v>0</v>
      </c>
      <c r="M69" s="21">
        <f>IFERROR(VLOOKUP($D69,CRM!$B:$R,16,0),0)</f>
        <v>0</v>
      </c>
      <c r="N69" s="98">
        <f t="shared" si="29"/>
        <v>-6</v>
      </c>
      <c r="O69" s="98">
        <f>-F69*0.5</f>
        <v>-12</v>
      </c>
      <c r="P69" s="97"/>
      <c r="Q69" s="98"/>
      <c r="R69" s="124"/>
      <c r="S69" s="89">
        <v>17.419354838709676</v>
      </c>
      <c r="T69" s="88">
        <v>17</v>
      </c>
      <c r="U69" s="126">
        <f t="shared" ref="U69:U75" si="30">T69/S69</f>
        <v>0.97592592592592597</v>
      </c>
    </row>
    <row r="70" spans="1:21" ht="16.5" customHeight="1" x14ac:dyDescent="0.3">
      <c r="A70" s="21" t="s">
        <v>330</v>
      </c>
      <c r="B70" s="21" t="str">
        <f t="shared" si="27"/>
        <v>盱眙区</v>
      </c>
      <c r="C70" s="21" t="s">
        <v>24</v>
      </c>
      <c r="D70" s="21">
        <v>397823</v>
      </c>
      <c r="E70" s="21" t="s">
        <v>56</v>
      </c>
      <c r="F70" s="89">
        <v>24</v>
      </c>
      <c r="G70" s="21">
        <f>IFERROR(VLOOKUP($D70,CRM!$B:$R,17,0),0)</f>
        <v>12</v>
      </c>
      <c r="H70" s="23">
        <f t="shared" si="19"/>
        <v>0.5</v>
      </c>
      <c r="I70" s="22">
        <v>5</v>
      </c>
      <c r="J70" s="21">
        <f>IFERROR(VLOOKUP($D70,'CRM-米'!B:L,11,0),0)</f>
        <v>1</v>
      </c>
      <c r="K70" s="23">
        <f t="shared" si="28"/>
        <v>0.2</v>
      </c>
      <c r="L70" s="21">
        <f>IFERROR(VLOOKUP($D70,CRM!$B:$R,8,0),0)</f>
        <v>0</v>
      </c>
      <c r="M70" s="21">
        <f>IFERROR(VLOOKUP($D70,CRM!$B:$R,16,0),0)</f>
        <v>2</v>
      </c>
      <c r="N70" s="98">
        <f t="shared" ref="N70:N73" si="31">F70*0.5+G70-F70</f>
        <v>0</v>
      </c>
      <c r="O70" s="98"/>
      <c r="P70" s="97"/>
      <c r="Q70" s="98"/>
      <c r="R70" s="124"/>
      <c r="S70" s="89">
        <v>17.419354838709676</v>
      </c>
      <c r="T70" s="88">
        <v>40</v>
      </c>
      <c r="U70" s="126">
        <f t="shared" si="30"/>
        <v>2.2962962962962963</v>
      </c>
    </row>
    <row r="71" spans="1:21" ht="16.5" customHeight="1" x14ac:dyDescent="0.3">
      <c r="A71" s="21" t="s">
        <v>330</v>
      </c>
      <c r="B71" s="21" t="str">
        <f t="shared" si="27"/>
        <v>盱眙区</v>
      </c>
      <c r="C71" s="21" t="s">
        <v>24</v>
      </c>
      <c r="D71" s="21">
        <v>429365</v>
      </c>
      <c r="E71" s="21" t="s">
        <v>129</v>
      </c>
      <c r="F71" s="89">
        <v>24</v>
      </c>
      <c r="G71" s="21">
        <f>IFERROR(VLOOKUP($D71,CRM!$B:$R,17,0),0)</f>
        <v>12</v>
      </c>
      <c r="H71" s="23">
        <f t="shared" si="19"/>
        <v>0.5</v>
      </c>
      <c r="I71" s="22">
        <v>5</v>
      </c>
      <c r="J71" s="21">
        <f>IFERROR(VLOOKUP($D71,'CRM-米'!B:L,11,0),0)</f>
        <v>0</v>
      </c>
      <c r="K71" s="23">
        <f t="shared" si="28"/>
        <v>0</v>
      </c>
      <c r="L71" s="21">
        <f>IFERROR(VLOOKUP($D71,CRM!$B:$R,8,0),0)</f>
        <v>0</v>
      </c>
      <c r="M71" s="21">
        <f>IFERROR(VLOOKUP($D71,CRM!$B:$R,16,0),0)</f>
        <v>5</v>
      </c>
      <c r="N71" s="98">
        <f t="shared" si="31"/>
        <v>0</v>
      </c>
      <c r="O71" s="98"/>
      <c r="P71" s="97"/>
      <c r="Q71" s="98"/>
      <c r="R71" s="124"/>
      <c r="S71" s="89">
        <v>17.419354838709676</v>
      </c>
      <c r="T71" s="88">
        <v>24</v>
      </c>
      <c r="U71" s="126">
        <f t="shared" si="30"/>
        <v>1.3777777777777778</v>
      </c>
    </row>
    <row r="72" spans="1:21" ht="16.5" customHeight="1" x14ac:dyDescent="0.3">
      <c r="A72" s="21" t="s">
        <v>330</v>
      </c>
      <c r="B72" s="21" t="str">
        <f t="shared" si="27"/>
        <v>盱眙区</v>
      </c>
      <c r="C72" s="21" t="s">
        <v>24</v>
      </c>
      <c r="D72" s="21">
        <v>423146</v>
      </c>
      <c r="E72" s="21" t="s">
        <v>130</v>
      </c>
      <c r="F72" s="89">
        <v>24</v>
      </c>
      <c r="G72" s="21">
        <f>IFERROR(VLOOKUP($D72,CRM!$B:$R,17,0),0)</f>
        <v>7</v>
      </c>
      <c r="H72" s="23">
        <f t="shared" si="19"/>
        <v>0.29166666666666669</v>
      </c>
      <c r="I72" s="22">
        <v>5</v>
      </c>
      <c r="J72" s="21">
        <f>IFERROR(VLOOKUP($D72,'CRM-米'!B:L,11,0),0)</f>
        <v>1</v>
      </c>
      <c r="K72" s="23">
        <f t="shared" si="28"/>
        <v>0.2</v>
      </c>
      <c r="L72" s="21">
        <f>IFERROR(VLOOKUP($D72,CRM!$B:$R,8,0),0)</f>
        <v>0</v>
      </c>
      <c r="M72" s="21">
        <f>IFERROR(VLOOKUP($D72,CRM!$B:$R,16,0),0)</f>
        <v>5</v>
      </c>
      <c r="N72" s="98">
        <f t="shared" si="31"/>
        <v>-5</v>
      </c>
      <c r="O72" s="98"/>
      <c r="P72" s="97"/>
      <c r="Q72" s="98"/>
      <c r="R72" s="124"/>
      <c r="S72" s="89">
        <v>17.419354838709676</v>
      </c>
      <c r="T72" s="88">
        <v>21</v>
      </c>
      <c r="U72" s="126">
        <f t="shared" si="30"/>
        <v>1.2055555555555557</v>
      </c>
    </row>
    <row r="73" spans="1:21" ht="16.5" customHeight="1" x14ac:dyDescent="0.3">
      <c r="A73" s="21" t="s">
        <v>330</v>
      </c>
      <c r="B73" s="21" t="str">
        <f t="shared" si="27"/>
        <v>盱眙区</v>
      </c>
      <c r="C73" s="21" t="s">
        <v>24</v>
      </c>
      <c r="D73" s="21">
        <v>452144</v>
      </c>
      <c r="E73" s="21" t="s">
        <v>131</v>
      </c>
      <c r="F73" s="89">
        <v>24</v>
      </c>
      <c r="G73" s="21">
        <f>IFERROR(VLOOKUP($D73,CRM!$B:$R,17,0),0)</f>
        <v>11</v>
      </c>
      <c r="H73" s="23">
        <f t="shared" si="19"/>
        <v>0.45833333333333331</v>
      </c>
      <c r="I73" s="22">
        <v>5</v>
      </c>
      <c r="J73" s="21">
        <f>IFERROR(VLOOKUP($D73,'CRM-米'!B:L,11,0),0)</f>
        <v>0</v>
      </c>
      <c r="K73" s="23">
        <f t="shared" si="28"/>
        <v>0</v>
      </c>
      <c r="L73" s="21">
        <f>IFERROR(VLOOKUP($D73,CRM!$B:$R,8,0),0)</f>
        <v>0</v>
      </c>
      <c r="M73" s="21">
        <f>IFERROR(VLOOKUP($D73,CRM!$B:$R,16,0),0)</f>
        <v>5</v>
      </c>
      <c r="N73" s="98">
        <f t="shared" si="31"/>
        <v>-1</v>
      </c>
      <c r="O73" s="98"/>
      <c r="P73" s="97"/>
      <c r="Q73" s="98"/>
      <c r="R73" s="124"/>
      <c r="S73" s="89">
        <v>17.419354838709676</v>
      </c>
      <c r="T73" s="88">
        <v>22</v>
      </c>
      <c r="U73" s="126">
        <f t="shared" si="30"/>
        <v>1.2629629629629631</v>
      </c>
    </row>
    <row r="74" spans="1:21" ht="16.5" customHeight="1" x14ac:dyDescent="0.3">
      <c r="A74" s="78" t="s">
        <v>331</v>
      </c>
      <c r="B74" s="78" t="s">
        <v>248</v>
      </c>
      <c r="C74" s="78"/>
      <c r="D74" s="78"/>
      <c r="E74" s="78"/>
      <c r="F74" s="91">
        <f>SUM(F66:F73)</f>
        <v>192</v>
      </c>
      <c r="G74" s="78">
        <f>SUM(G66:G73)</f>
        <v>95</v>
      </c>
      <c r="H74" s="79">
        <f t="shared" si="19"/>
        <v>0.49479166666666669</v>
      </c>
      <c r="I74" s="78"/>
      <c r="J74" s="78"/>
      <c r="K74" s="79"/>
      <c r="L74" s="78">
        <f t="shared" ref="L74:M74" si="32">SUM(L66:L73)</f>
        <v>2</v>
      </c>
      <c r="M74" s="78">
        <f t="shared" si="32"/>
        <v>27</v>
      </c>
      <c r="N74" s="100">
        <f t="shared" ref="N74:O74" si="33">SUM(N66:N73)</f>
        <v>-1</v>
      </c>
      <c r="O74" s="100">
        <f t="shared" si="33"/>
        <v>-12</v>
      </c>
      <c r="P74" s="101"/>
      <c r="Q74" s="98">
        <f>N74+O74</f>
        <v>-13</v>
      </c>
      <c r="R74" s="124"/>
      <c r="S74" s="91">
        <v>139.35483870967741</v>
      </c>
      <c r="T74" s="88">
        <v>191</v>
      </c>
      <c r="U74" s="126">
        <f t="shared" si="30"/>
        <v>1.3706018518518519</v>
      </c>
    </row>
    <row r="75" spans="1:21" ht="16.5" customHeight="1" x14ac:dyDescent="0.3">
      <c r="A75" s="81" t="s">
        <v>330</v>
      </c>
      <c r="B75" s="81" t="s">
        <v>132</v>
      </c>
      <c r="C75" s="81"/>
      <c r="D75" s="81"/>
      <c r="E75" s="81"/>
      <c r="F75" s="111">
        <f>F57+F65+F74</f>
        <v>654</v>
      </c>
      <c r="G75" s="81">
        <f>G57+G65+G74</f>
        <v>334</v>
      </c>
      <c r="H75" s="90">
        <f t="shared" si="19"/>
        <v>0.5107033639143731</v>
      </c>
      <c r="I75" s="81">
        <f>SUM(I50:I73)</f>
        <v>142</v>
      </c>
      <c r="J75" s="81">
        <f>SUM(J50:J73)</f>
        <v>78</v>
      </c>
      <c r="K75" s="90">
        <f>J75/I75</f>
        <v>0.54929577464788737</v>
      </c>
      <c r="L75" s="81">
        <f t="shared" ref="L75:O75" si="34">L57+L65+L74</f>
        <v>3</v>
      </c>
      <c r="M75" s="81">
        <f t="shared" si="34"/>
        <v>116</v>
      </c>
      <c r="N75" s="102">
        <f t="shared" si="34"/>
        <v>12.5</v>
      </c>
      <c r="O75" s="102">
        <f t="shared" si="34"/>
        <v>-49.5</v>
      </c>
      <c r="P75" s="103"/>
      <c r="Q75" s="102">
        <f>N75+O75</f>
        <v>-37</v>
      </c>
      <c r="R75" s="124"/>
      <c r="S75" s="81">
        <v>540</v>
      </c>
      <c r="T75" s="88">
        <v>638</v>
      </c>
      <c r="U75" s="126">
        <f t="shared" si="30"/>
        <v>1.1814814814814816</v>
      </c>
    </row>
    <row r="76" spans="1:21" ht="21" x14ac:dyDescent="0.3"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R76" s="124"/>
    </row>
    <row r="77" spans="1:21" ht="21" x14ac:dyDescent="0.3"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R77" s="124"/>
    </row>
    <row r="78" spans="1:21" ht="15.75" x14ac:dyDescent="0.3"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</row>
    <row r="79" spans="1:21" ht="15.75" x14ac:dyDescent="0.3"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</row>
    <row r="80" spans="1:21" ht="15.75" x14ac:dyDescent="0.3"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</row>
    <row r="81" spans="2:13" ht="15.75" x14ac:dyDescent="0.3"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</row>
    <row r="82" spans="2:13" ht="15.75" x14ac:dyDescent="0.3"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</row>
    <row r="83" spans="2:13" ht="15.75" x14ac:dyDescent="0.3"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</row>
    <row r="84" spans="2:13" ht="15.75" x14ac:dyDescent="0.3"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</row>
    <row r="85" spans="2:13" ht="15.75" x14ac:dyDescent="0.3"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</row>
    <row r="86" spans="2:13" ht="15.75" x14ac:dyDescent="0.3"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</row>
    <row r="87" spans="2:13" ht="15.75" x14ac:dyDescent="0.3"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</row>
    <row r="88" spans="2:13" ht="15.75" x14ac:dyDescent="0.3"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</row>
    <row r="89" spans="2:13" ht="15.75" x14ac:dyDescent="0.3"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</row>
    <row r="90" spans="2:13" ht="15.75" x14ac:dyDescent="0.3"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</row>
    <row r="91" spans="2:13" ht="15.75" x14ac:dyDescent="0.3"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</row>
    <row r="92" spans="2:13" ht="15.75" x14ac:dyDescent="0.3"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</row>
    <row r="93" spans="2:13" ht="15.75" x14ac:dyDescent="0.3"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</row>
    <row r="94" spans="2:13" ht="15.75" x14ac:dyDescent="0.3"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</row>
    <row r="95" spans="2:13" ht="15.75" x14ac:dyDescent="0.3"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</row>
    <row r="96" spans="2:13" ht="15.75" x14ac:dyDescent="0.3"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</row>
    <row r="97" spans="2:13" ht="15.75" x14ac:dyDescent="0.3"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</row>
    <row r="98" spans="2:13" ht="15.75" x14ac:dyDescent="0.3"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</row>
    <row r="99" spans="2:13" ht="15.75" x14ac:dyDescent="0.3"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</row>
    <row r="100" spans="2:13" ht="15.75" x14ac:dyDescent="0.3"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</row>
    <row r="101" spans="2:13" ht="15.75" x14ac:dyDescent="0.3"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</row>
    <row r="102" spans="2:13" ht="15.75" x14ac:dyDescent="0.3"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</row>
    <row r="103" spans="2:13" ht="15.75" x14ac:dyDescent="0.3"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</row>
    <row r="104" spans="2:13" ht="15.75" x14ac:dyDescent="0.3"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</row>
    <row r="105" spans="2:13" ht="15.75" x14ac:dyDescent="0.3"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</row>
    <row r="106" spans="2:13" ht="15.75" x14ac:dyDescent="0.3"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</row>
    <row r="107" spans="2:13" ht="15.75" x14ac:dyDescent="0.3"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</row>
    <row r="108" spans="2:13" ht="15.75" x14ac:dyDescent="0.3"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</row>
    <row r="109" spans="2:13" ht="15.75" x14ac:dyDescent="0.3"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</row>
    <row r="110" spans="2:13" ht="15.75" x14ac:dyDescent="0.3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</row>
    <row r="111" spans="2:13" ht="15.75" x14ac:dyDescent="0.3"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</row>
    <row r="112" spans="2:13" ht="15.75" x14ac:dyDescent="0.3"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</row>
    <row r="113" spans="2:13" ht="15.75" x14ac:dyDescent="0.3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</row>
    <row r="114" spans="2:13" ht="15.75" x14ac:dyDescent="0.3"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</row>
    <row r="115" spans="2:13" ht="15.75" x14ac:dyDescent="0.3"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</row>
    <row r="116" spans="2:13" ht="15.75" x14ac:dyDescent="0.3"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</row>
    <row r="117" spans="2:13" ht="15.75" x14ac:dyDescent="0.3"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</row>
    <row r="118" spans="2:13" ht="15.75" x14ac:dyDescent="0.3"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</row>
    <row r="119" spans="2:13" ht="15.75" x14ac:dyDescent="0.3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</row>
    <row r="120" spans="2:13" ht="15.75" x14ac:dyDescent="0.3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</row>
    <row r="121" spans="2:13" ht="15.75" x14ac:dyDescent="0.3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</row>
  </sheetData>
  <sortState ref="A3:M70">
    <sortCondition ref="A3:A70"/>
    <sortCondition descending="1" ref="G3:G70"/>
  </sortState>
  <mergeCells count="3">
    <mergeCell ref="P58:P64"/>
    <mergeCell ref="B2:Q2"/>
    <mergeCell ref="A1:Q1"/>
  </mergeCells>
  <phoneticPr fontId="20" type="noConversion"/>
  <conditionalFormatting sqref="K58:K64 K66:K73 K75 K5:K19 K39:K56 K30:K37 K21:K28">
    <cfRule type="cellIs" dxfId="22" priority="31" operator="lessThan">
      <formula>$K$4</formula>
    </cfRule>
  </conditionalFormatting>
  <conditionalFormatting sqref="G13:G19 G30:G37 G21:G28 G39:G48 G58:G64 G66:G73 G5:G11 G50:G56">
    <cfRule type="dataBar" priority="3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{E92E7FD4-FDCC-467C-A905-A8CF713CDFE9}</x14:id>
        </ext>
      </extLst>
    </cfRule>
  </conditionalFormatting>
  <conditionalFormatting sqref="J50:J56 J13:J19 J30:J37 J21:J28 J39:J48 J5:J11 J58:J64 J66:J73">
    <cfRule type="dataBar" priority="3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{C8FF0541-99CC-406D-8FC3-FDA3EC81F01D}</x14:id>
        </ext>
      </extLst>
    </cfRule>
  </conditionalFormatting>
  <conditionalFormatting sqref="L13:L19 L30:L37 L21:L28 L39:L48 L58:L64 L66:L73 L5:L11 L50:L56">
    <cfRule type="cellIs" dxfId="21" priority="35" operator="lessThan">
      <formula>1.5</formula>
    </cfRule>
    <cfRule type="dataBar" priority="3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{233623DC-6E6B-48D5-97E6-C86C050E70B1}</x14:id>
        </ext>
      </extLst>
    </cfRule>
  </conditionalFormatting>
  <conditionalFormatting sqref="M13:M19 M30:M37 M21:M28 M39:M48 M58:M64 M66:M73 M5:M11 M50:M56">
    <cfRule type="cellIs" dxfId="20" priority="34" operator="lessThan">
      <formula>12</formula>
    </cfRule>
    <cfRule type="dataBar" priority="3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{C42EC546-63E4-4B21-947F-40FCC9557805}</x14:id>
        </ext>
      </extLst>
    </cfRule>
  </conditionalFormatting>
  <conditionalFormatting sqref="H58:H64 H66:H73 H75 H5:H19 H30:H37 H21:H28 U13:U75 H39:H56">
    <cfRule type="cellIs" dxfId="19" priority="30" operator="lessThan">
      <formula>1</formula>
    </cfRule>
  </conditionalFormatting>
  <conditionalFormatting sqref="N70:O73 N67:O68 N53:N54 N54:O56 N5:O11 N39:O48 N21:O28 N50:O52 N13:O19 N30:O37 N58:O64 N66:N73">
    <cfRule type="cellIs" dxfId="18" priority="29" operator="lessThan">
      <formula>0</formula>
    </cfRule>
  </conditionalFormatting>
  <conditionalFormatting sqref="O53">
    <cfRule type="cellIs" dxfId="17" priority="24" operator="lessThan">
      <formula>0</formula>
    </cfRule>
  </conditionalFormatting>
  <conditionalFormatting sqref="P58">
    <cfRule type="cellIs" dxfId="16" priority="25" operator="lessThan">
      <formula>0</formula>
    </cfRule>
  </conditionalFormatting>
  <conditionalFormatting sqref="O69">
    <cfRule type="cellIs" dxfId="15" priority="22" operator="lessThan">
      <formula>0</formula>
    </cfRule>
  </conditionalFormatting>
  <conditionalFormatting sqref="O66">
    <cfRule type="cellIs" dxfId="14" priority="21" operator="lessThan">
      <formula>0</formula>
    </cfRule>
  </conditionalFormatting>
  <conditionalFormatting sqref="K20">
    <cfRule type="cellIs" dxfId="13" priority="20" operator="lessThan">
      <formula>$K$4</formula>
    </cfRule>
  </conditionalFormatting>
  <conditionalFormatting sqref="H20">
    <cfRule type="cellIs" dxfId="12" priority="19" operator="lessThan">
      <formula>1</formula>
    </cfRule>
  </conditionalFormatting>
  <conditionalFormatting sqref="K38">
    <cfRule type="cellIs" dxfId="11" priority="17" operator="lessThan">
      <formula>$K$4</formula>
    </cfRule>
  </conditionalFormatting>
  <conditionalFormatting sqref="H38">
    <cfRule type="cellIs" dxfId="10" priority="16" operator="lessThan">
      <formula>1</formula>
    </cfRule>
  </conditionalFormatting>
  <conditionalFormatting sqref="K29">
    <cfRule type="cellIs" dxfId="9" priority="14" operator="lessThan">
      <formula>$K$4</formula>
    </cfRule>
  </conditionalFormatting>
  <conditionalFormatting sqref="H29">
    <cfRule type="cellIs" dxfId="8" priority="13" operator="lessThan">
      <formula>1</formula>
    </cfRule>
  </conditionalFormatting>
  <conditionalFormatting sqref="K57">
    <cfRule type="cellIs" dxfId="7" priority="11" operator="lessThan">
      <formula>$K$4</formula>
    </cfRule>
  </conditionalFormatting>
  <conditionalFormatting sqref="H57">
    <cfRule type="cellIs" dxfId="6" priority="10" operator="lessThan">
      <formula>1</formula>
    </cfRule>
  </conditionalFormatting>
  <conditionalFormatting sqref="K65">
    <cfRule type="cellIs" dxfId="5" priority="8" operator="lessThan">
      <formula>$K$4</formula>
    </cfRule>
  </conditionalFormatting>
  <conditionalFormatting sqref="H65">
    <cfRule type="cellIs" dxfId="4" priority="7" operator="lessThan">
      <formula>1</formula>
    </cfRule>
  </conditionalFormatting>
  <conditionalFormatting sqref="K74">
    <cfRule type="cellIs" dxfId="3" priority="5" operator="lessThan">
      <formula>$K$4</formula>
    </cfRule>
  </conditionalFormatting>
  <conditionalFormatting sqref="H74">
    <cfRule type="cellIs" dxfId="2" priority="4" operator="lessThan">
      <formula>1</formula>
    </cfRule>
  </conditionalFormatting>
  <conditionalFormatting sqref="N5:N11 N39:N48 N13:N19 N21:N28 N50:N56 N30:N37 N58:N64 N66:N73">
    <cfRule type="cellIs" dxfId="1" priority="2" operator="greaterThan">
      <formula>0</formula>
    </cfRule>
  </conditionalFormatting>
  <conditionalFormatting sqref="U4:U12">
    <cfRule type="cellIs" dxfId="0" priority="1" operator="lessThan">
      <formula>1</formula>
    </cfRule>
  </conditionalFormatting>
  <pageMargins left="0.7" right="0.7" top="0.75" bottom="0.75" header="0.3" footer="0.3"/>
  <pageSetup paperSize="9" orientation="portrait" horizontalDpi="100" verticalDpi="1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92E7FD4-FDCC-467C-A905-A8CF713CDFE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G13:G19 G30:G37 G21:G28 G39:G48 G58:G64 G66:G73 G5:G11 G50:G56</xm:sqref>
        </x14:conditionalFormatting>
        <x14:conditionalFormatting xmlns:xm="http://schemas.microsoft.com/office/excel/2006/main">
          <x14:cfRule type="dataBar" id="{C8FF0541-99CC-406D-8FC3-FDA3EC81F01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J50:J56 J13:J19 J30:J37 J21:J28 J39:J48 J5:J11 J58:J64 J66:J73</xm:sqref>
        </x14:conditionalFormatting>
        <x14:conditionalFormatting xmlns:xm="http://schemas.microsoft.com/office/excel/2006/main">
          <x14:cfRule type="dataBar" id="{233623DC-6E6B-48D5-97E6-C86C050E70B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L13:L19 L30:L37 L21:L28 L39:L48 L58:L64 L66:L73 L5:L11 L50:L56</xm:sqref>
        </x14:conditionalFormatting>
        <x14:conditionalFormatting xmlns:xm="http://schemas.microsoft.com/office/excel/2006/main">
          <x14:cfRule type="dataBar" id="{C42EC546-63E4-4B21-947F-40FCC955780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M13:M19 M30:M37 M21:M28 M39:M48 M58:M64 M66:M73 M5:M11 M50:M56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5"/>
  <sheetViews>
    <sheetView topLeftCell="B1" workbookViewId="0">
      <pane ySplit="1" topLeftCell="A2" activePane="bottomLeft" state="frozen"/>
      <selection pane="bottomLeft" activeCell="C7" sqref="C2:C7"/>
    </sheetView>
  </sheetViews>
  <sheetFormatPr defaultColWidth="9" defaultRowHeight="13.5" x14ac:dyDescent="0.3"/>
  <cols>
    <col min="1" max="1" width="33.75" style="77" customWidth="1"/>
    <col min="2" max="2" width="9" style="77"/>
    <col min="3" max="3" width="10.875" style="77" customWidth="1"/>
    <col min="4" max="16" width="9" style="77"/>
    <col min="17" max="18" width="9" style="10"/>
    <col min="19" max="19" width="9" style="76"/>
    <col min="20" max="16384" width="9" style="77"/>
  </cols>
  <sheetData>
    <row r="1" spans="1:18" ht="15" thickBot="1" x14ac:dyDescent="0.35">
      <c r="A1" s="73" t="s">
        <v>58</v>
      </c>
      <c r="B1" s="73" t="s">
        <v>59</v>
      </c>
      <c r="C1" s="73" t="s">
        <v>133</v>
      </c>
      <c r="D1" s="73" t="s">
        <v>134</v>
      </c>
      <c r="E1" s="74" t="s">
        <v>135</v>
      </c>
      <c r="F1" s="74" t="s">
        <v>136</v>
      </c>
      <c r="G1" s="74" t="s">
        <v>137</v>
      </c>
      <c r="H1" s="74" t="s">
        <v>138</v>
      </c>
      <c r="I1" s="74" t="s">
        <v>139</v>
      </c>
      <c r="J1" s="74" t="s">
        <v>140</v>
      </c>
      <c r="K1" s="74" t="s">
        <v>141</v>
      </c>
      <c r="L1" s="74" t="s">
        <v>142</v>
      </c>
      <c r="M1" s="74" t="s">
        <v>143</v>
      </c>
      <c r="N1" s="74" t="s">
        <v>144</v>
      </c>
      <c r="O1" s="74" t="s">
        <v>145</v>
      </c>
      <c r="P1" s="74" t="s">
        <v>146</v>
      </c>
      <c r="Q1" s="10" t="s">
        <v>147</v>
      </c>
      <c r="R1" s="10" t="s">
        <v>61</v>
      </c>
    </row>
    <row r="2" spans="1:18" ht="15" thickBot="1" x14ac:dyDescent="0.35">
      <c r="A2" s="75" t="s">
        <v>230</v>
      </c>
      <c r="B2" s="75">
        <v>194213</v>
      </c>
      <c r="C2" s="75" t="s">
        <v>69</v>
      </c>
      <c r="D2" s="75" t="s">
        <v>148</v>
      </c>
      <c r="E2" s="75">
        <v>11561</v>
      </c>
      <c r="F2" s="75">
        <v>1723</v>
      </c>
      <c r="G2" s="75">
        <v>178</v>
      </c>
      <c r="H2" s="75">
        <v>246</v>
      </c>
      <c r="I2" s="75">
        <v>0</v>
      </c>
      <c r="J2" s="75">
        <v>0</v>
      </c>
      <c r="K2" s="75">
        <v>17</v>
      </c>
      <c r="L2" s="75">
        <v>0</v>
      </c>
      <c r="M2" s="75">
        <v>65</v>
      </c>
      <c r="N2" s="75">
        <v>7</v>
      </c>
      <c r="O2" s="75">
        <v>2.4500000000000002</v>
      </c>
      <c r="P2" s="75">
        <v>4.71</v>
      </c>
      <c r="Q2" s="10">
        <f>SUM(K2:L2)</f>
        <v>17</v>
      </c>
      <c r="R2" s="10">
        <f>M2+N2</f>
        <v>72</v>
      </c>
    </row>
    <row r="3" spans="1:18" ht="15" thickBot="1" x14ac:dyDescent="0.35">
      <c r="A3" s="75" t="s">
        <v>231</v>
      </c>
      <c r="B3" s="75">
        <v>269063</v>
      </c>
      <c r="C3" s="75" t="s">
        <v>96</v>
      </c>
      <c r="D3" s="75" t="s">
        <v>148</v>
      </c>
      <c r="E3" s="75">
        <v>9559</v>
      </c>
      <c r="F3" s="75">
        <v>2671</v>
      </c>
      <c r="G3" s="75">
        <v>165</v>
      </c>
      <c r="H3" s="75">
        <v>205</v>
      </c>
      <c r="I3" s="75">
        <v>1</v>
      </c>
      <c r="J3" s="75">
        <v>0</v>
      </c>
      <c r="K3" s="75">
        <v>20</v>
      </c>
      <c r="L3" s="75">
        <v>0</v>
      </c>
      <c r="M3" s="75">
        <v>58</v>
      </c>
      <c r="N3" s="75">
        <v>13</v>
      </c>
      <c r="O3" s="75">
        <v>2.02</v>
      </c>
      <c r="P3" s="75">
        <v>4.1500000000000004</v>
      </c>
      <c r="Q3" s="10">
        <f>SUM(K3:L3)</f>
        <v>20</v>
      </c>
      <c r="R3" s="10">
        <f>M3+N3</f>
        <v>71</v>
      </c>
    </row>
    <row r="4" spans="1:18" ht="15" thickBot="1" x14ac:dyDescent="0.35">
      <c r="A4" s="75" t="s">
        <v>231</v>
      </c>
      <c r="B4" s="75">
        <v>340679</v>
      </c>
      <c r="C4" s="75" t="s">
        <v>97</v>
      </c>
      <c r="D4" s="75" t="s">
        <v>148</v>
      </c>
      <c r="E4" s="75">
        <v>8597</v>
      </c>
      <c r="F4" s="75">
        <v>2516</v>
      </c>
      <c r="G4" s="75">
        <v>148</v>
      </c>
      <c r="H4" s="75">
        <v>280</v>
      </c>
      <c r="I4" s="75">
        <v>0</v>
      </c>
      <c r="J4" s="75">
        <v>0</v>
      </c>
      <c r="K4" s="75">
        <v>20</v>
      </c>
      <c r="L4" s="75">
        <v>0</v>
      </c>
      <c r="M4" s="75">
        <v>58</v>
      </c>
      <c r="N4" s="75">
        <v>9</v>
      </c>
      <c r="O4" s="75">
        <v>2.02</v>
      </c>
      <c r="P4" s="75">
        <v>4.33</v>
      </c>
      <c r="Q4" s="10">
        <f>SUM(K4:L4)</f>
        <v>20</v>
      </c>
      <c r="R4" s="10">
        <f>M4+N4</f>
        <v>67</v>
      </c>
    </row>
    <row r="5" spans="1:18" ht="15" thickBot="1" x14ac:dyDescent="0.35">
      <c r="A5" s="75" t="s">
        <v>233</v>
      </c>
      <c r="B5" s="75">
        <v>314921</v>
      </c>
      <c r="C5" s="75" t="s">
        <v>88</v>
      </c>
      <c r="D5" s="75" t="s">
        <v>148</v>
      </c>
      <c r="E5" s="75">
        <v>11353</v>
      </c>
      <c r="F5" s="75">
        <v>3034</v>
      </c>
      <c r="G5" s="75">
        <v>196</v>
      </c>
      <c r="H5" s="75">
        <v>379</v>
      </c>
      <c r="I5" s="75">
        <v>0</v>
      </c>
      <c r="J5" s="75">
        <v>0</v>
      </c>
      <c r="K5" s="75">
        <v>16</v>
      </c>
      <c r="L5" s="75">
        <v>0</v>
      </c>
      <c r="M5" s="75">
        <v>58</v>
      </c>
      <c r="N5" s="75">
        <v>8</v>
      </c>
      <c r="O5" s="75">
        <v>2.71</v>
      </c>
      <c r="P5" s="75">
        <v>3.5</v>
      </c>
      <c r="Q5" s="10">
        <f>SUM(K5:L5)</f>
        <v>16</v>
      </c>
      <c r="R5" s="10">
        <f>M5+N5</f>
        <v>66</v>
      </c>
    </row>
    <row r="6" spans="1:18" ht="15" thickBot="1" x14ac:dyDescent="0.35">
      <c r="A6" s="75" t="s">
        <v>231</v>
      </c>
      <c r="B6" s="75">
        <v>335258</v>
      </c>
      <c r="C6" s="75" t="s">
        <v>98</v>
      </c>
      <c r="D6" s="75" t="s">
        <v>148</v>
      </c>
      <c r="E6" s="75">
        <v>8449</v>
      </c>
      <c r="F6" s="75">
        <v>2042</v>
      </c>
      <c r="G6" s="75">
        <v>146</v>
      </c>
      <c r="H6" s="75">
        <v>408</v>
      </c>
      <c r="I6" s="75">
        <v>0</v>
      </c>
      <c r="J6" s="75">
        <v>0</v>
      </c>
      <c r="K6" s="75">
        <v>14</v>
      </c>
      <c r="L6" s="75">
        <v>0</v>
      </c>
      <c r="M6" s="75">
        <v>58</v>
      </c>
      <c r="N6" s="75">
        <v>5</v>
      </c>
      <c r="O6" s="75">
        <v>2.4300000000000002</v>
      </c>
      <c r="P6" s="75">
        <v>4.2</v>
      </c>
      <c r="Q6" s="10">
        <f>SUM(K6:L6)</f>
        <v>14</v>
      </c>
      <c r="R6" s="10">
        <f>M6+N6</f>
        <v>63</v>
      </c>
    </row>
    <row r="7" spans="1:18" ht="15" thickBot="1" x14ac:dyDescent="0.35">
      <c r="A7" s="75" t="s">
        <v>231</v>
      </c>
      <c r="B7" s="75">
        <v>335129</v>
      </c>
      <c r="C7" s="75" t="s">
        <v>102</v>
      </c>
      <c r="D7" s="75" t="s">
        <v>148</v>
      </c>
      <c r="E7" s="75">
        <v>6681</v>
      </c>
      <c r="F7" s="75">
        <v>2007</v>
      </c>
      <c r="G7" s="75">
        <v>126</v>
      </c>
      <c r="H7" s="75">
        <v>251</v>
      </c>
      <c r="I7" s="75">
        <v>1</v>
      </c>
      <c r="J7" s="75">
        <v>0</v>
      </c>
      <c r="K7" s="75">
        <v>7</v>
      </c>
      <c r="L7" s="75">
        <v>0</v>
      </c>
      <c r="M7" s="75">
        <v>53</v>
      </c>
      <c r="N7" s="75">
        <v>8</v>
      </c>
      <c r="O7" s="75">
        <v>1.7</v>
      </c>
      <c r="P7" s="75">
        <v>4</v>
      </c>
      <c r="Q7" s="10">
        <f>SUM(K7:L7)</f>
        <v>7</v>
      </c>
      <c r="R7" s="10">
        <f>M7+N7</f>
        <v>61</v>
      </c>
    </row>
    <row r="8" spans="1:18" ht="15" thickBot="1" x14ac:dyDescent="0.35">
      <c r="A8" s="75" t="s">
        <v>232</v>
      </c>
      <c r="B8" s="75">
        <v>229184</v>
      </c>
      <c r="C8" s="75" t="s">
        <v>81</v>
      </c>
      <c r="D8" s="75" t="s">
        <v>148</v>
      </c>
      <c r="E8" s="75">
        <v>6759</v>
      </c>
      <c r="F8" s="75">
        <v>6301</v>
      </c>
      <c r="G8" s="75">
        <v>188</v>
      </c>
      <c r="H8" s="75">
        <v>300</v>
      </c>
      <c r="I8" s="75">
        <v>0</v>
      </c>
      <c r="J8" s="75">
        <v>0</v>
      </c>
      <c r="K8" s="75">
        <v>7</v>
      </c>
      <c r="L8" s="75">
        <v>0</v>
      </c>
      <c r="M8" s="75">
        <v>36</v>
      </c>
      <c r="N8" s="75">
        <v>21</v>
      </c>
      <c r="O8" s="75">
        <v>3</v>
      </c>
      <c r="P8" s="75">
        <v>6.43</v>
      </c>
      <c r="Q8" s="10">
        <f>SUM(K8:L8)</f>
        <v>7</v>
      </c>
      <c r="R8" s="10">
        <f>M8+N8</f>
        <v>57</v>
      </c>
    </row>
    <row r="9" spans="1:18" ht="15" thickBot="1" x14ac:dyDescent="0.35">
      <c r="A9" s="75" t="s">
        <v>232</v>
      </c>
      <c r="B9" s="75">
        <v>211238</v>
      </c>
      <c r="C9" s="75" t="s">
        <v>80</v>
      </c>
      <c r="D9" s="75" t="s">
        <v>148</v>
      </c>
      <c r="E9" s="75">
        <v>6599</v>
      </c>
      <c r="F9" s="75">
        <v>2879</v>
      </c>
      <c r="G9" s="75">
        <v>165</v>
      </c>
      <c r="H9" s="75">
        <v>192</v>
      </c>
      <c r="I9" s="75">
        <v>0</v>
      </c>
      <c r="J9" s="75">
        <v>0</v>
      </c>
      <c r="K9" s="75">
        <v>9</v>
      </c>
      <c r="L9" s="75">
        <v>0</v>
      </c>
      <c r="M9" s="75">
        <v>40</v>
      </c>
      <c r="N9" s="75">
        <v>15</v>
      </c>
      <c r="O9" s="75">
        <v>3.12</v>
      </c>
      <c r="P9" s="75">
        <v>4.47</v>
      </c>
      <c r="Q9" s="10">
        <f>SUM(K9:L9)</f>
        <v>9</v>
      </c>
      <c r="R9" s="10">
        <f>M9+N9</f>
        <v>55</v>
      </c>
    </row>
    <row r="10" spans="1:18" ht="15" thickBot="1" x14ac:dyDescent="0.35">
      <c r="A10" s="75" t="s">
        <v>231</v>
      </c>
      <c r="B10" s="75">
        <v>223136</v>
      </c>
      <c r="C10" s="75" t="s">
        <v>101</v>
      </c>
      <c r="D10" s="75" t="s">
        <v>148</v>
      </c>
      <c r="E10" s="75">
        <v>5424</v>
      </c>
      <c r="F10" s="75">
        <v>3172</v>
      </c>
      <c r="G10" s="75">
        <v>132</v>
      </c>
      <c r="H10" s="75">
        <v>227</v>
      </c>
      <c r="I10" s="75">
        <v>0</v>
      </c>
      <c r="J10" s="75">
        <v>0</v>
      </c>
      <c r="K10" s="75">
        <v>5</v>
      </c>
      <c r="L10" s="75">
        <v>0</v>
      </c>
      <c r="M10" s="75">
        <v>41</v>
      </c>
      <c r="N10" s="75">
        <v>14</v>
      </c>
      <c r="O10" s="75">
        <v>1.71</v>
      </c>
      <c r="P10" s="75">
        <v>4.5</v>
      </c>
      <c r="Q10" s="10">
        <f>SUM(K10:L10)</f>
        <v>5</v>
      </c>
      <c r="R10" s="10">
        <f>M10+N10</f>
        <v>55</v>
      </c>
    </row>
    <row r="11" spans="1:18" ht="15" thickBot="1" x14ac:dyDescent="0.35">
      <c r="A11" s="75" t="s">
        <v>232</v>
      </c>
      <c r="B11" s="75">
        <v>344006</v>
      </c>
      <c r="C11" s="75" t="s">
        <v>84</v>
      </c>
      <c r="D11" s="75" t="s">
        <v>148</v>
      </c>
      <c r="E11" s="75">
        <v>7430</v>
      </c>
      <c r="F11" s="75">
        <v>2749</v>
      </c>
      <c r="G11" s="75">
        <v>191</v>
      </c>
      <c r="H11" s="75">
        <v>196</v>
      </c>
      <c r="I11" s="75">
        <v>0</v>
      </c>
      <c r="J11" s="75">
        <v>0</v>
      </c>
      <c r="K11" s="75">
        <v>5</v>
      </c>
      <c r="L11" s="75">
        <v>0</v>
      </c>
      <c r="M11" s="75">
        <v>39</v>
      </c>
      <c r="N11" s="75">
        <v>14</v>
      </c>
      <c r="O11" s="75">
        <v>2.67</v>
      </c>
      <c r="P11" s="75">
        <v>2.79</v>
      </c>
      <c r="Q11" s="10">
        <f>SUM(K11:L11)</f>
        <v>5</v>
      </c>
      <c r="R11" s="10">
        <f>M11+N11</f>
        <v>53</v>
      </c>
    </row>
    <row r="12" spans="1:18" ht="15" thickBot="1" x14ac:dyDescent="0.35">
      <c r="A12" s="75" t="s">
        <v>234</v>
      </c>
      <c r="B12" s="75">
        <v>226769</v>
      </c>
      <c r="C12" s="75" t="s">
        <v>106</v>
      </c>
      <c r="D12" s="75" t="s">
        <v>148</v>
      </c>
      <c r="E12" s="75">
        <v>5432</v>
      </c>
      <c r="F12" s="75">
        <v>2030</v>
      </c>
      <c r="G12" s="75">
        <v>118</v>
      </c>
      <c r="H12" s="75">
        <v>290</v>
      </c>
      <c r="I12" s="75">
        <v>0</v>
      </c>
      <c r="J12" s="75">
        <v>0</v>
      </c>
      <c r="K12" s="75">
        <v>10</v>
      </c>
      <c r="L12" s="75">
        <v>0</v>
      </c>
      <c r="M12" s="75">
        <v>46</v>
      </c>
      <c r="N12" s="75">
        <v>7</v>
      </c>
      <c r="O12" s="75">
        <v>1.91</v>
      </c>
      <c r="P12" s="75">
        <v>5.29</v>
      </c>
      <c r="Q12" s="10">
        <f>SUM(K12:L12)</f>
        <v>10</v>
      </c>
      <c r="R12" s="10">
        <f>M12+N12</f>
        <v>53</v>
      </c>
    </row>
    <row r="13" spans="1:18" ht="15" thickBot="1" x14ac:dyDescent="0.35">
      <c r="A13" s="75" t="s">
        <v>230</v>
      </c>
      <c r="B13" s="75">
        <v>377138</v>
      </c>
      <c r="C13" s="75" t="s">
        <v>70</v>
      </c>
      <c r="D13" s="75" t="s">
        <v>148</v>
      </c>
      <c r="E13" s="75">
        <v>6328</v>
      </c>
      <c r="F13" s="75">
        <v>1351</v>
      </c>
      <c r="G13" s="75">
        <v>135</v>
      </c>
      <c r="H13" s="75">
        <v>270</v>
      </c>
      <c r="I13" s="75">
        <v>0</v>
      </c>
      <c r="J13" s="75">
        <v>0</v>
      </c>
      <c r="K13" s="75">
        <v>11</v>
      </c>
      <c r="L13" s="75">
        <v>0</v>
      </c>
      <c r="M13" s="75">
        <v>47</v>
      </c>
      <c r="N13" s="75">
        <v>5</v>
      </c>
      <c r="O13" s="75">
        <v>1.85</v>
      </c>
      <c r="P13" s="75">
        <v>4.2</v>
      </c>
      <c r="Q13" s="10">
        <f>SUM(K13:L13)</f>
        <v>11</v>
      </c>
      <c r="R13" s="10">
        <f>M13+N13</f>
        <v>52</v>
      </c>
    </row>
    <row r="14" spans="1:18" ht="15" thickBot="1" x14ac:dyDescent="0.35">
      <c r="A14" s="75" t="s">
        <v>230</v>
      </c>
      <c r="B14" s="75">
        <v>366164</v>
      </c>
      <c r="C14" s="75" t="s">
        <v>72</v>
      </c>
      <c r="D14" s="75" t="s">
        <v>148</v>
      </c>
      <c r="E14" s="75">
        <v>6968</v>
      </c>
      <c r="F14" s="75">
        <v>1616</v>
      </c>
      <c r="G14" s="75">
        <v>162</v>
      </c>
      <c r="H14" s="75">
        <v>404</v>
      </c>
      <c r="I14" s="75">
        <v>0</v>
      </c>
      <c r="J14" s="75">
        <v>0</v>
      </c>
      <c r="K14" s="75">
        <v>7</v>
      </c>
      <c r="L14" s="75">
        <v>0</v>
      </c>
      <c r="M14" s="75">
        <v>43</v>
      </c>
      <c r="N14" s="75">
        <v>4</v>
      </c>
      <c r="O14" s="75">
        <v>1.44</v>
      </c>
      <c r="P14" s="75">
        <v>6</v>
      </c>
      <c r="Q14" s="10">
        <f>SUM(K14:L14)</f>
        <v>7</v>
      </c>
      <c r="R14" s="10">
        <f>M14+N14</f>
        <v>47</v>
      </c>
    </row>
    <row r="15" spans="1:18" ht="15" thickBot="1" x14ac:dyDescent="0.35">
      <c r="A15" s="75" t="s">
        <v>230</v>
      </c>
      <c r="B15" s="75">
        <v>148067</v>
      </c>
      <c r="C15" s="75" t="s">
        <v>75</v>
      </c>
      <c r="D15" s="75" t="s">
        <v>148</v>
      </c>
      <c r="E15" s="75">
        <v>6706</v>
      </c>
      <c r="F15" s="75">
        <v>670</v>
      </c>
      <c r="G15" s="75">
        <v>149</v>
      </c>
      <c r="H15" s="75">
        <v>335</v>
      </c>
      <c r="I15" s="75">
        <v>0</v>
      </c>
      <c r="J15" s="75">
        <v>0</v>
      </c>
      <c r="K15" s="75">
        <v>4</v>
      </c>
      <c r="L15" s="75">
        <v>0</v>
      </c>
      <c r="M15" s="75">
        <v>45</v>
      </c>
      <c r="N15" s="75">
        <v>2</v>
      </c>
      <c r="O15" s="75">
        <v>2.04</v>
      </c>
      <c r="P15" s="75">
        <v>6.5</v>
      </c>
      <c r="Q15" s="10">
        <f>SUM(K15:L15)</f>
        <v>4</v>
      </c>
      <c r="R15" s="10">
        <f>M15+N15</f>
        <v>47</v>
      </c>
    </row>
    <row r="16" spans="1:18" ht="15" thickBot="1" x14ac:dyDescent="0.35">
      <c r="A16" s="75" t="s">
        <v>234</v>
      </c>
      <c r="B16" s="75">
        <v>150320</v>
      </c>
      <c r="C16" s="75" t="s">
        <v>104</v>
      </c>
      <c r="D16" s="75" t="s">
        <v>148</v>
      </c>
      <c r="E16" s="75">
        <v>6327</v>
      </c>
      <c r="F16" s="75">
        <v>1362</v>
      </c>
      <c r="G16" s="75">
        <v>162</v>
      </c>
      <c r="H16" s="75">
        <v>227</v>
      </c>
      <c r="I16" s="75">
        <v>0</v>
      </c>
      <c r="J16" s="75">
        <v>0</v>
      </c>
      <c r="K16" s="75">
        <v>8</v>
      </c>
      <c r="L16" s="75">
        <v>0</v>
      </c>
      <c r="M16" s="75">
        <v>39</v>
      </c>
      <c r="N16" s="75">
        <v>6</v>
      </c>
      <c r="O16" s="75">
        <v>2.15</v>
      </c>
      <c r="P16" s="75">
        <v>5.83</v>
      </c>
      <c r="Q16" s="10">
        <f>SUM(K16:L16)</f>
        <v>8</v>
      </c>
      <c r="R16" s="10">
        <f>M16+N16</f>
        <v>45</v>
      </c>
    </row>
    <row r="17" spans="1:18" ht="15" thickBot="1" x14ac:dyDescent="0.35">
      <c r="A17" s="75" t="s">
        <v>232</v>
      </c>
      <c r="B17" s="75">
        <v>244208</v>
      </c>
      <c r="C17" s="75" t="s">
        <v>83</v>
      </c>
      <c r="D17" s="75" t="s">
        <v>148</v>
      </c>
      <c r="E17" s="75">
        <v>5516</v>
      </c>
      <c r="F17" s="75">
        <v>2216</v>
      </c>
      <c r="G17" s="75">
        <v>149</v>
      </c>
      <c r="H17" s="75">
        <v>277</v>
      </c>
      <c r="I17" s="75">
        <v>0</v>
      </c>
      <c r="J17" s="75">
        <v>0</v>
      </c>
      <c r="K17" s="75">
        <v>7</v>
      </c>
      <c r="L17" s="75">
        <v>0</v>
      </c>
      <c r="M17" s="75">
        <v>37</v>
      </c>
      <c r="N17" s="75">
        <v>8</v>
      </c>
      <c r="O17" s="75">
        <v>3.14</v>
      </c>
      <c r="P17" s="75">
        <v>6.5</v>
      </c>
      <c r="Q17" s="10">
        <f>SUM(K17:L17)</f>
        <v>7</v>
      </c>
      <c r="R17" s="10">
        <f>M17+N17</f>
        <v>45</v>
      </c>
    </row>
    <row r="18" spans="1:18" ht="15" thickBot="1" x14ac:dyDescent="0.35">
      <c r="A18" s="75" t="s">
        <v>233</v>
      </c>
      <c r="B18" s="75">
        <v>362591</v>
      </c>
      <c r="C18" s="75" t="s">
        <v>89</v>
      </c>
      <c r="D18" s="75" t="s">
        <v>148</v>
      </c>
      <c r="E18" s="75">
        <v>5066</v>
      </c>
      <c r="F18" s="75">
        <v>2269</v>
      </c>
      <c r="G18" s="75">
        <v>149</v>
      </c>
      <c r="H18" s="75">
        <v>324</v>
      </c>
      <c r="I18" s="75">
        <v>0</v>
      </c>
      <c r="J18" s="75">
        <v>0</v>
      </c>
      <c r="K18" s="75">
        <v>6</v>
      </c>
      <c r="L18" s="75">
        <v>0</v>
      </c>
      <c r="M18" s="75">
        <v>34</v>
      </c>
      <c r="N18" s="75">
        <v>7</v>
      </c>
      <c r="O18" s="75">
        <v>2.12</v>
      </c>
      <c r="P18" s="75">
        <v>6</v>
      </c>
      <c r="Q18" s="10">
        <f>SUM(K18:L18)</f>
        <v>6</v>
      </c>
      <c r="R18" s="10">
        <f>M18+N18</f>
        <v>41</v>
      </c>
    </row>
    <row r="19" spans="1:18" ht="15" thickBot="1" x14ac:dyDescent="0.35">
      <c r="A19" s="75" t="s">
        <v>230</v>
      </c>
      <c r="B19" s="75">
        <v>402602</v>
      </c>
      <c r="C19" s="75" t="s">
        <v>77</v>
      </c>
      <c r="D19" s="75" t="s">
        <v>148</v>
      </c>
      <c r="E19" s="75">
        <v>4883</v>
      </c>
      <c r="F19" s="75">
        <v>1826</v>
      </c>
      <c r="G19" s="75">
        <v>153</v>
      </c>
      <c r="H19" s="75">
        <v>261</v>
      </c>
      <c r="I19" s="75">
        <v>0</v>
      </c>
      <c r="J19" s="75">
        <v>0</v>
      </c>
      <c r="K19" s="75">
        <v>11</v>
      </c>
      <c r="L19" s="75">
        <v>1</v>
      </c>
      <c r="M19" s="75">
        <v>32</v>
      </c>
      <c r="N19" s="75">
        <v>7</v>
      </c>
      <c r="O19" s="75">
        <v>2.69</v>
      </c>
      <c r="P19" s="75">
        <v>3.43</v>
      </c>
      <c r="Q19" s="10">
        <f>SUM(K19:L19)</f>
        <v>12</v>
      </c>
      <c r="R19" s="10">
        <f>M19+N19</f>
        <v>39</v>
      </c>
    </row>
    <row r="20" spans="1:18" ht="15" thickBot="1" x14ac:dyDescent="0.35">
      <c r="A20" s="75" t="s">
        <v>233</v>
      </c>
      <c r="B20" s="75">
        <v>206765</v>
      </c>
      <c r="C20" s="75" t="s">
        <v>90</v>
      </c>
      <c r="D20" s="75" t="s">
        <v>148</v>
      </c>
      <c r="E20" s="75">
        <v>5044</v>
      </c>
      <c r="F20" s="75">
        <v>1054</v>
      </c>
      <c r="G20" s="75">
        <v>144</v>
      </c>
      <c r="H20" s="75">
        <v>351</v>
      </c>
      <c r="I20" s="75">
        <v>0</v>
      </c>
      <c r="J20" s="75">
        <v>0</v>
      </c>
      <c r="K20" s="75">
        <v>3</v>
      </c>
      <c r="L20" s="75">
        <v>0</v>
      </c>
      <c r="M20" s="75">
        <v>35</v>
      </c>
      <c r="N20" s="75">
        <v>3</v>
      </c>
      <c r="O20" s="75">
        <v>1.91</v>
      </c>
      <c r="P20" s="75">
        <v>8.33</v>
      </c>
      <c r="Q20" s="10">
        <f>SUM(K20:L20)</f>
        <v>3</v>
      </c>
      <c r="R20" s="10">
        <f>M20+N20</f>
        <v>38</v>
      </c>
    </row>
    <row r="21" spans="1:18" ht="15" thickBot="1" x14ac:dyDescent="0.35">
      <c r="A21" s="75" t="s">
        <v>234</v>
      </c>
      <c r="B21" s="75">
        <v>323123</v>
      </c>
      <c r="C21" s="75" t="s">
        <v>105</v>
      </c>
      <c r="D21" s="75" t="s">
        <v>148</v>
      </c>
      <c r="E21" s="75">
        <v>3818</v>
      </c>
      <c r="F21" s="75">
        <v>2115</v>
      </c>
      <c r="G21" s="75">
        <v>132</v>
      </c>
      <c r="H21" s="75">
        <v>264</v>
      </c>
      <c r="I21" s="75">
        <v>0</v>
      </c>
      <c r="J21" s="75">
        <v>0</v>
      </c>
      <c r="K21" s="75">
        <v>4</v>
      </c>
      <c r="L21" s="75">
        <v>0</v>
      </c>
      <c r="M21" s="75">
        <v>29</v>
      </c>
      <c r="N21" s="75">
        <v>8</v>
      </c>
      <c r="O21" s="75">
        <v>2.66</v>
      </c>
      <c r="P21" s="75">
        <v>5.62</v>
      </c>
      <c r="Q21" s="10">
        <f>SUM(K21:L21)</f>
        <v>4</v>
      </c>
      <c r="R21" s="10">
        <f>M21+N21</f>
        <v>37</v>
      </c>
    </row>
    <row r="22" spans="1:18" ht="15" thickBot="1" x14ac:dyDescent="0.35">
      <c r="A22" s="75" t="s">
        <v>234</v>
      </c>
      <c r="B22" s="75">
        <v>313898</v>
      </c>
      <c r="C22" s="75" t="s">
        <v>108</v>
      </c>
      <c r="D22" s="75" t="s">
        <v>148</v>
      </c>
      <c r="E22" s="75">
        <v>4668</v>
      </c>
      <c r="F22" s="75">
        <v>1601</v>
      </c>
      <c r="G22" s="75">
        <v>161</v>
      </c>
      <c r="H22" s="75">
        <v>267</v>
      </c>
      <c r="I22" s="75">
        <v>0</v>
      </c>
      <c r="J22" s="75">
        <v>0</v>
      </c>
      <c r="K22" s="75">
        <v>5</v>
      </c>
      <c r="L22" s="75">
        <v>0</v>
      </c>
      <c r="M22" s="75">
        <v>29</v>
      </c>
      <c r="N22" s="75">
        <v>6</v>
      </c>
      <c r="O22" s="75">
        <v>2.34</v>
      </c>
      <c r="P22" s="75">
        <v>5.33</v>
      </c>
      <c r="Q22" s="10">
        <f>SUM(K22:L22)</f>
        <v>5</v>
      </c>
      <c r="R22" s="10">
        <f>M22+N22</f>
        <v>35</v>
      </c>
    </row>
    <row r="23" spans="1:18" ht="15" thickBot="1" x14ac:dyDescent="0.35">
      <c r="A23" s="75" t="s">
        <v>235</v>
      </c>
      <c r="B23" s="75">
        <v>274211</v>
      </c>
      <c r="C23" s="75" t="s">
        <v>113</v>
      </c>
      <c r="D23" s="75" t="s">
        <v>148</v>
      </c>
      <c r="E23" s="75">
        <v>7002</v>
      </c>
      <c r="F23" s="75">
        <v>2645</v>
      </c>
      <c r="G23" s="75">
        <v>233</v>
      </c>
      <c r="H23" s="75">
        <v>661</v>
      </c>
      <c r="I23" s="75">
        <v>0</v>
      </c>
      <c r="J23" s="75">
        <v>0</v>
      </c>
      <c r="K23" s="75">
        <v>15</v>
      </c>
      <c r="L23" s="75">
        <v>0</v>
      </c>
      <c r="M23" s="75">
        <v>30</v>
      </c>
      <c r="N23" s="75">
        <v>4</v>
      </c>
      <c r="O23" s="75">
        <v>2.0299999999999998</v>
      </c>
      <c r="P23" s="75">
        <v>2.25</v>
      </c>
      <c r="Q23" s="10">
        <f>SUM(K23:L23)</f>
        <v>15</v>
      </c>
      <c r="R23" s="10">
        <f>M23+N23</f>
        <v>34</v>
      </c>
    </row>
    <row r="24" spans="1:18" ht="15" thickBot="1" x14ac:dyDescent="0.35">
      <c r="A24" s="75" t="s">
        <v>235</v>
      </c>
      <c r="B24" s="75">
        <v>315296</v>
      </c>
      <c r="C24" s="75" t="s">
        <v>120</v>
      </c>
      <c r="D24" s="75" t="s">
        <v>148</v>
      </c>
      <c r="E24" s="75">
        <v>10510</v>
      </c>
      <c r="F24" s="75">
        <v>226</v>
      </c>
      <c r="G24" s="75">
        <v>339</v>
      </c>
      <c r="H24" s="75">
        <v>113</v>
      </c>
      <c r="I24" s="75">
        <v>0</v>
      </c>
      <c r="J24" s="75">
        <v>0</v>
      </c>
      <c r="K24" s="75">
        <v>5</v>
      </c>
      <c r="L24" s="75">
        <v>0</v>
      </c>
      <c r="M24" s="75">
        <v>31</v>
      </c>
      <c r="N24" s="75">
        <v>2</v>
      </c>
      <c r="O24" s="75">
        <v>1.39</v>
      </c>
      <c r="P24" s="75">
        <v>1</v>
      </c>
      <c r="Q24" s="10">
        <f>SUM(K24:L24)</f>
        <v>5</v>
      </c>
      <c r="R24" s="10">
        <f>M24+N24</f>
        <v>33</v>
      </c>
    </row>
    <row r="25" spans="1:18" ht="15" thickBot="1" x14ac:dyDescent="0.35">
      <c r="A25" s="75" t="s">
        <v>234</v>
      </c>
      <c r="B25" s="75">
        <v>346892</v>
      </c>
      <c r="C25" s="75" t="s">
        <v>107</v>
      </c>
      <c r="D25" s="75" t="s">
        <v>148</v>
      </c>
      <c r="E25" s="75">
        <v>6521</v>
      </c>
      <c r="F25" s="75">
        <v>806</v>
      </c>
      <c r="G25" s="75">
        <v>217</v>
      </c>
      <c r="H25" s="75">
        <v>269</v>
      </c>
      <c r="I25" s="75">
        <v>1</v>
      </c>
      <c r="J25" s="75">
        <v>0</v>
      </c>
      <c r="K25" s="75">
        <v>6</v>
      </c>
      <c r="L25" s="75">
        <v>0</v>
      </c>
      <c r="M25" s="75">
        <v>30</v>
      </c>
      <c r="N25" s="75">
        <v>3</v>
      </c>
      <c r="O25" s="75">
        <v>3.2</v>
      </c>
      <c r="P25" s="75">
        <v>3</v>
      </c>
      <c r="Q25" s="10">
        <f>SUM(K25:L25)</f>
        <v>6</v>
      </c>
      <c r="R25" s="10">
        <f>M25+N25</f>
        <v>33</v>
      </c>
    </row>
    <row r="26" spans="1:18" ht="15" thickBot="1" x14ac:dyDescent="0.35">
      <c r="A26" s="75" t="s">
        <v>234</v>
      </c>
      <c r="B26" s="75">
        <v>396185</v>
      </c>
      <c r="C26" s="75" t="s">
        <v>109</v>
      </c>
      <c r="D26" s="75" t="s">
        <v>148</v>
      </c>
      <c r="E26" s="75">
        <v>3838</v>
      </c>
      <c r="F26" s="75">
        <v>663</v>
      </c>
      <c r="G26" s="75">
        <v>132</v>
      </c>
      <c r="H26" s="75">
        <v>166</v>
      </c>
      <c r="I26" s="75">
        <v>1</v>
      </c>
      <c r="J26" s="75">
        <v>0</v>
      </c>
      <c r="K26" s="75">
        <v>9</v>
      </c>
      <c r="L26" s="75">
        <v>0</v>
      </c>
      <c r="M26" s="75">
        <v>29</v>
      </c>
      <c r="N26" s="75">
        <v>4</v>
      </c>
      <c r="O26" s="75">
        <v>1.79</v>
      </c>
      <c r="P26" s="75">
        <v>3</v>
      </c>
      <c r="Q26" s="10">
        <f>SUM(K26:L26)</f>
        <v>9</v>
      </c>
      <c r="R26" s="10">
        <f>M26+N26</f>
        <v>33</v>
      </c>
    </row>
    <row r="27" spans="1:18" ht="15" thickBot="1" x14ac:dyDescent="0.35">
      <c r="A27" s="75" t="s">
        <v>231</v>
      </c>
      <c r="B27" s="75">
        <v>400643</v>
      </c>
      <c r="C27" s="75" t="s">
        <v>100</v>
      </c>
      <c r="D27" s="75" t="s">
        <v>148</v>
      </c>
      <c r="E27" s="75">
        <v>4424</v>
      </c>
      <c r="F27" s="75">
        <v>1924</v>
      </c>
      <c r="G27" s="75">
        <v>164</v>
      </c>
      <c r="H27" s="75">
        <v>385</v>
      </c>
      <c r="I27" s="75">
        <v>0</v>
      </c>
      <c r="J27" s="75">
        <v>0</v>
      </c>
      <c r="K27" s="75">
        <v>7</v>
      </c>
      <c r="L27" s="75">
        <v>0</v>
      </c>
      <c r="M27" s="75">
        <v>27</v>
      </c>
      <c r="N27" s="75">
        <v>5</v>
      </c>
      <c r="O27" s="75">
        <v>1.89</v>
      </c>
      <c r="P27" s="75">
        <v>3.6</v>
      </c>
      <c r="Q27" s="10">
        <f>SUM(K27:L27)</f>
        <v>7</v>
      </c>
      <c r="R27" s="10">
        <f>M27+N27</f>
        <v>32</v>
      </c>
    </row>
    <row r="28" spans="1:18" ht="15" thickBot="1" x14ac:dyDescent="0.35">
      <c r="A28" s="75" t="s">
        <v>234</v>
      </c>
      <c r="B28" s="75">
        <v>269510</v>
      </c>
      <c r="C28" s="75" t="s">
        <v>110</v>
      </c>
      <c r="D28" s="75" t="s">
        <v>148</v>
      </c>
      <c r="E28" s="75">
        <v>4371</v>
      </c>
      <c r="F28" s="75">
        <v>1721</v>
      </c>
      <c r="G28" s="75">
        <v>151</v>
      </c>
      <c r="H28" s="75">
        <v>574</v>
      </c>
      <c r="I28" s="75">
        <v>0</v>
      </c>
      <c r="J28" s="75">
        <v>0</v>
      </c>
      <c r="K28" s="75">
        <v>8</v>
      </c>
      <c r="L28" s="75">
        <v>1</v>
      </c>
      <c r="M28" s="75">
        <v>29</v>
      </c>
      <c r="N28" s="75">
        <v>3</v>
      </c>
      <c r="O28" s="75">
        <v>2.59</v>
      </c>
      <c r="P28" s="75">
        <v>6</v>
      </c>
      <c r="Q28" s="10">
        <f>SUM(K28:L28)</f>
        <v>9</v>
      </c>
      <c r="R28" s="10">
        <f>M28+N28</f>
        <v>32</v>
      </c>
    </row>
    <row r="29" spans="1:18" ht="15" thickBot="1" x14ac:dyDescent="0.35">
      <c r="A29" s="75" t="s">
        <v>235</v>
      </c>
      <c r="B29" s="75">
        <v>94762</v>
      </c>
      <c r="C29" s="75" t="s">
        <v>115</v>
      </c>
      <c r="D29" s="75" t="s">
        <v>148</v>
      </c>
      <c r="E29" s="75">
        <v>6172</v>
      </c>
      <c r="F29" s="75">
        <v>1640</v>
      </c>
      <c r="G29" s="75">
        <v>229</v>
      </c>
      <c r="H29" s="75">
        <v>547</v>
      </c>
      <c r="I29" s="75">
        <v>0</v>
      </c>
      <c r="J29" s="75">
        <v>0</v>
      </c>
      <c r="K29" s="75">
        <v>10</v>
      </c>
      <c r="L29" s="75">
        <v>0</v>
      </c>
      <c r="M29" s="75">
        <v>27</v>
      </c>
      <c r="N29" s="75">
        <v>3</v>
      </c>
      <c r="O29" s="75">
        <v>1.33</v>
      </c>
      <c r="P29" s="75">
        <v>6</v>
      </c>
      <c r="Q29" s="10">
        <f>SUM(K29:L29)</f>
        <v>10</v>
      </c>
      <c r="R29" s="10">
        <f>M29+N29</f>
        <v>30</v>
      </c>
    </row>
    <row r="30" spans="1:18" ht="15" thickBot="1" x14ac:dyDescent="0.35">
      <c r="A30" s="75" t="s">
        <v>233</v>
      </c>
      <c r="B30" s="75">
        <v>176522</v>
      </c>
      <c r="C30" s="75" t="s">
        <v>92</v>
      </c>
      <c r="D30" s="75" t="s">
        <v>148</v>
      </c>
      <c r="E30" s="75">
        <v>4201</v>
      </c>
      <c r="F30" s="75">
        <v>822</v>
      </c>
      <c r="G30" s="75">
        <v>162</v>
      </c>
      <c r="H30" s="75">
        <v>205</v>
      </c>
      <c r="I30" s="75">
        <v>0</v>
      </c>
      <c r="J30" s="75">
        <v>0</v>
      </c>
      <c r="K30" s="75">
        <v>5</v>
      </c>
      <c r="L30" s="75">
        <v>0</v>
      </c>
      <c r="M30" s="75">
        <v>26</v>
      </c>
      <c r="N30" s="75">
        <v>4</v>
      </c>
      <c r="O30" s="75">
        <v>2.88</v>
      </c>
      <c r="P30" s="75">
        <v>2.75</v>
      </c>
      <c r="Q30" s="10">
        <f>SUM(K30:L30)</f>
        <v>5</v>
      </c>
      <c r="R30" s="10">
        <f>M30+N30</f>
        <v>30</v>
      </c>
    </row>
    <row r="31" spans="1:18" ht="15" thickBot="1" x14ac:dyDescent="0.35">
      <c r="A31" s="75" t="s">
        <v>232</v>
      </c>
      <c r="B31" s="75">
        <v>398327</v>
      </c>
      <c r="C31" s="75" t="s">
        <v>82</v>
      </c>
      <c r="D31" s="75" t="s">
        <v>148</v>
      </c>
      <c r="E31" s="75">
        <v>2895</v>
      </c>
      <c r="F31" s="75">
        <v>3450</v>
      </c>
      <c r="G31" s="75">
        <v>161</v>
      </c>
      <c r="H31" s="75">
        <v>287</v>
      </c>
      <c r="I31" s="75">
        <v>0</v>
      </c>
      <c r="J31" s="75">
        <v>0</v>
      </c>
      <c r="K31" s="75">
        <v>5</v>
      </c>
      <c r="L31" s="75">
        <v>0</v>
      </c>
      <c r="M31" s="75">
        <v>18</v>
      </c>
      <c r="N31" s="75">
        <v>12</v>
      </c>
      <c r="O31" s="75">
        <v>3.44</v>
      </c>
      <c r="P31" s="75">
        <v>6.5</v>
      </c>
      <c r="Q31" s="10">
        <f>SUM(K31:L31)</f>
        <v>5</v>
      </c>
      <c r="R31" s="10">
        <f>M31+N31</f>
        <v>30</v>
      </c>
    </row>
    <row r="32" spans="1:18" ht="15" thickBot="1" x14ac:dyDescent="0.35">
      <c r="A32" s="75" t="s">
        <v>235</v>
      </c>
      <c r="B32" s="75">
        <v>213518</v>
      </c>
      <c r="C32" s="75" t="s">
        <v>54</v>
      </c>
      <c r="D32" s="75" t="s">
        <v>148</v>
      </c>
      <c r="E32" s="75">
        <v>7977</v>
      </c>
      <c r="F32" s="75">
        <v>841</v>
      </c>
      <c r="G32" s="75">
        <v>319</v>
      </c>
      <c r="H32" s="75">
        <v>210</v>
      </c>
      <c r="I32" s="75">
        <v>1</v>
      </c>
      <c r="J32" s="75">
        <v>0</v>
      </c>
      <c r="K32" s="75">
        <v>15</v>
      </c>
      <c r="L32" s="75">
        <v>1</v>
      </c>
      <c r="M32" s="75">
        <v>25</v>
      </c>
      <c r="N32" s="75">
        <v>4</v>
      </c>
      <c r="O32" s="75">
        <v>1.8</v>
      </c>
      <c r="P32" s="75">
        <v>1.5</v>
      </c>
      <c r="Q32" s="10">
        <f>SUM(K32:L32)</f>
        <v>16</v>
      </c>
      <c r="R32" s="10">
        <f>M32+N32</f>
        <v>29</v>
      </c>
    </row>
    <row r="33" spans="1:18" ht="15" thickBot="1" x14ac:dyDescent="0.35">
      <c r="A33" s="75" t="s">
        <v>235</v>
      </c>
      <c r="B33" s="75">
        <v>397772</v>
      </c>
      <c r="C33" s="75" t="s">
        <v>117</v>
      </c>
      <c r="D33" s="75" t="s">
        <v>148</v>
      </c>
      <c r="E33" s="75">
        <v>4423</v>
      </c>
      <c r="F33" s="75">
        <v>0</v>
      </c>
      <c r="G33" s="75">
        <v>152</v>
      </c>
      <c r="H33" s="75">
        <v>0</v>
      </c>
      <c r="I33" s="75">
        <v>0</v>
      </c>
      <c r="J33" s="75">
        <v>0</v>
      </c>
      <c r="K33" s="75">
        <v>16</v>
      </c>
      <c r="L33" s="75">
        <v>0</v>
      </c>
      <c r="M33" s="75">
        <v>29</v>
      </c>
      <c r="N33" s="75">
        <v>0</v>
      </c>
      <c r="O33" s="75">
        <v>2.69</v>
      </c>
      <c r="P33" s="75">
        <v>0</v>
      </c>
      <c r="Q33" s="10">
        <f>SUM(K33:L33)</f>
        <v>16</v>
      </c>
      <c r="R33" s="10">
        <f>M33+N33</f>
        <v>29</v>
      </c>
    </row>
    <row r="34" spans="1:18" ht="15" thickBot="1" x14ac:dyDescent="0.35">
      <c r="A34" s="75" t="s">
        <v>230</v>
      </c>
      <c r="B34" s="75">
        <v>393299</v>
      </c>
      <c r="C34" s="75" t="s">
        <v>71</v>
      </c>
      <c r="D34" s="75" t="s">
        <v>148</v>
      </c>
      <c r="E34" s="75">
        <v>3517</v>
      </c>
      <c r="F34" s="75">
        <v>1088</v>
      </c>
      <c r="G34" s="75">
        <v>135</v>
      </c>
      <c r="H34" s="75">
        <v>363</v>
      </c>
      <c r="I34" s="75">
        <v>0</v>
      </c>
      <c r="J34" s="75">
        <v>0</v>
      </c>
      <c r="K34" s="75">
        <v>3</v>
      </c>
      <c r="L34" s="75">
        <v>0</v>
      </c>
      <c r="M34" s="75">
        <v>26</v>
      </c>
      <c r="N34" s="75">
        <v>3</v>
      </c>
      <c r="O34" s="75">
        <v>2</v>
      </c>
      <c r="P34" s="75">
        <v>4</v>
      </c>
      <c r="Q34" s="10">
        <f>SUM(K34:L34)</f>
        <v>3</v>
      </c>
      <c r="R34" s="10">
        <f>M34+N34</f>
        <v>29</v>
      </c>
    </row>
    <row r="35" spans="1:18" ht="15" thickBot="1" x14ac:dyDescent="0.35">
      <c r="A35" s="75" t="s">
        <v>230</v>
      </c>
      <c r="B35" s="75">
        <v>395438</v>
      </c>
      <c r="C35" s="75" t="s">
        <v>76</v>
      </c>
      <c r="D35" s="75" t="s">
        <v>148</v>
      </c>
      <c r="E35" s="75">
        <v>3489</v>
      </c>
      <c r="F35" s="75">
        <v>1319</v>
      </c>
      <c r="G35" s="75">
        <v>145</v>
      </c>
      <c r="H35" s="75">
        <v>264</v>
      </c>
      <c r="I35" s="75">
        <v>0</v>
      </c>
      <c r="J35" s="75">
        <v>0</v>
      </c>
      <c r="K35" s="75">
        <v>10</v>
      </c>
      <c r="L35" s="75">
        <v>0</v>
      </c>
      <c r="M35" s="75">
        <v>24</v>
      </c>
      <c r="N35" s="75">
        <v>5</v>
      </c>
      <c r="O35" s="75">
        <v>2.71</v>
      </c>
      <c r="P35" s="75">
        <v>4</v>
      </c>
      <c r="Q35" s="10">
        <f>SUM(K35:L35)</f>
        <v>10</v>
      </c>
      <c r="R35" s="10">
        <f>M35+N35</f>
        <v>29</v>
      </c>
    </row>
    <row r="36" spans="1:18" ht="15" thickBot="1" x14ac:dyDescent="0.35">
      <c r="A36" s="75" t="s">
        <v>231</v>
      </c>
      <c r="B36" s="75">
        <v>115922</v>
      </c>
      <c r="C36" s="75" t="s">
        <v>99</v>
      </c>
      <c r="D36" s="75" t="s">
        <v>148</v>
      </c>
      <c r="E36" s="75">
        <v>2807</v>
      </c>
      <c r="F36" s="75">
        <v>2233</v>
      </c>
      <c r="G36" s="75">
        <v>156</v>
      </c>
      <c r="H36" s="75">
        <v>319</v>
      </c>
      <c r="I36" s="75">
        <v>0</v>
      </c>
      <c r="J36" s="75">
        <v>0</v>
      </c>
      <c r="K36" s="75">
        <v>7</v>
      </c>
      <c r="L36" s="75">
        <v>0</v>
      </c>
      <c r="M36" s="75">
        <v>18</v>
      </c>
      <c r="N36" s="75">
        <v>7</v>
      </c>
      <c r="O36" s="75">
        <v>1.94</v>
      </c>
      <c r="P36" s="75">
        <v>8</v>
      </c>
      <c r="Q36" s="10">
        <f>SUM(K36:L36)</f>
        <v>7</v>
      </c>
      <c r="R36" s="10">
        <f>M36+N36</f>
        <v>25</v>
      </c>
    </row>
    <row r="37" spans="1:18" ht="15" thickBot="1" x14ac:dyDescent="0.35">
      <c r="A37" s="75" t="s">
        <v>230</v>
      </c>
      <c r="B37" s="75">
        <v>408140</v>
      </c>
      <c r="C37" s="75" t="s">
        <v>74</v>
      </c>
      <c r="D37" s="75" t="s">
        <v>148</v>
      </c>
      <c r="E37" s="75">
        <v>3927</v>
      </c>
      <c r="F37" s="75">
        <v>1655</v>
      </c>
      <c r="G37" s="75">
        <v>196</v>
      </c>
      <c r="H37" s="75">
        <v>414</v>
      </c>
      <c r="I37" s="75">
        <v>0</v>
      </c>
      <c r="J37" s="75">
        <v>0</v>
      </c>
      <c r="K37" s="75">
        <v>6</v>
      </c>
      <c r="L37" s="75">
        <v>0</v>
      </c>
      <c r="M37" s="75">
        <v>20</v>
      </c>
      <c r="N37" s="75">
        <v>4</v>
      </c>
      <c r="O37" s="75">
        <v>2</v>
      </c>
      <c r="P37" s="75">
        <v>5.5</v>
      </c>
      <c r="Q37" s="10">
        <f>SUM(K37:L37)</f>
        <v>6</v>
      </c>
      <c r="R37" s="10">
        <f>M37+N37</f>
        <v>24</v>
      </c>
    </row>
    <row r="38" spans="1:18" ht="15" thickBot="1" x14ac:dyDescent="0.35">
      <c r="A38" s="75" t="s">
        <v>235</v>
      </c>
      <c r="B38" s="75">
        <v>452123</v>
      </c>
      <c r="C38" s="75" t="s">
        <v>126</v>
      </c>
      <c r="D38" s="75" t="s">
        <v>148</v>
      </c>
      <c r="E38" s="75">
        <v>3492</v>
      </c>
      <c r="F38" s="75">
        <v>118</v>
      </c>
      <c r="G38" s="75">
        <v>159</v>
      </c>
      <c r="H38" s="75">
        <v>118</v>
      </c>
      <c r="I38" s="75">
        <v>2</v>
      </c>
      <c r="J38" s="75">
        <v>0</v>
      </c>
      <c r="K38" s="75">
        <v>5</v>
      </c>
      <c r="L38" s="75">
        <v>0</v>
      </c>
      <c r="M38" s="75">
        <v>22</v>
      </c>
      <c r="N38" s="75">
        <v>1</v>
      </c>
      <c r="O38" s="75">
        <v>2.41</v>
      </c>
      <c r="P38" s="75">
        <v>1</v>
      </c>
      <c r="Q38" s="10">
        <f>SUM(K38:L38)</f>
        <v>5</v>
      </c>
      <c r="R38" s="10">
        <f>M38+N38</f>
        <v>23</v>
      </c>
    </row>
    <row r="39" spans="1:18" ht="15" thickBot="1" x14ac:dyDescent="0.35">
      <c r="A39" s="75" t="s">
        <v>230</v>
      </c>
      <c r="B39" s="75">
        <v>251408</v>
      </c>
      <c r="C39" s="75" t="s">
        <v>78</v>
      </c>
      <c r="D39" s="75" t="s">
        <v>148</v>
      </c>
      <c r="E39" s="75">
        <v>2196</v>
      </c>
      <c r="F39" s="75">
        <v>638</v>
      </c>
      <c r="G39" s="75">
        <v>122</v>
      </c>
      <c r="H39" s="75">
        <v>160</v>
      </c>
      <c r="I39" s="75">
        <v>0</v>
      </c>
      <c r="J39" s="75">
        <v>0</v>
      </c>
      <c r="K39" s="75">
        <v>8</v>
      </c>
      <c r="L39" s="75">
        <v>1</v>
      </c>
      <c r="M39" s="75">
        <v>18</v>
      </c>
      <c r="N39" s="75">
        <v>4</v>
      </c>
      <c r="O39" s="75">
        <v>1.78</v>
      </c>
      <c r="P39" s="75">
        <v>2.75</v>
      </c>
      <c r="Q39" s="10">
        <f>SUM(K39:L39)</f>
        <v>9</v>
      </c>
      <c r="R39" s="10">
        <f>M39+N39</f>
        <v>22</v>
      </c>
    </row>
    <row r="40" spans="1:18" ht="15" thickBot="1" x14ac:dyDescent="0.35">
      <c r="A40" s="75" t="s">
        <v>233</v>
      </c>
      <c r="B40" s="75">
        <v>455039</v>
      </c>
      <c r="C40" s="75" t="s">
        <v>94</v>
      </c>
      <c r="D40" s="75" t="s">
        <v>148</v>
      </c>
      <c r="E40" s="75">
        <v>2823</v>
      </c>
      <c r="F40" s="75">
        <v>238</v>
      </c>
      <c r="G40" s="75">
        <v>149</v>
      </c>
      <c r="H40" s="75">
        <v>119</v>
      </c>
      <c r="I40" s="75">
        <v>0</v>
      </c>
      <c r="J40" s="75">
        <v>0</v>
      </c>
      <c r="K40" s="75">
        <v>11</v>
      </c>
      <c r="L40" s="75">
        <v>0</v>
      </c>
      <c r="M40" s="75">
        <v>19</v>
      </c>
      <c r="N40" s="75">
        <v>2</v>
      </c>
      <c r="O40" s="75">
        <v>2.0499999999999998</v>
      </c>
      <c r="P40" s="75">
        <v>1.5</v>
      </c>
      <c r="Q40" s="10">
        <f>SUM(K40:L40)</f>
        <v>11</v>
      </c>
      <c r="R40" s="10">
        <f>M40+N40</f>
        <v>21</v>
      </c>
    </row>
    <row r="41" spans="1:18" ht="15" thickBot="1" x14ac:dyDescent="0.35">
      <c r="A41" s="75" t="s">
        <v>232</v>
      </c>
      <c r="B41" s="75">
        <v>680405</v>
      </c>
      <c r="C41" s="75" t="s">
        <v>85</v>
      </c>
      <c r="D41" s="75" t="s">
        <v>148</v>
      </c>
      <c r="E41" s="75">
        <v>1903</v>
      </c>
      <c r="F41" s="75">
        <v>944</v>
      </c>
      <c r="G41" s="75">
        <v>112</v>
      </c>
      <c r="H41" s="75">
        <v>236</v>
      </c>
      <c r="I41" s="75">
        <v>0</v>
      </c>
      <c r="J41" s="75">
        <v>0</v>
      </c>
      <c r="K41" s="75">
        <v>4</v>
      </c>
      <c r="L41" s="75">
        <v>0</v>
      </c>
      <c r="M41" s="75">
        <v>17</v>
      </c>
      <c r="N41" s="75">
        <v>4</v>
      </c>
      <c r="O41" s="75">
        <v>1.53</v>
      </c>
      <c r="P41" s="75">
        <v>4.5</v>
      </c>
      <c r="Q41" s="10">
        <f>SUM(K41:L41)</f>
        <v>4</v>
      </c>
      <c r="R41" s="10">
        <f>M41+N41</f>
        <v>21</v>
      </c>
    </row>
    <row r="42" spans="1:18" ht="15" thickBot="1" x14ac:dyDescent="0.35">
      <c r="A42" s="75" t="s">
        <v>235</v>
      </c>
      <c r="B42" s="75">
        <v>433676</v>
      </c>
      <c r="C42" s="75" t="s">
        <v>114</v>
      </c>
      <c r="D42" s="75" t="s">
        <v>148</v>
      </c>
      <c r="E42" s="75">
        <v>5340</v>
      </c>
      <c r="F42" s="75">
        <v>0</v>
      </c>
      <c r="G42" s="75">
        <v>281</v>
      </c>
      <c r="H42" s="75">
        <v>0</v>
      </c>
      <c r="I42" s="75">
        <v>0</v>
      </c>
      <c r="J42" s="75">
        <v>0</v>
      </c>
      <c r="K42" s="75">
        <v>7</v>
      </c>
      <c r="L42" s="75">
        <v>0</v>
      </c>
      <c r="M42" s="75">
        <v>19</v>
      </c>
      <c r="N42" s="75">
        <v>0</v>
      </c>
      <c r="O42" s="75">
        <v>1.42</v>
      </c>
      <c r="P42" s="75">
        <v>0</v>
      </c>
      <c r="Q42" s="10">
        <f>SUM(K42:L42)</f>
        <v>7</v>
      </c>
      <c r="R42" s="10">
        <f>M42+N42</f>
        <v>19</v>
      </c>
    </row>
    <row r="43" spans="1:18" ht="15" thickBot="1" x14ac:dyDescent="0.35">
      <c r="A43" s="75" t="s">
        <v>234</v>
      </c>
      <c r="B43" s="75">
        <v>454388</v>
      </c>
      <c r="C43" s="75" t="s">
        <v>111</v>
      </c>
      <c r="D43" s="75" t="s">
        <v>148</v>
      </c>
      <c r="E43" s="75">
        <v>2547</v>
      </c>
      <c r="F43" s="75">
        <v>106</v>
      </c>
      <c r="G43" s="75">
        <v>141</v>
      </c>
      <c r="H43" s="75">
        <v>106</v>
      </c>
      <c r="I43" s="75">
        <v>0</v>
      </c>
      <c r="J43" s="75">
        <v>0</v>
      </c>
      <c r="K43" s="75">
        <v>9</v>
      </c>
      <c r="L43" s="75">
        <v>0</v>
      </c>
      <c r="M43" s="75">
        <v>18</v>
      </c>
      <c r="N43" s="75">
        <v>1</v>
      </c>
      <c r="O43" s="75">
        <v>2.11</v>
      </c>
      <c r="P43" s="75">
        <v>1</v>
      </c>
      <c r="Q43" s="10">
        <f>SUM(K43:L43)</f>
        <v>9</v>
      </c>
      <c r="R43" s="10">
        <f>M43+N43</f>
        <v>19</v>
      </c>
    </row>
    <row r="44" spans="1:18" ht="15" thickBot="1" x14ac:dyDescent="0.35">
      <c r="A44" s="75" t="s">
        <v>233</v>
      </c>
      <c r="B44" s="75">
        <v>373334</v>
      </c>
      <c r="C44" s="75" t="s">
        <v>91</v>
      </c>
      <c r="D44" s="75" t="s">
        <v>148</v>
      </c>
      <c r="E44" s="75">
        <v>2527</v>
      </c>
      <c r="F44" s="75">
        <v>258</v>
      </c>
      <c r="G44" s="75">
        <v>158</v>
      </c>
      <c r="H44" s="75">
        <v>258</v>
      </c>
      <c r="I44" s="75">
        <v>0</v>
      </c>
      <c r="J44" s="75">
        <v>0</v>
      </c>
      <c r="K44" s="75">
        <v>4</v>
      </c>
      <c r="L44" s="75">
        <v>0</v>
      </c>
      <c r="M44" s="75">
        <v>16</v>
      </c>
      <c r="N44" s="75">
        <v>1</v>
      </c>
      <c r="O44" s="75">
        <v>2.94</v>
      </c>
      <c r="P44" s="75">
        <v>8</v>
      </c>
      <c r="Q44" s="10">
        <f>SUM(K44:L44)</f>
        <v>4</v>
      </c>
      <c r="R44" s="10">
        <f>M44+N44</f>
        <v>17</v>
      </c>
    </row>
    <row r="45" spans="1:18" ht="15" thickBot="1" x14ac:dyDescent="0.35">
      <c r="A45" s="75" t="s">
        <v>235</v>
      </c>
      <c r="B45" s="75">
        <v>466088</v>
      </c>
      <c r="C45" s="75" t="s">
        <v>122</v>
      </c>
      <c r="D45" s="75" t="s">
        <v>148</v>
      </c>
      <c r="E45" s="75">
        <v>2166</v>
      </c>
      <c r="F45" s="75">
        <v>133</v>
      </c>
      <c r="G45" s="75">
        <v>135</v>
      </c>
      <c r="H45" s="75">
        <v>133</v>
      </c>
      <c r="I45" s="75">
        <v>0</v>
      </c>
      <c r="J45" s="75">
        <v>0</v>
      </c>
      <c r="K45" s="75">
        <v>9</v>
      </c>
      <c r="L45" s="75">
        <v>0</v>
      </c>
      <c r="M45" s="75">
        <v>16</v>
      </c>
      <c r="N45" s="75">
        <v>1</v>
      </c>
      <c r="O45" s="75">
        <v>1.81</v>
      </c>
      <c r="P45" s="75">
        <v>2</v>
      </c>
      <c r="Q45" s="10">
        <f>SUM(K45:L45)</f>
        <v>9</v>
      </c>
      <c r="R45" s="10">
        <f>M45+N45</f>
        <v>17</v>
      </c>
    </row>
    <row r="46" spans="1:18" ht="15" thickBot="1" x14ac:dyDescent="0.35">
      <c r="A46" s="75" t="s">
        <v>235</v>
      </c>
      <c r="B46" s="75">
        <v>435701</v>
      </c>
      <c r="C46" s="75" t="s">
        <v>125</v>
      </c>
      <c r="D46" s="75" t="s">
        <v>148</v>
      </c>
      <c r="E46" s="75">
        <v>1725</v>
      </c>
      <c r="F46" s="75">
        <v>1354</v>
      </c>
      <c r="G46" s="75">
        <v>123</v>
      </c>
      <c r="H46" s="75">
        <v>677</v>
      </c>
      <c r="I46" s="75">
        <v>0</v>
      </c>
      <c r="J46" s="75">
        <v>0</v>
      </c>
      <c r="K46" s="75">
        <v>5</v>
      </c>
      <c r="L46" s="75">
        <v>0</v>
      </c>
      <c r="M46" s="75">
        <v>14</v>
      </c>
      <c r="N46" s="75">
        <v>2</v>
      </c>
      <c r="O46" s="75">
        <v>2.5</v>
      </c>
      <c r="P46" s="75">
        <v>1</v>
      </c>
      <c r="Q46" s="10">
        <f>SUM(K46:L46)</f>
        <v>5</v>
      </c>
      <c r="R46" s="10">
        <f>M46+N46</f>
        <v>16</v>
      </c>
    </row>
    <row r="47" spans="1:18" ht="15" thickBot="1" x14ac:dyDescent="0.35">
      <c r="A47" s="75" t="s">
        <v>235</v>
      </c>
      <c r="B47" s="75">
        <v>442556</v>
      </c>
      <c r="C47" s="75" t="s">
        <v>118</v>
      </c>
      <c r="D47" s="75" t="s">
        <v>148</v>
      </c>
      <c r="E47" s="75">
        <v>2691</v>
      </c>
      <c r="F47" s="75">
        <v>861</v>
      </c>
      <c r="G47" s="75">
        <v>299</v>
      </c>
      <c r="H47" s="75">
        <v>287</v>
      </c>
      <c r="I47" s="75">
        <v>0</v>
      </c>
      <c r="J47" s="75">
        <v>0</v>
      </c>
      <c r="K47" s="75">
        <v>2</v>
      </c>
      <c r="L47" s="75">
        <v>0</v>
      </c>
      <c r="M47" s="75">
        <v>9</v>
      </c>
      <c r="N47" s="75">
        <v>3</v>
      </c>
      <c r="O47" s="75">
        <v>4.1100000000000003</v>
      </c>
      <c r="P47" s="75">
        <v>1</v>
      </c>
      <c r="Q47" s="10">
        <f>SUM(K47:L47)</f>
        <v>2</v>
      </c>
      <c r="R47" s="10">
        <f>M47+N47</f>
        <v>12</v>
      </c>
    </row>
    <row r="48" spans="1:18" ht="15" thickBot="1" x14ac:dyDescent="0.35">
      <c r="A48" s="75" t="s">
        <v>235</v>
      </c>
      <c r="B48" s="75">
        <v>397823</v>
      </c>
      <c r="C48" s="75" t="s">
        <v>56</v>
      </c>
      <c r="D48" s="75" t="s">
        <v>148</v>
      </c>
      <c r="E48" s="75">
        <v>1869</v>
      </c>
      <c r="F48" s="75">
        <v>0</v>
      </c>
      <c r="G48" s="75">
        <v>156</v>
      </c>
      <c r="H48" s="75">
        <v>0</v>
      </c>
      <c r="I48" s="75">
        <v>0</v>
      </c>
      <c r="J48" s="75">
        <v>0</v>
      </c>
      <c r="K48" s="75">
        <v>2</v>
      </c>
      <c r="L48" s="75">
        <v>0</v>
      </c>
      <c r="M48" s="75">
        <v>12</v>
      </c>
      <c r="N48" s="75">
        <v>0</v>
      </c>
      <c r="O48" s="75">
        <v>2.42</v>
      </c>
      <c r="P48" s="75">
        <v>0</v>
      </c>
      <c r="Q48" s="10">
        <f>SUM(K48:L48)</f>
        <v>2</v>
      </c>
      <c r="R48" s="10">
        <f>M48+N48</f>
        <v>12</v>
      </c>
    </row>
    <row r="49" spans="1:18" ht="15" thickBot="1" x14ac:dyDescent="0.35">
      <c r="A49" s="75" t="s">
        <v>235</v>
      </c>
      <c r="B49" s="75">
        <v>429365</v>
      </c>
      <c r="C49" s="75" t="s">
        <v>129</v>
      </c>
      <c r="D49" s="75" t="s">
        <v>148</v>
      </c>
      <c r="E49" s="75">
        <v>1404</v>
      </c>
      <c r="F49" s="75">
        <v>0</v>
      </c>
      <c r="G49" s="75">
        <v>117</v>
      </c>
      <c r="H49" s="75">
        <v>0</v>
      </c>
      <c r="I49" s="75">
        <v>0</v>
      </c>
      <c r="J49" s="75">
        <v>0</v>
      </c>
      <c r="K49" s="75">
        <v>5</v>
      </c>
      <c r="L49" s="75">
        <v>0</v>
      </c>
      <c r="M49" s="75">
        <v>12</v>
      </c>
      <c r="N49" s="75">
        <v>0</v>
      </c>
      <c r="O49" s="75">
        <v>3.17</v>
      </c>
      <c r="P49" s="75">
        <v>0</v>
      </c>
      <c r="Q49" s="10">
        <f>SUM(K49:L49)</f>
        <v>5</v>
      </c>
      <c r="R49" s="10">
        <f>M49+N49</f>
        <v>12</v>
      </c>
    </row>
    <row r="50" spans="1:18" ht="15" thickBot="1" x14ac:dyDescent="0.35">
      <c r="A50" s="75" t="s">
        <v>235</v>
      </c>
      <c r="B50" s="75">
        <v>456062</v>
      </c>
      <c r="C50" s="75" t="s">
        <v>119</v>
      </c>
      <c r="D50" s="75" t="s">
        <v>148</v>
      </c>
      <c r="E50" s="75">
        <v>1731</v>
      </c>
      <c r="F50" s="75">
        <v>1007</v>
      </c>
      <c r="G50" s="75">
        <v>216</v>
      </c>
      <c r="H50" s="75">
        <v>336</v>
      </c>
      <c r="I50" s="75">
        <v>0</v>
      </c>
      <c r="J50" s="75">
        <v>0</v>
      </c>
      <c r="K50" s="75">
        <v>3</v>
      </c>
      <c r="L50" s="75">
        <v>0</v>
      </c>
      <c r="M50" s="75">
        <v>8</v>
      </c>
      <c r="N50" s="75">
        <v>3</v>
      </c>
      <c r="O50" s="75">
        <v>3.12</v>
      </c>
      <c r="P50" s="75">
        <v>8</v>
      </c>
      <c r="Q50" s="10">
        <f>SUM(K50:L50)</f>
        <v>3</v>
      </c>
      <c r="R50" s="10">
        <f>M50+N50</f>
        <v>11</v>
      </c>
    </row>
    <row r="51" spans="1:18" ht="15" thickBot="1" x14ac:dyDescent="0.35">
      <c r="A51" s="75" t="s">
        <v>235</v>
      </c>
      <c r="B51" s="75">
        <v>452144</v>
      </c>
      <c r="C51" s="75" t="s">
        <v>131</v>
      </c>
      <c r="D51" s="75" t="s">
        <v>148</v>
      </c>
      <c r="E51" s="75">
        <v>1173</v>
      </c>
      <c r="F51" s="75">
        <v>0</v>
      </c>
      <c r="G51" s="75">
        <v>107</v>
      </c>
      <c r="H51" s="75">
        <v>0</v>
      </c>
      <c r="I51" s="75">
        <v>0</v>
      </c>
      <c r="J51" s="75">
        <v>0</v>
      </c>
      <c r="K51" s="75">
        <v>5</v>
      </c>
      <c r="L51" s="75">
        <v>0</v>
      </c>
      <c r="M51" s="75">
        <v>11</v>
      </c>
      <c r="N51" s="75">
        <v>0</v>
      </c>
      <c r="O51" s="75">
        <v>1.18</v>
      </c>
      <c r="P51" s="75">
        <v>0</v>
      </c>
      <c r="Q51" s="10">
        <f>SUM(K51:L51)</f>
        <v>5</v>
      </c>
      <c r="R51" s="10">
        <f>M51+N51</f>
        <v>11</v>
      </c>
    </row>
    <row r="52" spans="1:18" ht="15" thickBot="1" x14ac:dyDescent="0.35">
      <c r="A52" s="75" t="s">
        <v>233</v>
      </c>
      <c r="B52" s="75">
        <v>407855</v>
      </c>
      <c r="C52" s="75" t="s">
        <v>95</v>
      </c>
      <c r="D52" s="75" t="s">
        <v>148</v>
      </c>
      <c r="E52" s="75">
        <v>4581</v>
      </c>
      <c r="F52" s="75">
        <v>0</v>
      </c>
      <c r="G52" s="75">
        <v>573</v>
      </c>
      <c r="H52" s="75">
        <v>0</v>
      </c>
      <c r="I52" s="75">
        <v>0</v>
      </c>
      <c r="J52" s="75">
        <v>0</v>
      </c>
      <c r="K52" s="75">
        <v>4</v>
      </c>
      <c r="L52" s="75">
        <v>0</v>
      </c>
      <c r="M52" s="75">
        <v>8</v>
      </c>
      <c r="N52" s="75">
        <v>0</v>
      </c>
      <c r="O52" s="75">
        <v>2.37</v>
      </c>
      <c r="P52" s="75">
        <v>0</v>
      </c>
      <c r="Q52" s="10">
        <f>SUM(K52:L52)</f>
        <v>4</v>
      </c>
      <c r="R52" s="10">
        <f>M52+N52</f>
        <v>8</v>
      </c>
    </row>
    <row r="53" spans="1:18" ht="15" thickBot="1" x14ac:dyDescent="0.35">
      <c r="A53" s="75" t="s">
        <v>235</v>
      </c>
      <c r="B53" s="75">
        <v>400613</v>
      </c>
      <c r="C53" s="75" t="s">
        <v>124</v>
      </c>
      <c r="D53" s="75" t="s">
        <v>148</v>
      </c>
      <c r="E53" s="75">
        <v>2039</v>
      </c>
      <c r="F53" s="75">
        <v>0</v>
      </c>
      <c r="G53" s="75">
        <v>255</v>
      </c>
      <c r="H53" s="75">
        <v>0</v>
      </c>
      <c r="I53" s="75">
        <v>0</v>
      </c>
      <c r="J53" s="75">
        <v>0</v>
      </c>
      <c r="K53" s="75">
        <v>0</v>
      </c>
      <c r="L53" s="75">
        <v>0</v>
      </c>
      <c r="M53" s="75">
        <v>8</v>
      </c>
      <c r="N53" s="75">
        <v>0</v>
      </c>
      <c r="O53" s="75">
        <v>3</v>
      </c>
      <c r="P53" s="75">
        <v>0</v>
      </c>
      <c r="Q53" s="10">
        <f>SUM(K53:L53)</f>
        <v>0</v>
      </c>
      <c r="R53" s="10">
        <f>M53+N53</f>
        <v>8</v>
      </c>
    </row>
    <row r="54" spans="1:18" ht="15" thickBot="1" x14ac:dyDescent="0.35">
      <c r="A54" s="75" t="s">
        <v>235</v>
      </c>
      <c r="B54" s="75">
        <v>459749</v>
      </c>
      <c r="C54" s="75" t="s">
        <v>123</v>
      </c>
      <c r="D54" s="75" t="s">
        <v>148</v>
      </c>
      <c r="E54" s="75">
        <v>1724</v>
      </c>
      <c r="F54" s="75">
        <v>0</v>
      </c>
      <c r="G54" s="75">
        <v>216</v>
      </c>
      <c r="H54" s="75">
        <v>0</v>
      </c>
      <c r="I54" s="75">
        <v>0</v>
      </c>
      <c r="J54" s="75">
        <v>0</v>
      </c>
      <c r="K54" s="75">
        <v>3</v>
      </c>
      <c r="L54" s="75">
        <v>0</v>
      </c>
      <c r="M54" s="75">
        <v>8</v>
      </c>
      <c r="N54" s="75">
        <v>0</v>
      </c>
      <c r="O54" s="75">
        <v>2.75</v>
      </c>
      <c r="P54" s="75">
        <v>0</v>
      </c>
      <c r="Q54" s="10">
        <f>SUM(K54:L54)</f>
        <v>3</v>
      </c>
      <c r="R54" s="10">
        <f>M54+N54</f>
        <v>8</v>
      </c>
    </row>
    <row r="55" spans="1:18" ht="15" thickBot="1" x14ac:dyDescent="0.35">
      <c r="A55" s="75" t="s">
        <v>235</v>
      </c>
      <c r="B55" s="75">
        <v>436394</v>
      </c>
      <c r="C55" s="75" t="s">
        <v>116</v>
      </c>
      <c r="D55" s="75" t="s">
        <v>148</v>
      </c>
      <c r="E55" s="75">
        <v>1207</v>
      </c>
      <c r="F55" s="75">
        <v>118</v>
      </c>
      <c r="G55" s="75">
        <v>172</v>
      </c>
      <c r="H55" s="75">
        <v>118</v>
      </c>
      <c r="I55" s="75">
        <v>0</v>
      </c>
      <c r="J55" s="75">
        <v>0</v>
      </c>
      <c r="K55" s="75">
        <v>0</v>
      </c>
      <c r="L55" s="75">
        <v>0</v>
      </c>
      <c r="M55" s="75">
        <v>7</v>
      </c>
      <c r="N55" s="75">
        <v>1</v>
      </c>
      <c r="O55" s="75">
        <v>3.14</v>
      </c>
      <c r="P55" s="75">
        <v>1</v>
      </c>
      <c r="Q55" s="10">
        <f>SUM(K55:L55)</f>
        <v>0</v>
      </c>
      <c r="R55" s="10">
        <f>M55+N55</f>
        <v>8</v>
      </c>
    </row>
    <row r="56" spans="1:18" ht="15" thickBot="1" x14ac:dyDescent="0.35">
      <c r="A56" s="75" t="s">
        <v>232</v>
      </c>
      <c r="B56" s="75">
        <v>471773</v>
      </c>
      <c r="C56" s="75" t="s">
        <v>86</v>
      </c>
      <c r="D56" s="75" t="s">
        <v>148</v>
      </c>
      <c r="E56" s="75">
        <v>1022</v>
      </c>
      <c r="F56" s="75">
        <v>0</v>
      </c>
      <c r="G56" s="75">
        <v>128</v>
      </c>
      <c r="H56" s="75">
        <v>0</v>
      </c>
      <c r="I56" s="75">
        <v>0</v>
      </c>
      <c r="J56" s="75">
        <v>0</v>
      </c>
      <c r="K56" s="75">
        <v>6</v>
      </c>
      <c r="L56" s="75">
        <v>0</v>
      </c>
      <c r="M56" s="75">
        <v>8</v>
      </c>
      <c r="N56" s="75">
        <v>0</v>
      </c>
      <c r="O56" s="75">
        <v>2.75</v>
      </c>
      <c r="P56" s="75">
        <v>0</v>
      </c>
      <c r="Q56" s="10">
        <f>SUM(K56:L56)</f>
        <v>6</v>
      </c>
      <c r="R56" s="10">
        <f>M56+N56</f>
        <v>8</v>
      </c>
    </row>
    <row r="57" spans="1:18" ht="15" thickBot="1" x14ac:dyDescent="0.35">
      <c r="A57" s="75" t="s">
        <v>235</v>
      </c>
      <c r="B57" s="75">
        <v>452561</v>
      </c>
      <c r="C57" s="75" t="s">
        <v>121</v>
      </c>
      <c r="D57" s="75" t="s">
        <v>148</v>
      </c>
      <c r="E57" s="75">
        <v>1354</v>
      </c>
      <c r="F57" s="75">
        <v>0</v>
      </c>
      <c r="G57" s="75">
        <v>193</v>
      </c>
      <c r="H57" s="75">
        <v>0</v>
      </c>
      <c r="I57" s="75">
        <v>0</v>
      </c>
      <c r="J57" s="75">
        <v>0</v>
      </c>
      <c r="K57" s="75">
        <v>3</v>
      </c>
      <c r="L57" s="75">
        <v>0</v>
      </c>
      <c r="M57" s="75">
        <v>7</v>
      </c>
      <c r="N57" s="75">
        <v>0</v>
      </c>
      <c r="O57" s="75">
        <v>1.71</v>
      </c>
      <c r="P57" s="75">
        <v>0</v>
      </c>
      <c r="Q57" s="10">
        <f>SUM(K57:L57)</f>
        <v>3</v>
      </c>
      <c r="R57" s="10">
        <f>M57+N57</f>
        <v>7</v>
      </c>
    </row>
    <row r="58" spans="1:18" ht="15" thickBot="1" x14ac:dyDescent="0.35">
      <c r="A58" s="75" t="s">
        <v>235</v>
      </c>
      <c r="B58" s="75">
        <v>423146</v>
      </c>
      <c r="C58" s="75" t="s">
        <v>130</v>
      </c>
      <c r="D58" s="75" t="s">
        <v>148</v>
      </c>
      <c r="E58" s="75">
        <v>828</v>
      </c>
      <c r="F58" s="75">
        <v>0</v>
      </c>
      <c r="G58" s="75">
        <v>118</v>
      </c>
      <c r="H58" s="75">
        <v>0</v>
      </c>
      <c r="I58" s="75">
        <v>0</v>
      </c>
      <c r="J58" s="75">
        <v>0</v>
      </c>
      <c r="K58" s="75">
        <v>5</v>
      </c>
      <c r="L58" s="75">
        <v>0</v>
      </c>
      <c r="M58" s="75">
        <v>7</v>
      </c>
      <c r="N58" s="75">
        <v>0</v>
      </c>
      <c r="O58" s="75">
        <v>1.71</v>
      </c>
      <c r="P58" s="75">
        <v>0</v>
      </c>
      <c r="Q58" s="10">
        <f>SUM(K58:L58)</f>
        <v>5</v>
      </c>
      <c r="R58" s="10">
        <f>M58+N58</f>
        <v>7</v>
      </c>
    </row>
    <row r="59" spans="1:18" ht="15" thickBot="1" x14ac:dyDescent="0.35">
      <c r="A59" s="75" t="s">
        <v>235</v>
      </c>
      <c r="B59" s="75">
        <v>406034</v>
      </c>
      <c r="C59" s="75" t="s">
        <v>127</v>
      </c>
      <c r="D59" s="75" t="s">
        <v>148</v>
      </c>
      <c r="E59" s="75">
        <v>748</v>
      </c>
      <c r="F59" s="75">
        <v>0</v>
      </c>
      <c r="G59" s="75">
        <v>125</v>
      </c>
      <c r="H59" s="75">
        <v>0</v>
      </c>
      <c r="I59" s="75">
        <v>0</v>
      </c>
      <c r="J59" s="75">
        <v>0</v>
      </c>
      <c r="K59" s="75">
        <v>0</v>
      </c>
      <c r="L59" s="75">
        <v>0</v>
      </c>
      <c r="M59" s="75">
        <v>6</v>
      </c>
      <c r="N59" s="75">
        <v>0</v>
      </c>
      <c r="O59" s="75">
        <v>2.33</v>
      </c>
      <c r="P59" s="75">
        <v>0</v>
      </c>
      <c r="Q59" s="10">
        <f>SUM(K59:L59)</f>
        <v>0</v>
      </c>
      <c r="R59" s="10">
        <f>M59+N59</f>
        <v>6</v>
      </c>
    </row>
    <row r="60" spans="1:18" ht="15" thickBot="1" x14ac:dyDescent="0.35">
      <c r="A60" s="75" t="s">
        <v>230</v>
      </c>
      <c r="B60" s="75">
        <v>393302</v>
      </c>
      <c r="C60" s="75" t="s">
        <v>73</v>
      </c>
      <c r="D60" s="75" t="s">
        <v>148</v>
      </c>
      <c r="E60" s="75">
        <v>696</v>
      </c>
      <c r="F60" s="75">
        <v>0</v>
      </c>
      <c r="G60" s="75">
        <v>232</v>
      </c>
      <c r="H60" s="75">
        <v>0</v>
      </c>
      <c r="I60" s="75">
        <v>0</v>
      </c>
      <c r="J60" s="75">
        <v>0</v>
      </c>
      <c r="K60" s="75">
        <v>0</v>
      </c>
      <c r="L60" s="75">
        <v>0</v>
      </c>
      <c r="M60" s="75">
        <v>3</v>
      </c>
      <c r="N60" s="75">
        <v>0</v>
      </c>
      <c r="O60" s="75">
        <v>4</v>
      </c>
      <c r="P60" s="75">
        <v>0</v>
      </c>
      <c r="Q60" s="10">
        <f>SUM(K60:L60)</f>
        <v>0</v>
      </c>
      <c r="R60" s="10">
        <f>M60+N60</f>
        <v>3</v>
      </c>
    </row>
    <row r="61" spans="1:18" ht="15" thickBot="1" x14ac:dyDescent="0.35">
      <c r="A61" s="75" t="s">
        <v>235</v>
      </c>
      <c r="B61" s="75">
        <v>680453</v>
      </c>
      <c r="C61" s="75" t="s">
        <v>128</v>
      </c>
      <c r="D61" s="75" t="s">
        <v>148</v>
      </c>
      <c r="E61" s="75">
        <v>214</v>
      </c>
      <c r="F61" s="75">
        <v>0</v>
      </c>
      <c r="G61" s="75">
        <v>107</v>
      </c>
      <c r="H61" s="75">
        <v>0</v>
      </c>
      <c r="I61" s="75">
        <v>0</v>
      </c>
      <c r="J61" s="75">
        <v>0</v>
      </c>
      <c r="K61" s="75">
        <v>0</v>
      </c>
      <c r="L61" s="75">
        <v>0</v>
      </c>
      <c r="M61" s="75">
        <v>2</v>
      </c>
      <c r="N61" s="75">
        <v>0</v>
      </c>
      <c r="O61" s="75">
        <v>2.5</v>
      </c>
      <c r="P61" s="75">
        <v>0</v>
      </c>
      <c r="Q61" s="10">
        <f>SUM(K61:L61)</f>
        <v>0</v>
      </c>
      <c r="R61" s="10">
        <f>M61+N61</f>
        <v>2</v>
      </c>
    </row>
    <row r="62" spans="1:18" ht="15" thickBot="1" x14ac:dyDescent="0.35">
      <c r="A62" s="75" t="s">
        <v>233</v>
      </c>
      <c r="B62" s="75">
        <v>206855</v>
      </c>
      <c r="C62" s="75" t="s">
        <v>93</v>
      </c>
      <c r="D62" s="75" t="s">
        <v>148</v>
      </c>
      <c r="E62" s="75">
        <v>0</v>
      </c>
      <c r="F62" s="75">
        <v>0</v>
      </c>
      <c r="G62" s="75">
        <v>0</v>
      </c>
      <c r="H62" s="75">
        <v>0</v>
      </c>
      <c r="I62" s="75">
        <v>0</v>
      </c>
      <c r="J62" s="75">
        <v>0</v>
      </c>
      <c r="K62" s="75">
        <v>0</v>
      </c>
      <c r="L62" s="75">
        <v>0</v>
      </c>
      <c r="M62" s="75">
        <v>0</v>
      </c>
      <c r="N62" s="75">
        <v>0</v>
      </c>
      <c r="O62" s="75">
        <v>0</v>
      </c>
      <c r="P62" s="75">
        <v>0</v>
      </c>
      <c r="Q62" s="10">
        <f>SUM(K62:L62)</f>
        <v>0</v>
      </c>
      <c r="R62" s="10">
        <f>M62+N62</f>
        <v>0</v>
      </c>
    </row>
    <row r="63" spans="1:18" ht="15" thickBot="1" x14ac:dyDescent="0.35">
      <c r="A63" s="75" t="s">
        <v>235</v>
      </c>
      <c r="B63" s="75">
        <v>446849</v>
      </c>
      <c r="C63" s="75" t="s">
        <v>236</v>
      </c>
      <c r="D63" s="75" t="s">
        <v>148</v>
      </c>
      <c r="E63" s="75">
        <v>0</v>
      </c>
      <c r="F63" s="75">
        <v>0</v>
      </c>
      <c r="G63" s="75">
        <v>0</v>
      </c>
      <c r="H63" s="75">
        <v>0</v>
      </c>
      <c r="I63" s="75">
        <v>0</v>
      </c>
      <c r="J63" s="75">
        <v>0</v>
      </c>
      <c r="K63" s="75">
        <v>0</v>
      </c>
      <c r="L63" s="75">
        <v>0</v>
      </c>
      <c r="M63" s="75">
        <v>0</v>
      </c>
      <c r="N63" s="75">
        <v>0</v>
      </c>
      <c r="O63" s="75">
        <v>0</v>
      </c>
      <c r="P63" s="75">
        <v>0</v>
      </c>
      <c r="Q63" s="10">
        <f>SUM(K63:L63)</f>
        <v>0</v>
      </c>
      <c r="R63" s="10">
        <f>M63+N63</f>
        <v>0</v>
      </c>
    </row>
    <row r="64" spans="1:18" x14ac:dyDescent="0.3">
      <c r="A64" s="77">
        <v>1</v>
      </c>
      <c r="Q64" s="10">
        <f>SUM(K64:L64)</f>
        <v>0</v>
      </c>
      <c r="R64" s="10">
        <f>M64+N64</f>
        <v>0</v>
      </c>
    </row>
    <row r="65" spans="1:18" x14ac:dyDescent="0.3">
      <c r="A65" s="77" t="s">
        <v>149</v>
      </c>
      <c r="Q65" s="10">
        <f>SUM(K65:L65)</f>
        <v>0</v>
      </c>
      <c r="R65" s="10">
        <f>M65+N65</f>
        <v>0</v>
      </c>
    </row>
    <row r="66" spans="1:18" x14ac:dyDescent="0.3">
      <c r="Q66" s="10">
        <f>SUM(K66:L66)</f>
        <v>0</v>
      </c>
      <c r="R66" s="10">
        <f>M66+N66</f>
        <v>0</v>
      </c>
    </row>
    <row r="67" spans="1:18" x14ac:dyDescent="0.3">
      <c r="Q67" s="10">
        <f>SUM(K67:L67)</f>
        <v>0</v>
      </c>
      <c r="R67" s="10">
        <f>M67+N67</f>
        <v>0</v>
      </c>
    </row>
    <row r="68" spans="1:18" x14ac:dyDescent="0.3">
      <c r="Q68" s="10">
        <f>SUM(K68:L68)</f>
        <v>0</v>
      </c>
      <c r="R68" s="10">
        <f>M68+N68</f>
        <v>0</v>
      </c>
    </row>
    <row r="69" spans="1:18" x14ac:dyDescent="0.3">
      <c r="Q69" s="10">
        <f>SUM(K69:L69)</f>
        <v>0</v>
      </c>
      <c r="R69" s="10">
        <f>M69+N69</f>
        <v>0</v>
      </c>
    </row>
    <row r="70" spans="1:18" x14ac:dyDescent="0.3">
      <c r="Q70" s="10">
        <f>SUM(K70:L70)</f>
        <v>0</v>
      </c>
      <c r="R70" s="10">
        <f>M70+N70</f>
        <v>0</v>
      </c>
    </row>
    <row r="71" spans="1:18" x14ac:dyDescent="0.3">
      <c r="Q71" s="10">
        <f>SUM(K71:L71)</f>
        <v>0</v>
      </c>
      <c r="R71" s="10">
        <f>M71+N71</f>
        <v>0</v>
      </c>
    </row>
    <row r="72" spans="1:18" x14ac:dyDescent="0.3">
      <c r="Q72" s="10">
        <f>SUM(K72:L72)</f>
        <v>0</v>
      </c>
      <c r="R72" s="10">
        <f>M72+N72</f>
        <v>0</v>
      </c>
    </row>
    <row r="73" spans="1:18" x14ac:dyDescent="0.3">
      <c r="Q73" s="10">
        <f>SUM(K73:L73)</f>
        <v>0</v>
      </c>
      <c r="R73" s="10">
        <f>M73+N73</f>
        <v>0</v>
      </c>
    </row>
    <row r="74" spans="1:18" x14ac:dyDescent="0.3">
      <c r="Q74" s="10">
        <f>SUM(K74:L74)</f>
        <v>0</v>
      </c>
      <c r="R74" s="10">
        <f>M74+N74</f>
        <v>0</v>
      </c>
    </row>
    <row r="75" spans="1:18" x14ac:dyDescent="0.3">
      <c r="Q75" s="10">
        <f>SUM(K75:L75)</f>
        <v>0</v>
      </c>
      <c r="R75" s="10">
        <f>M75+N75</f>
        <v>0</v>
      </c>
    </row>
    <row r="76" spans="1:18" x14ac:dyDescent="0.3">
      <c r="Q76" s="10">
        <f>SUM(K76:L76)</f>
        <v>0</v>
      </c>
      <c r="R76" s="10">
        <f>M76+N76</f>
        <v>0</v>
      </c>
    </row>
    <row r="77" spans="1:18" x14ac:dyDescent="0.3">
      <c r="Q77" s="10">
        <f>SUM(K77:L77)</f>
        <v>0</v>
      </c>
      <c r="R77" s="10">
        <f>M77+N77</f>
        <v>0</v>
      </c>
    </row>
    <row r="78" spans="1:18" x14ac:dyDescent="0.3">
      <c r="Q78" s="10">
        <f>SUM(K78:L78)</f>
        <v>0</v>
      </c>
      <c r="R78" s="10">
        <f>M78+N78</f>
        <v>0</v>
      </c>
    </row>
    <row r="79" spans="1:18" x14ac:dyDescent="0.3">
      <c r="Q79" s="10">
        <f>SUM(K79:L79)</f>
        <v>0</v>
      </c>
      <c r="R79" s="10">
        <f>M79+N79</f>
        <v>0</v>
      </c>
    </row>
    <row r="80" spans="1:18" x14ac:dyDescent="0.3">
      <c r="Q80" s="10">
        <f>SUM(K80:L80)</f>
        <v>0</v>
      </c>
      <c r="R80" s="10">
        <f>M80+N80</f>
        <v>0</v>
      </c>
    </row>
    <row r="81" spans="17:18" x14ac:dyDescent="0.3">
      <c r="Q81" s="10">
        <f>SUM(K81:L81)</f>
        <v>0</v>
      </c>
      <c r="R81" s="10">
        <f>M81+N81</f>
        <v>0</v>
      </c>
    </row>
    <row r="82" spans="17:18" x14ac:dyDescent="0.3">
      <c r="Q82" s="10">
        <f>SUM(K82:L82)</f>
        <v>0</v>
      </c>
      <c r="R82" s="10">
        <f>M82+N82</f>
        <v>0</v>
      </c>
    </row>
    <row r="83" spans="17:18" x14ac:dyDescent="0.3">
      <c r="Q83" s="10">
        <f>SUM(K83:L83)</f>
        <v>0</v>
      </c>
      <c r="R83" s="10">
        <f>M83+N83</f>
        <v>0</v>
      </c>
    </row>
    <row r="84" spans="17:18" x14ac:dyDescent="0.3">
      <c r="Q84" s="10">
        <f>SUM(K84:L84)</f>
        <v>0</v>
      </c>
      <c r="R84" s="10">
        <f>M84+N84</f>
        <v>0</v>
      </c>
    </row>
    <row r="85" spans="17:18" x14ac:dyDescent="0.3">
      <c r="Q85" s="10">
        <f>SUM(K85:L85)</f>
        <v>0</v>
      </c>
      <c r="R85" s="10">
        <f>M85+N85</f>
        <v>0</v>
      </c>
    </row>
    <row r="86" spans="17:18" x14ac:dyDescent="0.3">
      <c r="Q86" s="10">
        <f>SUM(K86:L86)</f>
        <v>0</v>
      </c>
      <c r="R86" s="10">
        <f>M86+N86</f>
        <v>0</v>
      </c>
    </row>
    <row r="87" spans="17:18" x14ac:dyDescent="0.3">
      <c r="Q87" s="10">
        <f>SUM(K87:L87)</f>
        <v>0</v>
      </c>
      <c r="R87" s="10">
        <f>M87+N87</f>
        <v>0</v>
      </c>
    </row>
    <row r="88" spans="17:18" x14ac:dyDescent="0.3">
      <c r="Q88" s="10">
        <f>SUM(K88:L88)</f>
        <v>0</v>
      </c>
      <c r="R88" s="10">
        <f>M88+N88</f>
        <v>0</v>
      </c>
    </row>
    <row r="89" spans="17:18" x14ac:dyDescent="0.3">
      <c r="Q89" s="10">
        <f>SUM(K89:L89)</f>
        <v>0</v>
      </c>
      <c r="R89" s="10">
        <f>M89+N89</f>
        <v>0</v>
      </c>
    </row>
    <row r="90" spans="17:18" x14ac:dyDescent="0.3">
      <c r="Q90" s="10">
        <f>SUM(K90:L90)</f>
        <v>0</v>
      </c>
      <c r="R90" s="10">
        <f>M90+N90</f>
        <v>0</v>
      </c>
    </row>
    <row r="91" spans="17:18" x14ac:dyDescent="0.3">
      <c r="Q91" s="10">
        <f>SUM(K91:L91)</f>
        <v>0</v>
      </c>
      <c r="R91" s="10">
        <f>M91+N91</f>
        <v>0</v>
      </c>
    </row>
    <row r="92" spans="17:18" x14ac:dyDescent="0.3">
      <c r="Q92" s="10">
        <f>SUM(K92:L92)</f>
        <v>0</v>
      </c>
      <c r="R92" s="10">
        <f>M92+N92</f>
        <v>0</v>
      </c>
    </row>
    <row r="93" spans="17:18" x14ac:dyDescent="0.3">
      <c r="Q93" s="10">
        <f>SUM(K93:L93)</f>
        <v>0</v>
      </c>
      <c r="R93" s="10">
        <f>M93+N93</f>
        <v>0</v>
      </c>
    </row>
    <row r="94" spans="17:18" x14ac:dyDescent="0.3">
      <c r="Q94" s="10">
        <f>SUM(K94:L94)</f>
        <v>0</v>
      </c>
      <c r="R94" s="10">
        <f>M94+N94</f>
        <v>0</v>
      </c>
    </row>
    <row r="95" spans="17:18" x14ac:dyDescent="0.3">
      <c r="Q95" s="10">
        <f>SUM(K95:L95)</f>
        <v>0</v>
      </c>
      <c r="R95" s="10">
        <f>M95+N95</f>
        <v>0</v>
      </c>
    </row>
    <row r="96" spans="17:18" x14ac:dyDescent="0.3">
      <c r="Q96" s="10">
        <f>SUM(K96:L96)</f>
        <v>0</v>
      </c>
      <c r="R96" s="10">
        <f>M96+N96</f>
        <v>0</v>
      </c>
    </row>
    <row r="97" spans="17:18" x14ac:dyDescent="0.3">
      <c r="Q97" s="10">
        <f>SUM(K97:L97)</f>
        <v>0</v>
      </c>
      <c r="R97" s="10">
        <f>M97+N97</f>
        <v>0</v>
      </c>
    </row>
    <row r="98" spans="17:18" x14ac:dyDescent="0.3">
      <c r="Q98" s="10">
        <f>SUM(K98:L98)</f>
        <v>0</v>
      </c>
      <c r="R98" s="10">
        <f>M98+N98</f>
        <v>0</v>
      </c>
    </row>
    <row r="99" spans="17:18" x14ac:dyDescent="0.3">
      <c r="Q99" s="10">
        <f>SUM(K99:L99)</f>
        <v>0</v>
      </c>
      <c r="R99" s="10">
        <f>M99+N99</f>
        <v>0</v>
      </c>
    </row>
    <row r="100" spans="17:18" x14ac:dyDescent="0.3">
      <c r="Q100" s="10">
        <f>SUM(K100:L100)</f>
        <v>0</v>
      </c>
      <c r="R100" s="10">
        <f>M100+N100</f>
        <v>0</v>
      </c>
    </row>
    <row r="101" spans="17:18" x14ac:dyDescent="0.3">
      <c r="Q101" s="10">
        <f>SUM(K101:L101)</f>
        <v>0</v>
      </c>
      <c r="R101" s="10">
        <f>M101+N101</f>
        <v>0</v>
      </c>
    </row>
    <row r="102" spans="17:18" x14ac:dyDescent="0.3">
      <c r="Q102" s="10">
        <f>SUM(K102:L102)</f>
        <v>0</v>
      </c>
      <c r="R102" s="10">
        <f>M102+N102</f>
        <v>0</v>
      </c>
    </row>
    <row r="103" spans="17:18" x14ac:dyDescent="0.3">
      <c r="Q103" s="10">
        <f>SUM(K103:L103)</f>
        <v>0</v>
      </c>
      <c r="R103" s="10">
        <f>M103+N103</f>
        <v>0</v>
      </c>
    </row>
    <row r="104" spans="17:18" x14ac:dyDescent="0.3">
      <c r="Q104" s="10">
        <f>SUM(K104:L104)</f>
        <v>0</v>
      </c>
      <c r="R104" s="10">
        <f>M104+N104</f>
        <v>0</v>
      </c>
    </row>
    <row r="105" spans="17:18" x14ac:dyDescent="0.3">
      <c r="Q105" s="10">
        <f>SUM(K105:L105)</f>
        <v>0</v>
      </c>
      <c r="R105" s="10">
        <f>M105+N105</f>
        <v>0</v>
      </c>
    </row>
  </sheetData>
  <autoFilter ref="A1:S1">
    <sortState ref="A2:S105">
      <sortCondition descending="1" ref="R1"/>
    </sortState>
  </autoFilter>
  <phoneticPr fontId="20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"/>
  <sheetViews>
    <sheetView workbookViewId="0">
      <pane ySplit="1" topLeftCell="A2" activePane="bottomLeft" state="frozen"/>
      <selection pane="bottomLeft" activeCell="F20" sqref="F20"/>
    </sheetView>
  </sheetViews>
  <sheetFormatPr defaultColWidth="9" defaultRowHeight="13.5" x14ac:dyDescent="0.3"/>
  <cols>
    <col min="1" max="1" width="9.125" style="4" customWidth="1"/>
    <col min="2" max="2" width="8" style="4" customWidth="1"/>
    <col min="3" max="3" width="9" style="4"/>
    <col min="4" max="4" width="8.875" style="4" customWidth="1"/>
    <col min="5" max="7" width="9" style="4"/>
    <col min="8" max="9" width="7.625" style="4" customWidth="1"/>
    <col min="10" max="10" width="9.125" style="4" customWidth="1"/>
    <col min="11" max="21" width="9" style="4"/>
    <col min="22" max="22" width="9" style="10"/>
    <col min="23" max="24" width="11.75" style="10" customWidth="1"/>
    <col min="25" max="16384" width="9" style="4"/>
  </cols>
  <sheetData>
    <row r="1" spans="1:23" x14ac:dyDescent="0.3">
      <c r="A1" s="4" t="s">
        <v>58</v>
      </c>
      <c r="B1" s="4" t="s">
        <v>150</v>
      </c>
      <c r="C1" s="4" t="s">
        <v>151</v>
      </c>
      <c r="D1" s="4" t="s">
        <v>152</v>
      </c>
      <c r="E1" s="4" t="s">
        <v>153</v>
      </c>
      <c r="F1" s="4" t="s">
        <v>135</v>
      </c>
      <c r="G1" s="4" t="s">
        <v>137</v>
      </c>
      <c r="H1" s="4" t="s">
        <v>143</v>
      </c>
      <c r="I1" s="13" t="s">
        <v>139</v>
      </c>
      <c r="J1" s="15" t="s">
        <v>141</v>
      </c>
      <c r="K1" s="4" t="s">
        <v>154</v>
      </c>
      <c r="L1" s="4" t="s">
        <v>155</v>
      </c>
      <c r="M1" s="4" t="s">
        <v>156</v>
      </c>
      <c r="N1" s="4" t="s">
        <v>136</v>
      </c>
      <c r="O1" s="4" t="s">
        <v>138</v>
      </c>
      <c r="P1" s="4" t="s">
        <v>144</v>
      </c>
      <c r="Q1" s="13" t="s">
        <v>140</v>
      </c>
      <c r="R1" s="15" t="s">
        <v>142</v>
      </c>
      <c r="S1" s="4" t="s">
        <v>157</v>
      </c>
      <c r="T1" s="4" t="s">
        <v>158</v>
      </c>
      <c r="U1" s="4" t="s">
        <v>159</v>
      </c>
      <c r="V1" s="10" t="s">
        <v>147</v>
      </c>
      <c r="W1" s="10" t="s">
        <v>160</v>
      </c>
    </row>
    <row r="2" spans="1:23" x14ac:dyDescent="0.3">
      <c r="A2" s="4" t="s">
        <v>9</v>
      </c>
      <c r="B2" s="4">
        <v>2036</v>
      </c>
      <c r="C2" s="4">
        <v>6.5</v>
      </c>
      <c r="D2" s="4">
        <v>106</v>
      </c>
      <c r="E2" s="4">
        <v>19475</v>
      </c>
      <c r="F2" s="4">
        <v>138076</v>
      </c>
      <c r="G2" s="4">
        <v>186</v>
      </c>
      <c r="H2" s="4">
        <v>743</v>
      </c>
      <c r="I2" s="4">
        <v>8</v>
      </c>
      <c r="J2" s="4">
        <v>81</v>
      </c>
      <c r="K2" s="4">
        <v>2948</v>
      </c>
      <c r="L2" s="4">
        <v>3.97</v>
      </c>
      <c r="M2" s="4">
        <v>630</v>
      </c>
      <c r="N2" s="4">
        <v>116504</v>
      </c>
      <c r="O2" s="4">
        <v>329</v>
      </c>
      <c r="P2" s="4">
        <v>354</v>
      </c>
      <c r="Q2" s="4">
        <v>0</v>
      </c>
      <c r="R2" s="4">
        <v>0</v>
      </c>
      <c r="S2" s="4">
        <v>2183</v>
      </c>
      <c r="T2" s="4">
        <v>6.17</v>
      </c>
      <c r="U2" s="4">
        <v>238</v>
      </c>
      <c r="V2" s="10">
        <f>SUM(J2,R2)</f>
        <v>81</v>
      </c>
      <c r="W2" s="16" t="s">
        <v>27</v>
      </c>
    </row>
    <row r="3" spans="1:23" x14ac:dyDescent="0.3">
      <c r="A3" s="4" t="s">
        <v>15</v>
      </c>
      <c r="B3" s="4">
        <v>5130</v>
      </c>
      <c r="C3" s="4">
        <v>7</v>
      </c>
      <c r="D3" s="4">
        <v>17</v>
      </c>
      <c r="E3" s="4">
        <v>3159</v>
      </c>
      <c r="F3" s="4">
        <v>124973</v>
      </c>
      <c r="G3" s="4">
        <v>197</v>
      </c>
      <c r="H3" s="4">
        <v>633</v>
      </c>
      <c r="I3" s="4">
        <v>5</v>
      </c>
      <c r="J3" s="4">
        <v>42</v>
      </c>
      <c r="K3" s="4">
        <v>2670</v>
      </c>
      <c r="L3" s="4">
        <v>4.22</v>
      </c>
      <c r="M3" s="4">
        <v>532</v>
      </c>
      <c r="N3" s="4">
        <v>128396</v>
      </c>
      <c r="O3" s="4">
        <v>362</v>
      </c>
      <c r="P3" s="4">
        <v>355</v>
      </c>
      <c r="Q3" s="4">
        <v>0</v>
      </c>
      <c r="R3" s="4">
        <v>0</v>
      </c>
      <c r="S3" s="4">
        <v>2741</v>
      </c>
      <c r="T3" s="4">
        <v>7.72</v>
      </c>
      <c r="U3" s="4">
        <v>213</v>
      </c>
      <c r="V3" s="10">
        <f t="shared" ref="V3:V9" si="0">SUM(J3,R3)</f>
        <v>42</v>
      </c>
      <c r="W3" s="16" t="s">
        <v>27</v>
      </c>
    </row>
    <row r="4" spans="1:23" x14ac:dyDescent="0.3">
      <c r="A4" s="4" t="s">
        <v>21</v>
      </c>
      <c r="B4" s="4">
        <v>6625</v>
      </c>
      <c r="C4" s="4">
        <v>10</v>
      </c>
      <c r="D4" s="4">
        <v>17</v>
      </c>
      <c r="E4" s="4">
        <v>3247</v>
      </c>
      <c r="F4" s="4">
        <v>114483</v>
      </c>
      <c r="G4" s="4">
        <v>187</v>
      </c>
      <c r="H4" s="4">
        <v>612</v>
      </c>
      <c r="I4" s="4">
        <v>6</v>
      </c>
      <c r="J4" s="4">
        <v>103</v>
      </c>
      <c r="K4" s="4">
        <v>2040</v>
      </c>
      <c r="L4" s="4">
        <v>3.33</v>
      </c>
      <c r="M4" s="4">
        <v>550</v>
      </c>
      <c r="N4" s="4">
        <v>60923</v>
      </c>
      <c r="O4" s="4">
        <v>299</v>
      </c>
      <c r="P4" s="4">
        <v>204</v>
      </c>
      <c r="Q4" s="4">
        <v>0</v>
      </c>
      <c r="R4" s="4">
        <v>0</v>
      </c>
      <c r="S4" s="4">
        <v>1164</v>
      </c>
      <c r="T4" s="4">
        <v>5.71</v>
      </c>
      <c r="U4" s="4">
        <v>130</v>
      </c>
      <c r="V4" s="10">
        <f t="shared" si="0"/>
        <v>103</v>
      </c>
      <c r="W4" s="16" t="s">
        <v>27</v>
      </c>
    </row>
    <row r="5" spans="1:23" x14ac:dyDescent="0.3">
      <c r="A5" s="4" t="s">
        <v>12</v>
      </c>
      <c r="B5" s="4">
        <v>9703</v>
      </c>
      <c r="C5" s="4">
        <v>8</v>
      </c>
      <c r="D5" s="4">
        <v>26</v>
      </c>
      <c r="E5" s="4">
        <v>6374</v>
      </c>
      <c r="F5" s="4">
        <v>103838</v>
      </c>
      <c r="G5" s="4">
        <v>181</v>
      </c>
      <c r="H5" s="4">
        <v>574</v>
      </c>
      <c r="I5" s="4">
        <v>4</v>
      </c>
      <c r="J5" s="4">
        <v>53</v>
      </c>
      <c r="K5" s="4">
        <v>2064</v>
      </c>
      <c r="L5" s="4">
        <v>3.6</v>
      </c>
      <c r="M5" s="4">
        <v>486</v>
      </c>
      <c r="N5" s="4">
        <v>87673</v>
      </c>
      <c r="O5" s="4">
        <v>322</v>
      </c>
      <c r="P5" s="4">
        <v>272</v>
      </c>
      <c r="Q5" s="4">
        <v>0</v>
      </c>
      <c r="R5" s="4">
        <v>0</v>
      </c>
      <c r="S5" s="4">
        <v>1823</v>
      </c>
      <c r="T5" s="4">
        <v>6.7</v>
      </c>
      <c r="U5" s="4">
        <v>179</v>
      </c>
      <c r="V5" s="10">
        <f t="shared" si="0"/>
        <v>53</v>
      </c>
      <c r="W5" s="16" t="s">
        <v>27</v>
      </c>
    </row>
    <row r="6" spans="1:23" x14ac:dyDescent="0.3">
      <c r="A6" s="4" t="s">
        <v>18</v>
      </c>
      <c r="B6" s="4">
        <v>5085</v>
      </c>
      <c r="C6" s="4">
        <v>8</v>
      </c>
      <c r="D6" s="4">
        <v>3</v>
      </c>
      <c r="E6" s="4">
        <v>341</v>
      </c>
      <c r="F6" s="4">
        <v>90719</v>
      </c>
      <c r="G6" s="4">
        <v>188</v>
      </c>
      <c r="H6" s="4">
        <v>482</v>
      </c>
      <c r="I6" s="4">
        <v>8</v>
      </c>
      <c r="J6" s="4">
        <v>65</v>
      </c>
      <c r="K6" s="4">
        <v>1757</v>
      </c>
      <c r="L6" s="4">
        <v>3.65</v>
      </c>
      <c r="M6" s="4">
        <v>416</v>
      </c>
      <c r="N6" s="4">
        <v>52212</v>
      </c>
      <c r="O6" s="4">
        <v>320</v>
      </c>
      <c r="P6" s="4">
        <v>163</v>
      </c>
      <c r="Q6" s="4">
        <v>0</v>
      </c>
      <c r="R6" s="4">
        <v>0</v>
      </c>
      <c r="S6" s="4">
        <v>1081</v>
      </c>
      <c r="T6" s="4">
        <v>6.63</v>
      </c>
      <c r="U6" s="4">
        <v>105</v>
      </c>
      <c r="V6" s="10">
        <f t="shared" si="0"/>
        <v>65</v>
      </c>
      <c r="W6" s="16" t="s">
        <v>27</v>
      </c>
    </row>
    <row r="7" spans="1:23" x14ac:dyDescent="0.3">
      <c r="A7" s="4" t="s">
        <v>161</v>
      </c>
      <c r="B7" s="4">
        <v>9238</v>
      </c>
      <c r="C7" s="4">
        <v>7</v>
      </c>
      <c r="D7" s="4">
        <v>1</v>
      </c>
      <c r="E7" s="4">
        <v>107</v>
      </c>
      <c r="F7" s="4">
        <v>63250</v>
      </c>
      <c r="G7" s="4">
        <v>235</v>
      </c>
      <c r="H7" s="4">
        <v>269</v>
      </c>
      <c r="I7" s="4">
        <v>2</v>
      </c>
      <c r="J7" s="4">
        <v>31</v>
      </c>
      <c r="K7" s="4">
        <v>870</v>
      </c>
      <c r="L7" s="4">
        <v>3.23</v>
      </c>
      <c r="M7" s="4">
        <v>223</v>
      </c>
      <c r="N7" s="4">
        <v>21455</v>
      </c>
      <c r="O7" s="4">
        <v>429</v>
      </c>
      <c r="P7" s="4">
        <v>50</v>
      </c>
      <c r="Q7" s="4">
        <v>0</v>
      </c>
      <c r="R7" s="4">
        <v>0</v>
      </c>
      <c r="S7" s="4">
        <v>294</v>
      </c>
      <c r="T7" s="4">
        <v>5.88</v>
      </c>
      <c r="U7" s="4">
        <v>34</v>
      </c>
      <c r="V7" s="10">
        <f t="shared" si="0"/>
        <v>31</v>
      </c>
      <c r="W7" s="16" t="s">
        <v>27</v>
      </c>
    </row>
    <row r="8" spans="1:23" x14ac:dyDescent="0.3">
      <c r="A8" s="4" t="s">
        <v>24</v>
      </c>
      <c r="B8" s="4">
        <v>12421</v>
      </c>
      <c r="C8" s="4">
        <v>5</v>
      </c>
      <c r="D8" s="4">
        <v>33</v>
      </c>
      <c r="E8" s="4">
        <v>6314</v>
      </c>
      <c r="F8" s="4">
        <v>18640</v>
      </c>
      <c r="G8" s="4">
        <v>183</v>
      </c>
      <c r="H8" s="4">
        <v>102</v>
      </c>
      <c r="I8" s="4">
        <v>8</v>
      </c>
      <c r="J8" s="4">
        <v>14</v>
      </c>
      <c r="K8" s="4">
        <v>353</v>
      </c>
      <c r="L8" s="4">
        <v>3.46</v>
      </c>
      <c r="M8" s="4">
        <v>93</v>
      </c>
      <c r="N8" s="4">
        <v>6676</v>
      </c>
      <c r="O8" s="4">
        <v>303</v>
      </c>
      <c r="P8" s="4">
        <v>22</v>
      </c>
      <c r="Q8" s="4">
        <v>0</v>
      </c>
      <c r="R8" s="4">
        <v>0</v>
      </c>
      <c r="S8" s="4">
        <v>95</v>
      </c>
      <c r="T8" s="4">
        <v>4.32</v>
      </c>
      <c r="U8" s="4">
        <v>16</v>
      </c>
      <c r="V8" s="10">
        <f t="shared" si="0"/>
        <v>14</v>
      </c>
      <c r="W8" s="16" t="s">
        <v>27</v>
      </c>
    </row>
    <row r="9" spans="1:23" x14ac:dyDescent="0.3">
      <c r="A9" s="4" t="s">
        <v>162</v>
      </c>
      <c r="B9" s="4">
        <v>9793</v>
      </c>
      <c r="C9" s="4">
        <v>8</v>
      </c>
      <c r="D9" s="4">
        <v>0</v>
      </c>
      <c r="E9" s="4">
        <v>0</v>
      </c>
      <c r="F9" s="4">
        <v>14072</v>
      </c>
      <c r="G9" s="4">
        <v>166</v>
      </c>
      <c r="H9" s="4">
        <v>85</v>
      </c>
      <c r="I9" s="4">
        <v>0</v>
      </c>
      <c r="J9" s="4">
        <v>16</v>
      </c>
      <c r="K9" s="4">
        <v>215</v>
      </c>
      <c r="L9" s="4">
        <v>2.5299999999999998</v>
      </c>
      <c r="M9" s="4">
        <v>81</v>
      </c>
      <c r="N9" s="4">
        <v>4244</v>
      </c>
      <c r="O9" s="4">
        <v>326</v>
      </c>
      <c r="P9" s="4">
        <v>13</v>
      </c>
      <c r="Q9" s="4">
        <v>0</v>
      </c>
      <c r="R9" s="4">
        <v>0</v>
      </c>
      <c r="S9" s="4">
        <v>43</v>
      </c>
      <c r="T9" s="4">
        <v>3.31</v>
      </c>
      <c r="U9" s="4">
        <v>10</v>
      </c>
      <c r="V9" s="10">
        <f t="shared" si="0"/>
        <v>16</v>
      </c>
      <c r="W9" s="16" t="s">
        <v>27</v>
      </c>
    </row>
  </sheetData>
  <phoneticPr fontId="20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33"/>
  <sheetViews>
    <sheetView workbookViewId="0">
      <pane ySplit="3" topLeftCell="A4" activePane="bottomLeft" state="frozen"/>
      <selection pane="bottomLeft" activeCell="Y2" sqref="Y2:AE33"/>
    </sheetView>
  </sheetViews>
  <sheetFormatPr defaultColWidth="9" defaultRowHeight="13.5" x14ac:dyDescent="0.3"/>
  <cols>
    <col min="1" max="1" width="10.375" style="4" customWidth="1"/>
    <col min="2" max="2" width="9.125" style="4" customWidth="1"/>
    <col min="3" max="3" width="10.25" style="4" customWidth="1"/>
    <col min="4" max="6" width="9.125" style="4" customWidth="1"/>
    <col min="7" max="7" width="10.25" style="4" customWidth="1"/>
    <col min="8" max="8" width="9" style="4"/>
    <col min="9" max="9" width="9" style="4" customWidth="1"/>
    <col min="10" max="24" width="9" style="4"/>
    <col min="25" max="32" width="9" style="4" customWidth="1"/>
    <col min="33" max="16384" width="9" style="4"/>
  </cols>
  <sheetData>
    <row r="1" spans="1:39" x14ac:dyDescent="0.3">
      <c r="A1" s="14" t="s">
        <v>163</v>
      </c>
      <c r="I1" s="14" t="s">
        <v>43</v>
      </c>
      <c r="Q1" s="14" t="s">
        <v>47</v>
      </c>
      <c r="Y1" s="14" t="s">
        <v>48</v>
      </c>
      <c r="AG1" s="14" t="s">
        <v>50</v>
      </c>
    </row>
    <row r="2" spans="1:39" x14ac:dyDescent="0.3">
      <c r="A2" s="4" t="s">
        <v>164</v>
      </c>
      <c r="B2" s="4" t="s">
        <v>165</v>
      </c>
      <c r="I2" s="4" t="s">
        <v>164</v>
      </c>
      <c r="J2" s="4" t="s">
        <v>165</v>
      </c>
      <c r="Q2" s="4" t="s">
        <v>164</v>
      </c>
      <c r="R2" s="4" t="s">
        <v>165</v>
      </c>
      <c r="Y2" s="4" t="s">
        <v>164</v>
      </c>
      <c r="Z2" s="4" t="s">
        <v>165</v>
      </c>
      <c r="AG2" s="4" t="s">
        <v>164</v>
      </c>
      <c r="AH2" s="4" t="s">
        <v>165</v>
      </c>
    </row>
    <row r="3" spans="1:39" x14ac:dyDescent="0.3">
      <c r="B3" s="4" t="s">
        <v>166</v>
      </c>
      <c r="C3" s="4" t="s">
        <v>31</v>
      </c>
      <c r="D3" s="4" t="s">
        <v>167</v>
      </c>
      <c r="E3" s="4" t="s">
        <v>168</v>
      </c>
      <c r="F3" s="4" t="s">
        <v>169</v>
      </c>
      <c r="G3" s="4" t="s">
        <v>170</v>
      </c>
      <c r="J3" s="4" t="s">
        <v>166</v>
      </c>
      <c r="K3" s="4" t="s">
        <v>31</v>
      </c>
      <c r="L3" s="4" t="s">
        <v>167</v>
      </c>
      <c r="M3" s="4" t="s">
        <v>168</v>
      </c>
      <c r="N3" s="4" t="s">
        <v>169</v>
      </c>
      <c r="O3" s="4" t="s">
        <v>170</v>
      </c>
      <c r="R3" s="4" t="s">
        <v>166</v>
      </c>
      <c r="S3" s="4" t="s">
        <v>31</v>
      </c>
      <c r="T3" s="4" t="s">
        <v>167</v>
      </c>
      <c r="U3" s="4" t="s">
        <v>168</v>
      </c>
      <c r="V3" s="4" t="s">
        <v>169</v>
      </c>
      <c r="W3" s="4" t="s">
        <v>170</v>
      </c>
      <c r="Z3" s="4" t="s">
        <v>166</v>
      </c>
      <c r="AA3" s="4" t="s">
        <v>31</v>
      </c>
      <c r="AB3" s="4" t="s">
        <v>167</v>
      </c>
      <c r="AC3" s="4" t="s">
        <v>168</v>
      </c>
      <c r="AD3" s="4" t="s">
        <v>169</v>
      </c>
      <c r="AE3" s="4" t="s">
        <v>170</v>
      </c>
      <c r="AH3" s="4" t="s">
        <v>166</v>
      </c>
      <c r="AI3" s="4" t="s">
        <v>31</v>
      </c>
      <c r="AJ3" s="4" t="s">
        <v>167</v>
      </c>
      <c r="AK3" s="4" t="s">
        <v>168</v>
      </c>
      <c r="AL3" s="4" t="s">
        <v>169</v>
      </c>
      <c r="AM3" s="4" t="s">
        <v>170</v>
      </c>
    </row>
    <row r="4" spans="1:39" x14ac:dyDescent="0.3">
      <c r="A4" s="4" t="s">
        <v>171</v>
      </c>
      <c r="B4" s="4">
        <v>1180</v>
      </c>
      <c r="C4" s="9">
        <v>1.37E-2</v>
      </c>
      <c r="D4" s="8">
        <v>1283</v>
      </c>
      <c r="E4" s="9">
        <v>-0.1072</v>
      </c>
      <c r="F4" s="8">
        <v>1304</v>
      </c>
      <c r="G4" s="9">
        <v>6.2700000000000006E-2</v>
      </c>
      <c r="I4" s="4" t="s">
        <v>171</v>
      </c>
      <c r="J4" s="4">
        <v>788</v>
      </c>
      <c r="K4" s="9">
        <v>-1.7500000000000002E-2</v>
      </c>
      <c r="L4" s="4">
        <v>860</v>
      </c>
      <c r="M4" s="9">
        <v>-0.16889999999999999</v>
      </c>
      <c r="N4" s="4">
        <v>891</v>
      </c>
      <c r="O4" s="9">
        <v>7.5600000000000001E-2</v>
      </c>
      <c r="Q4" s="4" t="s">
        <v>171</v>
      </c>
      <c r="R4" s="4">
        <v>346</v>
      </c>
      <c r="S4" s="9">
        <v>-4.6800000000000001E-2</v>
      </c>
      <c r="T4" s="4">
        <v>379</v>
      </c>
      <c r="U4" s="9">
        <v>-7.3300000000000004E-2</v>
      </c>
      <c r="V4" s="4">
        <v>397</v>
      </c>
      <c r="W4" s="9">
        <v>-1.47E-2</v>
      </c>
      <c r="Y4" s="4" t="s">
        <v>171</v>
      </c>
      <c r="Z4" s="4">
        <v>327</v>
      </c>
      <c r="AA4" s="9">
        <v>5.4800000000000001E-2</v>
      </c>
      <c r="AB4" s="4">
        <v>337</v>
      </c>
      <c r="AC4" s="9">
        <v>-0.1328</v>
      </c>
      <c r="AD4" s="4">
        <v>349</v>
      </c>
      <c r="AE4" s="9">
        <v>1.04E-2</v>
      </c>
      <c r="AG4" s="4" t="s">
        <v>171</v>
      </c>
      <c r="AH4" s="4">
        <v>970</v>
      </c>
      <c r="AI4" s="9">
        <v>2.0999999999999999E-3</v>
      </c>
      <c r="AJ4" s="4">
        <v>1054</v>
      </c>
      <c r="AK4" s="9">
        <v>-0.12670000000000001</v>
      </c>
      <c r="AL4" s="4">
        <v>1073</v>
      </c>
      <c r="AM4" s="9">
        <v>5.79E-2</v>
      </c>
    </row>
    <row r="5" spans="1:39" x14ac:dyDescent="0.3">
      <c r="A5" s="4" t="s">
        <v>172</v>
      </c>
      <c r="B5" s="4">
        <v>595</v>
      </c>
      <c r="C5" s="9">
        <v>-3.4099999999999998E-2</v>
      </c>
      <c r="D5" s="4">
        <v>643</v>
      </c>
      <c r="E5" s="9">
        <v>-0.1022</v>
      </c>
      <c r="F5" s="4">
        <v>666</v>
      </c>
      <c r="G5" s="9">
        <v>2.3400000000000001E-2</v>
      </c>
      <c r="I5" s="4" t="s">
        <v>172</v>
      </c>
      <c r="J5" s="4">
        <v>382</v>
      </c>
      <c r="K5" s="9">
        <v>-3.0499999999999999E-2</v>
      </c>
      <c r="L5" s="4">
        <v>406</v>
      </c>
      <c r="M5" s="9">
        <v>-0.1895</v>
      </c>
      <c r="N5" s="4">
        <v>429</v>
      </c>
      <c r="O5" s="9">
        <v>5.5599999999999997E-2</v>
      </c>
      <c r="Q5" s="4" t="s">
        <v>172</v>
      </c>
      <c r="R5" s="4">
        <v>155</v>
      </c>
      <c r="S5" s="9">
        <v>-7.1900000000000006E-2</v>
      </c>
      <c r="T5" s="4">
        <v>169</v>
      </c>
      <c r="U5" s="9">
        <v>-1.26E-2</v>
      </c>
      <c r="V5" s="4">
        <v>176</v>
      </c>
      <c r="W5" s="9">
        <v>-3.5799999999999998E-2</v>
      </c>
      <c r="Y5" s="4" t="s">
        <v>172</v>
      </c>
      <c r="Z5" s="4">
        <v>172</v>
      </c>
      <c r="AA5" s="9">
        <v>-6.0100000000000001E-2</v>
      </c>
      <c r="AB5" s="4">
        <v>184</v>
      </c>
      <c r="AC5" s="9">
        <v>-8.8499999999999995E-2</v>
      </c>
      <c r="AD5" s="4">
        <v>185</v>
      </c>
      <c r="AE5" s="9">
        <v>1.7000000000000001E-2</v>
      </c>
      <c r="AG5" s="4" t="s">
        <v>172</v>
      </c>
      <c r="AH5" s="4">
        <v>461</v>
      </c>
      <c r="AI5" s="9">
        <v>-4.5499999999999999E-2</v>
      </c>
      <c r="AJ5" s="4">
        <v>497</v>
      </c>
      <c r="AK5" s="9">
        <v>-0.14990000000000001</v>
      </c>
      <c r="AL5" s="4">
        <v>525</v>
      </c>
      <c r="AM5" s="9">
        <v>3.2800000000000003E-2</v>
      </c>
    </row>
    <row r="6" spans="1:39" x14ac:dyDescent="0.3">
      <c r="A6" s="4" t="s">
        <v>173</v>
      </c>
      <c r="B6" s="4">
        <v>862</v>
      </c>
      <c r="C6" s="9">
        <v>-2.4899999999999999E-2</v>
      </c>
      <c r="D6" s="4">
        <v>921</v>
      </c>
      <c r="E6" s="9">
        <v>-0.185</v>
      </c>
      <c r="F6" s="4">
        <v>975</v>
      </c>
      <c r="G6" s="9">
        <v>4.1599999999999998E-2</v>
      </c>
      <c r="I6" s="4" t="s">
        <v>173</v>
      </c>
      <c r="J6" s="4">
        <v>610</v>
      </c>
      <c r="K6" s="9">
        <v>-2.0899999999999998E-2</v>
      </c>
      <c r="L6" s="4">
        <v>643</v>
      </c>
      <c r="M6" s="9">
        <v>-0.15770000000000001</v>
      </c>
      <c r="N6" s="4">
        <v>663</v>
      </c>
      <c r="O6" s="9">
        <v>5.1799999999999999E-2</v>
      </c>
      <c r="Q6" s="4" t="s">
        <v>173</v>
      </c>
      <c r="R6" s="4">
        <v>229</v>
      </c>
      <c r="S6" s="9">
        <v>-1.29E-2</v>
      </c>
      <c r="T6" s="4">
        <v>245</v>
      </c>
      <c r="U6" s="9">
        <v>-6.2E-2</v>
      </c>
      <c r="V6" s="4">
        <v>255</v>
      </c>
      <c r="W6" s="9">
        <v>2.5000000000000001E-3</v>
      </c>
      <c r="Y6" s="4" t="s">
        <v>173</v>
      </c>
      <c r="Z6" s="4">
        <v>240</v>
      </c>
      <c r="AA6" s="9">
        <v>-0.13980000000000001</v>
      </c>
      <c r="AB6" s="4">
        <v>268</v>
      </c>
      <c r="AC6" s="9">
        <v>-8.48E-2</v>
      </c>
      <c r="AD6" s="4">
        <v>262</v>
      </c>
      <c r="AE6" s="9">
        <v>4.0000000000000002E-4</v>
      </c>
      <c r="AG6" s="4" t="s">
        <v>173</v>
      </c>
      <c r="AH6" s="4">
        <v>727</v>
      </c>
      <c r="AI6" s="9">
        <v>-2.5499999999999998E-2</v>
      </c>
      <c r="AJ6" s="4">
        <v>782</v>
      </c>
      <c r="AK6" s="9">
        <v>-0.14499999999999999</v>
      </c>
      <c r="AL6" s="4">
        <v>808</v>
      </c>
      <c r="AM6" s="9">
        <v>5.11E-2</v>
      </c>
    </row>
    <row r="7" spans="1:39" x14ac:dyDescent="0.3">
      <c r="A7" s="4" t="s">
        <v>174</v>
      </c>
      <c r="B7" s="4">
        <v>0</v>
      </c>
      <c r="C7" s="4" t="s">
        <v>46</v>
      </c>
      <c r="D7" s="4">
        <v>0</v>
      </c>
      <c r="E7" s="4" t="s">
        <v>46</v>
      </c>
      <c r="F7" s="4">
        <v>0</v>
      </c>
      <c r="G7" s="4" t="s">
        <v>46</v>
      </c>
      <c r="I7" s="4" t="s">
        <v>174</v>
      </c>
      <c r="J7" s="4">
        <v>0</v>
      </c>
      <c r="K7" s="4" t="s">
        <v>46</v>
      </c>
      <c r="L7" s="4">
        <v>0</v>
      </c>
      <c r="M7" s="4" t="s">
        <v>46</v>
      </c>
      <c r="N7" s="4">
        <v>0</v>
      </c>
      <c r="O7" s="4" t="s">
        <v>46</v>
      </c>
      <c r="Q7" s="4" t="s">
        <v>174</v>
      </c>
      <c r="R7" s="4">
        <v>0</v>
      </c>
      <c r="S7" s="4" t="s">
        <v>46</v>
      </c>
      <c r="T7" s="4">
        <v>0</v>
      </c>
      <c r="U7" s="4" t="s">
        <v>46</v>
      </c>
      <c r="V7" s="4">
        <v>0</v>
      </c>
      <c r="W7" s="4" t="s">
        <v>46</v>
      </c>
      <c r="Y7" s="4" t="s">
        <v>174</v>
      </c>
      <c r="Z7" s="4">
        <v>0</v>
      </c>
      <c r="AA7" s="4" t="s">
        <v>46</v>
      </c>
      <c r="AB7" s="4">
        <v>0</v>
      </c>
      <c r="AC7" s="4" t="s">
        <v>46</v>
      </c>
      <c r="AD7" s="4">
        <v>0</v>
      </c>
      <c r="AE7" s="4" t="s">
        <v>46</v>
      </c>
      <c r="AG7" s="4" t="s">
        <v>174</v>
      </c>
      <c r="AH7" s="4">
        <v>0</v>
      </c>
      <c r="AI7" s="4" t="s">
        <v>46</v>
      </c>
      <c r="AJ7" s="4">
        <v>0</v>
      </c>
      <c r="AK7" s="4" t="s">
        <v>46</v>
      </c>
      <c r="AL7" s="4">
        <v>0</v>
      </c>
      <c r="AM7" s="4" t="s">
        <v>46</v>
      </c>
    </row>
    <row r="8" spans="1:39" x14ac:dyDescent="0.3">
      <c r="A8" s="4" t="s">
        <v>175</v>
      </c>
      <c r="B8" s="4">
        <v>529</v>
      </c>
      <c r="C8" s="9">
        <v>7.6E-3</v>
      </c>
      <c r="D8" s="4">
        <v>554</v>
      </c>
      <c r="E8" s="9">
        <v>-5.9400000000000001E-2</v>
      </c>
      <c r="F8" s="4">
        <v>569</v>
      </c>
      <c r="G8" s="9">
        <v>1.1000000000000001E-3</v>
      </c>
      <c r="I8" s="4" t="s">
        <v>175</v>
      </c>
      <c r="J8" s="4">
        <v>319</v>
      </c>
      <c r="K8" s="9">
        <v>2.24E-2</v>
      </c>
      <c r="L8" s="4">
        <v>321</v>
      </c>
      <c r="M8" s="9">
        <v>-0.1532</v>
      </c>
      <c r="N8" s="4">
        <v>338</v>
      </c>
      <c r="O8" s="9">
        <v>4.3499999999999997E-2</v>
      </c>
      <c r="Q8" s="4" t="s">
        <v>175</v>
      </c>
      <c r="R8" s="4">
        <v>110</v>
      </c>
      <c r="S8" s="9">
        <v>-0.1729</v>
      </c>
      <c r="T8" s="4">
        <v>127</v>
      </c>
      <c r="U8" s="9">
        <v>-5.6000000000000001E-2</v>
      </c>
      <c r="V8" s="4">
        <v>130</v>
      </c>
      <c r="W8" s="9">
        <v>-4.8800000000000003E-2</v>
      </c>
      <c r="Y8" s="4" t="s">
        <v>175</v>
      </c>
      <c r="Z8" s="4">
        <v>144</v>
      </c>
      <c r="AA8" s="9">
        <v>4.3499999999999997E-2</v>
      </c>
      <c r="AB8" s="4">
        <v>148</v>
      </c>
      <c r="AC8" s="9">
        <v>-5.6399999999999999E-2</v>
      </c>
      <c r="AD8" s="4">
        <v>147</v>
      </c>
      <c r="AE8" s="9">
        <v>-2.24E-2</v>
      </c>
      <c r="AG8" s="4" t="s">
        <v>175</v>
      </c>
      <c r="AH8" s="4">
        <v>403</v>
      </c>
      <c r="AI8" s="9">
        <v>5.2200000000000003E-2</v>
      </c>
      <c r="AJ8" s="4">
        <v>405</v>
      </c>
      <c r="AK8" s="9">
        <v>-0.10929999999999999</v>
      </c>
      <c r="AL8" s="4">
        <v>419</v>
      </c>
      <c r="AM8" s="9">
        <v>1.7999999999999999E-2</v>
      </c>
    </row>
    <row r="9" spans="1:39" x14ac:dyDescent="0.3">
      <c r="A9" s="4" t="s">
        <v>176</v>
      </c>
      <c r="B9" s="4">
        <v>648</v>
      </c>
      <c r="C9" s="9">
        <v>-4.8500000000000001E-2</v>
      </c>
      <c r="D9" s="4">
        <v>714</v>
      </c>
      <c r="E9" s="9">
        <v>-0.16700000000000001</v>
      </c>
      <c r="F9" s="4">
        <v>749</v>
      </c>
      <c r="G9" s="9">
        <v>3.6999999999999998E-2</v>
      </c>
      <c r="I9" s="4" t="s">
        <v>176</v>
      </c>
      <c r="J9" s="4">
        <v>414</v>
      </c>
      <c r="K9" s="9">
        <v>-8.6099999999999996E-2</v>
      </c>
      <c r="L9" s="4">
        <v>470</v>
      </c>
      <c r="M9" s="9">
        <v>-0.214</v>
      </c>
      <c r="N9" s="4">
        <v>503</v>
      </c>
      <c r="O9" s="9">
        <v>3.0599999999999999E-2</v>
      </c>
      <c r="Q9" s="4" t="s">
        <v>176</v>
      </c>
      <c r="R9" s="4">
        <v>160</v>
      </c>
      <c r="S9" s="9">
        <v>-0.1444</v>
      </c>
      <c r="T9" s="4">
        <v>189</v>
      </c>
      <c r="U9" s="9">
        <v>-0.1077</v>
      </c>
      <c r="V9" s="4">
        <v>198</v>
      </c>
      <c r="W9" s="9">
        <v>-6.1000000000000004E-3</v>
      </c>
      <c r="Y9" s="4" t="s">
        <v>176</v>
      </c>
      <c r="Z9" s="4">
        <v>226</v>
      </c>
      <c r="AA9" s="9">
        <v>0.159</v>
      </c>
      <c r="AB9" s="4">
        <v>218</v>
      </c>
      <c r="AC9" s="9">
        <v>-0.1241</v>
      </c>
      <c r="AD9" s="4">
        <v>220</v>
      </c>
      <c r="AE9" s="9">
        <v>-1.84E-2</v>
      </c>
      <c r="AG9" s="4" t="s">
        <v>176</v>
      </c>
      <c r="AH9" s="4">
        <v>502</v>
      </c>
      <c r="AI9" s="9">
        <v>-0.10680000000000001</v>
      </c>
      <c r="AJ9" s="4">
        <v>574</v>
      </c>
      <c r="AK9" s="9">
        <v>-0.1842</v>
      </c>
      <c r="AL9" s="4">
        <v>605</v>
      </c>
      <c r="AM9" s="9">
        <v>2.4400000000000002E-2</v>
      </c>
    </row>
    <row r="10" spans="1:39" x14ac:dyDescent="0.3">
      <c r="A10" s="4" t="s">
        <v>177</v>
      </c>
      <c r="B10" s="4">
        <v>638</v>
      </c>
      <c r="C10" s="9">
        <v>1.7500000000000002E-2</v>
      </c>
      <c r="D10" s="4">
        <v>659</v>
      </c>
      <c r="E10" s="9">
        <v>-9.6199999999999994E-2</v>
      </c>
      <c r="F10" s="4">
        <v>693</v>
      </c>
      <c r="G10" s="9">
        <v>1.52E-2</v>
      </c>
      <c r="I10" s="4" t="s">
        <v>177</v>
      </c>
      <c r="J10" s="4">
        <v>370</v>
      </c>
      <c r="K10" s="9">
        <v>3.9300000000000002E-2</v>
      </c>
      <c r="L10" s="4">
        <v>384</v>
      </c>
      <c r="M10" s="9">
        <v>-0.17050000000000001</v>
      </c>
      <c r="N10" s="4">
        <v>417</v>
      </c>
      <c r="O10" s="9">
        <v>5.3E-3</v>
      </c>
      <c r="Q10" s="4" t="s">
        <v>177</v>
      </c>
      <c r="R10" s="4">
        <v>160</v>
      </c>
      <c r="S10" s="9">
        <v>2.5600000000000001E-2</v>
      </c>
      <c r="T10" s="4">
        <v>170</v>
      </c>
      <c r="U10" s="9">
        <v>-4.3999999999999997E-2</v>
      </c>
      <c r="V10" s="4">
        <v>187</v>
      </c>
      <c r="W10" s="9">
        <v>-2.3800000000000002E-2</v>
      </c>
      <c r="Y10" s="4" t="s">
        <v>177</v>
      </c>
      <c r="Z10" s="4">
        <v>147</v>
      </c>
      <c r="AA10" s="9">
        <v>5.7599999999999998E-2</v>
      </c>
      <c r="AB10" s="4">
        <v>161</v>
      </c>
      <c r="AC10" s="9">
        <v>-0.1196</v>
      </c>
      <c r="AD10" s="4">
        <v>168</v>
      </c>
      <c r="AE10" s="9">
        <v>-3.8999999999999998E-3</v>
      </c>
      <c r="AG10" s="4" t="s">
        <v>177</v>
      </c>
      <c r="AH10" s="4">
        <v>475</v>
      </c>
      <c r="AI10" s="9">
        <v>2.81E-2</v>
      </c>
      <c r="AJ10" s="4">
        <v>493</v>
      </c>
      <c r="AK10" s="9">
        <v>-0.1303</v>
      </c>
      <c r="AL10" s="4">
        <v>535</v>
      </c>
      <c r="AM10" s="9">
        <v>-9.4999999999999998E-3</v>
      </c>
    </row>
    <row r="11" spans="1:39" x14ac:dyDescent="0.3">
      <c r="A11" s="4" t="s">
        <v>178</v>
      </c>
      <c r="B11" s="4">
        <v>375</v>
      </c>
      <c r="C11" s="9">
        <v>-6.4799999999999996E-2</v>
      </c>
      <c r="D11" s="4">
        <v>443</v>
      </c>
      <c r="E11" s="9">
        <v>-9.5399999999999999E-2</v>
      </c>
      <c r="F11" s="4">
        <v>498</v>
      </c>
      <c r="G11" s="9">
        <v>0.2319</v>
      </c>
      <c r="I11" s="4" t="s">
        <v>178</v>
      </c>
      <c r="J11" s="4">
        <v>204</v>
      </c>
      <c r="K11" s="9">
        <v>9.9000000000000008E-3</v>
      </c>
      <c r="L11" s="4">
        <v>218</v>
      </c>
      <c r="M11" s="9">
        <v>-0.18079999999999999</v>
      </c>
      <c r="N11" s="4">
        <v>257</v>
      </c>
      <c r="O11" s="9">
        <v>0.27510000000000001</v>
      </c>
      <c r="Q11" s="4" t="s">
        <v>178</v>
      </c>
      <c r="R11" s="4">
        <v>96</v>
      </c>
      <c r="S11" s="9">
        <v>3.2300000000000002E-2</v>
      </c>
      <c r="T11" s="4">
        <v>102</v>
      </c>
      <c r="U11" s="9">
        <v>1.3299999999999999E-2</v>
      </c>
      <c r="V11" s="4">
        <v>113</v>
      </c>
      <c r="W11" s="9">
        <v>0.17749999999999999</v>
      </c>
      <c r="Y11" s="4" t="s">
        <v>178</v>
      </c>
      <c r="Z11" s="4">
        <v>98</v>
      </c>
      <c r="AA11" s="9">
        <v>-0.1091</v>
      </c>
      <c r="AB11" s="4">
        <v>123</v>
      </c>
      <c r="AC11" s="9">
        <v>-9.3399999999999997E-2</v>
      </c>
      <c r="AD11" s="4">
        <v>126</v>
      </c>
      <c r="AE11" s="9">
        <v>0.25159999999999999</v>
      </c>
      <c r="AG11" s="4" t="s">
        <v>178</v>
      </c>
      <c r="AH11" s="4">
        <v>287</v>
      </c>
      <c r="AI11" s="9">
        <v>-3.6900000000000002E-2</v>
      </c>
      <c r="AJ11" s="4">
        <v>302</v>
      </c>
      <c r="AK11" s="9">
        <v>-0.1643</v>
      </c>
      <c r="AL11" s="4">
        <v>336</v>
      </c>
      <c r="AM11" s="9">
        <v>0.20599999999999999</v>
      </c>
    </row>
    <row r="12" spans="1:39" x14ac:dyDescent="0.3">
      <c r="A12" s="4" t="s">
        <v>179</v>
      </c>
      <c r="B12" s="4">
        <v>468</v>
      </c>
      <c r="C12" s="9">
        <v>5.1700000000000003E-2</v>
      </c>
      <c r="D12" s="4">
        <v>472</v>
      </c>
      <c r="E12" s="9">
        <v>-0.10440000000000001</v>
      </c>
      <c r="F12" s="4">
        <v>513</v>
      </c>
      <c r="G12" s="9">
        <v>0.1244</v>
      </c>
      <c r="I12" s="4" t="s">
        <v>179</v>
      </c>
      <c r="J12" s="4">
        <v>295</v>
      </c>
      <c r="K12" s="9">
        <v>1.72E-2</v>
      </c>
      <c r="L12" s="4">
        <v>304</v>
      </c>
      <c r="M12" s="9">
        <v>-0.18099999999999999</v>
      </c>
      <c r="N12" s="4">
        <v>350</v>
      </c>
      <c r="O12" s="9">
        <v>0.1938</v>
      </c>
      <c r="Q12" s="4" t="s">
        <v>179</v>
      </c>
      <c r="R12" s="4">
        <v>119</v>
      </c>
      <c r="S12" s="9">
        <v>-0.1053</v>
      </c>
      <c r="T12" s="4">
        <v>132</v>
      </c>
      <c r="U12" s="9">
        <v>-6.3700000000000007E-2</v>
      </c>
      <c r="V12" s="4">
        <v>151</v>
      </c>
      <c r="W12" s="9">
        <v>5.1700000000000003E-2</v>
      </c>
      <c r="Y12" s="4" t="s">
        <v>179</v>
      </c>
      <c r="Z12" s="4">
        <v>153</v>
      </c>
      <c r="AA12" s="9">
        <v>0.02</v>
      </c>
      <c r="AB12" s="4">
        <v>145</v>
      </c>
      <c r="AC12" s="9">
        <v>-7.4300000000000005E-2</v>
      </c>
      <c r="AD12" s="4">
        <v>156</v>
      </c>
      <c r="AE12" s="9">
        <v>4.7899999999999998E-2</v>
      </c>
      <c r="AG12" s="4" t="s">
        <v>179</v>
      </c>
      <c r="AH12" s="4">
        <v>373</v>
      </c>
      <c r="AI12" s="9">
        <v>2.75E-2</v>
      </c>
      <c r="AJ12" s="4">
        <v>382</v>
      </c>
      <c r="AK12" s="9">
        <v>-0.1343</v>
      </c>
      <c r="AL12" s="4">
        <v>423</v>
      </c>
      <c r="AM12" s="9">
        <v>0.13689999999999999</v>
      </c>
    </row>
    <row r="13" spans="1:39" x14ac:dyDescent="0.3">
      <c r="A13" s="4" t="s">
        <v>180</v>
      </c>
      <c r="B13" s="4">
        <v>0</v>
      </c>
      <c r="C13" s="4" t="s">
        <v>46</v>
      </c>
      <c r="D13" s="4">
        <v>0</v>
      </c>
      <c r="E13" s="4" t="s">
        <v>46</v>
      </c>
      <c r="F13" s="4">
        <v>0</v>
      </c>
      <c r="G13" s="9" t="s">
        <v>46</v>
      </c>
      <c r="I13" s="4" t="s">
        <v>180</v>
      </c>
      <c r="J13" s="4">
        <v>0</v>
      </c>
      <c r="K13" s="4" t="s">
        <v>46</v>
      </c>
      <c r="L13" s="4">
        <v>0</v>
      </c>
      <c r="M13" s="4" t="s">
        <v>46</v>
      </c>
      <c r="N13" s="4">
        <v>0</v>
      </c>
      <c r="O13" s="9" t="s">
        <v>46</v>
      </c>
      <c r="Q13" s="4" t="s">
        <v>180</v>
      </c>
      <c r="R13" s="4">
        <v>0</v>
      </c>
      <c r="S13" s="4" t="s">
        <v>46</v>
      </c>
      <c r="T13" s="4">
        <v>0</v>
      </c>
      <c r="U13" s="4" t="s">
        <v>46</v>
      </c>
      <c r="V13" s="4">
        <v>0</v>
      </c>
      <c r="W13" s="9" t="s">
        <v>46</v>
      </c>
      <c r="Y13" s="4" t="s">
        <v>180</v>
      </c>
      <c r="Z13" s="4">
        <v>0</v>
      </c>
      <c r="AA13" s="4" t="s">
        <v>46</v>
      </c>
      <c r="AB13" s="4">
        <v>0</v>
      </c>
      <c r="AC13" s="4" t="s">
        <v>46</v>
      </c>
      <c r="AD13" s="4">
        <v>0</v>
      </c>
      <c r="AE13" s="9" t="s">
        <v>46</v>
      </c>
      <c r="AG13" s="4" t="s">
        <v>180</v>
      </c>
      <c r="AH13" s="4">
        <v>0</v>
      </c>
      <c r="AI13" s="4" t="s">
        <v>46</v>
      </c>
      <c r="AJ13" s="4">
        <v>0</v>
      </c>
      <c r="AK13" s="4" t="s">
        <v>46</v>
      </c>
      <c r="AL13" s="4">
        <v>0</v>
      </c>
      <c r="AM13" s="9" t="s">
        <v>46</v>
      </c>
    </row>
    <row r="14" spans="1:39" x14ac:dyDescent="0.3">
      <c r="A14" s="4" t="s">
        <v>181</v>
      </c>
      <c r="B14" s="4">
        <v>136</v>
      </c>
      <c r="C14" s="9">
        <v>-6.2100000000000002E-2</v>
      </c>
      <c r="D14" s="4">
        <v>156</v>
      </c>
      <c r="E14" s="9">
        <v>-4.5900000000000003E-2</v>
      </c>
      <c r="F14" s="4">
        <v>170</v>
      </c>
      <c r="G14" s="9">
        <v>4.36E-2</v>
      </c>
      <c r="I14" s="4" t="s">
        <v>181</v>
      </c>
      <c r="J14" s="4">
        <v>102</v>
      </c>
      <c r="K14" s="9">
        <v>-1.9199999999999998E-2</v>
      </c>
      <c r="L14" s="4">
        <v>113</v>
      </c>
      <c r="M14" s="9">
        <v>-0.1181</v>
      </c>
      <c r="N14" s="4">
        <v>125</v>
      </c>
      <c r="O14" s="9">
        <v>0.1171</v>
      </c>
      <c r="Q14" s="4" t="s">
        <v>181</v>
      </c>
      <c r="R14" s="4">
        <v>44</v>
      </c>
      <c r="S14" s="9">
        <v>-8.3299999999999999E-2</v>
      </c>
      <c r="T14" s="4">
        <v>46</v>
      </c>
      <c r="U14" s="9">
        <v>-5.7799999999999997E-2</v>
      </c>
      <c r="V14" s="4">
        <v>52</v>
      </c>
      <c r="W14" s="9">
        <v>-2.5499999999999998E-2</v>
      </c>
      <c r="Y14" s="4" t="s">
        <v>181</v>
      </c>
      <c r="Z14" s="4">
        <v>47</v>
      </c>
      <c r="AA14" s="9">
        <v>0.11899999999999999</v>
      </c>
      <c r="AB14" s="4">
        <v>49</v>
      </c>
      <c r="AC14" s="9">
        <v>-0.15079999999999999</v>
      </c>
      <c r="AD14" s="4">
        <v>55</v>
      </c>
      <c r="AE14" s="9">
        <v>-1.9599999999999999E-2</v>
      </c>
      <c r="AG14" s="4" t="s">
        <v>181</v>
      </c>
      <c r="AH14" s="4">
        <v>116</v>
      </c>
      <c r="AI14" s="9">
        <v>-8.6599999999999996E-2</v>
      </c>
      <c r="AJ14" s="4">
        <v>132</v>
      </c>
      <c r="AK14" s="9">
        <v>-8.2400000000000001E-2</v>
      </c>
      <c r="AL14" s="4">
        <v>142</v>
      </c>
      <c r="AM14" s="9">
        <v>6.7599999999999993E-2</v>
      </c>
    </row>
    <row r="15" spans="1:39" x14ac:dyDescent="0.3">
      <c r="A15" s="4" t="s">
        <v>182</v>
      </c>
      <c r="B15" s="4">
        <v>0</v>
      </c>
      <c r="C15" s="4" t="s">
        <v>46</v>
      </c>
      <c r="D15" s="4">
        <v>0</v>
      </c>
      <c r="E15" s="4" t="s">
        <v>46</v>
      </c>
      <c r="F15" s="4">
        <v>0</v>
      </c>
      <c r="G15" s="9" t="s">
        <v>46</v>
      </c>
      <c r="I15" s="4" t="s">
        <v>182</v>
      </c>
      <c r="J15" s="4">
        <v>0</v>
      </c>
      <c r="K15" s="4" t="s">
        <v>46</v>
      </c>
      <c r="L15" s="4">
        <v>0</v>
      </c>
      <c r="M15" s="4" t="s">
        <v>46</v>
      </c>
      <c r="N15" s="4">
        <v>0</v>
      </c>
      <c r="O15" s="9" t="s">
        <v>46</v>
      </c>
      <c r="Q15" s="4" t="s">
        <v>182</v>
      </c>
      <c r="R15" s="4">
        <v>0</v>
      </c>
      <c r="S15" s="4" t="s">
        <v>46</v>
      </c>
      <c r="T15" s="4">
        <v>0</v>
      </c>
      <c r="U15" s="4" t="s">
        <v>46</v>
      </c>
      <c r="V15" s="4">
        <v>0</v>
      </c>
      <c r="W15" s="4" t="s">
        <v>46</v>
      </c>
      <c r="Y15" s="4" t="s">
        <v>182</v>
      </c>
      <c r="Z15" s="4">
        <v>0</v>
      </c>
      <c r="AA15" s="4" t="s">
        <v>46</v>
      </c>
      <c r="AB15" s="4">
        <v>0</v>
      </c>
      <c r="AC15" s="4" t="s">
        <v>46</v>
      </c>
      <c r="AD15" s="4">
        <v>0</v>
      </c>
      <c r="AE15" s="4" t="s">
        <v>46</v>
      </c>
      <c r="AG15" s="4" t="s">
        <v>182</v>
      </c>
      <c r="AH15" s="4">
        <v>0</v>
      </c>
      <c r="AI15" s="4" t="s">
        <v>46</v>
      </c>
      <c r="AJ15" s="4">
        <v>0</v>
      </c>
      <c r="AK15" s="4" t="s">
        <v>46</v>
      </c>
      <c r="AL15" s="4">
        <v>0</v>
      </c>
      <c r="AM15" s="4" t="s">
        <v>46</v>
      </c>
    </row>
    <row r="16" spans="1:39" x14ac:dyDescent="0.3">
      <c r="A16" s="4" t="s">
        <v>183</v>
      </c>
      <c r="B16" s="4">
        <v>341</v>
      </c>
      <c r="C16" s="9">
        <v>6.2300000000000001E-2</v>
      </c>
      <c r="D16" s="4">
        <v>354</v>
      </c>
      <c r="E16" s="9">
        <v>-6.88E-2</v>
      </c>
      <c r="F16" s="4">
        <v>371</v>
      </c>
      <c r="G16" s="9">
        <v>5.4699999999999999E-2</v>
      </c>
      <c r="I16" s="4" t="s">
        <v>184</v>
      </c>
      <c r="J16" s="4">
        <v>247</v>
      </c>
      <c r="K16" s="9">
        <v>9.2899999999999996E-2</v>
      </c>
      <c r="L16" s="4">
        <v>253</v>
      </c>
      <c r="M16" s="9">
        <v>-0.1283</v>
      </c>
      <c r="N16" s="4">
        <v>272</v>
      </c>
      <c r="O16" s="9">
        <v>0.13450000000000001</v>
      </c>
      <c r="Q16" s="4" t="s">
        <v>183</v>
      </c>
      <c r="R16" s="4">
        <v>134</v>
      </c>
      <c r="S16" s="9">
        <v>8.0600000000000005E-2</v>
      </c>
      <c r="T16" s="4">
        <v>137</v>
      </c>
      <c r="U16" s="9">
        <v>-1.44E-2</v>
      </c>
      <c r="V16" s="4">
        <v>147</v>
      </c>
      <c r="W16" s="9">
        <v>4.5100000000000001E-2</v>
      </c>
      <c r="Y16" s="4" t="s">
        <v>184</v>
      </c>
      <c r="Z16" s="4">
        <v>88</v>
      </c>
      <c r="AA16" s="9">
        <v>7.3200000000000001E-2</v>
      </c>
      <c r="AB16" s="4">
        <v>93</v>
      </c>
      <c r="AC16" s="9">
        <v>-8.5300000000000001E-2</v>
      </c>
      <c r="AD16" s="4">
        <v>97</v>
      </c>
      <c r="AE16" s="9">
        <v>-1.52E-2</v>
      </c>
      <c r="AG16" s="4" t="s">
        <v>183</v>
      </c>
      <c r="AH16" s="4">
        <v>295</v>
      </c>
      <c r="AI16" s="9">
        <v>7.6600000000000001E-2</v>
      </c>
      <c r="AJ16" s="4">
        <v>309</v>
      </c>
      <c r="AK16" s="9">
        <v>-8.1799999999999998E-2</v>
      </c>
      <c r="AL16" s="4">
        <v>324</v>
      </c>
      <c r="AM16" s="9">
        <v>6.7400000000000002E-2</v>
      </c>
    </row>
    <row r="17" spans="1:39" x14ac:dyDescent="0.3">
      <c r="A17" s="4" t="s">
        <v>185</v>
      </c>
      <c r="B17" s="4">
        <v>744</v>
      </c>
      <c r="C17" s="9">
        <v>6.7999999999999996E-3</v>
      </c>
      <c r="D17" s="4">
        <v>784</v>
      </c>
      <c r="E17" s="9">
        <v>-0.1017</v>
      </c>
      <c r="F17" s="4">
        <v>821</v>
      </c>
      <c r="G17" s="9">
        <v>7.2800000000000004E-2</v>
      </c>
      <c r="I17" s="4" t="s">
        <v>185</v>
      </c>
      <c r="J17" s="4">
        <v>495</v>
      </c>
      <c r="K17" s="9">
        <v>-3.8800000000000001E-2</v>
      </c>
      <c r="L17" s="4">
        <v>526</v>
      </c>
      <c r="M17" s="9">
        <v>-0.15409999999999999</v>
      </c>
      <c r="N17" s="4">
        <v>553</v>
      </c>
      <c r="O17" s="9">
        <v>9.0300000000000005E-2</v>
      </c>
      <c r="Q17" s="4" t="s">
        <v>185</v>
      </c>
      <c r="R17" s="4">
        <v>234</v>
      </c>
      <c r="S17" s="9">
        <v>-4.4900000000000002E-2</v>
      </c>
      <c r="T17" s="4">
        <v>254</v>
      </c>
      <c r="U17" s="9">
        <v>-4.0899999999999999E-2</v>
      </c>
      <c r="V17" s="4">
        <v>261</v>
      </c>
      <c r="W17" s="9">
        <v>-2.12E-2</v>
      </c>
      <c r="Y17" s="4" t="s">
        <v>185</v>
      </c>
      <c r="Z17" s="4">
        <v>229</v>
      </c>
      <c r="AA17" s="9">
        <v>7.0099999999999996E-2</v>
      </c>
      <c r="AB17" s="4">
        <v>223</v>
      </c>
      <c r="AC17" s="9">
        <v>-9.5799999999999996E-2</v>
      </c>
      <c r="AD17" s="4">
        <v>230</v>
      </c>
      <c r="AE17" s="9">
        <v>1.67E-2</v>
      </c>
      <c r="AG17" s="4" t="s">
        <v>185</v>
      </c>
      <c r="AH17" s="4">
        <v>613</v>
      </c>
      <c r="AI17" s="9">
        <v>-2.23E-2</v>
      </c>
      <c r="AJ17" s="4">
        <v>639</v>
      </c>
      <c r="AK17" s="9">
        <v>-0.13039999999999999</v>
      </c>
      <c r="AL17" s="4">
        <v>663</v>
      </c>
      <c r="AM17" s="9">
        <v>5.8599999999999999E-2</v>
      </c>
    </row>
    <row r="18" spans="1:39" x14ac:dyDescent="0.3">
      <c r="A18" s="4" t="s">
        <v>186</v>
      </c>
      <c r="B18" s="4">
        <v>482</v>
      </c>
      <c r="C18" s="9">
        <v>-6.1999999999999998E-3</v>
      </c>
      <c r="D18" s="4">
        <v>524</v>
      </c>
      <c r="E18" s="9">
        <v>-0.12690000000000001</v>
      </c>
      <c r="F18" s="4">
        <v>553</v>
      </c>
      <c r="G18" s="9">
        <v>2.87E-2</v>
      </c>
      <c r="I18" s="4" t="s">
        <v>186</v>
      </c>
      <c r="J18" s="4">
        <v>332</v>
      </c>
      <c r="K18" s="9">
        <v>-8.9999999999999993E-3</v>
      </c>
      <c r="L18" s="4">
        <v>345</v>
      </c>
      <c r="M18" s="9">
        <v>-0.154</v>
      </c>
      <c r="N18" s="4">
        <v>364</v>
      </c>
      <c r="O18" s="9">
        <v>1.04E-2</v>
      </c>
      <c r="Q18" s="4" t="s">
        <v>186</v>
      </c>
      <c r="R18" s="4">
        <v>120</v>
      </c>
      <c r="S18" s="9">
        <v>-0.04</v>
      </c>
      <c r="T18" s="4">
        <v>126</v>
      </c>
      <c r="U18" s="9">
        <v>-0.104</v>
      </c>
      <c r="V18" s="4">
        <v>133</v>
      </c>
      <c r="W18" s="9">
        <v>-3.1300000000000001E-2</v>
      </c>
      <c r="Y18" s="4" t="s">
        <v>186</v>
      </c>
      <c r="Z18" s="4">
        <v>141</v>
      </c>
      <c r="AA18" s="9">
        <v>-7.0000000000000001E-3</v>
      </c>
      <c r="AB18" s="4">
        <v>146</v>
      </c>
      <c r="AC18" s="9">
        <v>-0.06</v>
      </c>
      <c r="AD18" s="4">
        <v>146</v>
      </c>
      <c r="AE18" s="9">
        <v>-5.4000000000000003E-3</v>
      </c>
      <c r="AG18" s="4" t="s">
        <v>186</v>
      </c>
      <c r="AH18" s="4">
        <v>406</v>
      </c>
      <c r="AI18" s="9">
        <v>-1.9300000000000001E-2</v>
      </c>
      <c r="AJ18" s="4">
        <v>428</v>
      </c>
      <c r="AK18" s="9">
        <v>-0.12709999999999999</v>
      </c>
      <c r="AL18" s="4">
        <v>444</v>
      </c>
      <c r="AM18" s="9">
        <v>4.4999999999999997E-3</v>
      </c>
    </row>
    <row r="19" spans="1:39" x14ac:dyDescent="0.3">
      <c r="A19" s="4" t="s">
        <v>187</v>
      </c>
      <c r="B19" s="4">
        <v>608</v>
      </c>
      <c r="C19" s="9">
        <v>-3.0300000000000001E-2</v>
      </c>
      <c r="D19" s="4">
        <v>656</v>
      </c>
      <c r="E19" s="9">
        <v>-7.5200000000000003E-2</v>
      </c>
      <c r="F19" s="4">
        <v>671</v>
      </c>
      <c r="G19" s="9">
        <v>3.5400000000000001E-2</v>
      </c>
      <c r="I19" s="4" t="s">
        <v>187</v>
      </c>
      <c r="J19" s="4">
        <v>390</v>
      </c>
      <c r="K19" s="9">
        <v>-4.65E-2</v>
      </c>
      <c r="L19" s="4">
        <v>412</v>
      </c>
      <c r="M19" s="9">
        <v>-0.14169999999999999</v>
      </c>
      <c r="N19" s="4">
        <v>426</v>
      </c>
      <c r="O19" s="9">
        <v>4.8099999999999997E-2</v>
      </c>
      <c r="Q19" s="4" t="s">
        <v>187</v>
      </c>
      <c r="R19" s="4">
        <v>193</v>
      </c>
      <c r="S19" s="9">
        <v>0.12870000000000001</v>
      </c>
      <c r="T19" s="4">
        <v>184</v>
      </c>
      <c r="U19" s="9">
        <v>5.4999999999999997E-3</v>
      </c>
      <c r="V19" s="4">
        <v>183</v>
      </c>
      <c r="W19" s="9">
        <v>-1.5599999999999999E-2</v>
      </c>
      <c r="Y19" s="4" t="s">
        <v>187</v>
      </c>
      <c r="Z19" s="4">
        <v>189</v>
      </c>
      <c r="AA19" s="9">
        <v>-4.5499999999999999E-2</v>
      </c>
      <c r="AB19" s="4">
        <v>213</v>
      </c>
      <c r="AC19" s="9">
        <v>-4.4200000000000003E-2</v>
      </c>
      <c r="AD19" s="4">
        <v>209</v>
      </c>
      <c r="AE19" s="9">
        <v>2.2800000000000001E-2</v>
      </c>
      <c r="AG19" s="4" t="s">
        <v>187</v>
      </c>
      <c r="AH19" s="4">
        <v>499</v>
      </c>
      <c r="AI19" s="9">
        <v>0</v>
      </c>
      <c r="AJ19" s="4">
        <v>518</v>
      </c>
      <c r="AK19" s="9">
        <v>-9.3899999999999997E-2</v>
      </c>
      <c r="AL19" s="4">
        <v>525</v>
      </c>
      <c r="AM19" s="9">
        <v>2.64E-2</v>
      </c>
    </row>
    <row r="20" spans="1:39" x14ac:dyDescent="0.3">
      <c r="A20" s="4" t="s">
        <v>188</v>
      </c>
      <c r="B20" s="4">
        <v>443</v>
      </c>
      <c r="C20" s="9">
        <v>-8.8999999999999999E-3</v>
      </c>
      <c r="D20" s="4">
        <v>502</v>
      </c>
      <c r="E20" s="9">
        <v>-0.126</v>
      </c>
      <c r="F20" s="4">
        <v>531</v>
      </c>
      <c r="G20" s="9">
        <v>3.49E-2</v>
      </c>
      <c r="I20" s="4" t="s">
        <v>188</v>
      </c>
      <c r="J20" s="4">
        <v>319</v>
      </c>
      <c r="K20" s="9">
        <v>-3.0999999999999999E-3</v>
      </c>
      <c r="L20" s="4">
        <v>346</v>
      </c>
      <c r="M20" s="9">
        <v>-0.18260000000000001</v>
      </c>
      <c r="N20" s="4">
        <v>359</v>
      </c>
      <c r="O20" s="9">
        <v>4.6899999999999997E-2</v>
      </c>
      <c r="Q20" s="4" t="s">
        <v>188</v>
      </c>
      <c r="R20" s="4">
        <v>110</v>
      </c>
      <c r="S20" s="9">
        <v>-0.17910000000000001</v>
      </c>
      <c r="T20" s="4">
        <v>134</v>
      </c>
      <c r="U20" s="9">
        <v>-7.9200000000000007E-2</v>
      </c>
      <c r="V20" s="4">
        <v>141</v>
      </c>
      <c r="W20" s="9">
        <v>-2.2499999999999999E-2</v>
      </c>
      <c r="Y20" s="4" t="s">
        <v>188</v>
      </c>
      <c r="Z20" s="4">
        <v>138</v>
      </c>
      <c r="AA20" s="9">
        <v>9.5200000000000007E-2</v>
      </c>
      <c r="AB20" s="4">
        <v>140</v>
      </c>
      <c r="AC20" s="9">
        <v>-9.1800000000000007E-2</v>
      </c>
      <c r="AD20" s="4">
        <v>140</v>
      </c>
      <c r="AE20" s="9">
        <v>-4.24E-2</v>
      </c>
      <c r="AG20" s="4" t="s">
        <v>188</v>
      </c>
      <c r="AH20" s="4">
        <v>374</v>
      </c>
      <c r="AI20" s="9">
        <v>-1.5800000000000002E-2</v>
      </c>
      <c r="AJ20" s="4">
        <v>408</v>
      </c>
      <c r="AK20" s="9">
        <v>-0.15279999999999999</v>
      </c>
      <c r="AL20" s="4">
        <v>426</v>
      </c>
      <c r="AM20" s="9">
        <v>2.4400000000000002E-2</v>
      </c>
    </row>
    <row r="21" spans="1:39" x14ac:dyDescent="0.3">
      <c r="A21" s="4" t="s">
        <v>189</v>
      </c>
      <c r="B21" s="4">
        <v>0</v>
      </c>
      <c r="C21" s="4" t="s">
        <v>46</v>
      </c>
      <c r="D21" s="4">
        <v>0</v>
      </c>
      <c r="E21" s="4" t="s">
        <v>46</v>
      </c>
      <c r="F21" s="4">
        <v>0</v>
      </c>
      <c r="G21" s="4" t="s">
        <v>46</v>
      </c>
      <c r="I21" s="4" t="s">
        <v>189</v>
      </c>
      <c r="J21" s="4">
        <v>0</v>
      </c>
      <c r="K21" s="4" t="s">
        <v>46</v>
      </c>
      <c r="L21" s="4">
        <v>0</v>
      </c>
      <c r="M21" s="4" t="s">
        <v>46</v>
      </c>
      <c r="N21" s="4">
        <v>0</v>
      </c>
      <c r="O21" s="4" t="s">
        <v>46</v>
      </c>
      <c r="Q21" s="4" t="s">
        <v>189</v>
      </c>
      <c r="R21" s="4">
        <v>0</v>
      </c>
      <c r="S21" s="4" t="s">
        <v>46</v>
      </c>
      <c r="T21" s="4">
        <v>0</v>
      </c>
      <c r="U21" s="4" t="s">
        <v>46</v>
      </c>
      <c r="V21" s="4">
        <v>0</v>
      </c>
      <c r="W21" s="4" t="s">
        <v>46</v>
      </c>
      <c r="Y21" s="4" t="s">
        <v>189</v>
      </c>
      <c r="Z21" s="4">
        <v>0</v>
      </c>
      <c r="AA21" s="4" t="s">
        <v>46</v>
      </c>
      <c r="AB21" s="4">
        <v>0</v>
      </c>
      <c r="AC21" s="4" t="s">
        <v>46</v>
      </c>
      <c r="AD21" s="4">
        <v>0</v>
      </c>
      <c r="AE21" s="4" t="s">
        <v>46</v>
      </c>
      <c r="AG21" s="4" t="s">
        <v>189</v>
      </c>
      <c r="AH21" s="4">
        <v>0</v>
      </c>
      <c r="AI21" s="4" t="s">
        <v>46</v>
      </c>
      <c r="AJ21" s="4">
        <v>0</v>
      </c>
      <c r="AK21" s="4" t="s">
        <v>46</v>
      </c>
      <c r="AL21" s="4">
        <v>0</v>
      </c>
      <c r="AM21" s="4" t="s">
        <v>46</v>
      </c>
    </row>
    <row r="22" spans="1:39" x14ac:dyDescent="0.3">
      <c r="A22" s="4" t="s">
        <v>190</v>
      </c>
      <c r="B22" s="4">
        <v>540</v>
      </c>
      <c r="C22" s="9">
        <v>-4.7600000000000003E-2</v>
      </c>
      <c r="D22" s="4">
        <v>550</v>
      </c>
      <c r="E22" s="9">
        <v>-7.5899999999999995E-2</v>
      </c>
      <c r="F22" s="4">
        <v>593</v>
      </c>
      <c r="G22" s="9">
        <v>6.88E-2</v>
      </c>
      <c r="I22" s="4" t="s">
        <v>190</v>
      </c>
      <c r="J22" s="4">
        <v>342</v>
      </c>
      <c r="K22" s="9">
        <v>2.4E-2</v>
      </c>
      <c r="L22" s="4">
        <v>340</v>
      </c>
      <c r="M22" s="9">
        <v>-6.25E-2</v>
      </c>
      <c r="N22" s="4">
        <v>370</v>
      </c>
      <c r="O22" s="9">
        <v>0.1023</v>
      </c>
      <c r="Q22" s="4" t="s">
        <v>190</v>
      </c>
      <c r="R22" s="4">
        <v>135</v>
      </c>
      <c r="S22" s="9">
        <v>0.08</v>
      </c>
      <c r="T22" s="4">
        <v>120</v>
      </c>
      <c r="U22" s="9">
        <v>-8.2000000000000003E-2</v>
      </c>
      <c r="V22" s="4">
        <v>147</v>
      </c>
      <c r="W22" s="9">
        <v>4.4000000000000003E-3</v>
      </c>
      <c r="Y22" s="4" t="s">
        <v>190</v>
      </c>
      <c r="Z22" s="4">
        <v>145</v>
      </c>
      <c r="AA22" s="9">
        <v>-0.1265</v>
      </c>
      <c r="AB22" s="4">
        <v>154</v>
      </c>
      <c r="AC22" s="9">
        <v>-8.6099999999999996E-2</v>
      </c>
      <c r="AD22" s="4">
        <v>167</v>
      </c>
      <c r="AE22" s="9">
        <v>4.4900000000000002E-2</v>
      </c>
      <c r="AG22" s="4" t="s">
        <v>190</v>
      </c>
      <c r="AH22" s="4">
        <v>432</v>
      </c>
      <c r="AI22" s="9">
        <v>-1.8200000000000001E-2</v>
      </c>
      <c r="AJ22" s="4">
        <v>429</v>
      </c>
      <c r="AK22" s="9">
        <v>-5.9900000000000002E-2</v>
      </c>
      <c r="AL22" s="4">
        <v>462</v>
      </c>
      <c r="AM22" s="9">
        <v>7.1800000000000003E-2</v>
      </c>
    </row>
    <row r="23" spans="1:39" x14ac:dyDescent="0.3">
      <c r="A23" s="4" t="s">
        <v>191</v>
      </c>
      <c r="B23" s="4">
        <v>310</v>
      </c>
      <c r="C23" s="9">
        <v>6.4999999999999997E-3</v>
      </c>
      <c r="D23" s="4">
        <v>336</v>
      </c>
      <c r="E23" s="9">
        <v>-7.5999999999999998E-2</v>
      </c>
      <c r="F23" s="4">
        <v>347</v>
      </c>
      <c r="G23" s="9">
        <v>0.08</v>
      </c>
      <c r="I23" s="4" t="s">
        <v>191</v>
      </c>
      <c r="J23" s="4">
        <v>194</v>
      </c>
      <c r="K23" s="9">
        <v>-1.0200000000000001E-2</v>
      </c>
      <c r="L23" s="4">
        <v>216</v>
      </c>
      <c r="M23" s="9">
        <v>-0.1547</v>
      </c>
      <c r="N23" s="4">
        <v>230</v>
      </c>
      <c r="O23" s="9">
        <v>0.17549999999999999</v>
      </c>
      <c r="Q23" s="4" t="s">
        <v>191</v>
      </c>
      <c r="R23" s="4">
        <v>89</v>
      </c>
      <c r="S23" s="9">
        <v>-0.1275</v>
      </c>
      <c r="T23" s="4">
        <v>110</v>
      </c>
      <c r="U23" s="9">
        <v>-7.8399999999999997E-2</v>
      </c>
      <c r="V23" s="4">
        <v>119</v>
      </c>
      <c r="W23" s="9">
        <v>9.5899999999999999E-2</v>
      </c>
      <c r="Y23" s="4" t="s">
        <v>191</v>
      </c>
      <c r="Z23" s="4">
        <v>92</v>
      </c>
      <c r="AA23" s="9">
        <v>2.2200000000000001E-2</v>
      </c>
      <c r="AB23" s="4">
        <v>96</v>
      </c>
      <c r="AC23" s="9">
        <v>-8.4599999999999995E-2</v>
      </c>
      <c r="AD23" s="4">
        <v>96</v>
      </c>
      <c r="AE23" s="9">
        <v>7.2300000000000003E-2</v>
      </c>
      <c r="AG23" s="4" t="s">
        <v>191</v>
      </c>
      <c r="AH23" s="4">
        <v>265</v>
      </c>
      <c r="AI23" s="9">
        <v>1.9199999999999998E-2</v>
      </c>
      <c r="AJ23" s="4">
        <v>286</v>
      </c>
      <c r="AK23" s="9">
        <v>-8.2799999999999999E-2</v>
      </c>
      <c r="AL23" s="4">
        <v>294</v>
      </c>
      <c r="AM23" s="9">
        <v>0.1</v>
      </c>
    </row>
    <row r="24" spans="1:39" x14ac:dyDescent="0.3">
      <c r="A24" s="4" t="s">
        <v>192</v>
      </c>
      <c r="B24" s="4">
        <v>9</v>
      </c>
      <c r="C24" s="9">
        <v>-0.67859999999999998</v>
      </c>
      <c r="D24" s="4">
        <v>18</v>
      </c>
      <c r="E24" s="9">
        <v>0.70289999999999997</v>
      </c>
      <c r="F24" s="4">
        <v>8</v>
      </c>
      <c r="G24" s="4">
        <v>21.918900000000001</v>
      </c>
      <c r="I24" s="4" t="s">
        <v>192</v>
      </c>
      <c r="J24" s="4">
        <v>8</v>
      </c>
      <c r="K24" s="9">
        <v>-0.55559999999999998</v>
      </c>
      <c r="L24" s="4">
        <v>16</v>
      </c>
      <c r="M24" s="9">
        <v>0.86070000000000002</v>
      </c>
      <c r="N24" s="4">
        <v>7</v>
      </c>
      <c r="O24" s="4">
        <v>19.7273</v>
      </c>
      <c r="Q24" s="4" t="s">
        <v>192</v>
      </c>
      <c r="R24" s="4">
        <v>6</v>
      </c>
      <c r="S24" s="9">
        <v>-0.53849999999999998</v>
      </c>
      <c r="T24" s="4">
        <v>12</v>
      </c>
      <c r="U24" s="9">
        <v>0.91669999999999996</v>
      </c>
      <c r="V24" s="4">
        <v>5</v>
      </c>
      <c r="W24" s="4">
        <v>18.592600000000001</v>
      </c>
      <c r="Y24" s="4" t="s">
        <v>192</v>
      </c>
      <c r="Z24" s="4">
        <v>4</v>
      </c>
      <c r="AA24" s="4">
        <v>0</v>
      </c>
      <c r="AB24" s="4">
        <v>3</v>
      </c>
      <c r="AC24" s="4">
        <v>0.11</v>
      </c>
      <c r="AD24" s="4">
        <v>2</v>
      </c>
      <c r="AE24" s="4">
        <v>27.571400000000001</v>
      </c>
      <c r="AG24" s="4" t="s">
        <v>192</v>
      </c>
      <c r="AH24" s="4">
        <v>8</v>
      </c>
      <c r="AI24" s="4">
        <v>-0.6</v>
      </c>
      <c r="AJ24" s="4">
        <v>16</v>
      </c>
      <c r="AK24" s="4">
        <v>0.84540000000000004</v>
      </c>
      <c r="AL24" s="4">
        <v>7</v>
      </c>
      <c r="AM24" s="4">
        <v>20.606100000000001</v>
      </c>
    </row>
    <row r="25" spans="1:39" x14ac:dyDescent="0.3">
      <c r="A25" s="4" t="s">
        <v>37</v>
      </c>
      <c r="B25" s="4">
        <v>623</v>
      </c>
      <c r="C25" s="9">
        <v>-8.0000000000000002E-3</v>
      </c>
      <c r="D25" s="4">
        <v>633</v>
      </c>
      <c r="E25" s="9">
        <v>8.0000000000000002E-3</v>
      </c>
      <c r="F25" s="4">
        <v>647</v>
      </c>
      <c r="G25" s="9">
        <v>9.4000000000000004E-3</v>
      </c>
      <c r="I25" s="4" t="s">
        <v>37</v>
      </c>
      <c r="J25" s="4">
        <v>370</v>
      </c>
      <c r="K25" s="9">
        <v>9.1399999999999995E-2</v>
      </c>
      <c r="L25" s="4">
        <v>383</v>
      </c>
      <c r="M25" s="9">
        <v>-1.21E-2</v>
      </c>
      <c r="N25" s="4">
        <v>383</v>
      </c>
      <c r="O25" s="9">
        <v>-3.5999999999999999E-3</v>
      </c>
      <c r="Q25" s="4" t="s">
        <v>37</v>
      </c>
      <c r="R25" s="4">
        <v>152</v>
      </c>
      <c r="S25" s="9">
        <v>-8.9800000000000005E-2</v>
      </c>
      <c r="T25" s="4">
        <v>153</v>
      </c>
      <c r="U25" s="9">
        <v>5.4999999999999997E-3</v>
      </c>
      <c r="V25" s="4">
        <v>155</v>
      </c>
      <c r="W25" s="9">
        <v>-6.3E-2</v>
      </c>
      <c r="Y25" s="4" t="s">
        <v>37</v>
      </c>
      <c r="Z25" s="4">
        <v>166</v>
      </c>
      <c r="AA25" s="9">
        <v>4.3999999999999997E-2</v>
      </c>
      <c r="AB25" s="4">
        <v>178</v>
      </c>
      <c r="AC25" s="9">
        <v>2.8E-3</v>
      </c>
      <c r="AD25" s="4">
        <v>177</v>
      </c>
      <c r="AE25" s="9">
        <v>2.8899999999999999E-2</v>
      </c>
      <c r="AG25" s="4" t="s">
        <v>37</v>
      </c>
      <c r="AH25" s="4">
        <v>501</v>
      </c>
      <c r="AI25" s="9">
        <v>3.3000000000000002E-2</v>
      </c>
      <c r="AJ25" s="4">
        <v>503</v>
      </c>
      <c r="AK25" s="9">
        <v>8.9999999999999993E-3</v>
      </c>
      <c r="AL25" s="4">
        <v>504</v>
      </c>
      <c r="AM25" s="9">
        <v>-9.4999999999999998E-3</v>
      </c>
    </row>
    <row r="26" spans="1:39" x14ac:dyDescent="0.3">
      <c r="A26" s="4" t="s">
        <v>40</v>
      </c>
      <c r="B26" s="4">
        <v>337</v>
      </c>
      <c r="C26" s="9">
        <v>-0.25109999999999999</v>
      </c>
      <c r="D26" s="4">
        <v>440</v>
      </c>
      <c r="E26" s="9">
        <v>-1.9300000000000001E-2</v>
      </c>
      <c r="F26" s="4">
        <v>466</v>
      </c>
      <c r="G26" s="9">
        <v>1.9800000000000002E-2</v>
      </c>
      <c r="I26" s="4" t="s">
        <v>40</v>
      </c>
      <c r="J26" s="4">
        <v>191</v>
      </c>
      <c r="K26" s="9">
        <v>-0.20080000000000001</v>
      </c>
      <c r="L26" s="4">
        <v>234</v>
      </c>
      <c r="M26" s="9">
        <v>-0.16309999999999999</v>
      </c>
      <c r="N26" s="4">
        <v>263</v>
      </c>
      <c r="O26" s="9">
        <v>2.92E-2</v>
      </c>
      <c r="Q26" s="4" t="s">
        <v>40</v>
      </c>
      <c r="R26" s="4">
        <v>103</v>
      </c>
      <c r="S26" s="9">
        <v>-7.2099999999999997E-2</v>
      </c>
      <c r="T26" s="4">
        <v>115</v>
      </c>
      <c r="U26" s="9">
        <v>-5.7599999999999998E-2</v>
      </c>
      <c r="V26" s="4">
        <v>124</v>
      </c>
      <c r="W26" s="9">
        <v>-2.8500000000000001E-2</v>
      </c>
      <c r="Y26" s="4" t="s">
        <v>40</v>
      </c>
      <c r="Z26" s="4">
        <v>89</v>
      </c>
      <c r="AA26" s="9">
        <v>-0.27639999999999998</v>
      </c>
      <c r="AB26" s="4">
        <v>110</v>
      </c>
      <c r="AC26" s="9">
        <v>-0.1037</v>
      </c>
      <c r="AD26" s="4">
        <v>119</v>
      </c>
      <c r="AE26" s="9">
        <v>1.1000000000000001E-3</v>
      </c>
      <c r="AG26" s="4" t="s">
        <v>40</v>
      </c>
      <c r="AH26" s="4">
        <v>282</v>
      </c>
      <c r="AI26" s="9">
        <v>-0.1943</v>
      </c>
      <c r="AJ26" s="4">
        <v>344</v>
      </c>
      <c r="AK26" s="9">
        <v>-5.3999999999999999E-2</v>
      </c>
      <c r="AL26" s="4">
        <v>363</v>
      </c>
      <c r="AM26" s="9">
        <v>7.1000000000000004E-3</v>
      </c>
    </row>
    <row r="27" spans="1:39" x14ac:dyDescent="0.3">
      <c r="A27" s="4" t="s">
        <v>39</v>
      </c>
      <c r="B27" s="4">
        <v>571</v>
      </c>
      <c r="C27" s="9">
        <v>1.78E-2</v>
      </c>
      <c r="D27" s="4">
        <v>565</v>
      </c>
      <c r="E27" s="9">
        <v>-9.9000000000000008E-3</v>
      </c>
      <c r="F27" s="4">
        <v>573</v>
      </c>
      <c r="G27" s="9">
        <v>8.2000000000000007E-3</v>
      </c>
      <c r="I27" s="4" t="s">
        <v>39</v>
      </c>
      <c r="J27" s="4">
        <v>353</v>
      </c>
      <c r="K27" s="9">
        <v>2.92E-2</v>
      </c>
      <c r="L27" s="4">
        <v>355</v>
      </c>
      <c r="M27" s="9">
        <v>-0.1004</v>
      </c>
      <c r="N27" s="4">
        <v>371</v>
      </c>
      <c r="O27" s="9">
        <v>2.53E-2</v>
      </c>
      <c r="Q27" s="4" t="s">
        <v>39</v>
      </c>
      <c r="R27" s="4">
        <v>193</v>
      </c>
      <c r="S27" s="9">
        <v>9.0399999999999994E-2</v>
      </c>
      <c r="T27" s="4">
        <v>190</v>
      </c>
      <c r="U27" s="9">
        <v>-3.8800000000000001E-2</v>
      </c>
      <c r="V27" s="4">
        <v>192</v>
      </c>
      <c r="W27" s="9">
        <v>-2.8199999999999999E-2</v>
      </c>
      <c r="Y27" s="4" t="s">
        <v>39</v>
      </c>
      <c r="Z27" s="4">
        <v>113</v>
      </c>
      <c r="AA27" s="9">
        <v>-7.3800000000000004E-2</v>
      </c>
      <c r="AB27" s="4">
        <v>129</v>
      </c>
      <c r="AC27" s="9">
        <v>-6.1699999999999998E-2</v>
      </c>
      <c r="AD27" s="4">
        <v>136</v>
      </c>
      <c r="AE27" s="9">
        <v>1.23E-2</v>
      </c>
      <c r="AG27" s="4" t="s">
        <v>39</v>
      </c>
      <c r="AH27" s="4">
        <v>491</v>
      </c>
      <c r="AI27" s="9">
        <v>6.9699999999999998E-2</v>
      </c>
      <c r="AJ27" s="4">
        <v>476</v>
      </c>
      <c r="AK27" s="9">
        <v>-5.3100000000000001E-2</v>
      </c>
      <c r="AL27" s="4">
        <v>486</v>
      </c>
      <c r="AM27" s="9">
        <v>7.6E-3</v>
      </c>
    </row>
    <row r="28" spans="1:39" x14ac:dyDescent="0.3">
      <c r="A28" s="4" t="s">
        <v>41</v>
      </c>
      <c r="B28" s="4">
        <v>432</v>
      </c>
      <c r="C28" s="9">
        <v>-1.14E-2</v>
      </c>
      <c r="D28" s="4">
        <v>453</v>
      </c>
      <c r="E28" s="9">
        <v>-5.3999999999999999E-2</v>
      </c>
      <c r="F28" s="4">
        <v>471</v>
      </c>
      <c r="G28" s="9">
        <v>5.5599999999999997E-2</v>
      </c>
      <c r="I28" s="4" t="s">
        <v>41</v>
      </c>
      <c r="J28" s="4">
        <v>231</v>
      </c>
      <c r="K28" s="9">
        <v>2.2100000000000002E-2</v>
      </c>
      <c r="L28" s="4">
        <v>239</v>
      </c>
      <c r="M28" s="9">
        <v>-0.18970000000000001</v>
      </c>
      <c r="N28" s="4">
        <v>274</v>
      </c>
      <c r="O28" s="9">
        <v>3.3599999999999998E-2</v>
      </c>
      <c r="Q28" s="4" t="s">
        <v>41</v>
      </c>
      <c r="R28" s="4">
        <v>121</v>
      </c>
      <c r="S28" s="9">
        <v>-4.7199999999999999E-2</v>
      </c>
      <c r="T28" s="4">
        <v>131</v>
      </c>
      <c r="U28" s="9">
        <v>-3.4299999999999997E-2</v>
      </c>
      <c r="V28" s="4">
        <v>138</v>
      </c>
      <c r="W28" s="9">
        <v>-2.0799999999999999E-2</v>
      </c>
      <c r="Y28" s="4" t="s">
        <v>41</v>
      </c>
      <c r="Z28" s="4">
        <v>115</v>
      </c>
      <c r="AA28" s="9">
        <v>-0.1221</v>
      </c>
      <c r="AB28" s="4">
        <v>127</v>
      </c>
      <c r="AC28" s="9">
        <v>-8.3099999999999993E-2</v>
      </c>
      <c r="AD28" s="4">
        <v>127</v>
      </c>
      <c r="AE28" s="9">
        <v>4.9000000000000002E-2</v>
      </c>
      <c r="AG28" s="4" t="s">
        <v>41</v>
      </c>
      <c r="AH28" s="4">
        <v>324</v>
      </c>
      <c r="AI28" s="9">
        <v>3.0999999999999999E-3</v>
      </c>
      <c r="AJ28" s="4">
        <v>333</v>
      </c>
      <c r="AK28" s="9">
        <v>-9.3899999999999997E-2</v>
      </c>
      <c r="AL28" s="4">
        <v>357</v>
      </c>
      <c r="AM28" s="9">
        <v>4.7399999999999998E-2</v>
      </c>
    </row>
    <row r="29" spans="1:39" x14ac:dyDescent="0.3">
      <c r="A29" s="4" t="s">
        <v>53</v>
      </c>
      <c r="B29" s="4">
        <v>185</v>
      </c>
      <c r="C29" s="9">
        <v>1.09E-2</v>
      </c>
      <c r="D29" s="4">
        <v>195</v>
      </c>
      <c r="E29" s="9">
        <v>-6.2600000000000003E-2</v>
      </c>
      <c r="F29" s="4">
        <v>212</v>
      </c>
      <c r="G29" s="9">
        <v>-0.03</v>
      </c>
      <c r="I29" s="4" t="s">
        <v>53</v>
      </c>
      <c r="J29" s="4">
        <v>82</v>
      </c>
      <c r="K29" s="9">
        <v>-5.7500000000000002E-2</v>
      </c>
      <c r="L29" s="4">
        <v>97</v>
      </c>
      <c r="M29" s="9">
        <v>-8.9300000000000004E-2</v>
      </c>
      <c r="N29" s="4">
        <v>104</v>
      </c>
      <c r="O29" s="9">
        <v>1.5800000000000002E-2</v>
      </c>
      <c r="Q29" s="4" t="s">
        <v>53</v>
      </c>
      <c r="R29" s="4">
        <v>44</v>
      </c>
      <c r="S29" s="9">
        <v>-8.3299999999999999E-2</v>
      </c>
      <c r="T29" s="4">
        <v>53</v>
      </c>
      <c r="U29" s="9">
        <v>-8.6699999999999999E-2</v>
      </c>
      <c r="V29" s="4">
        <v>57</v>
      </c>
      <c r="W29" s="9">
        <v>-5.0999999999999997E-2</v>
      </c>
      <c r="Y29" s="4" t="s">
        <v>53</v>
      </c>
      <c r="Z29" s="4">
        <v>31</v>
      </c>
      <c r="AA29" s="9">
        <v>-8.8200000000000001E-2</v>
      </c>
      <c r="AB29" s="4">
        <v>37</v>
      </c>
      <c r="AC29" s="9">
        <v>-0.1076</v>
      </c>
      <c r="AD29" s="4">
        <v>42</v>
      </c>
      <c r="AE29" s="9">
        <v>-9.9299999999999999E-2</v>
      </c>
      <c r="AG29" s="4" t="s">
        <v>53</v>
      </c>
      <c r="AH29" s="4">
        <v>129</v>
      </c>
      <c r="AI29" s="9">
        <v>0.1217</v>
      </c>
      <c r="AJ29" s="4">
        <v>136</v>
      </c>
      <c r="AK29" s="9">
        <v>-5.4600000000000003E-2</v>
      </c>
      <c r="AL29" s="4">
        <v>144</v>
      </c>
      <c r="AM29" s="9">
        <v>-3.3300000000000003E-2</v>
      </c>
    </row>
    <row r="30" spans="1:39" x14ac:dyDescent="0.3">
      <c r="A30" s="4" t="s">
        <v>38</v>
      </c>
      <c r="B30" s="4">
        <v>500</v>
      </c>
      <c r="C30" s="9">
        <v>-7.2400000000000006E-2</v>
      </c>
      <c r="D30" s="4">
        <v>561</v>
      </c>
      <c r="E30" s="9">
        <v>-4.4900000000000002E-2</v>
      </c>
      <c r="F30" s="4">
        <v>578</v>
      </c>
      <c r="G30" s="9">
        <v>5.2600000000000001E-2</v>
      </c>
      <c r="I30" s="4" t="s">
        <v>38</v>
      </c>
      <c r="J30" s="4">
        <v>294</v>
      </c>
      <c r="K30" s="9">
        <v>-8.1299999999999997E-2</v>
      </c>
      <c r="L30" s="4">
        <v>339</v>
      </c>
      <c r="M30" s="9">
        <v>-0.124</v>
      </c>
      <c r="N30" s="4">
        <v>357</v>
      </c>
      <c r="O30" s="9">
        <v>2.1499999999999998E-2</v>
      </c>
      <c r="Q30" s="4" t="s">
        <v>38</v>
      </c>
      <c r="R30" s="4">
        <v>126</v>
      </c>
      <c r="S30" s="9">
        <v>-0.22700000000000001</v>
      </c>
      <c r="T30" s="4">
        <v>163</v>
      </c>
      <c r="U30" s="9">
        <v>-3.3599999999999998E-2</v>
      </c>
      <c r="V30" s="4">
        <v>164</v>
      </c>
      <c r="W30" s="9">
        <v>-2.7300000000000001E-2</v>
      </c>
      <c r="Y30" s="4" t="s">
        <v>38</v>
      </c>
      <c r="Z30" s="4">
        <v>134</v>
      </c>
      <c r="AA30" s="9">
        <v>-4.2900000000000001E-2</v>
      </c>
      <c r="AB30" s="4">
        <v>148</v>
      </c>
      <c r="AC30" s="9">
        <v>-4.6100000000000002E-2</v>
      </c>
      <c r="AD30" s="4">
        <v>150</v>
      </c>
      <c r="AE30" s="9">
        <v>1.0800000000000001E-2</v>
      </c>
      <c r="AG30" s="4" t="s">
        <v>38</v>
      </c>
      <c r="AH30" s="4">
        <v>418</v>
      </c>
      <c r="AI30" s="9">
        <v>-6.9000000000000006E-2</v>
      </c>
      <c r="AJ30" s="4">
        <v>473</v>
      </c>
      <c r="AK30" s="9">
        <v>-6.3100000000000003E-2</v>
      </c>
      <c r="AL30" s="4">
        <v>483</v>
      </c>
      <c r="AM30" s="9">
        <v>3.2899999999999999E-2</v>
      </c>
    </row>
    <row r="31" spans="1:39" x14ac:dyDescent="0.3">
      <c r="A31" s="4" t="s">
        <v>193</v>
      </c>
      <c r="B31" s="4">
        <v>0</v>
      </c>
      <c r="C31" s="4" t="s">
        <v>46</v>
      </c>
      <c r="D31" s="4">
        <v>0</v>
      </c>
      <c r="E31" s="4" t="s">
        <v>46</v>
      </c>
      <c r="F31" s="4">
        <v>0</v>
      </c>
      <c r="G31" s="4" t="s">
        <v>46</v>
      </c>
      <c r="I31" s="4" t="s">
        <v>193</v>
      </c>
      <c r="J31" s="4">
        <v>0</v>
      </c>
      <c r="K31" s="4" t="s">
        <v>46</v>
      </c>
      <c r="L31" s="4">
        <v>0</v>
      </c>
      <c r="M31" s="4" t="s">
        <v>46</v>
      </c>
      <c r="N31" s="4">
        <v>0</v>
      </c>
      <c r="O31" s="4" t="s">
        <v>46</v>
      </c>
      <c r="Q31" s="4" t="s">
        <v>193</v>
      </c>
      <c r="R31" s="4">
        <v>0</v>
      </c>
      <c r="S31" s="4" t="s">
        <v>46</v>
      </c>
      <c r="T31" s="4">
        <v>0</v>
      </c>
      <c r="U31" s="4" t="s">
        <v>46</v>
      </c>
      <c r="V31" s="4">
        <v>0</v>
      </c>
      <c r="W31" s="4" t="s">
        <v>46</v>
      </c>
      <c r="Y31" s="4" t="s">
        <v>193</v>
      </c>
      <c r="Z31" s="4">
        <v>0</v>
      </c>
      <c r="AA31" s="4" t="s">
        <v>46</v>
      </c>
      <c r="AB31" s="4">
        <v>0</v>
      </c>
      <c r="AC31" s="4" t="s">
        <v>46</v>
      </c>
      <c r="AD31" s="4">
        <v>0</v>
      </c>
      <c r="AE31" s="4" t="s">
        <v>46</v>
      </c>
      <c r="AG31" s="4" t="s">
        <v>193</v>
      </c>
      <c r="AH31" s="4">
        <v>0</v>
      </c>
      <c r="AI31" s="4" t="s">
        <v>46</v>
      </c>
      <c r="AJ31" s="4">
        <v>0</v>
      </c>
      <c r="AK31" s="4" t="s">
        <v>46</v>
      </c>
      <c r="AL31" s="4">
        <v>0</v>
      </c>
      <c r="AM31" s="4" t="s">
        <v>46</v>
      </c>
    </row>
    <row r="32" spans="1:39" x14ac:dyDescent="0.3">
      <c r="A32" s="4" t="s">
        <v>55</v>
      </c>
      <c r="B32" s="4">
        <v>133</v>
      </c>
      <c r="C32" s="9">
        <v>0.41489999999999999</v>
      </c>
      <c r="D32" s="4">
        <v>111</v>
      </c>
      <c r="E32" s="9">
        <v>-6.9800000000000001E-2</v>
      </c>
      <c r="F32" s="4">
        <v>103</v>
      </c>
      <c r="G32" s="9">
        <v>0.46700000000000003</v>
      </c>
      <c r="I32" s="4" t="s">
        <v>55</v>
      </c>
      <c r="J32" s="4">
        <v>49</v>
      </c>
      <c r="K32" s="9">
        <v>0.44119999999999998</v>
      </c>
      <c r="L32" s="4">
        <v>46</v>
      </c>
      <c r="M32" s="9">
        <v>1.4500000000000001E-2</v>
      </c>
      <c r="N32" s="4">
        <v>46</v>
      </c>
      <c r="O32" s="9">
        <v>0.38569999999999999</v>
      </c>
      <c r="Q32" s="4" t="s">
        <v>55</v>
      </c>
      <c r="R32" s="4">
        <v>26</v>
      </c>
      <c r="S32" s="9">
        <v>0.04</v>
      </c>
      <c r="T32" s="4">
        <v>19</v>
      </c>
      <c r="U32" s="9">
        <v>1.8100000000000002E-2</v>
      </c>
      <c r="V32" s="4">
        <v>16</v>
      </c>
      <c r="W32" s="9">
        <v>6.5699999999999995E-2</v>
      </c>
      <c r="Y32" s="4" t="s">
        <v>55</v>
      </c>
      <c r="Z32" s="4">
        <v>18</v>
      </c>
      <c r="AA32" s="9">
        <v>-0.1429</v>
      </c>
      <c r="AB32" s="4">
        <v>22</v>
      </c>
      <c r="AC32" s="9">
        <v>-3.6299999999999999E-2</v>
      </c>
      <c r="AD32" s="4">
        <v>20</v>
      </c>
      <c r="AE32" s="9">
        <v>8.7800000000000003E-2</v>
      </c>
      <c r="AG32" s="4" t="s">
        <v>55</v>
      </c>
      <c r="AH32" s="4">
        <v>86</v>
      </c>
      <c r="AI32" s="9">
        <v>0.48280000000000001</v>
      </c>
      <c r="AJ32" s="4">
        <v>68</v>
      </c>
      <c r="AK32" s="9">
        <v>0.1144</v>
      </c>
      <c r="AL32" s="4">
        <v>62</v>
      </c>
      <c r="AM32" s="9">
        <v>0.31659999999999999</v>
      </c>
    </row>
    <row r="33" spans="1:39" x14ac:dyDescent="0.3">
      <c r="A33" s="4" t="s">
        <v>42</v>
      </c>
      <c r="B33" s="4">
        <v>94</v>
      </c>
      <c r="C33" s="9">
        <v>0.56669999999999998</v>
      </c>
      <c r="D33" s="4">
        <v>74</v>
      </c>
      <c r="E33" s="9">
        <v>-0.16889999999999999</v>
      </c>
      <c r="F33" s="4">
        <v>73</v>
      </c>
      <c r="G33" s="9">
        <v>0.35720000000000002</v>
      </c>
      <c r="I33" s="4" t="s">
        <v>42</v>
      </c>
      <c r="J33" s="4">
        <v>39</v>
      </c>
      <c r="K33" s="9">
        <v>0.18179999999999999</v>
      </c>
      <c r="L33" s="4">
        <v>35</v>
      </c>
      <c r="M33" s="9">
        <v>-0.36359999999999998</v>
      </c>
      <c r="N33" s="4">
        <v>38</v>
      </c>
      <c r="O33" s="9">
        <v>0.32279999999999998</v>
      </c>
      <c r="Q33" s="4" t="s">
        <v>42</v>
      </c>
      <c r="R33" s="4">
        <v>11</v>
      </c>
      <c r="S33" s="9">
        <v>-8.3299999999999999E-2</v>
      </c>
      <c r="T33" s="4">
        <v>12</v>
      </c>
      <c r="U33" s="9">
        <v>-0.29580000000000001</v>
      </c>
      <c r="V33" s="4">
        <v>13</v>
      </c>
      <c r="W33" s="9">
        <v>6.1699999999999998E-2</v>
      </c>
      <c r="Y33" s="4" t="s">
        <v>42</v>
      </c>
      <c r="Z33" s="4">
        <v>20</v>
      </c>
      <c r="AA33" s="9">
        <v>-0.23080000000000001</v>
      </c>
      <c r="AB33" s="4">
        <v>22</v>
      </c>
      <c r="AC33" s="9">
        <v>-0.17199999999999999</v>
      </c>
      <c r="AD33" s="4">
        <v>20</v>
      </c>
      <c r="AE33" s="9">
        <v>0.19370000000000001</v>
      </c>
      <c r="AG33" s="4" t="s">
        <v>42</v>
      </c>
      <c r="AH33" s="4">
        <v>59</v>
      </c>
      <c r="AI33" s="9">
        <v>0.37209999999999999</v>
      </c>
      <c r="AJ33" s="4">
        <v>46</v>
      </c>
      <c r="AK33" s="9">
        <v>-0.26840000000000003</v>
      </c>
      <c r="AL33" s="4">
        <v>47</v>
      </c>
      <c r="AM33" s="9">
        <v>0.30909999999999999</v>
      </c>
    </row>
  </sheetData>
  <phoneticPr fontId="20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workbookViewId="0">
      <pane ySplit="2" topLeftCell="A21" activePane="bottomLeft" state="frozen"/>
      <selection pane="bottomLeft" activeCell="K18" sqref="K18"/>
    </sheetView>
  </sheetViews>
  <sheetFormatPr defaultColWidth="9" defaultRowHeight="13.5" x14ac:dyDescent="0.3"/>
  <cols>
    <col min="1" max="1" width="18.625" style="4" customWidth="1"/>
    <col min="2" max="2" width="9.125" style="4" customWidth="1"/>
    <col min="3" max="3" width="9.5" style="4" customWidth="1"/>
    <col min="4" max="4" width="9.125" style="4" customWidth="1"/>
    <col min="5" max="5" width="12.75" style="4" customWidth="1"/>
    <col min="6" max="7" width="9.125" style="4" customWidth="1"/>
    <col min="8" max="8" width="9" style="4"/>
    <col min="9" max="9" width="9" style="11"/>
    <col min="10" max="16384" width="9" style="4"/>
  </cols>
  <sheetData>
    <row r="1" spans="1:9" x14ac:dyDescent="0.3">
      <c r="A1" s="4" t="s">
        <v>164</v>
      </c>
      <c r="B1" s="4" t="s">
        <v>165</v>
      </c>
    </row>
    <row r="2" spans="1:9" x14ac:dyDescent="0.3">
      <c r="B2" s="4" t="s">
        <v>166</v>
      </c>
      <c r="C2" s="4" t="s">
        <v>31</v>
      </c>
      <c r="D2" s="4" t="s">
        <v>167</v>
      </c>
      <c r="E2" s="4" t="s">
        <v>168</v>
      </c>
      <c r="F2" s="13" t="s">
        <v>169</v>
      </c>
      <c r="G2" s="4" t="s">
        <v>170</v>
      </c>
      <c r="I2" s="11" t="s">
        <v>160</v>
      </c>
    </row>
    <row r="3" spans="1:9" x14ac:dyDescent="0.3">
      <c r="A3" s="4" t="s">
        <v>171</v>
      </c>
      <c r="B3" s="8">
        <v>1118</v>
      </c>
      <c r="C3" s="9">
        <v>-5.4100000000000002E-2</v>
      </c>
      <c r="D3" s="8">
        <v>1150</v>
      </c>
      <c r="E3" s="9">
        <v>-9.4500000000000001E-2</v>
      </c>
      <c r="F3" s="8">
        <v>1124</v>
      </c>
      <c r="G3" s="9">
        <v>0.14030000000000001</v>
      </c>
      <c r="I3" s="11" t="str">
        <f>VLOOKUP(A3,附件!A:B,2,0)</f>
        <v>江南</v>
      </c>
    </row>
    <row r="4" spans="1:9" x14ac:dyDescent="0.3">
      <c r="A4" s="4" t="s">
        <v>172</v>
      </c>
      <c r="B4" s="4">
        <v>573</v>
      </c>
      <c r="C4" s="9">
        <v>-1.72E-2</v>
      </c>
      <c r="D4" s="4">
        <v>578</v>
      </c>
      <c r="E4" s="9">
        <v>-7.8899999999999998E-2</v>
      </c>
      <c r="F4" s="4">
        <v>562</v>
      </c>
      <c r="G4" s="9">
        <v>7.7399999999999997E-2</v>
      </c>
      <c r="I4" s="11" t="str">
        <f>VLOOKUP(A4,附件!A:B,2,0)</f>
        <v>江南</v>
      </c>
    </row>
    <row r="5" spans="1:9" x14ac:dyDescent="0.3">
      <c r="A5" s="4" t="s">
        <v>173</v>
      </c>
      <c r="B5" s="8">
        <v>876</v>
      </c>
      <c r="C5" s="9">
        <v>1.3899999999999999E-2</v>
      </c>
      <c r="D5" s="8">
        <v>870</v>
      </c>
      <c r="E5" s="9">
        <v>-4.7100000000000003E-2</v>
      </c>
      <c r="F5" s="4">
        <v>838</v>
      </c>
      <c r="G5" s="9">
        <v>0.14319999999999999</v>
      </c>
      <c r="I5" s="11" t="str">
        <f>VLOOKUP(A5,附件!A:B,2,0)</f>
        <v>江南</v>
      </c>
    </row>
    <row r="6" spans="1:9" x14ac:dyDescent="0.3">
      <c r="A6" s="4" t="s">
        <v>174</v>
      </c>
      <c r="B6" s="4">
        <v>0</v>
      </c>
      <c r="C6" s="4" t="s">
        <v>46</v>
      </c>
      <c r="D6" s="4">
        <v>0</v>
      </c>
      <c r="E6" s="4" t="s">
        <v>46</v>
      </c>
      <c r="F6" s="4">
        <v>0</v>
      </c>
      <c r="G6" s="4" t="s">
        <v>46</v>
      </c>
      <c r="I6" s="11" t="str">
        <f>VLOOKUP(A6,附件!A:B,2,0)</f>
        <v>江南</v>
      </c>
    </row>
    <row r="7" spans="1:9" x14ac:dyDescent="0.3">
      <c r="A7" s="4" t="s">
        <v>175</v>
      </c>
      <c r="B7" s="4">
        <v>501</v>
      </c>
      <c r="C7" s="9">
        <v>-3.4700000000000002E-2</v>
      </c>
      <c r="D7" s="4">
        <v>510</v>
      </c>
      <c r="E7" s="9">
        <v>-8.6800000000000002E-2</v>
      </c>
      <c r="F7" s="4">
        <v>494</v>
      </c>
      <c r="G7" s="9">
        <v>-8.6999999999999994E-3</v>
      </c>
      <c r="I7" s="11" t="str">
        <f>VLOOKUP(A7,附件!A:B,2,0)</f>
        <v>江南</v>
      </c>
    </row>
    <row r="8" spans="1:9" x14ac:dyDescent="0.3">
      <c r="A8" s="4" t="s">
        <v>176</v>
      </c>
      <c r="B8" s="4">
        <v>666</v>
      </c>
      <c r="C8" s="9">
        <v>-2.63E-2</v>
      </c>
      <c r="D8" s="4">
        <v>675</v>
      </c>
      <c r="E8" s="9">
        <v>-1.8200000000000001E-2</v>
      </c>
      <c r="F8" s="4">
        <v>646</v>
      </c>
      <c r="G8" s="9">
        <v>0.17799999999999999</v>
      </c>
      <c r="I8" s="11" t="str">
        <f>VLOOKUP(A8,附件!A:B,2,0)</f>
        <v>江南</v>
      </c>
    </row>
    <row r="9" spans="1:9" x14ac:dyDescent="0.3">
      <c r="A9" s="4" t="s">
        <v>177</v>
      </c>
      <c r="B9" s="4">
        <v>527</v>
      </c>
      <c r="C9" s="9">
        <v>-5.5599999999999997E-2</v>
      </c>
      <c r="D9" s="4">
        <v>543</v>
      </c>
      <c r="E9" s="9">
        <v>-0.1583</v>
      </c>
      <c r="F9" s="4">
        <v>549</v>
      </c>
      <c r="G9" s="9">
        <v>4.7100000000000003E-2</v>
      </c>
      <c r="I9" s="11" t="str">
        <f>VLOOKUP(A9,附件!A:B,2,0)</f>
        <v>江南</v>
      </c>
    </row>
    <row r="10" spans="1:9" x14ac:dyDescent="0.3">
      <c r="A10" s="4" t="s">
        <v>178</v>
      </c>
      <c r="B10" s="4">
        <v>398</v>
      </c>
      <c r="C10" s="9">
        <v>-7.4999999999999997E-3</v>
      </c>
      <c r="D10" s="4">
        <v>400</v>
      </c>
      <c r="E10" s="9">
        <v>-9.6199999999999994E-2</v>
      </c>
      <c r="F10" s="4">
        <v>393</v>
      </c>
      <c r="G10" s="9">
        <v>0.15570000000000001</v>
      </c>
      <c r="I10" s="11" t="str">
        <f>VLOOKUP(A10,附件!A:B,2,0)</f>
        <v>江南</v>
      </c>
    </row>
    <row r="11" spans="1:9" x14ac:dyDescent="0.3">
      <c r="A11" s="4" t="s">
        <v>179</v>
      </c>
      <c r="B11" s="4">
        <v>439</v>
      </c>
      <c r="C11" s="9">
        <v>-0.1255</v>
      </c>
      <c r="D11" s="4">
        <v>471</v>
      </c>
      <c r="E11" s="9">
        <v>1.29E-2</v>
      </c>
      <c r="F11" s="4">
        <v>456</v>
      </c>
      <c r="G11" s="9">
        <v>0.1784</v>
      </c>
      <c r="I11" s="11" t="str">
        <f>VLOOKUP(A11,附件!A:B,2,0)</f>
        <v>江南</v>
      </c>
    </row>
    <row r="12" spans="1:9" x14ac:dyDescent="0.3">
      <c r="A12" s="4" t="s">
        <v>180</v>
      </c>
      <c r="B12" s="4">
        <v>0</v>
      </c>
      <c r="C12" s="4" t="s">
        <v>46</v>
      </c>
      <c r="D12" s="4">
        <v>0</v>
      </c>
      <c r="E12" s="4" t="s">
        <v>46</v>
      </c>
      <c r="F12" s="4">
        <v>0</v>
      </c>
      <c r="G12" s="4" t="s">
        <v>46</v>
      </c>
      <c r="I12" s="11" t="str">
        <f>VLOOKUP(A12,附件!A:B,2,0)</f>
        <v>江南</v>
      </c>
    </row>
    <row r="13" spans="1:9" x14ac:dyDescent="0.3">
      <c r="A13" s="4" t="s">
        <v>181</v>
      </c>
      <c r="B13" s="4">
        <v>149</v>
      </c>
      <c r="C13" s="9">
        <v>1.3599999999999999E-2</v>
      </c>
      <c r="D13" s="4">
        <v>148</v>
      </c>
      <c r="E13" s="9">
        <v>-1.9900000000000001E-2</v>
      </c>
      <c r="F13" s="4">
        <v>145</v>
      </c>
      <c r="G13" s="9">
        <v>8.1900000000000001E-2</v>
      </c>
      <c r="I13" s="11" t="str">
        <f>VLOOKUP(A13,附件!A:B,2,0)</f>
        <v>江南</v>
      </c>
    </row>
    <row r="14" spans="1:9" x14ac:dyDescent="0.3">
      <c r="A14" s="4" t="s">
        <v>182</v>
      </c>
      <c r="B14" s="4">
        <v>0</v>
      </c>
      <c r="C14" s="4" t="s">
        <v>46</v>
      </c>
      <c r="D14" s="4">
        <v>0</v>
      </c>
      <c r="E14" s="4" t="s">
        <v>46</v>
      </c>
      <c r="F14" s="4">
        <v>0</v>
      </c>
      <c r="G14" s="4" t="s">
        <v>46</v>
      </c>
      <c r="I14" s="11" t="str">
        <f>VLOOKUP(A14,附件!A:B,2,0)</f>
        <v>江南</v>
      </c>
    </row>
    <row r="15" spans="1:9" x14ac:dyDescent="0.3">
      <c r="A15" s="4" t="s">
        <v>184</v>
      </c>
      <c r="B15" s="4">
        <v>627</v>
      </c>
      <c r="C15" s="9">
        <v>0.97170000000000001</v>
      </c>
      <c r="D15" s="4">
        <v>473</v>
      </c>
      <c r="E15" s="9">
        <v>0.28399999999999997</v>
      </c>
      <c r="F15" s="4">
        <v>418</v>
      </c>
      <c r="G15" s="9">
        <v>0.4294</v>
      </c>
      <c r="I15" s="11" t="e">
        <f>VLOOKUP(A15,附件!A:B,2,0)</f>
        <v>#N/A</v>
      </c>
    </row>
    <row r="16" spans="1:9" x14ac:dyDescent="0.3">
      <c r="A16" s="4" t="s">
        <v>185</v>
      </c>
      <c r="B16" s="4">
        <v>713</v>
      </c>
      <c r="C16" s="9">
        <v>-4.6800000000000001E-2</v>
      </c>
      <c r="D16" s="4">
        <v>731</v>
      </c>
      <c r="E16" s="9">
        <v>-5.4399999999999997E-2</v>
      </c>
      <c r="F16" s="4">
        <v>710</v>
      </c>
      <c r="G16" s="9">
        <v>0.13059999999999999</v>
      </c>
      <c r="I16" s="11" t="str">
        <f>VLOOKUP(A16,附件!A:B,2,0)</f>
        <v>江南</v>
      </c>
    </row>
    <row r="17" spans="1:9" x14ac:dyDescent="0.3">
      <c r="A17" s="4" t="s">
        <v>186</v>
      </c>
      <c r="B17" s="4">
        <v>501</v>
      </c>
      <c r="C17" s="9">
        <v>-1.18E-2</v>
      </c>
      <c r="D17" s="4">
        <v>504</v>
      </c>
      <c r="E17" s="9">
        <v>-2.8899999999999999E-2</v>
      </c>
      <c r="F17" s="4">
        <v>489</v>
      </c>
      <c r="G17" s="9">
        <v>0.14599999999999999</v>
      </c>
      <c r="I17" s="11" t="str">
        <f>VLOOKUP(A17,附件!A:B,2,0)</f>
        <v>江南</v>
      </c>
    </row>
    <row r="18" spans="1:9" x14ac:dyDescent="0.3">
      <c r="A18" s="4" t="s">
        <v>187</v>
      </c>
      <c r="B18" s="4">
        <v>595</v>
      </c>
      <c r="C18" s="9">
        <v>-1.8200000000000001E-2</v>
      </c>
      <c r="D18" s="4">
        <v>601</v>
      </c>
      <c r="E18" s="9">
        <v>-9.9000000000000005E-2</v>
      </c>
      <c r="F18" s="4">
        <v>589</v>
      </c>
      <c r="G18" s="9">
        <v>0.1794</v>
      </c>
      <c r="I18" s="11" t="str">
        <f>VLOOKUP(A18,附件!A:B,2,0)</f>
        <v>江南</v>
      </c>
    </row>
    <row r="19" spans="1:9" x14ac:dyDescent="0.3">
      <c r="A19" s="4" t="s">
        <v>188</v>
      </c>
      <c r="B19" s="4">
        <v>475</v>
      </c>
      <c r="C19" s="9">
        <v>2.81E-2</v>
      </c>
      <c r="D19" s="4">
        <v>469</v>
      </c>
      <c r="E19" s="9">
        <v>-5.6399999999999999E-2</v>
      </c>
      <c r="F19" s="4">
        <v>440</v>
      </c>
      <c r="G19" s="9">
        <v>0.1774</v>
      </c>
      <c r="I19" s="11" t="str">
        <f>VLOOKUP(A19,附件!A:B,2,0)</f>
        <v>江南</v>
      </c>
    </row>
    <row r="20" spans="1:9" x14ac:dyDescent="0.3">
      <c r="A20" s="4" t="s">
        <v>189</v>
      </c>
      <c r="B20" s="4">
        <v>0</v>
      </c>
      <c r="C20" s="4" t="s">
        <v>46</v>
      </c>
      <c r="D20" s="4">
        <v>0</v>
      </c>
      <c r="E20" s="4" t="s">
        <v>46</v>
      </c>
      <c r="F20" s="4">
        <v>0</v>
      </c>
      <c r="G20" s="4" t="s">
        <v>46</v>
      </c>
      <c r="I20" s="11" t="str">
        <f>VLOOKUP(A20,附件!A:B,2,0)</f>
        <v>江南</v>
      </c>
    </row>
    <row r="21" spans="1:9" x14ac:dyDescent="0.3">
      <c r="A21" s="4" t="s">
        <v>190</v>
      </c>
      <c r="B21" s="4">
        <v>562</v>
      </c>
      <c r="C21" s="9">
        <v>6.6400000000000001E-2</v>
      </c>
      <c r="D21" s="4">
        <v>545</v>
      </c>
      <c r="E21" s="9">
        <v>2.4500000000000001E-2</v>
      </c>
      <c r="F21" s="4">
        <v>538</v>
      </c>
      <c r="G21" s="9">
        <v>0.1638</v>
      </c>
      <c r="I21" s="11" t="str">
        <f>VLOOKUP(A21,附件!A:B,2,0)</f>
        <v>江南</v>
      </c>
    </row>
    <row r="22" spans="1:9" x14ac:dyDescent="0.3">
      <c r="A22" s="4" t="s">
        <v>191</v>
      </c>
      <c r="B22" s="4">
        <v>0</v>
      </c>
      <c r="C22" s="9">
        <v>-1</v>
      </c>
      <c r="D22" s="4">
        <v>158</v>
      </c>
      <c r="E22" s="9">
        <v>-0.53190000000000004</v>
      </c>
      <c r="F22" s="4">
        <v>210</v>
      </c>
      <c r="G22" s="9">
        <v>-7.7600000000000002E-2</v>
      </c>
      <c r="I22" s="11" t="str">
        <f>VLOOKUP(A22,附件!A:B,2,0)</f>
        <v>江南</v>
      </c>
    </row>
    <row r="23" spans="1:9" x14ac:dyDescent="0.3">
      <c r="A23" s="4" t="s">
        <v>192</v>
      </c>
      <c r="B23" s="4">
        <v>19</v>
      </c>
      <c r="C23" s="9">
        <v>0</v>
      </c>
      <c r="D23" s="4">
        <v>19</v>
      </c>
      <c r="E23" s="9">
        <v>0.1176</v>
      </c>
      <c r="F23" s="4">
        <v>15</v>
      </c>
      <c r="G23" s="4" t="s">
        <v>46</v>
      </c>
      <c r="I23" s="11" t="str">
        <f>VLOOKUP(A23,附件!A:B,2,0)</f>
        <v>江南</v>
      </c>
    </row>
    <row r="24" spans="1:9" x14ac:dyDescent="0.3">
      <c r="A24" s="4" t="s">
        <v>37</v>
      </c>
      <c r="B24" s="4">
        <v>608</v>
      </c>
      <c r="C24" s="9">
        <v>-0.13270000000000001</v>
      </c>
      <c r="D24" s="4">
        <v>655</v>
      </c>
      <c r="E24" s="9">
        <v>4.0500000000000001E-2</v>
      </c>
      <c r="F24" s="4">
        <v>615</v>
      </c>
      <c r="G24" s="9">
        <v>0.17879999999999999</v>
      </c>
      <c r="I24" s="11" t="str">
        <f>VLOOKUP(A24,附件!A:B,2,0)</f>
        <v>江北</v>
      </c>
    </row>
    <row r="25" spans="1:9" x14ac:dyDescent="0.3">
      <c r="A25" s="4" t="s">
        <v>40</v>
      </c>
      <c r="B25" s="4">
        <v>323</v>
      </c>
      <c r="C25" s="9">
        <v>-6.9199999999999998E-2</v>
      </c>
      <c r="D25" s="4">
        <v>335</v>
      </c>
      <c r="E25" s="9">
        <v>-0.2412</v>
      </c>
      <c r="F25" s="4">
        <v>326</v>
      </c>
      <c r="G25" s="9">
        <v>-0.12909999999999999</v>
      </c>
      <c r="I25" s="11" t="str">
        <f>VLOOKUP(A25,附件!A:B,2,0)</f>
        <v>江北</v>
      </c>
    </row>
    <row r="26" spans="1:9" x14ac:dyDescent="0.3">
      <c r="A26" s="4" t="s">
        <v>39</v>
      </c>
      <c r="B26" s="4">
        <v>548</v>
      </c>
      <c r="C26" s="9">
        <v>2.6200000000000001E-2</v>
      </c>
      <c r="D26" s="4">
        <v>541</v>
      </c>
      <c r="E26" s="9">
        <v>3.3399999999999999E-2</v>
      </c>
      <c r="F26" s="4">
        <v>529</v>
      </c>
      <c r="G26" s="9">
        <v>0.1051</v>
      </c>
      <c r="I26" s="11" t="str">
        <f>VLOOKUP(A26,附件!A:B,2,0)</f>
        <v>江北</v>
      </c>
    </row>
    <row r="27" spans="1:9" x14ac:dyDescent="0.3">
      <c r="A27" s="4" t="s">
        <v>41</v>
      </c>
      <c r="B27" s="4">
        <v>390</v>
      </c>
      <c r="C27" s="9">
        <v>-0.1447</v>
      </c>
      <c r="D27" s="4">
        <v>423</v>
      </c>
      <c r="E27" s="9">
        <v>-6.4199999999999993E-2</v>
      </c>
      <c r="F27" s="4">
        <v>408</v>
      </c>
      <c r="G27" s="9">
        <v>9.2899999999999996E-2</v>
      </c>
      <c r="I27" s="11" t="str">
        <f>VLOOKUP(A27,附件!A:B,2,0)</f>
        <v>江北</v>
      </c>
    </row>
    <row r="28" spans="1:9" x14ac:dyDescent="0.3">
      <c r="A28" s="4" t="s">
        <v>53</v>
      </c>
      <c r="B28" s="4">
        <v>178</v>
      </c>
      <c r="C28" s="9">
        <v>-7.2900000000000006E-2</v>
      </c>
      <c r="D28" s="4">
        <v>185</v>
      </c>
      <c r="E28" s="9">
        <v>8.5000000000000006E-2</v>
      </c>
      <c r="F28" s="4">
        <v>176</v>
      </c>
      <c r="G28" s="9">
        <v>7.0800000000000002E-2</v>
      </c>
      <c r="I28" s="11" t="str">
        <f>VLOOKUP(A28,附件!A:B,2,0)</f>
        <v>江北</v>
      </c>
    </row>
    <row r="29" spans="1:9" x14ac:dyDescent="0.3">
      <c r="A29" s="4" t="s">
        <v>38</v>
      </c>
      <c r="B29" s="4">
        <v>482</v>
      </c>
      <c r="C29" s="9">
        <v>-6.1999999999999998E-3</v>
      </c>
      <c r="D29" s="4">
        <v>484</v>
      </c>
      <c r="E29" s="9">
        <v>-0.14729999999999999</v>
      </c>
      <c r="F29" s="4">
        <v>461</v>
      </c>
      <c r="G29" s="9">
        <v>0.1019</v>
      </c>
      <c r="I29" s="11" t="str">
        <f>VLOOKUP(A29,附件!A:B,2,0)</f>
        <v>江北</v>
      </c>
    </row>
    <row r="30" spans="1:9" x14ac:dyDescent="0.3">
      <c r="A30" s="4" t="s">
        <v>193</v>
      </c>
      <c r="B30" s="4">
        <v>0</v>
      </c>
      <c r="C30" s="4" t="s">
        <v>46</v>
      </c>
      <c r="D30" s="4">
        <v>0</v>
      </c>
      <c r="E30" s="4" t="s">
        <v>46</v>
      </c>
      <c r="F30" s="4">
        <v>0</v>
      </c>
      <c r="G30" s="4" t="s">
        <v>46</v>
      </c>
      <c r="I30" s="11" t="str">
        <f>VLOOKUP(A30,附件!A:B,2,0)</f>
        <v>江北</v>
      </c>
    </row>
    <row r="31" spans="1:9" x14ac:dyDescent="0.3">
      <c r="A31" s="4" t="s">
        <v>55</v>
      </c>
      <c r="B31" s="4">
        <v>72</v>
      </c>
      <c r="C31" s="9">
        <v>0.2203</v>
      </c>
      <c r="D31" s="4">
        <v>66</v>
      </c>
      <c r="E31" s="9">
        <v>-0.38790000000000002</v>
      </c>
      <c r="F31" s="4">
        <v>63</v>
      </c>
      <c r="G31" s="9">
        <v>-6.4100000000000004E-2</v>
      </c>
      <c r="I31" s="11" t="str">
        <f>VLOOKUP(A31,附件!A:B,2,0)</f>
        <v>江北</v>
      </c>
    </row>
    <row r="32" spans="1:9" x14ac:dyDescent="0.3">
      <c r="A32" s="4" t="s">
        <v>42</v>
      </c>
      <c r="B32" s="4">
        <v>73</v>
      </c>
      <c r="C32" s="9">
        <v>-0.17050000000000001</v>
      </c>
      <c r="D32" s="4">
        <v>81</v>
      </c>
      <c r="E32" s="9">
        <v>0.18379999999999999</v>
      </c>
      <c r="F32" s="4">
        <v>67</v>
      </c>
      <c r="G32" s="9">
        <v>0.34</v>
      </c>
      <c r="I32" s="11" t="str">
        <f>VLOOKUP(A32,附件!A:B,2,0)</f>
        <v>江北</v>
      </c>
    </row>
  </sheetData>
  <phoneticPr fontId="20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9"/>
  <sheetViews>
    <sheetView workbookViewId="0">
      <pane ySplit="1" topLeftCell="A8" activePane="bottomLeft" state="frozen"/>
      <selection pane="bottomLeft" activeCell="D9" sqref="D9"/>
    </sheetView>
  </sheetViews>
  <sheetFormatPr defaultColWidth="9" defaultRowHeight="13.5" x14ac:dyDescent="0.3"/>
  <cols>
    <col min="1" max="1" width="23.25" style="4" customWidth="1"/>
    <col min="2" max="2" width="7.875" style="4" customWidth="1"/>
    <col min="3" max="4" width="9" style="4"/>
    <col min="5" max="5" width="12.375" style="4" customWidth="1"/>
    <col min="6" max="11" width="9" style="4"/>
    <col min="12" max="12" width="9" style="10"/>
    <col min="13" max="16384" width="9" style="4"/>
  </cols>
  <sheetData>
    <row r="1" spans="1:12" x14ac:dyDescent="0.3">
      <c r="A1" s="4" t="s">
        <v>58</v>
      </c>
      <c r="B1" s="4" t="s">
        <v>59</v>
      </c>
      <c r="C1" s="4" t="s">
        <v>133</v>
      </c>
      <c r="D1" s="4" t="s">
        <v>194</v>
      </c>
      <c r="E1" s="4" t="s">
        <v>135</v>
      </c>
      <c r="F1" s="11" t="s">
        <v>143</v>
      </c>
      <c r="G1" s="4" t="s">
        <v>145</v>
      </c>
      <c r="H1" s="4" t="s">
        <v>136</v>
      </c>
      <c r="I1" s="12" t="s">
        <v>144</v>
      </c>
      <c r="J1" s="4" t="s">
        <v>146</v>
      </c>
      <c r="L1" s="10" t="s">
        <v>61</v>
      </c>
    </row>
    <row r="2" spans="1:12" x14ac:dyDescent="0.3">
      <c r="A2" s="4" t="s">
        <v>15</v>
      </c>
      <c r="B2" s="4">
        <v>244208</v>
      </c>
      <c r="C2" s="4" t="s">
        <v>83</v>
      </c>
      <c r="D2" s="4" t="s">
        <v>195</v>
      </c>
      <c r="E2" s="8">
        <v>2621</v>
      </c>
      <c r="F2" s="4">
        <v>24</v>
      </c>
      <c r="G2" s="4">
        <v>1</v>
      </c>
      <c r="H2" s="8">
        <v>488</v>
      </c>
      <c r="I2" s="4">
        <v>3</v>
      </c>
      <c r="J2" s="4">
        <v>1</v>
      </c>
      <c r="L2" s="10">
        <f>SUM(F2,I2)</f>
        <v>27</v>
      </c>
    </row>
    <row r="3" spans="1:12" x14ac:dyDescent="0.3">
      <c r="A3" s="4" t="s">
        <v>12</v>
      </c>
      <c r="B3" s="4">
        <v>150320</v>
      </c>
      <c r="C3" s="4" t="s">
        <v>104</v>
      </c>
      <c r="D3" s="4" t="s">
        <v>195</v>
      </c>
      <c r="E3" s="8">
        <v>2401</v>
      </c>
      <c r="F3" s="4">
        <v>21</v>
      </c>
      <c r="G3" s="4">
        <v>1.1000000000000001</v>
      </c>
      <c r="H3" s="4">
        <v>586</v>
      </c>
      <c r="I3" s="4">
        <v>5</v>
      </c>
      <c r="J3" s="4">
        <v>1</v>
      </c>
      <c r="L3" s="10">
        <f t="shared" ref="L3:L55" si="0">SUM(F3,I3)</f>
        <v>26</v>
      </c>
    </row>
    <row r="4" spans="1:12" x14ac:dyDescent="0.3">
      <c r="A4" s="4" t="s">
        <v>12</v>
      </c>
      <c r="B4" s="4">
        <v>323123</v>
      </c>
      <c r="C4" s="4" t="s">
        <v>105</v>
      </c>
      <c r="D4" s="4" t="s">
        <v>195</v>
      </c>
      <c r="E4" s="8">
        <v>2336</v>
      </c>
      <c r="F4" s="4">
        <v>19</v>
      </c>
      <c r="G4" s="4">
        <v>1.1599999999999999</v>
      </c>
      <c r="H4" s="8">
        <v>1325</v>
      </c>
      <c r="I4" s="4">
        <v>8</v>
      </c>
      <c r="J4" s="4">
        <v>1.25</v>
      </c>
      <c r="L4" s="10">
        <f t="shared" si="0"/>
        <v>27</v>
      </c>
    </row>
    <row r="5" spans="1:12" x14ac:dyDescent="0.3">
      <c r="A5" s="4" t="s">
        <v>15</v>
      </c>
      <c r="B5" s="4">
        <v>211238</v>
      </c>
      <c r="C5" s="4" t="s">
        <v>80</v>
      </c>
      <c r="D5" s="4" t="s">
        <v>195</v>
      </c>
      <c r="E5" s="8">
        <v>2270</v>
      </c>
      <c r="F5" s="4">
        <v>16</v>
      </c>
      <c r="G5" s="4">
        <v>1.06</v>
      </c>
      <c r="H5" s="8">
        <v>1824</v>
      </c>
      <c r="I5" s="4">
        <v>7</v>
      </c>
      <c r="J5" s="4">
        <v>1</v>
      </c>
      <c r="L5" s="10">
        <f t="shared" si="0"/>
        <v>23</v>
      </c>
    </row>
    <row r="6" spans="1:12" x14ac:dyDescent="0.3">
      <c r="A6" s="4" t="s">
        <v>9</v>
      </c>
      <c r="B6" s="4">
        <v>340679</v>
      </c>
      <c r="C6" s="4" t="s">
        <v>97</v>
      </c>
      <c r="D6" s="4" t="s">
        <v>195</v>
      </c>
      <c r="E6" s="8">
        <v>2255</v>
      </c>
      <c r="F6" s="4">
        <v>18</v>
      </c>
      <c r="G6" s="4">
        <v>1.06</v>
      </c>
      <c r="H6" s="8">
        <v>428</v>
      </c>
      <c r="I6" s="4">
        <v>2</v>
      </c>
      <c r="J6" s="4">
        <v>1</v>
      </c>
      <c r="L6" s="10">
        <f t="shared" si="0"/>
        <v>20</v>
      </c>
    </row>
    <row r="7" spans="1:12" x14ac:dyDescent="0.3">
      <c r="A7" s="4" t="s">
        <v>15</v>
      </c>
      <c r="B7" s="4">
        <v>344006</v>
      </c>
      <c r="C7" s="4" t="s">
        <v>84</v>
      </c>
      <c r="D7" s="4" t="s">
        <v>195</v>
      </c>
      <c r="E7" s="8">
        <v>2254</v>
      </c>
      <c r="F7" s="4">
        <v>8</v>
      </c>
      <c r="G7" s="4">
        <v>1.5</v>
      </c>
      <c r="H7" s="8">
        <v>1686</v>
      </c>
      <c r="I7" s="4">
        <v>5</v>
      </c>
      <c r="J7" s="4">
        <v>1</v>
      </c>
      <c r="L7" s="10">
        <f t="shared" si="0"/>
        <v>13</v>
      </c>
    </row>
    <row r="8" spans="1:12" x14ac:dyDescent="0.3">
      <c r="A8" s="4" t="s">
        <v>18</v>
      </c>
      <c r="B8" s="4">
        <v>314921</v>
      </c>
      <c r="C8" s="4" t="s">
        <v>88</v>
      </c>
      <c r="D8" s="4" t="s">
        <v>195</v>
      </c>
      <c r="E8" s="8">
        <v>1855</v>
      </c>
      <c r="F8" s="4">
        <v>18</v>
      </c>
      <c r="G8" s="4">
        <v>1</v>
      </c>
      <c r="H8" s="8">
        <v>0</v>
      </c>
      <c r="I8" s="4">
        <v>0</v>
      </c>
      <c r="J8" s="4">
        <v>0</v>
      </c>
      <c r="L8" s="10">
        <f t="shared" si="0"/>
        <v>18</v>
      </c>
    </row>
    <row r="9" spans="1:12" x14ac:dyDescent="0.3">
      <c r="A9" s="4" t="s">
        <v>9</v>
      </c>
      <c r="B9" s="4">
        <v>269063</v>
      </c>
      <c r="C9" s="4" t="s">
        <v>96</v>
      </c>
      <c r="D9" s="4" t="s">
        <v>195</v>
      </c>
      <c r="E9" s="8">
        <v>1834</v>
      </c>
      <c r="F9" s="4">
        <v>17</v>
      </c>
      <c r="G9" s="4">
        <v>1</v>
      </c>
      <c r="H9" s="8">
        <v>284</v>
      </c>
      <c r="I9" s="4">
        <v>3</v>
      </c>
      <c r="J9" s="4">
        <v>1</v>
      </c>
      <c r="L9" s="10">
        <f t="shared" si="0"/>
        <v>20</v>
      </c>
    </row>
    <row r="10" spans="1:12" x14ac:dyDescent="0.3">
      <c r="A10" s="4" t="s">
        <v>18</v>
      </c>
      <c r="B10" s="4">
        <v>362591</v>
      </c>
      <c r="C10" s="4" t="s">
        <v>89</v>
      </c>
      <c r="D10" s="4" t="s">
        <v>195</v>
      </c>
      <c r="E10" s="8">
        <v>1804</v>
      </c>
      <c r="F10" s="4">
        <v>11</v>
      </c>
      <c r="G10" s="4">
        <v>1.18</v>
      </c>
      <c r="H10" s="8">
        <v>386</v>
      </c>
      <c r="I10" s="4">
        <v>3</v>
      </c>
      <c r="J10" s="4">
        <v>1</v>
      </c>
      <c r="L10" s="10">
        <f t="shared" si="0"/>
        <v>14</v>
      </c>
    </row>
    <row r="11" spans="1:12" x14ac:dyDescent="0.3">
      <c r="A11" s="4" t="s">
        <v>18</v>
      </c>
      <c r="B11" s="4">
        <v>206855</v>
      </c>
      <c r="C11" s="4" t="s">
        <v>93</v>
      </c>
      <c r="D11" s="4" t="s">
        <v>195</v>
      </c>
      <c r="E11" s="8">
        <v>1696</v>
      </c>
      <c r="F11" s="4">
        <v>6</v>
      </c>
      <c r="G11" s="4">
        <v>1</v>
      </c>
      <c r="H11" s="8">
        <v>0</v>
      </c>
      <c r="I11" s="4">
        <v>0</v>
      </c>
      <c r="J11" s="4">
        <v>0</v>
      </c>
      <c r="L11" s="10">
        <f t="shared" si="0"/>
        <v>6</v>
      </c>
    </row>
    <row r="12" spans="1:12" x14ac:dyDescent="0.3">
      <c r="A12" s="4" t="s">
        <v>12</v>
      </c>
      <c r="B12" s="4">
        <v>396185</v>
      </c>
      <c r="C12" s="4" t="s">
        <v>109</v>
      </c>
      <c r="D12" s="4" t="s">
        <v>195</v>
      </c>
      <c r="E12" s="8">
        <v>1660</v>
      </c>
      <c r="F12" s="4">
        <v>15</v>
      </c>
      <c r="G12" s="4">
        <v>1.07</v>
      </c>
      <c r="H12" s="8">
        <v>683</v>
      </c>
      <c r="I12" s="4">
        <v>5</v>
      </c>
      <c r="J12" s="4">
        <v>1.2</v>
      </c>
      <c r="L12" s="10">
        <f t="shared" si="0"/>
        <v>20</v>
      </c>
    </row>
    <row r="13" spans="1:12" x14ac:dyDescent="0.3">
      <c r="A13" s="4" t="s">
        <v>18</v>
      </c>
      <c r="B13" s="4">
        <v>206765</v>
      </c>
      <c r="C13" s="4" t="s">
        <v>90</v>
      </c>
      <c r="D13" s="4" t="s">
        <v>195</v>
      </c>
      <c r="E13" s="8">
        <v>1640</v>
      </c>
      <c r="F13" s="4">
        <v>11</v>
      </c>
      <c r="G13" s="4">
        <v>1.0900000000000001</v>
      </c>
      <c r="H13" s="4">
        <v>644</v>
      </c>
      <c r="I13" s="4">
        <v>5</v>
      </c>
      <c r="J13" s="4">
        <v>1.2</v>
      </c>
      <c r="L13" s="10">
        <f t="shared" si="0"/>
        <v>16</v>
      </c>
    </row>
    <row r="14" spans="1:12" x14ac:dyDescent="0.3">
      <c r="A14" s="4" t="s">
        <v>21</v>
      </c>
      <c r="B14" s="4">
        <v>377138</v>
      </c>
      <c r="C14" s="4" t="s">
        <v>70</v>
      </c>
      <c r="D14" s="4" t="s">
        <v>195</v>
      </c>
      <c r="E14" s="8">
        <v>1534</v>
      </c>
      <c r="F14" s="4">
        <v>13</v>
      </c>
      <c r="G14" s="4">
        <v>1.08</v>
      </c>
      <c r="H14" s="8">
        <v>1034</v>
      </c>
      <c r="I14" s="4">
        <v>3</v>
      </c>
      <c r="J14" s="4">
        <v>2</v>
      </c>
      <c r="L14" s="10">
        <f t="shared" si="0"/>
        <v>16</v>
      </c>
    </row>
    <row r="15" spans="1:12" x14ac:dyDescent="0.3">
      <c r="A15" s="4" t="s">
        <v>21</v>
      </c>
      <c r="B15" s="4">
        <v>194213</v>
      </c>
      <c r="C15" s="4" t="s">
        <v>69</v>
      </c>
      <c r="D15" s="4" t="s">
        <v>195</v>
      </c>
      <c r="E15" s="8">
        <v>1508</v>
      </c>
      <c r="F15" s="4">
        <v>8</v>
      </c>
      <c r="G15" s="4">
        <v>1.1299999999999999</v>
      </c>
      <c r="H15" s="8">
        <v>1430</v>
      </c>
      <c r="I15" s="4">
        <v>4</v>
      </c>
      <c r="J15" s="4">
        <v>2</v>
      </c>
      <c r="L15" s="10">
        <f t="shared" si="0"/>
        <v>12</v>
      </c>
    </row>
    <row r="16" spans="1:12" x14ac:dyDescent="0.3">
      <c r="A16" s="4" t="s">
        <v>15</v>
      </c>
      <c r="B16" s="4">
        <v>398327</v>
      </c>
      <c r="C16" s="4" t="s">
        <v>82</v>
      </c>
      <c r="D16" s="4" t="s">
        <v>195</v>
      </c>
      <c r="E16" s="8">
        <v>1499</v>
      </c>
      <c r="F16" s="4">
        <v>10</v>
      </c>
      <c r="G16" s="4">
        <v>1</v>
      </c>
      <c r="H16" s="8">
        <v>1044</v>
      </c>
      <c r="I16" s="4">
        <v>8</v>
      </c>
      <c r="J16" s="4">
        <v>1.25</v>
      </c>
      <c r="L16" s="10">
        <f t="shared" si="0"/>
        <v>18</v>
      </c>
    </row>
    <row r="17" spans="1:12" x14ac:dyDescent="0.3">
      <c r="A17" s="4" t="s">
        <v>9</v>
      </c>
      <c r="B17" s="4">
        <v>115922</v>
      </c>
      <c r="C17" s="4" t="s">
        <v>99</v>
      </c>
      <c r="D17" s="4" t="s">
        <v>195</v>
      </c>
      <c r="E17" s="8">
        <v>1408</v>
      </c>
      <c r="F17" s="4">
        <v>8</v>
      </c>
      <c r="G17" s="4">
        <v>1</v>
      </c>
      <c r="H17" s="8">
        <v>752</v>
      </c>
      <c r="I17" s="4">
        <v>3</v>
      </c>
      <c r="J17" s="4">
        <v>1.67</v>
      </c>
      <c r="L17" s="10">
        <f t="shared" si="0"/>
        <v>11</v>
      </c>
    </row>
    <row r="18" spans="1:12" x14ac:dyDescent="0.3">
      <c r="A18" s="4" t="s">
        <v>9</v>
      </c>
      <c r="B18" s="4">
        <v>335258</v>
      </c>
      <c r="C18" s="4" t="s">
        <v>98</v>
      </c>
      <c r="D18" s="4" t="s">
        <v>195</v>
      </c>
      <c r="E18" s="8">
        <v>1329</v>
      </c>
      <c r="F18" s="4">
        <v>10</v>
      </c>
      <c r="G18" s="4">
        <v>1.2</v>
      </c>
      <c r="H18" s="8">
        <v>281</v>
      </c>
      <c r="I18" s="4">
        <v>1</v>
      </c>
      <c r="J18" s="4">
        <v>1</v>
      </c>
      <c r="L18" s="10">
        <f t="shared" si="0"/>
        <v>11</v>
      </c>
    </row>
    <row r="19" spans="1:12" x14ac:dyDescent="0.3">
      <c r="A19" s="4" t="s">
        <v>24</v>
      </c>
      <c r="B19" s="4">
        <v>397772</v>
      </c>
      <c r="C19" s="4" t="s">
        <v>117</v>
      </c>
      <c r="D19" s="4" t="s">
        <v>195</v>
      </c>
      <c r="E19" s="8">
        <v>1276</v>
      </c>
      <c r="F19" s="4">
        <v>9</v>
      </c>
      <c r="G19" s="4">
        <v>1</v>
      </c>
      <c r="H19" s="4">
        <v>0</v>
      </c>
      <c r="I19" s="4">
        <v>0</v>
      </c>
      <c r="J19" s="4">
        <v>0</v>
      </c>
      <c r="L19" s="10">
        <f t="shared" si="0"/>
        <v>9</v>
      </c>
    </row>
    <row r="20" spans="1:12" x14ac:dyDescent="0.3">
      <c r="A20" s="4" t="s">
        <v>12</v>
      </c>
      <c r="B20" s="4">
        <v>226769</v>
      </c>
      <c r="C20" s="4" t="s">
        <v>106</v>
      </c>
      <c r="D20" s="4" t="s">
        <v>195</v>
      </c>
      <c r="E20" s="8">
        <v>1262</v>
      </c>
      <c r="F20" s="4">
        <v>14</v>
      </c>
      <c r="G20" s="4">
        <v>1</v>
      </c>
      <c r="H20" s="4">
        <v>375</v>
      </c>
      <c r="I20" s="4">
        <v>4</v>
      </c>
      <c r="J20" s="4">
        <v>1</v>
      </c>
      <c r="L20" s="10">
        <f t="shared" si="0"/>
        <v>18</v>
      </c>
    </row>
    <row r="21" spans="1:12" x14ac:dyDescent="0.3">
      <c r="A21" s="4" t="s">
        <v>9</v>
      </c>
      <c r="B21" s="4">
        <v>223136</v>
      </c>
      <c r="C21" s="4" t="s">
        <v>101</v>
      </c>
      <c r="D21" s="4" t="s">
        <v>195</v>
      </c>
      <c r="E21" s="8">
        <v>1205</v>
      </c>
      <c r="F21" s="4">
        <v>11</v>
      </c>
      <c r="G21" s="4">
        <v>1</v>
      </c>
      <c r="H21" s="4">
        <v>237</v>
      </c>
      <c r="I21" s="4">
        <v>2</v>
      </c>
      <c r="J21" s="4">
        <v>1</v>
      </c>
      <c r="L21" s="10">
        <f t="shared" si="0"/>
        <v>13</v>
      </c>
    </row>
    <row r="22" spans="1:12" x14ac:dyDescent="0.3">
      <c r="A22" s="4" t="s">
        <v>24</v>
      </c>
      <c r="B22" s="4">
        <v>442556</v>
      </c>
      <c r="C22" s="4" t="s">
        <v>118</v>
      </c>
      <c r="D22" s="4" t="s">
        <v>195</v>
      </c>
      <c r="E22" s="8">
        <v>1200</v>
      </c>
      <c r="F22" s="4">
        <v>9</v>
      </c>
      <c r="G22" s="4">
        <v>1.1100000000000001</v>
      </c>
      <c r="H22" s="4">
        <v>0</v>
      </c>
      <c r="I22" s="4">
        <v>0</v>
      </c>
      <c r="J22" s="4">
        <v>0</v>
      </c>
      <c r="L22" s="10">
        <f t="shared" si="0"/>
        <v>9</v>
      </c>
    </row>
    <row r="23" spans="1:12" x14ac:dyDescent="0.3">
      <c r="A23" s="4" t="s">
        <v>12</v>
      </c>
      <c r="B23" s="4">
        <v>269510</v>
      </c>
      <c r="C23" s="4" t="s">
        <v>110</v>
      </c>
      <c r="D23" s="4" t="s">
        <v>195</v>
      </c>
      <c r="E23" s="8">
        <v>1130</v>
      </c>
      <c r="F23" s="4">
        <v>8</v>
      </c>
      <c r="G23" s="4">
        <v>1.38</v>
      </c>
      <c r="H23" s="4">
        <v>292</v>
      </c>
      <c r="I23" s="4">
        <v>2</v>
      </c>
      <c r="J23" s="4">
        <v>1</v>
      </c>
      <c r="L23" s="10">
        <f t="shared" si="0"/>
        <v>10</v>
      </c>
    </row>
    <row r="24" spans="1:12" x14ac:dyDescent="0.3">
      <c r="A24" s="4" t="s">
        <v>21</v>
      </c>
      <c r="B24" s="4">
        <v>408140</v>
      </c>
      <c r="C24" s="4" t="s">
        <v>74</v>
      </c>
      <c r="D24" s="4" t="s">
        <v>195</v>
      </c>
      <c r="E24" s="8">
        <v>1090</v>
      </c>
      <c r="F24" s="4">
        <v>6</v>
      </c>
      <c r="G24" s="4">
        <v>1</v>
      </c>
      <c r="H24" s="8">
        <v>197</v>
      </c>
      <c r="I24" s="4">
        <v>2</v>
      </c>
      <c r="J24" s="4">
        <v>1</v>
      </c>
      <c r="L24" s="10">
        <f t="shared" si="0"/>
        <v>8</v>
      </c>
    </row>
    <row r="25" spans="1:12" x14ac:dyDescent="0.3">
      <c r="A25" s="4" t="s">
        <v>9</v>
      </c>
      <c r="B25" s="4">
        <v>400643</v>
      </c>
      <c r="C25" s="4" t="s">
        <v>100</v>
      </c>
      <c r="D25" s="4" t="s">
        <v>195</v>
      </c>
      <c r="E25" s="8">
        <v>1048</v>
      </c>
      <c r="F25" s="4">
        <v>9</v>
      </c>
      <c r="G25" s="4">
        <v>1</v>
      </c>
      <c r="H25" s="4">
        <v>457</v>
      </c>
      <c r="I25" s="4">
        <v>3</v>
      </c>
      <c r="J25" s="4">
        <v>1</v>
      </c>
      <c r="L25" s="10">
        <f t="shared" si="0"/>
        <v>12</v>
      </c>
    </row>
    <row r="26" spans="1:12" x14ac:dyDescent="0.3">
      <c r="A26" s="4" t="s">
        <v>21</v>
      </c>
      <c r="B26" s="4">
        <v>393299</v>
      </c>
      <c r="C26" s="4" t="s">
        <v>71</v>
      </c>
      <c r="D26" s="4" t="s">
        <v>195</v>
      </c>
      <c r="E26" s="8">
        <v>1020</v>
      </c>
      <c r="F26" s="4">
        <v>7</v>
      </c>
      <c r="G26" s="4">
        <v>1</v>
      </c>
      <c r="H26" s="8">
        <v>669</v>
      </c>
      <c r="I26" s="4">
        <v>4</v>
      </c>
      <c r="J26" s="4">
        <v>1</v>
      </c>
      <c r="L26" s="10">
        <f t="shared" si="0"/>
        <v>11</v>
      </c>
    </row>
    <row r="27" spans="1:12" x14ac:dyDescent="0.3">
      <c r="A27" s="4" t="s">
        <v>24</v>
      </c>
      <c r="B27" s="4">
        <v>274211</v>
      </c>
      <c r="C27" s="4" t="s">
        <v>113</v>
      </c>
      <c r="D27" s="4" t="s">
        <v>195</v>
      </c>
      <c r="E27" s="8">
        <v>955</v>
      </c>
      <c r="F27" s="4">
        <v>8</v>
      </c>
      <c r="G27" s="4">
        <v>1</v>
      </c>
      <c r="H27" s="8">
        <v>497</v>
      </c>
      <c r="I27" s="4">
        <v>2</v>
      </c>
      <c r="J27" s="4">
        <v>1</v>
      </c>
      <c r="L27" s="10">
        <f t="shared" si="0"/>
        <v>10</v>
      </c>
    </row>
    <row r="28" spans="1:12" x14ac:dyDescent="0.3">
      <c r="A28" s="4" t="s">
        <v>21</v>
      </c>
      <c r="B28" s="4">
        <v>366164</v>
      </c>
      <c r="C28" s="4" t="s">
        <v>72</v>
      </c>
      <c r="D28" s="4" t="s">
        <v>195</v>
      </c>
      <c r="E28" s="4">
        <v>943</v>
      </c>
      <c r="F28" s="4">
        <v>7</v>
      </c>
      <c r="G28" s="4">
        <v>1.1399999999999999</v>
      </c>
      <c r="H28" s="4">
        <v>96</v>
      </c>
      <c r="I28" s="4">
        <v>1</v>
      </c>
      <c r="J28" s="4">
        <v>1</v>
      </c>
      <c r="L28" s="10">
        <f t="shared" si="0"/>
        <v>8</v>
      </c>
    </row>
    <row r="29" spans="1:12" x14ac:dyDescent="0.3">
      <c r="A29" s="4" t="s">
        <v>24</v>
      </c>
      <c r="B29" s="4">
        <v>456062</v>
      </c>
      <c r="C29" s="4" t="s">
        <v>119</v>
      </c>
      <c r="D29" s="4" t="s">
        <v>195</v>
      </c>
      <c r="E29" s="4">
        <v>922</v>
      </c>
      <c r="F29" s="4">
        <v>7</v>
      </c>
      <c r="G29" s="4">
        <v>1.1399999999999999</v>
      </c>
      <c r="H29" s="8">
        <v>277</v>
      </c>
      <c r="I29" s="4">
        <v>1</v>
      </c>
      <c r="J29" s="4">
        <v>1</v>
      </c>
      <c r="L29" s="10">
        <f t="shared" si="0"/>
        <v>8</v>
      </c>
    </row>
    <row r="30" spans="1:12" x14ac:dyDescent="0.3">
      <c r="A30" s="4" t="s">
        <v>18</v>
      </c>
      <c r="B30" s="4">
        <v>176522</v>
      </c>
      <c r="C30" s="4" t="s">
        <v>92</v>
      </c>
      <c r="D30" s="4" t="s">
        <v>195</v>
      </c>
      <c r="E30" s="4">
        <v>843</v>
      </c>
      <c r="F30" s="4">
        <v>8</v>
      </c>
      <c r="G30" s="4">
        <v>1</v>
      </c>
      <c r="H30" s="4">
        <v>0</v>
      </c>
      <c r="I30" s="4">
        <v>0</v>
      </c>
      <c r="J30" s="4">
        <v>0</v>
      </c>
      <c r="L30" s="10">
        <f t="shared" si="0"/>
        <v>8</v>
      </c>
    </row>
    <row r="31" spans="1:12" x14ac:dyDescent="0.3">
      <c r="A31" s="4" t="s">
        <v>21</v>
      </c>
      <c r="B31" s="4">
        <v>393302</v>
      </c>
      <c r="C31" s="4" t="s">
        <v>73</v>
      </c>
      <c r="D31" s="4" t="s">
        <v>195</v>
      </c>
      <c r="E31" s="4">
        <v>784</v>
      </c>
      <c r="F31" s="4">
        <v>7</v>
      </c>
      <c r="G31" s="4">
        <v>1.1399999999999999</v>
      </c>
      <c r="H31" s="8">
        <v>657</v>
      </c>
      <c r="I31" s="4">
        <v>2</v>
      </c>
      <c r="J31" s="4">
        <v>2</v>
      </c>
      <c r="L31" s="10">
        <f t="shared" si="0"/>
        <v>9</v>
      </c>
    </row>
    <row r="32" spans="1:12" x14ac:dyDescent="0.3">
      <c r="A32" s="4" t="s">
        <v>12</v>
      </c>
      <c r="B32" s="4">
        <v>346892</v>
      </c>
      <c r="C32" s="4" t="s">
        <v>107</v>
      </c>
      <c r="D32" s="4" t="s">
        <v>195</v>
      </c>
      <c r="E32" s="4">
        <v>751</v>
      </c>
      <c r="F32" s="4">
        <v>5</v>
      </c>
      <c r="G32" s="4">
        <v>1</v>
      </c>
      <c r="H32" s="4">
        <v>678</v>
      </c>
      <c r="I32" s="4">
        <v>4</v>
      </c>
      <c r="J32" s="4">
        <v>1.25</v>
      </c>
      <c r="L32" s="10">
        <f t="shared" si="0"/>
        <v>9</v>
      </c>
    </row>
    <row r="33" spans="1:12" x14ac:dyDescent="0.3">
      <c r="A33" s="4" t="s">
        <v>18</v>
      </c>
      <c r="B33" s="4">
        <v>407855</v>
      </c>
      <c r="C33" s="4" t="s">
        <v>95</v>
      </c>
      <c r="D33" s="4" t="s">
        <v>195</v>
      </c>
      <c r="E33" s="4">
        <v>750</v>
      </c>
      <c r="F33" s="4">
        <v>6</v>
      </c>
      <c r="G33" s="4">
        <v>1</v>
      </c>
      <c r="H33" s="4">
        <v>0</v>
      </c>
      <c r="I33" s="4">
        <v>0</v>
      </c>
      <c r="J33" s="4">
        <v>0</v>
      </c>
      <c r="L33" s="10">
        <f t="shared" si="0"/>
        <v>6</v>
      </c>
    </row>
    <row r="34" spans="1:12" x14ac:dyDescent="0.3">
      <c r="A34" s="4" t="s">
        <v>12</v>
      </c>
      <c r="B34" s="4">
        <v>313898</v>
      </c>
      <c r="C34" s="4" t="s">
        <v>108</v>
      </c>
      <c r="D34" s="4" t="s">
        <v>195</v>
      </c>
      <c r="E34" s="4">
        <v>738</v>
      </c>
      <c r="F34" s="4">
        <v>6</v>
      </c>
      <c r="G34" s="4">
        <v>1</v>
      </c>
      <c r="H34" s="4">
        <v>92</v>
      </c>
      <c r="I34" s="4">
        <v>1</v>
      </c>
      <c r="J34" s="4">
        <v>1</v>
      </c>
      <c r="L34" s="10">
        <f t="shared" si="0"/>
        <v>7</v>
      </c>
    </row>
    <row r="35" spans="1:12" x14ac:dyDescent="0.3">
      <c r="A35" s="4" t="s">
        <v>24</v>
      </c>
      <c r="B35" s="4">
        <v>94762</v>
      </c>
      <c r="C35" s="4" t="s">
        <v>115</v>
      </c>
      <c r="D35" s="4" t="s">
        <v>195</v>
      </c>
      <c r="E35" s="4">
        <v>736</v>
      </c>
      <c r="F35" s="4">
        <v>7</v>
      </c>
      <c r="G35" s="4">
        <v>1</v>
      </c>
      <c r="H35" s="4">
        <v>90</v>
      </c>
      <c r="I35" s="4">
        <v>1</v>
      </c>
      <c r="J35" s="4">
        <v>1</v>
      </c>
      <c r="L35" s="10">
        <f t="shared" si="0"/>
        <v>8</v>
      </c>
    </row>
    <row r="36" spans="1:12" x14ac:dyDescent="0.3">
      <c r="A36" s="4" t="s">
        <v>24</v>
      </c>
      <c r="B36" s="4">
        <v>436394</v>
      </c>
      <c r="C36" s="4" t="s">
        <v>116</v>
      </c>
      <c r="D36" s="4" t="s">
        <v>195</v>
      </c>
      <c r="E36" s="4">
        <v>726</v>
      </c>
      <c r="F36" s="4">
        <v>7</v>
      </c>
      <c r="G36" s="4">
        <v>1</v>
      </c>
      <c r="H36" s="4">
        <v>187</v>
      </c>
      <c r="I36" s="4">
        <v>2</v>
      </c>
      <c r="J36" s="4">
        <v>1</v>
      </c>
      <c r="L36" s="10">
        <f t="shared" si="0"/>
        <v>9</v>
      </c>
    </row>
    <row r="37" spans="1:12" x14ac:dyDescent="0.3">
      <c r="A37" s="4" t="s">
        <v>15</v>
      </c>
      <c r="B37" s="4">
        <v>229184</v>
      </c>
      <c r="C37" s="4" t="s">
        <v>81</v>
      </c>
      <c r="D37" s="4" t="s">
        <v>195</v>
      </c>
      <c r="E37" s="4">
        <v>669</v>
      </c>
      <c r="F37" s="4">
        <v>5</v>
      </c>
      <c r="G37" s="4">
        <v>1.4</v>
      </c>
      <c r="H37" s="8">
        <v>1246</v>
      </c>
      <c r="I37" s="4">
        <v>9</v>
      </c>
      <c r="J37" s="4">
        <v>1</v>
      </c>
      <c r="L37" s="10">
        <f t="shared" si="0"/>
        <v>14</v>
      </c>
    </row>
    <row r="38" spans="1:12" x14ac:dyDescent="0.3">
      <c r="A38" s="4" t="s">
        <v>18</v>
      </c>
      <c r="B38" s="4">
        <v>373334</v>
      </c>
      <c r="C38" s="4" t="s">
        <v>91</v>
      </c>
      <c r="D38" s="4" t="s">
        <v>195</v>
      </c>
      <c r="E38" s="4">
        <v>656</v>
      </c>
      <c r="F38" s="4">
        <v>7</v>
      </c>
      <c r="G38" s="4">
        <v>1</v>
      </c>
      <c r="H38" s="4">
        <v>0</v>
      </c>
      <c r="I38" s="4">
        <v>0</v>
      </c>
      <c r="J38" s="4">
        <v>0</v>
      </c>
      <c r="L38" s="10">
        <f t="shared" si="0"/>
        <v>7</v>
      </c>
    </row>
    <row r="39" spans="1:12" x14ac:dyDescent="0.3">
      <c r="A39" s="4" t="s">
        <v>21</v>
      </c>
      <c r="B39" s="4">
        <v>395438</v>
      </c>
      <c r="C39" s="4" t="s">
        <v>76</v>
      </c>
      <c r="D39" s="4" t="s">
        <v>195</v>
      </c>
      <c r="E39" s="4">
        <v>608</v>
      </c>
      <c r="F39" s="4">
        <v>5</v>
      </c>
      <c r="G39" s="4">
        <v>1.2</v>
      </c>
      <c r="H39" s="4">
        <v>735</v>
      </c>
      <c r="I39" s="4">
        <v>6</v>
      </c>
      <c r="J39" s="4">
        <v>1.17</v>
      </c>
      <c r="L39" s="10">
        <f t="shared" si="0"/>
        <v>11</v>
      </c>
    </row>
    <row r="40" spans="1:12" x14ac:dyDescent="0.3">
      <c r="A40" s="4" t="s">
        <v>9</v>
      </c>
      <c r="B40" s="4">
        <v>335129</v>
      </c>
      <c r="C40" s="4" t="s">
        <v>102</v>
      </c>
      <c r="D40" s="4" t="s">
        <v>195</v>
      </c>
      <c r="E40" s="4">
        <v>567</v>
      </c>
      <c r="F40" s="4">
        <v>6</v>
      </c>
      <c r="G40" s="4">
        <v>1</v>
      </c>
      <c r="H40" s="4">
        <v>281</v>
      </c>
      <c r="I40" s="4">
        <v>2</v>
      </c>
      <c r="J40" s="4">
        <v>1</v>
      </c>
      <c r="L40" s="10">
        <f t="shared" si="0"/>
        <v>8</v>
      </c>
    </row>
    <row r="41" spans="1:12" x14ac:dyDescent="0.3">
      <c r="A41" s="4" t="s">
        <v>18</v>
      </c>
      <c r="B41" s="4">
        <v>455039</v>
      </c>
      <c r="C41" s="4" t="s">
        <v>94</v>
      </c>
      <c r="D41" s="4" t="s">
        <v>195</v>
      </c>
      <c r="E41" s="4">
        <v>501</v>
      </c>
      <c r="F41" s="4">
        <v>5</v>
      </c>
      <c r="G41" s="4">
        <v>1</v>
      </c>
      <c r="H41" s="4">
        <v>0</v>
      </c>
      <c r="I41" s="4">
        <v>0</v>
      </c>
      <c r="J41" s="4">
        <v>0</v>
      </c>
      <c r="L41" s="10">
        <f t="shared" si="0"/>
        <v>5</v>
      </c>
    </row>
    <row r="42" spans="1:12" x14ac:dyDescent="0.3">
      <c r="A42" s="4" t="s">
        <v>21</v>
      </c>
      <c r="B42" s="4">
        <v>402602</v>
      </c>
      <c r="C42" s="4" t="s">
        <v>77</v>
      </c>
      <c r="D42" s="4" t="s">
        <v>195</v>
      </c>
      <c r="E42" s="4">
        <v>468</v>
      </c>
      <c r="F42" s="4">
        <v>5</v>
      </c>
      <c r="G42" s="4">
        <v>1</v>
      </c>
      <c r="H42" s="4">
        <v>104</v>
      </c>
      <c r="I42" s="4">
        <v>1</v>
      </c>
      <c r="J42" s="4">
        <v>1</v>
      </c>
      <c r="L42" s="10">
        <f t="shared" si="0"/>
        <v>6</v>
      </c>
    </row>
    <row r="43" spans="1:12" x14ac:dyDescent="0.3">
      <c r="A43" s="4" t="s">
        <v>24</v>
      </c>
      <c r="B43" s="4">
        <v>213518</v>
      </c>
      <c r="C43" s="4" t="s">
        <v>54</v>
      </c>
      <c r="D43" s="4" t="s">
        <v>195</v>
      </c>
      <c r="E43" s="4">
        <v>465</v>
      </c>
      <c r="F43" s="4">
        <v>3</v>
      </c>
      <c r="G43" s="4">
        <v>1</v>
      </c>
      <c r="H43" s="4">
        <v>0</v>
      </c>
      <c r="I43" s="4">
        <v>0</v>
      </c>
      <c r="J43" s="4">
        <v>0</v>
      </c>
      <c r="L43" s="10">
        <f t="shared" si="0"/>
        <v>3</v>
      </c>
    </row>
    <row r="44" spans="1:12" x14ac:dyDescent="0.3">
      <c r="A44" s="4" t="s">
        <v>21</v>
      </c>
      <c r="B44" s="4">
        <v>148067</v>
      </c>
      <c r="C44" s="4" t="s">
        <v>75</v>
      </c>
      <c r="D44" s="4" t="s">
        <v>195</v>
      </c>
      <c r="E44" s="4">
        <v>401</v>
      </c>
      <c r="F44" s="4">
        <v>3</v>
      </c>
      <c r="G44" s="4">
        <v>1</v>
      </c>
      <c r="H44" s="4">
        <v>845</v>
      </c>
      <c r="I44" s="4">
        <v>2</v>
      </c>
      <c r="J44" s="4">
        <v>1.5</v>
      </c>
      <c r="L44" s="10">
        <f t="shared" si="0"/>
        <v>5</v>
      </c>
    </row>
    <row r="45" spans="1:12" x14ac:dyDescent="0.3">
      <c r="A45" s="4" t="s">
        <v>24</v>
      </c>
      <c r="B45" s="4">
        <v>315296</v>
      </c>
      <c r="C45" s="4" t="s">
        <v>120</v>
      </c>
      <c r="D45" s="4" t="s">
        <v>195</v>
      </c>
      <c r="E45" s="4">
        <v>390</v>
      </c>
      <c r="F45" s="4">
        <v>4</v>
      </c>
      <c r="G45" s="4">
        <v>1.25</v>
      </c>
      <c r="H45" s="4">
        <v>0</v>
      </c>
      <c r="I45" s="4">
        <v>0</v>
      </c>
      <c r="J45" s="4">
        <v>0</v>
      </c>
      <c r="L45" s="10">
        <f t="shared" si="0"/>
        <v>4</v>
      </c>
    </row>
    <row r="46" spans="1:12" x14ac:dyDescent="0.3">
      <c r="A46" s="4" t="s">
        <v>24</v>
      </c>
      <c r="B46" s="4">
        <v>452561</v>
      </c>
      <c r="C46" s="4" t="s">
        <v>121</v>
      </c>
      <c r="D46" s="4" t="s">
        <v>195</v>
      </c>
      <c r="E46" s="4">
        <v>373</v>
      </c>
      <c r="F46" s="4">
        <v>4</v>
      </c>
      <c r="G46" s="4">
        <v>1</v>
      </c>
      <c r="H46" s="4">
        <v>0</v>
      </c>
      <c r="I46" s="4">
        <v>0</v>
      </c>
      <c r="J46" s="4">
        <v>0</v>
      </c>
      <c r="L46" s="10">
        <f t="shared" si="0"/>
        <v>4</v>
      </c>
    </row>
    <row r="47" spans="1:12" x14ac:dyDescent="0.3">
      <c r="A47" s="4" t="s">
        <v>15</v>
      </c>
      <c r="B47" s="4">
        <v>680405</v>
      </c>
      <c r="C47" s="4" t="s">
        <v>85</v>
      </c>
      <c r="D47" s="4" t="s">
        <v>195</v>
      </c>
      <c r="E47" s="4">
        <v>319</v>
      </c>
      <c r="F47" s="4">
        <v>3</v>
      </c>
      <c r="G47" s="4">
        <v>1</v>
      </c>
      <c r="H47" s="4">
        <v>201</v>
      </c>
      <c r="I47" s="4">
        <v>1</v>
      </c>
      <c r="J47" s="4">
        <v>1</v>
      </c>
      <c r="L47" s="10">
        <f t="shared" si="0"/>
        <v>4</v>
      </c>
    </row>
    <row r="48" spans="1:12" x14ac:dyDescent="0.3">
      <c r="A48" s="4" t="s">
        <v>24</v>
      </c>
      <c r="B48" s="4">
        <v>433676</v>
      </c>
      <c r="C48" s="4" t="s">
        <v>114</v>
      </c>
      <c r="D48" s="4" t="s">
        <v>195</v>
      </c>
      <c r="E48" s="4">
        <v>277</v>
      </c>
      <c r="F48" s="4">
        <v>2</v>
      </c>
      <c r="G48" s="4">
        <v>1</v>
      </c>
      <c r="H48" s="4">
        <v>0</v>
      </c>
      <c r="I48" s="4">
        <v>0</v>
      </c>
      <c r="J48" s="4">
        <v>0</v>
      </c>
      <c r="L48" s="10">
        <f t="shared" si="0"/>
        <v>2</v>
      </c>
    </row>
    <row r="49" spans="1:12" x14ac:dyDescent="0.3">
      <c r="A49" s="4" t="s">
        <v>24</v>
      </c>
      <c r="B49" s="4">
        <v>400613</v>
      </c>
      <c r="C49" s="4" t="s">
        <v>124</v>
      </c>
      <c r="D49" s="4" t="s">
        <v>195</v>
      </c>
      <c r="E49" s="4">
        <v>198</v>
      </c>
      <c r="F49" s="4">
        <v>2</v>
      </c>
      <c r="G49" s="4">
        <v>1</v>
      </c>
      <c r="H49" s="4">
        <v>0</v>
      </c>
      <c r="I49" s="4">
        <v>0</v>
      </c>
      <c r="J49" s="4">
        <v>0</v>
      </c>
      <c r="L49" s="10">
        <f t="shared" si="0"/>
        <v>2</v>
      </c>
    </row>
    <row r="50" spans="1:12" x14ac:dyDescent="0.3">
      <c r="A50" s="4" t="s">
        <v>24</v>
      </c>
      <c r="B50" s="4">
        <v>459749</v>
      </c>
      <c r="C50" s="4" t="s">
        <v>123</v>
      </c>
      <c r="D50" s="4" t="s">
        <v>195</v>
      </c>
      <c r="E50" s="4">
        <v>154</v>
      </c>
      <c r="F50" s="4">
        <v>2</v>
      </c>
      <c r="G50" s="4">
        <v>1</v>
      </c>
      <c r="H50" s="4">
        <v>0</v>
      </c>
      <c r="I50" s="4">
        <v>0</v>
      </c>
      <c r="J50" s="4">
        <v>0</v>
      </c>
      <c r="L50" s="10">
        <f t="shared" si="0"/>
        <v>2</v>
      </c>
    </row>
    <row r="51" spans="1:12" x14ac:dyDescent="0.3">
      <c r="A51" s="4" t="s">
        <v>24</v>
      </c>
      <c r="B51" s="4">
        <v>423146</v>
      </c>
      <c r="C51" s="4" t="s">
        <v>130</v>
      </c>
      <c r="D51" s="4" t="s">
        <v>195</v>
      </c>
      <c r="E51" s="4">
        <v>100</v>
      </c>
      <c r="F51" s="4">
        <v>1</v>
      </c>
      <c r="G51" s="4">
        <v>1</v>
      </c>
      <c r="H51" s="4">
        <v>0</v>
      </c>
      <c r="I51" s="4">
        <v>0</v>
      </c>
      <c r="J51" s="4">
        <v>0</v>
      </c>
      <c r="L51" s="10">
        <f t="shared" si="0"/>
        <v>1</v>
      </c>
    </row>
    <row r="52" spans="1:12" x14ac:dyDescent="0.3">
      <c r="A52" s="4" t="s">
        <v>24</v>
      </c>
      <c r="B52" s="4">
        <v>435701</v>
      </c>
      <c r="C52" s="4" t="s">
        <v>125</v>
      </c>
      <c r="D52" s="4" t="s">
        <v>195</v>
      </c>
      <c r="E52" s="4">
        <v>96</v>
      </c>
      <c r="F52" s="4">
        <v>1</v>
      </c>
      <c r="G52" s="4">
        <v>1</v>
      </c>
      <c r="H52" s="4">
        <v>91</v>
      </c>
      <c r="I52" s="4">
        <v>1</v>
      </c>
      <c r="J52" s="4">
        <v>1</v>
      </c>
      <c r="L52" s="10">
        <f t="shared" si="0"/>
        <v>2</v>
      </c>
    </row>
    <row r="53" spans="1:12" x14ac:dyDescent="0.3">
      <c r="A53" s="4" t="s">
        <v>24</v>
      </c>
      <c r="B53" s="4">
        <v>397823</v>
      </c>
      <c r="C53" s="4" t="s">
        <v>56</v>
      </c>
      <c r="D53" s="4" t="s">
        <v>195</v>
      </c>
      <c r="E53" s="4">
        <v>96</v>
      </c>
      <c r="F53" s="4">
        <v>1</v>
      </c>
      <c r="G53" s="4">
        <v>1</v>
      </c>
      <c r="H53" s="4">
        <v>0</v>
      </c>
      <c r="I53" s="4">
        <v>0</v>
      </c>
      <c r="J53" s="4">
        <v>0</v>
      </c>
      <c r="L53" s="10">
        <f t="shared" si="0"/>
        <v>1</v>
      </c>
    </row>
    <row r="54" spans="1:12" x14ac:dyDescent="0.3">
      <c r="A54" s="4" t="s">
        <v>21</v>
      </c>
      <c r="B54" s="4">
        <v>251408</v>
      </c>
      <c r="C54" s="4" t="s">
        <v>78</v>
      </c>
      <c r="D54" s="4" t="s">
        <v>195</v>
      </c>
      <c r="E54" s="4">
        <v>94</v>
      </c>
      <c r="F54" s="4">
        <v>1</v>
      </c>
      <c r="G54" s="4">
        <v>1</v>
      </c>
      <c r="H54" s="4">
        <v>0</v>
      </c>
      <c r="I54" s="4">
        <v>0</v>
      </c>
      <c r="J54" s="4">
        <v>0</v>
      </c>
      <c r="L54" s="10">
        <f t="shared" si="0"/>
        <v>1</v>
      </c>
    </row>
    <row r="55" spans="1:12" x14ac:dyDescent="0.3">
      <c r="A55" s="4" t="s">
        <v>24</v>
      </c>
      <c r="B55" s="4">
        <v>452123</v>
      </c>
      <c r="C55" s="4" t="s">
        <v>126</v>
      </c>
      <c r="D55" s="4" t="s">
        <v>195</v>
      </c>
      <c r="E55" s="4">
        <v>94</v>
      </c>
      <c r="F55" s="4">
        <v>1</v>
      </c>
      <c r="G55" s="4">
        <v>1</v>
      </c>
      <c r="H55" s="4">
        <v>0</v>
      </c>
      <c r="I55" s="4">
        <v>0</v>
      </c>
      <c r="J55" s="4">
        <v>0</v>
      </c>
      <c r="L55" s="10">
        <f t="shared" si="0"/>
        <v>1</v>
      </c>
    </row>
    <row r="56" spans="1:12" x14ac:dyDescent="0.3">
      <c r="A56" s="4" t="s">
        <v>24</v>
      </c>
      <c r="B56" s="4">
        <v>680453</v>
      </c>
      <c r="C56" s="4" t="s">
        <v>128</v>
      </c>
      <c r="D56" s="4" t="s">
        <v>195</v>
      </c>
      <c r="E56" s="4">
        <v>93</v>
      </c>
      <c r="F56" s="4">
        <v>1</v>
      </c>
      <c r="G56" s="4">
        <v>1</v>
      </c>
      <c r="H56" s="4">
        <v>0</v>
      </c>
      <c r="I56" s="4">
        <v>0</v>
      </c>
      <c r="J56" s="4">
        <v>0</v>
      </c>
      <c r="L56" s="10">
        <f>SUM(F56,I56)</f>
        <v>1</v>
      </c>
    </row>
    <row r="57" spans="1:12" x14ac:dyDescent="0.3">
      <c r="A57" s="4" t="s">
        <v>15</v>
      </c>
      <c r="B57" s="4">
        <v>471773</v>
      </c>
      <c r="C57" s="4" t="s">
        <v>86</v>
      </c>
      <c r="D57" s="4" t="s">
        <v>195</v>
      </c>
      <c r="E57" s="4">
        <v>92</v>
      </c>
      <c r="F57" s="4">
        <v>1</v>
      </c>
      <c r="G57" s="4">
        <v>1</v>
      </c>
      <c r="H57" s="4">
        <v>0</v>
      </c>
      <c r="I57" s="4">
        <v>0</v>
      </c>
      <c r="J57" s="4">
        <v>0</v>
      </c>
      <c r="L57" s="10">
        <f>SUM(F57,I57)</f>
        <v>1</v>
      </c>
    </row>
    <row r="58" spans="1:12" x14ac:dyDescent="0.3">
      <c r="A58" s="4" t="s">
        <v>12</v>
      </c>
      <c r="B58" s="4">
        <v>454388</v>
      </c>
      <c r="C58" s="4" t="s">
        <v>111</v>
      </c>
      <c r="D58" s="4" t="s">
        <v>195</v>
      </c>
      <c r="E58" s="4">
        <v>92</v>
      </c>
      <c r="F58" s="4">
        <v>1</v>
      </c>
      <c r="G58" s="4">
        <v>1</v>
      </c>
      <c r="H58" s="4">
        <v>0</v>
      </c>
      <c r="I58" s="4">
        <v>0</v>
      </c>
      <c r="J58" s="4">
        <v>0</v>
      </c>
      <c r="L58" s="10">
        <f>SUM(F58,I58)</f>
        <v>1</v>
      </c>
    </row>
    <row r="59" spans="1:12" x14ac:dyDescent="0.3">
      <c r="A59" s="4" t="s">
        <v>24</v>
      </c>
      <c r="B59" s="4">
        <v>466088</v>
      </c>
      <c r="C59" s="4" t="s">
        <v>122</v>
      </c>
      <c r="D59" s="4" t="s">
        <v>195</v>
      </c>
      <c r="E59" s="4">
        <v>90</v>
      </c>
      <c r="F59" s="4">
        <v>1</v>
      </c>
      <c r="G59" s="4">
        <v>1</v>
      </c>
      <c r="H59" s="4">
        <v>96</v>
      </c>
      <c r="I59" s="4">
        <v>1</v>
      </c>
      <c r="J59" s="4">
        <v>1</v>
      </c>
      <c r="L59" s="10">
        <f>SUM(F59,I59)</f>
        <v>2</v>
      </c>
    </row>
  </sheetData>
  <phoneticPr fontId="20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9"/>
  <sheetViews>
    <sheetView workbookViewId="0">
      <pane ySplit="2" topLeftCell="A3" activePane="bottomLeft" state="frozen"/>
      <selection pane="bottomLeft" activeCell="A4" sqref="A4:XFD9"/>
    </sheetView>
  </sheetViews>
  <sheetFormatPr defaultColWidth="6.75" defaultRowHeight="13.5" x14ac:dyDescent="0.3"/>
  <cols>
    <col min="1" max="16384" width="6.75" style="4"/>
  </cols>
  <sheetData>
    <row r="1" spans="1:30" x14ac:dyDescent="0.3">
      <c r="A1" s="7" t="s">
        <v>163</v>
      </c>
      <c r="F1" s="7" t="s">
        <v>50</v>
      </c>
      <c r="K1" s="7" t="s">
        <v>43</v>
      </c>
      <c r="P1" s="7" t="s">
        <v>47</v>
      </c>
      <c r="U1" s="7" t="s">
        <v>48</v>
      </c>
      <c r="Z1" s="7" t="s">
        <v>300</v>
      </c>
    </row>
    <row r="2" spans="1:30" s="6" customFormat="1" x14ac:dyDescent="0.3">
      <c r="A2" s="6" t="s">
        <v>164</v>
      </c>
      <c r="B2" s="6" t="s">
        <v>196</v>
      </c>
      <c r="D2" s="6" t="s">
        <v>197</v>
      </c>
      <c r="F2" s="6" t="s">
        <v>164</v>
      </c>
      <c r="G2" s="6" t="s">
        <v>196</v>
      </c>
      <c r="I2" s="6" t="s">
        <v>197</v>
      </c>
      <c r="K2" s="6" t="s">
        <v>164</v>
      </c>
      <c r="L2" s="6" t="s">
        <v>196</v>
      </c>
      <c r="N2" s="6" t="s">
        <v>197</v>
      </c>
      <c r="P2" s="6" t="s">
        <v>164</v>
      </c>
      <c r="Q2" s="6" t="s">
        <v>196</v>
      </c>
      <c r="S2" s="6" t="s">
        <v>197</v>
      </c>
      <c r="U2" s="6" t="s">
        <v>164</v>
      </c>
      <c r="V2" s="6" t="s">
        <v>196</v>
      </c>
      <c r="X2" s="6" t="s">
        <v>197</v>
      </c>
      <c r="Z2" s="6" t="s">
        <v>164</v>
      </c>
      <c r="AA2" s="6" t="s">
        <v>196</v>
      </c>
      <c r="AC2" s="6" t="s">
        <v>197</v>
      </c>
    </row>
    <row r="3" spans="1:30" ht="14.25" thickBot="1" x14ac:dyDescent="0.35">
      <c r="A3" s="7" t="s">
        <v>163</v>
      </c>
      <c r="B3" s="4" t="s">
        <v>166</v>
      </c>
      <c r="C3" s="4" t="s">
        <v>31</v>
      </c>
      <c r="D3" s="4" t="s">
        <v>166</v>
      </c>
      <c r="E3" s="4" t="s">
        <v>31</v>
      </c>
      <c r="F3" s="7" t="s">
        <v>50</v>
      </c>
      <c r="G3" s="4" t="s">
        <v>166</v>
      </c>
      <c r="H3" s="4" t="s">
        <v>31</v>
      </c>
      <c r="I3" s="4" t="s">
        <v>166</v>
      </c>
      <c r="J3" s="4" t="s">
        <v>31</v>
      </c>
      <c r="K3" s="7" t="s">
        <v>43</v>
      </c>
      <c r="L3" s="4" t="s">
        <v>166</v>
      </c>
      <c r="M3" s="4" t="s">
        <v>31</v>
      </c>
      <c r="N3" s="4" t="s">
        <v>166</v>
      </c>
      <c r="O3" s="4" t="s">
        <v>31</v>
      </c>
      <c r="P3" s="7" t="s">
        <v>47</v>
      </c>
      <c r="Q3" s="4" t="s">
        <v>166</v>
      </c>
      <c r="R3" s="4" t="s">
        <v>31</v>
      </c>
      <c r="S3" s="4" t="s">
        <v>166</v>
      </c>
      <c r="T3" s="4" t="s">
        <v>31</v>
      </c>
      <c r="U3" s="7" t="s">
        <v>48</v>
      </c>
      <c r="V3" s="4" t="s">
        <v>166</v>
      </c>
      <c r="W3" s="4" t="s">
        <v>31</v>
      </c>
      <c r="X3" s="4" t="s">
        <v>166</v>
      </c>
      <c r="Y3" s="4" t="s">
        <v>31</v>
      </c>
      <c r="Z3" s="7" t="s">
        <v>300</v>
      </c>
      <c r="AA3" s="4" t="s">
        <v>166</v>
      </c>
      <c r="AB3" s="4" t="s">
        <v>31</v>
      </c>
      <c r="AC3" s="4" t="s">
        <v>166</v>
      </c>
      <c r="AD3" s="4" t="s">
        <v>31</v>
      </c>
    </row>
    <row r="4" spans="1:30" ht="32.25" thickBot="1" x14ac:dyDescent="0.35">
      <c r="A4" s="56" t="s">
        <v>290</v>
      </c>
      <c r="B4" s="57">
        <v>71740</v>
      </c>
      <c r="C4" s="58">
        <v>14.4247</v>
      </c>
      <c r="D4" s="59">
        <v>376</v>
      </c>
      <c r="E4" s="58">
        <v>10.75</v>
      </c>
      <c r="F4" s="56" t="s">
        <v>290</v>
      </c>
      <c r="G4" s="57">
        <v>21138</v>
      </c>
      <c r="H4" s="58">
        <v>14.004899999999999</v>
      </c>
      <c r="I4" s="59">
        <v>187</v>
      </c>
      <c r="J4" s="58">
        <v>7.5</v>
      </c>
      <c r="K4" s="56" t="s">
        <v>290</v>
      </c>
      <c r="L4" s="57">
        <v>4304</v>
      </c>
      <c r="M4" s="58">
        <v>10.842000000000001</v>
      </c>
      <c r="N4" s="59">
        <v>108</v>
      </c>
      <c r="O4" s="58">
        <v>5.75</v>
      </c>
      <c r="P4" s="56" t="s">
        <v>290</v>
      </c>
      <c r="Q4" s="57">
        <v>6443</v>
      </c>
      <c r="R4" s="58">
        <v>87.502399999999994</v>
      </c>
      <c r="S4" s="59">
        <v>32</v>
      </c>
      <c r="T4" s="58">
        <v>31</v>
      </c>
      <c r="U4" s="56" t="s">
        <v>290</v>
      </c>
      <c r="V4" s="57">
        <v>6674</v>
      </c>
      <c r="W4" s="58">
        <v>8.3071000000000002</v>
      </c>
      <c r="X4" s="59">
        <v>64</v>
      </c>
      <c r="Y4" s="58">
        <v>8.1428999999999991</v>
      </c>
      <c r="Z4" s="56" t="s">
        <v>290</v>
      </c>
      <c r="AA4" s="57">
        <v>2429</v>
      </c>
      <c r="AB4" s="58">
        <v>32.366100000000003</v>
      </c>
      <c r="AC4" s="59">
        <v>19</v>
      </c>
      <c r="AD4" s="58">
        <v>18</v>
      </c>
    </row>
    <row r="5" spans="1:30" ht="32.25" thickBot="1" x14ac:dyDescent="0.35">
      <c r="A5" s="60" t="s">
        <v>291</v>
      </c>
      <c r="B5" s="61">
        <v>65688</v>
      </c>
      <c r="C5" s="62">
        <v>8.1664999999999992</v>
      </c>
      <c r="D5" s="63">
        <v>219</v>
      </c>
      <c r="E5" s="62">
        <v>5.6364000000000001</v>
      </c>
      <c r="F5" s="60" t="s">
        <v>291</v>
      </c>
      <c r="G5" s="61">
        <v>12935</v>
      </c>
      <c r="H5" s="62">
        <v>4.5941999999999998</v>
      </c>
      <c r="I5" s="63">
        <v>127</v>
      </c>
      <c r="J5" s="62">
        <v>3.8845999999999998</v>
      </c>
      <c r="K5" s="60" t="s">
        <v>291</v>
      </c>
      <c r="L5" s="61">
        <v>2381</v>
      </c>
      <c r="M5" s="62">
        <v>2.4988999999999999</v>
      </c>
      <c r="N5" s="63">
        <v>78</v>
      </c>
      <c r="O5" s="62">
        <v>3.875</v>
      </c>
      <c r="P5" s="60" t="s">
        <v>291</v>
      </c>
      <c r="Q5" s="61">
        <v>3476</v>
      </c>
      <c r="R5" s="62">
        <v>6.7588999999999997</v>
      </c>
      <c r="S5" s="63">
        <v>24</v>
      </c>
      <c r="T5" s="62">
        <v>5</v>
      </c>
      <c r="U5" s="60" t="s">
        <v>291</v>
      </c>
      <c r="V5" s="61">
        <v>5516</v>
      </c>
      <c r="W5" s="62">
        <v>3.4262999999999999</v>
      </c>
      <c r="X5" s="63">
        <v>41</v>
      </c>
      <c r="Y5" s="62">
        <v>3.1</v>
      </c>
      <c r="Z5" s="60" t="s">
        <v>291</v>
      </c>
      <c r="AA5" s="61">
        <v>1314</v>
      </c>
      <c r="AB5" s="62">
        <v>10.738799999999999</v>
      </c>
      <c r="AC5" s="63">
        <v>14</v>
      </c>
      <c r="AD5" s="62">
        <v>13</v>
      </c>
    </row>
    <row r="6" spans="1:30" ht="32.25" thickBot="1" x14ac:dyDescent="0.35">
      <c r="A6" s="56" t="s">
        <v>292</v>
      </c>
      <c r="B6" s="57">
        <v>55948</v>
      </c>
      <c r="C6" s="58">
        <v>4.2808000000000002</v>
      </c>
      <c r="D6" s="59">
        <v>289</v>
      </c>
      <c r="E6" s="58">
        <v>4.5576999999999996</v>
      </c>
      <c r="F6" s="56" t="s">
        <v>292</v>
      </c>
      <c r="G6" s="57">
        <v>28520</v>
      </c>
      <c r="H6" s="58">
        <v>4.1307</v>
      </c>
      <c r="I6" s="59">
        <v>221</v>
      </c>
      <c r="J6" s="58">
        <v>4.8158000000000003</v>
      </c>
      <c r="K6" s="56" t="s">
        <v>292</v>
      </c>
      <c r="L6" s="57">
        <v>6753</v>
      </c>
      <c r="M6" s="58">
        <v>4.7257999999999996</v>
      </c>
      <c r="N6" s="59">
        <v>124</v>
      </c>
      <c r="O6" s="58">
        <v>4.3913000000000002</v>
      </c>
      <c r="P6" s="56" t="s">
        <v>292</v>
      </c>
      <c r="Q6" s="57">
        <v>6542</v>
      </c>
      <c r="R6" s="58">
        <v>3.7267000000000001</v>
      </c>
      <c r="S6" s="59">
        <v>51</v>
      </c>
      <c r="T6" s="58">
        <v>3.6364000000000001</v>
      </c>
      <c r="U6" s="56" t="s">
        <v>292</v>
      </c>
      <c r="V6" s="57">
        <v>6327</v>
      </c>
      <c r="W6" s="58">
        <v>2.7816000000000001</v>
      </c>
      <c r="X6" s="59">
        <v>58</v>
      </c>
      <c r="Y6" s="58">
        <v>4.2727000000000004</v>
      </c>
      <c r="Z6" s="56" t="s">
        <v>292</v>
      </c>
      <c r="AA6" s="57">
        <v>3912</v>
      </c>
      <c r="AB6" s="58">
        <v>3.2397</v>
      </c>
      <c r="AC6" s="59">
        <v>38</v>
      </c>
      <c r="AD6" s="58">
        <v>3.75</v>
      </c>
    </row>
    <row r="7" spans="1:30" ht="42.75" thickBot="1" x14ac:dyDescent="0.35">
      <c r="A7" s="60" t="s">
        <v>293</v>
      </c>
      <c r="B7" s="61">
        <v>61525</v>
      </c>
      <c r="C7" s="62">
        <v>6.4161999999999999</v>
      </c>
      <c r="D7" s="63">
        <v>360</v>
      </c>
      <c r="E7" s="62">
        <v>7.3720999999999997</v>
      </c>
      <c r="F7" s="60" t="s">
        <v>293</v>
      </c>
      <c r="G7" s="61">
        <v>14232</v>
      </c>
      <c r="H7" s="62">
        <v>4.1172000000000004</v>
      </c>
      <c r="I7" s="63">
        <v>168</v>
      </c>
      <c r="J7" s="62">
        <v>4.7930999999999999</v>
      </c>
      <c r="K7" s="60" t="s">
        <v>293</v>
      </c>
      <c r="L7" s="61">
        <v>3636</v>
      </c>
      <c r="M7" s="62">
        <v>3.5666000000000002</v>
      </c>
      <c r="N7" s="63">
        <v>123</v>
      </c>
      <c r="O7" s="62">
        <v>4.8571</v>
      </c>
      <c r="P7" s="60" t="s">
        <v>293</v>
      </c>
      <c r="Q7" s="61">
        <v>4539</v>
      </c>
      <c r="R7" s="62">
        <v>5.1341999999999999</v>
      </c>
      <c r="S7" s="63">
        <v>37</v>
      </c>
      <c r="T7" s="62">
        <v>3.1111</v>
      </c>
      <c r="U7" s="60" t="s">
        <v>293</v>
      </c>
      <c r="V7" s="61">
        <v>9497</v>
      </c>
      <c r="W7" s="62">
        <v>4.2788000000000004</v>
      </c>
      <c r="X7" s="63">
        <v>71</v>
      </c>
      <c r="Y7" s="62">
        <v>5.4545000000000003</v>
      </c>
      <c r="Z7" s="60" t="s">
        <v>293</v>
      </c>
      <c r="AA7" s="61">
        <v>1359</v>
      </c>
      <c r="AB7" s="62">
        <v>6.508</v>
      </c>
      <c r="AC7" s="63">
        <v>16</v>
      </c>
      <c r="AD7" s="62">
        <v>4.3333000000000004</v>
      </c>
    </row>
    <row r="8" spans="1:30" ht="32.25" thickBot="1" x14ac:dyDescent="0.35">
      <c r="A8" s="56" t="s">
        <v>294</v>
      </c>
      <c r="B8" s="57">
        <v>65576</v>
      </c>
      <c r="C8" s="58">
        <v>5.6109</v>
      </c>
      <c r="D8" s="59">
        <v>287</v>
      </c>
      <c r="E8" s="58">
        <v>6.1749999999999998</v>
      </c>
      <c r="F8" s="56" t="s">
        <v>294</v>
      </c>
      <c r="G8" s="57">
        <v>17684</v>
      </c>
      <c r="H8" s="58">
        <v>1.94</v>
      </c>
      <c r="I8" s="59">
        <v>176</v>
      </c>
      <c r="J8" s="58">
        <v>3.8889</v>
      </c>
      <c r="K8" s="56" t="s">
        <v>294</v>
      </c>
      <c r="L8" s="57">
        <v>3333</v>
      </c>
      <c r="M8" s="58">
        <v>1.4562999999999999</v>
      </c>
      <c r="N8" s="59">
        <v>106</v>
      </c>
      <c r="O8" s="58">
        <v>3.4167000000000001</v>
      </c>
      <c r="P8" s="56" t="s">
        <v>294</v>
      </c>
      <c r="Q8" s="57">
        <v>3650</v>
      </c>
      <c r="R8" s="58">
        <v>0.20269999999999999</v>
      </c>
      <c r="S8" s="59">
        <v>25</v>
      </c>
      <c r="T8" s="58">
        <v>0.92310000000000003</v>
      </c>
      <c r="U8" s="56" t="s">
        <v>294</v>
      </c>
      <c r="V8" s="57">
        <v>5771</v>
      </c>
      <c r="W8" s="58">
        <v>3.5354999999999999</v>
      </c>
      <c r="X8" s="59">
        <v>51</v>
      </c>
      <c r="Y8" s="58">
        <v>2.9230999999999998</v>
      </c>
      <c r="Z8" s="56" t="s">
        <v>294</v>
      </c>
      <c r="AA8" s="57">
        <v>1224</v>
      </c>
      <c r="AB8" s="58">
        <v>0.62880000000000003</v>
      </c>
      <c r="AC8" s="59">
        <v>15</v>
      </c>
      <c r="AD8" s="58">
        <v>1.1429</v>
      </c>
    </row>
    <row r="9" spans="1:30" ht="32.25" thickBot="1" x14ac:dyDescent="0.35">
      <c r="A9" s="60" t="s">
        <v>295</v>
      </c>
      <c r="B9" s="61">
        <v>77220</v>
      </c>
      <c r="C9" s="62">
        <v>8.4741999999999997</v>
      </c>
      <c r="D9" s="63">
        <v>339</v>
      </c>
      <c r="E9" s="62">
        <v>9.2727000000000004</v>
      </c>
      <c r="F9" s="60" t="s">
        <v>295</v>
      </c>
      <c r="G9" s="61">
        <v>31405</v>
      </c>
      <c r="H9" s="62">
        <v>9.0340000000000007</v>
      </c>
      <c r="I9" s="63">
        <v>162</v>
      </c>
      <c r="J9" s="62">
        <v>5.75</v>
      </c>
      <c r="K9" s="60" t="s">
        <v>295</v>
      </c>
      <c r="L9" s="61">
        <v>2070</v>
      </c>
      <c r="M9" s="62">
        <v>2.4472999999999998</v>
      </c>
      <c r="N9" s="63">
        <v>76</v>
      </c>
      <c r="O9" s="62">
        <v>3.75</v>
      </c>
      <c r="P9" s="60" t="s">
        <v>295</v>
      </c>
      <c r="Q9" s="61">
        <v>20388</v>
      </c>
      <c r="R9" s="62">
        <v>9.4764999999999997</v>
      </c>
      <c r="S9" s="63">
        <v>62</v>
      </c>
      <c r="T9" s="62">
        <v>4.1666999999999996</v>
      </c>
      <c r="U9" s="60" t="s">
        <v>295</v>
      </c>
      <c r="V9" s="61">
        <v>5063</v>
      </c>
      <c r="W9" s="62">
        <v>2.3429000000000002</v>
      </c>
      <c r="X9" s="63">
        <v>47</v>
      </c>
      <c r="Y9" s="62">
        <v>4.875</v>
      </c>
      <c r="Z9" s="60" t="s">
        <v>295</v>
      </c>
      <c r="AA9" s="61">
        <v>1023</v>
      </c>
      <c r="AB9" s="62">
        <v>0.54430000000000001</v>
      </c>
      <c r="AC9" s="63">
        <v>15</v>
      </c>
      <c r="AD9" s="62">
        <v>1.5</v>
      </c>
    </row>
    <row r="10" spans="1:30" ht="13.5" customHeight="1" thickBot="1" x14ac:dyDescent="0.35">
      <c r="B10" s="8"/>
      <c r="C10" s="9"/>
      <c r="E10" s="9"/>
      <c r="G10" s="8"/>
      <c r="H10" s="9"/>
      <c r="J10" s="9"/>
      <c r="L10" s="8"/>
      <c r="M10" s="9"/>
      <c r="O10" s="9"/>
      <c r="Q10" s="8"/>
      <c r="R10" s="9"/>
      <c r="T10" s="9"/>
      <c r="V10" s="8"/>
      <c r="W10" s="9"/>
      <c r="Y10" s="9"/>
    </row>
    <row r="11" spans="1:30" ht="16.5" thickBot="1" x14ac:dyDescent="0.35">
      <c r="A11" s="152" t="s">
        <v>164</v>
      </c>
      <c r="B11"/>
      <c r="C11"/>
      <c r="D11"/>
      <c r="E11"/>
      <c r="F11" s="152" t="s">
        <v>164</v>
      </c>
      <c r="G11"/>
      <c r="H11"/>
      <c r="I11"/>
      <c r="J11"/>
      <c r="K11" s="152" t="s">
        <v>164</v>
      </c>
      <c r="L11"/>
      <c r="M11"/>
      <c r="N11"/>
      <c r="O11"/>
      <c r="P11" s="152" t="s">
        <v>164</v>
      </c>
      <c r="Q11"/>
      <c r="R11"/>
      <c r="S11"/>
      <c r="T11"/>
      <c r="U11" s="152" t="s">
        <v>164</v>
      </c>
      <c r="V11"/>
      <c r="W11"/>
      <c r="X11"/>
      <c r="Y11"/>
      <c r="Z11" s="152" t="s">
        <v>164</v>
      </c>
      <c r="AA11"/>
      <c r="AB11"/>
      <c r="AC11"/>
      <c r="AD11"/>
    </row>
    <row r="12" spans="1:30" ht="32.25" thickBot="1" x14ac:dyDescent="0.35">
      <c r="A12" s="56" t="s">
        <v>290</v>
      </c>
      <c r="B12"/>
      <c r="C12"/>
      <c r="D12"/>
      <c r="E12"/>
      <c r="F12" s="56" t="s">
        <v>290</v>
      </c>
      <c r="G12"/>
      <c r="H12"/>
      <c r="I12"/>
      <c r="J12"/>
      <c r="K12" s="56" t="s">
        <v>290</v>
      </c>
      <c r="L12"/>
      <c r="M12"/>
      <c r="N12"/>
      <c r="O12"/>
      <c r="P12" s="56" t="s">
        <v>290</v>
      </c>
      <c r="Q12"/>
      <c r="R12"/>
      <c r="S12"/>
      <c r="T12"/>
      <c r="U12" s="56" t="s">
        <v>290</v>
      </c>
      <c r="V12"/>
      <c r="W12"/>
      <c r="X12"/>
      <c r="Y12"/>
      <c r="Z12" s="56" t="s">
        <v>290</v>
      </c>
      <c r="AA12"/>
      <c r="AB12"/>
      <c r="AC12"/>
      <c r="AD12"/>
    </row>
    <row r="13" spans="1:30" ht="32.25" thickBot="1" x14ac:dyDescent="0.35">
      <c r="A13" s="153" t="s">
        <v>291</v>
      </c>
      <c r="B13"/>
      <c r="C13"/>
      <c r="D13"/>
      <c r="E13"/>
      <c r="F13" s="153" t="s">
        <v>291</v>
      </c>
      <c r="G13"/>
      <c r="H13"/>
      <c r="I13"/>
      <c r="J13"/>
      <c r="K13" s="153" t="s">
        <v>291</v>
      </c>
      <c r="L13"/>
      <c r="M13"/>
      <c r="N13"/>
      <c r="O13"/>
      <c r="P13" s="153" t="s">
        <v>291</v>
      </c>
      <c r="Q13"/>
      <c r="R13"/>
      <c r="S13"/>
      <c r="T13"/>
      <c r="U13" s="153" t="s">
        <v>291</v>
      </c>
      <c r="V13"/>
      <c r="W13"/>
      <c r="X13"/>
      <c r="Y13"/>
      <c r="Z13" s="153" t="s">
        <v>291</v>
      </c>
      <c r="AA13"/>
      <c r="AB13"/>
      <c r="AC13"/>
      <c r="AD13"/>
    </row>
    <row r="14" spans="1:30" ht="32.25" thickBot="1" x14ac:dyDescent="0.35">
      <c r="A14" s="56" t="s">
        <v>292</v>
      </c>
      <c r="B14"/>
      <c r="C14"/>
      <c r="D14"/>
      <c r="E14"/>
      <c r="F14" s="56" t="s">
        <v>292</v>
      </c>
      <c r="G14"/>
      <c r="H14"/>
      <c r="I14"/>
      <c r="J14"/>
      <c r="K14" s="56" t="s">
        <v>292</v>
      </c>
      <c r="L14"/>
      <c r="M14"/>
      <c r="N14"/>
      <c r="O14"/>
      <c r="P14" s="56" t="s">
        <v>292</v>
      </c>
      <c r="Q14"/>
      <c r="R14"/>
      <c r="S14"/>
      <c r="T14"/>
      <c r="U14" s="56" t="s">
        <v>292</v>
      </c>
      <c r="V14"/>
      <c r="W14"/>
      <c r="X14"/>
      <c r="Y14"/>
      <c r="Z14" s="56" t="s">
        <v>292</v>
      </c>
      <c r="AA14"/>
      <c r="AB14"/>
      <c r="AC14"/>
      <c r="AD14"/>
    </row>
    <row r="15" spans="1:30" ht="42.75" thickBot="1" x14ac:dyDescent="0.35">
      <c r="A15" s="153" t="s">
        <v>293</v>
      </c>
      <c r="B15"/>
      <c r="C15"/>
      <c r="D15"/>
      <c r="E15"/>
      <c r="F15" s="153" t="s">
        <v>293</v>
      </c>
      <c r="G15"/>
      <c r="H15"/>
      <c r="I15"/>
      <c r="J15"/>
      <c r="K15" s="153" t="s">
        <v>293</v>
      </c>
      <c r="L15"/>
      <c r="M15"/>
      <c r="N15"/>
      <c r="O15"/>
      <c r="P15" s="153" t="s">
        <v>293</v>
      </c>
      <c r="Q15"/>
      <c r="R15"/>
      <c r="S15"/>
      <c r="T15"/>
      <c r="U15" s="153" t="s">
        <v>293</v>
      </c>
      <c r="V15"/>
      <c r="W15"/>
      <c r="X15"/>
      <c r="Y15"/>
      <c r="Z15" s="153" t="s">
        <v>293</v>
      </c>
      <c r="AA15"/>
      <c r="AB15"/>
      <c r="AC15"/>
      <c r="AD15"/>
    </row>
    <row r="16" spans="1:30" ht="32.25" thickBot="1" x14ac:dyDescent="0.35">
      <c r="A16" s="56" t="s">
        <v>294</v>
      </c>
      <c r="B16"/>
      <c r="C16"/>
      <c r="D16"/>
      <c r="E16"/>
      <c r="F16" s="56" t="s">
        <v>294</v>
      </c>
      <c r="G16"/>
      <c r="H16"/>
      <c r="I16"/>
      <c r="J16"/>
      <c r="K16" s="56" t="s">
        <v>294</v>
      </c>
      <c r="L16"/>
      <c r="M16"/>
      <c r="N16"/>
      <c r="O16"/>
      <c r="P16" s="56" t="s">
        <v>294</v>
      </c>
      <c r="Q16"/>
      <c r="R16"/>
      <c r="S16"/>
      <c r="T16"/>
      <c r="U16" s="56" t="s">
        <v>294</v>
      </c>
      <c r="V16"/>
      <c r="W16"/>
      <c r="X16"/>
      <c r="Y16"/>
      <c r="Z16" s="56" t="s">
        <v>294</v>
      </c>
      <c r="AA16"/>
      <c r="AB16"/>
      <c r="AC16"/>
      <c r="AD16"/>
    </row>
    <row r="17" spans="1:30" ht="32.25" thickBot="1" x14ac:dyDescent="0.35">
      <c r="A17" s="153" t="s">
        <v>295</v>
      </c>
      <c r="B17"/>
      <c r="C17"/>
      <c r="D17"/>
      <c r="E17"/>
      <c r="F17" s="153" t="s">
        <v>295</v>
      </c>
      <c r="G17"/>
      <c r="H17"/>
      <c r="I17"/>
      <c r="J17"/>
      <c r="K17" s="153" t="s">
        <v>295</v>
      </c>
      <c r="L17"/>
      <c r="M17"/>
      <c r="N17"/>
      <c r="O17"/>
      <c r="P17" s="153" t="s">
        <v>295</v>
      </c>
      <c r="Q17"/>
      <c r="R17"/>
      <c r="S17"/>
      <c r="T17"/>
      <c r="U17" s="153" t="s">
        <v>295</v>
      </c>
      <c r="V17"/>
      <c r="W17"/>
      <c r="X17"/>
      <c r="Y17"/>
      <c r="Z17" s="153" t="s">
        <v>295</v>
      </c>
      <c r="AA17"/>
      <c r="AB17"/>
      <c r="AC17"/>
      <c r="AD17"/>
    </row>
    <row r="18" spans="1:30" ht="21" customHeight="1" thickBot="1" x14ac:dyDescent="0.35">
      <c r="A18" s="154" t="s">
        <v>164</v>
      </c>
      <c r="B18" s="156" t="s">
        <v>196</v>
      </c>
      <c r="C18" s="157"/>
      <c r="D18" s="156" t="s">
        <v>197</v>
      </c>
      <c r="E18" s="157"/>
      <c r="F18" s="154" t="s">
        <v>164</v>
      </c>
      <c r="G18" s="156" t="s">
        <v>196</v>
      </c>
      <c r="H18" s="157"/>
      <c r="I18" s="156" t="s">
        <v>197</v>
      </c>
      <c r="J18" s="157"/>
      <c r="K18" s="154" t="s">
        <v>164</v>
      </c>
      <c r="L18" s="156" t="s">
        <v>196</v>
      </c>
      <c r="M18" s="157"/>
      <c r="N18" s="156" t="s">
        <v>197</v>
      </c>
      <c r="O18" s="157"/>
      <c r="P18" s="154" t="s">
        <v>164</v>
      </c>
      <c r="Q18" s="156" t="s">
        <v>196</v>
      </c>
      <c r="R18" s="157"/>
      <c r="S18" s="156" t="s">
        <v>197</v>
      </c>
      <c r="T18" s="157"/>
      <c r="U18" s="154" t="s">
        <v>164</v>
      </c>
      <c r="V18" s="156" t="s">
        <v>196</v>
      </c>
      <c r="W18" s="157"/>
      <c r="X18" s="156" t="s">
        <v>197</v>
      </c>
      <c r="Y18" s="157"/>
      <c r="Z18" s="154" t="s">
        <v>164</v>
      </c>
      <c r="AA18" s="156" t="s">
        <v>196</v>
      </c>
      <c r="AB18" s="157"/>
      <c r="AC18" s="156" t="s">
        <v>197</v>
      </c>
      <c r="AD18" s="157"/>
    </row>
    <row r="19" spans="1:30" ht="14.25" thickBot="1" x14ac:dyDescent="0.35">
      <c r="A19" s="155"/>
      <c r="B19" s="152" t="s">
        <v>166</v>
      </c>
      <c r="C19" s="152" t="s">
        <v>31</v>
      </c>
      <c r="D19" s="152" t="s">
        <v>166</v>
      </c>
      <c r="E19" s="152" t="s">
        <v>31</v>
      </c>
      <c r="F19" s="155"/>
      <c r="G19" s="152" t="s">
        <v>166</v>
      </c>
      <c r="H19" s="152" t="s">
        <v>31</v>
      </c>
      <c r="I19" s="152" t="s">
        <v>166</v>
      </c>
      <c r="J19" s="152" t="s">
        <v>31</v>
      </c>
      <c r="K19" s="155"/>
      <c r="L19" s="152" t="s">
        <v>166</v>
      </c>
      <c r="M19" s="152" t="s">
        <v>31</v>
      </c>
      <c r="N19" s="152" t="s">
        <v>166</v>
      </c>
      <c r="O19" s="152" t="s">
        <v>31</v>
      </c>
      <c r="P19" s="155"/>
      <c r="Q19" s="152" t="s">
        <v>166</v>
      </c>
      <c r="R19" s="152" t="s">
        <v>31</v>
      </c>
      <c r="S19" s="152" t="s">
        <v>166</v>
      </c>
      <c r="T19" s="152" t="s">
        <v>31</v>
      </c>
      <c r="U19" s="155"/>
      <c r="V19" s="152" t="s">
        <v>166</v>
      </c>
      <c r="W19" s="152" t="s">
        <v>31</v>
      </c>
      <c r="X19" s="152" t="s">
        <v>166</v>
      </c>
      <c r="Y19" s="152" t="s">
        <v>31</v>
      </c>
      <c r="Z19" s="155"/>
      <c r="AA19" s="152" t="s">
        <v>166</v>
      </c>
      <c r="AB19" s="152" t="s">
        <v>31</v>
      </c>
      <c r="AC19" s="152" t="s">
        <v>166</v>
      </c>
      <c r="AD19" s="152" t="s">
        <v>31</v>
      </c>
    </row>
  </sheetData>
  <mergeCells count="18">
    <mergeCell ref="P18:P19"/>
    <mergeCell ref="Q18:R18"/>
    <mergeCell ref="S18:T18"/>
    <mergeCell ref="Z18:Z19"/>
    <mergeCell ref="AA18:AB18"/>
    <mergeCell ref="AC18:AD18"/>
    <mergeCell ref="F18:F19"/>
    <mergeCell ref="G18:H18"/>
    <mergeCell ref="I18:J18"/>
    <mergeCell ref="U18:U19"/>
    <mergeCell ref="V18:W18"/>
    <mergeCell ref="X18:Y18"/>
    <mergeCell ref="K18:K19"/>
    <mergeCell ref="L18:M18"/>
    <mergeCell ref="N18:O18"/>
    <mergeCell ref="A18:A19"/>
    <mergeCell ref="B18:C18"/>
    <mergeCell ref="D18:E18"/>
  </mergeCells>
  <phoneticPr fontId="2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城市</vt:lpstr>
      <vt:lpstr>售卖区</vt:lpstr>
      <vt:lpstr>销售</vt:lpstr>
      <vt:lpstr>CRM</vt:lpstr>
      <vt:lpstr>累计crm</vt:lpstr>
      <vt:lpstr>5月bi</vt:lpstr>
      <vt:lpstr>6月bi</vt:lpstr>
      <vt:lpstr>CRM-米</vt:lpstr>
      <vt:lpstr>实时bi</vt:lpstr>
      <vt:lpstr>附件</vt:lpstr>
      <vt:lpstr>6.9激励方案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2006-09-16T00:00:00Z</dcterms:created>
  <dcterms:modified xsi:type="dcterms:W3CDTF">2019-06-09T03:25:12Z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2052-11.1.0.8731</vt:lpwstr>
  </property>
</Properties>
</file>