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VESC-controller. " sheetId="1" state="visible" r:id="rId2"/>
  </sheets>
  <definedNames>
    <definedName function="false" hidden="false" name="BoardQty" vbProcedure="false">'VESC-controller. '!$I$1</definedName>
    <definedName function="false" hidden="false" name="digikey_part_data" vbProcedure="false">'VESC-controller. '!$J$5:$O$100</definedName>
    <definedName function="false" hidden="false" name="farnell_part_data" vbProcedure="false">'VESC-controller. '!$P$5:$U$100</definedName>
    <definedName function="false" hidden="false" name="global_part_data" vbProcedure="false">'VESC-controller. '!$A$5:$I$100</definedName>
    <definedName function="false" hidden="false" name="mouser_part_data" vbProcedure="false">'VESC-controller. '!$V$5:$AA$100</definedName>
    <definedName function="false" hidden="false" name="newark_part_data" vbProcedure="false">'VESC-controller. '!$AB$5:$AG$100</definedName>
    <definedName function="false" hidden="false" name="rs_part_data" vbProcedure="false">'VESC-controller. '!$AH$5:$AM$100</definedName>
    <definedName function="false" hidden="false" name="TotalCost" vbProcedure="false">'VESC-controller. '!$I$2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</commentList>
</comments>
</file>

<file path=xl/sharedStrings.xml><?xml version="1.0" encoding="utf-8"?>
<sst xmlns="http://schemas.openxmlformats.org/spreadsheetml/2006/main" count="1187" uniqueCount="640">
  <si>
    <t xml:space="preserve">Board Qty:</t>
  </si>
  <si>
    <t xml:space="preserve">Total Cost:</t>
  </si>
  <si>
    <t xml:space="preserve">Unit Cost:</t>
  </si>
  <si>
    <t xml:space="preserve">Global Part Info</t>
  </si>
  <si>
    <t xml:space="preserve">Digi-Key</t>
  </si>
  <si>
    <t xml:space="preserve">Farnell</t>
  </si>
  <si>
    <t xml:space="preserve">Mouser</t>
  </si>
  <si>
    <t xml:space="preserve">Newark</t>
  </si>
  <si>
    <t xml:space="preserve">Rs Components</t>
  </si>
  <si>
    <t xml:space="preserve">Refs</t>
  </si>
  <si>
    <t xml:space="preserve">Value</t>
  </si>
  <si>
    <t xml:space="preserve">Desc</t>
  </si>
  <si>
    <t xml:space="preserve">Footprint</t>
  </si>
  <si>
    <t xml:space="preserve">Manf</t>
  </si>
  <si>
    <t xml:space="preserve">Manf#</t>
  </si>
  <si>
    <t xml:space="preserve">Qty</t>
  </si>
  <si>
    <t xml:space="preserve">Unit$</t>
  </si>
  <si>
    <t xml:space="preserve">Ext$</t>
  </si>
  <si>
    <t xml:space="preserve">Avail</t>
  </si>
  <si>
    <t xml:space="preserve">Purch</t>
  </si>
  <si>
    <t xml:space="preserve">Cat#</t>
  </si>
  <si>
    <t xml:space="preserve">Doc</t>
  </si>
  <si>
    <t xml:space="preserve">U19</t>
  </si>
  <si>
    <t xml:space="preserve">AD8397</t>
  </si>
  <si>
    <t xml:space="preserve">IPC7351-Nominal:SOIC127P600X175-8</t>
  </si>
  <si>
    <t xml:space="preserve">Analog Devices Inc.</t>
  </si>
  <si>
    <t xml:space="preserve">AD8397ARZ</t>
  </si>
  <si>
    <t xml:space="preserve">AD8397ARZ-ND</t>
  </si>
  <si>
    <t xml:space="preserve">Link</t>
  </si>
  <si>
    <t xml:space="preserve">1078284</t>
  </si>
  <si>
    <t xml:space="preserve">19M1201</t>
  </si>
  <si>
    <t xml:space="preserve">709-7118</t>
  </si>
  <si>
    <t xml:space="preserve">U9</t>
  </si>
  <si>
    <t xml:space="preserve">LM22676QTJ-5.0</t>
  </si>
  <si>
    <t xml:space="preserve">manuf:TO-263-7-TEXAS</t>
  </si>
  <si>
    <t xml:space="preserve">Texas Instruments</t>
  </si>
  <si>
    <t xml:space="preserve">LM22676QTJE-5.0/NOPB</t>
  </si>
  <si>
    <t xml:space="preserve">LM22676QTJE-5.0/NOPBCT-ND</t>
  </si>
  <si>
    <t xml:space="preserve">RT1</t>
  </si>
  <si>
    <t xml:space="preserve">FUSE 5A SLOW</t>
  </si>
  <si>
    <t xml:space="preserve">IPC7351-Most:RESC3216X60</t>
  </si>
  <si>
    <t xml:space="preserve">Bel Fuse Inc.</t>
  </si>
  <si>
    <t xml:space="preserve">C1S 5</t>
  </si>
  <si>
    <t xml:space="preserve">507-1194-1-ND</t>
  </si>
  <si>
    <t xml:space="preserve">DS1</t>
  </si>
  <si>
    <t xml:space="preserve">RED</t>
  </si>
  <si>
    <t xml:space="preserve">smd-semi:LED-0603</t>
  </si>
  <si>
    <t xml:space="preserve">Lite-On Inc.</t>
  </si>
  <si>
    <t xml:space="preserve">LTST-C191KRKT</t>
  </si>
  <si>
    <t xml:space="preserve">160-1447-1-ND</t>
  </si>
  <si>
    <t xml:space="preserve">127-8415</t>
  </si>
  <si>
    <t xml:space="preserve">R66,R69</t>
  </si>
  <si>
    <t xml:space="preserve">270k</t>
  </si>
  <si>
    <t xml:space="preserve">IPC7351-Nominal:RESC1608X50</t>
  </si>
  <si>
    <t xml:space="preserve">Yageo</t>
  </si>
  <si>
    <t xml:space="preserve">RC0603FR-07270KL</t>
  </si>
  <si>
    <t xml:space="preserve">311-270KHRCT-ND</t>
  </si>
  <si>
    <t xml:space="preserve">9238778</t>
  </si>
  <si>
    <t xml:space="preserve">603-RC0603FR-07270KL</t>
  </si>
  <si>
    <t xml:space="preserve">98K7388</t>
  </si>
  <si>
    <t xml:space="preserve">R65,R68</t>
  </si>
  <si>
    <t xml:space="preserve">100k</t>
  </si>
  <si>
    <t xml:space="preserve">RC0603FR-07100KL</t>
  </si>
  <si>
    <t xml:space="preserve">311-100KHRCT-ND</t>
  </si>
  <si>
    <t xml:space="preserve">9238727</t>
  </si>
  <si>
    <t xml:space="preserve">68R0051</t>
  </si>
  <si>
    <t xml:space="preserve">SW1</t>
  </si>
  <si>
    <t xml:space="preserve">BOOTLOADER</t>
  </si>
  <si>
    <t xml:space="preserve">paltatech:SMD-Switch_B3U-1000-B</t>
  </si>
  <si>
    <t xml:space="preserve">Omron Electronics Inc-EMC Div</t>
  </si>
  <si>
    <t xml:space="preserve">B3U-1000P</t>
  </si>
  <si>
    <t xml:space="preserve">SW1020CT-ND</t>
  </si>
  <si>
    <t xml:space="preserve">1333652</t>
  </si>
  <si>
    <t xml:space="preserve">78M0188</t>
  </si>
  <si>
    <t xml:space="preserve">419-867</t>
  </si>
  <si>
    <t xml:space="preserve">R74</t>
  </si>
  <si>
    <t xml:space="preserve">180k</t>
  </si>
  <si>
    <t xml:space="preserve">RC0603FR-07180KL</t>
  </si>
  <si>
    <t xml:space="preserve">311-180KHRCT-ND</t>
  </si>
  <si>
    <t xml:space="preserve">9238751</t>
  </si>
  <si>
    <t xml:space="preserve">98K7370</t>
  </si>
  <si>
    <t xml:space="preserve">E1-E6</t>
  </si>
  <si>
    <t xml:space="preserve">BEAD-220ohm@100khz</t>
  </si>
  <si>
    <t xml:space="preserve">IPC7351-Nominal:INDC2012X130</t>
  </si>
  <si>
    <t xml:space="preserve">Murata Electronics North America</t>
  </si>
  <si>
    <t xml:space="preserve">BLM21PG221SN1D</t>
  </si>
  <si>
    <t xml:space="preserve">490-1054-1-ND</t>
  </si>
  <si>
    <t xml:space="preserve">1515661</t>
  </si>
  <si>
    <t xml:space="preserve">81-BLM21P221SG</t>
  </si>
  <si>
    <t xml:space="preserve">73M9167</t>
  </si>
  <si>
    <t xml:space="preserve">724-1532</t>
  </si>
  <si>
    <t xml:space="preserve">C10-C12,C30,C32,C34</t>
  </si>
  <si>
    <t xml:space="preserve">100nF</t>
  </si>
  <si>
    <t xml:space="preserve">IPC7351-Nominal:CAPC1608X55</t>
  </si>
  <si>
    <t xml:space="preserve">GRM188R71E104KA01D</t>
  </si>
  <si>
    <t xml:space="preserve">490-1524-1-ND</t>
  </si>
  <si>
    <t xml:space="preserve">2666513</t>
  </si>
  <si>
    <t xml:space="preserve">14T3317</t>
  </si>
  <si>
    <t xml:space="preserve">723-5638</t>
  </si>
  <si>
    <t xml:space="preserve">R20,R21,R44,R45,R58,R59,R71-R73,R103,R104,R123</t>
  </si>
  <si>
    <t xml:space="preserve">22R</t>
  </si>
  <si>
    <t xml:space="preserve">RC0603FR-0722RL</t>
  </si>
  <si>
    <t xml:space="preserve">311-22.0HRCT-ND</t>
  </si>
  <si>
    <t xml:space="preserve">9238280</t>
  </si>
  <si>
    <t xml:space="preserve">603-RC0603FR-0722RL</t>
  </si>
  <si>
    <t xml:space="preserve">68R0073</t>
  </si>
  <si>
    <t xml:space="preserve">X1,X2</t>
  </si>
  <si>
    <t xml:space="preserve">ABM3B - 8MHz</t>
  </si>
  <si>
    <t xml:space="preserve">IPC7351-Nominal:OSCCC320X500X150</t>
  </si>
  <si>
    <t xml:space="preserve">Abracon LLC</t>
  </si>
  <si>
    <t xml:space="preserve">ABM3B-8.000MHZ-10-1UT</t>
  </si>
  <si>
    <t xml:space="preserve">535-9721-1-ND</t>
  </si>
  <si>
    <t xml:space="preserve">2467816RL</t>
  </si>
  <si>
    <t xml:space="preserve">40Y2012</t>
  </si>
  <si>
    <t xml:space="preserve">D20,D23</t>
  </si>
  <si>
    <t xml:space="preserve">MBR0540</t>
  </si>
  <si>
    <t xml:space="preserve">smd-semi:SOD-123</t>
  </si>
  <si>
    <t xml:space="preserve">Fairchild/ON Semiconductor</t>
  </si>
  <si>
    <t xml:space="preserve">MBR0540CT-ND</t>
  </si>
  <si>
    <t xml:space="preserve">2453267</t>
  </si>
  <si>
    <t xml:space="preserve">58K1808</t>
  </si>
  <si>
    <t xml:space="preserve">463-842</t>
  </si>
  <si>
    <t xml:space="preserve">C2,C66-C68</t>
  </si>
  <si>
    <t xml:space="preserve">4.7uF</t>
  </si>
  <si>
    <t xml:space="preserve">IPC7351-Nominal:CAPC2012X70</t>
  </si>
  <si>
    <t xml:space="preserve">GRM21BR71A475KA73K</t>
  </si>
  <si>
    <t xml:space="preserve">490-6479-1-ND</t>
  </si>
  <si>
    <t xml:space="preserve">2611946</t>
  </si>
  <si>
    <t xml:space="preserve">96Y9279</t>
  </si>
  <si>
    <t xml:space="preserve">820-2784</t>
  </si>
  <si>
    <t xml:space="preserve">R37</t>
  </si>
  <si>
    <t xml:space="preserve">18mOhm</t>
  </si>
  <si>
    <t xml:space="preserve">IPC7351-Nominal:CAPC1632X76</t>
  </si>
  <si>
    <t xml:space="preserve">Susumu</t>
  </si>
  <si>
    <t xml:space="preserve">PRL1632-R018-F-T1</t>
  </si>
  <si>
    <t xml:space="preserve">PRL1632.018FCT-ND</t>
  </si>
  <si>
    <t xml:space="preserve">DZ2</t>
  </si>
  <si>
    <t xml:space="preserve">5.7v zener</t>
  </si>
  <si>
    <t xml:space="preserve">IPC7351-Nominal:DIOM5226X203</t>
  </si>
  <si>
    <t xml:space="preserve">1SMA59xxBT3G</t>
  </si>
  <si>
    <t xml:space="preserve">2463629RL</t>
  </si>
  <si>
    <t xml:space="preserve">56Y0320</t>
  </si>
  <si>
    <t xml:space="preserve">L2</t>
  </si>
  <si>
    <t xml:space="preserve">27uH</t>
  </si>
  <si>
    <t xml:space="preserve">manuf:BOURNS-SDR1307</t>
  </si>
  <si>
    <t xml:space="preserve">Bourns Inc.</t>
  </si>
  <si>
    <t xml:space="preserve">SDR1307-270ML</t>
  </si>
  <si>
    <t xml:space="preserve">SDR1307-270MLCT-ND</t>
  </si>
  <si>
    <t xml:space="preserve">2329017</t>
  </si>
  <si>
    <t xml:space="preserve">06X7213</t>
  </si>
  <si>
    <t xml:space="preserve">C53,C54,C57,C58,C61,C62</t>
  </si>
  <si>
    <t xml:space="preserve">2.2nF</t>
  </si>
  <si>
    <t xml:space="preserve">P2</t>
  </si>
  <si>
    <t xml:space="preserve">Resolver</t>
  </si>
  <si>
    <t xml:space="preserve">conn-phoenix:mcv_1,5-6-G-3,81</t>
  </si>
  <si>
    <t xml:space="preserve">Phoenix Contact</t>
  </si>
  <si>
    <t xml:space="preserve">1803468</t>
  </si>
  <si>
    <t xml:space="preserve">277-1225-ND</t>
  </si>
  <si>
    <t xml:space="preserve">651-1803468</t>
  </si>
  <si>
    <t xml:space="preserve">71C4216</t>
  </si>
  <si>
    <t xml:space="preserve">220-4872</t>
  </si>
  <si>
    <t xml:space="preserve">C401</t>
  </si>
  <si>
    <t xml:space="preserve">R12</t>
  </si>
  <si>
    <t xml:space="preserve">1.78k</t>
  </si>
  <si>
    <t xml:space="preserve">RC0603FR-071K78L</t>
  </si>
  <si>
    <t xml:space="preserve">311-1.78KHRCT-ND</t>
  </si>
  <si>
    <t xml:space="preserve">603-RC0603FR-071K78L</t>
  </si>
  <si>
    <t xml:space="preserve">66R1934</t>
  </si>
  <si>
    <t xml:space="preserve">504-9886</t>
  </si>
  <si>
    <t xml:space="preserve">P3</t>
  </si>
  <si>
    <t xml:space="preserve">PWR_COMM</t>
  </si>
  <si>
    <t xml:space="preserve">conn-phoenix:mcv_1,5-7-G-3,81</t>
  </si>
  <si>
    <t xml:space="preserve">1803471</t>
  </si>
  <si>
    <t xml:space="preserve">277-1226-ND</t>
  </si>
  <si>
    <t xml:space="preserve">651-1803471</t>
  </si>
  <si>
    <t xml:space="preserve">54T7683</t>
  </si>
  <si>
    <t xml:space="preserve">802-8753</t>
  </si>
  <si>
    <t xml:space="preserve">U8</t>
  </si>
  <si>
    <t xml:space="preserve">SN74AUP1G74</t>
  </si>
  <si>
    <t xml:space="preserve">IPC7351-Nominal:SOP50P310X100-8</t>
  </si>
  <si>
    <t xml:space="preserve">SN74AUP1G74DCUR</t>
  </si>
  <si>
    <t xml:space="preserve">296-19761-1-ND</t>
  </si>
  <si>
    <t xml:space="preserve">2334897</t>
  </si>
  <si>
    <t xml:space="preserve">595-SN74AUP1G74DCUR</t>
  </si>
  <si>
    <t xml:space="preserve">94T5025</t>
  </si>
  <si>
    <t xml:space="preserve">662-7973</t>
  </si>
  <si>
    <t xml:space="preserve">U2</t>
  </si>
  <si>
    <t xml:space="preserve">ISO1050</t>
  </si>
  <si>
    <t xml:space="preserve">paltatech:SO8-ISO1050</t>
  </si>
  <si>
    <t xml:space="preserve">ISO1050DUBR</t>
  </si>
  <si>
    <t xml:space="preserve">296-33295-5-ND</t>
  </si>
  <si>
    <t xml:space="preserve">1755712</t>
  </si>
  <si>
    <t xml:space="preserve">14R9899</t>
  </si>
  <si>
    <t xml:space="preserve">796-7994</t>
  </si>
  <si>
    <t xml:space="preserve">J8</t>
  </si>
  <si>
    <t xml:space="preserve">V_BUS</t>
  </si>
  <si>
    <t xml:space="preserve">conn-phoenix:mcv_1,5-4-G-3,81</t>
  </si>
  <si>
    <t xml:space="preserve">1803442</t>
  </si>
  <si>
    <t xml:space="preserve">277-1223-ND</t>
  </si>
  <si>
    <t xml:space="preserve">651-1803442</t>
  </si>
  <si>
    <t xml:space="preserve">71C4214</t>
  </si>
  <si>
    <t xml:space="preserve">220-4850</t>
  </si>
  <si>
    <t xml:space="preserve">R1</t>
  </si>
  <si>
    <t xml:space="preserve">NTC 10k</t>
  </si>
  <si>
    <t xml:space="preserve">NCP18XH103F03RB</t>
  </si>
  <si>
    <t xml:space="preserve">490-4800-1-ND</t>
  </si>
  <si>
    <t xml:space="preserve">2456122</t>
  </si>
  <si>
    <t xml:space="preserve">81-NCP18XH103F03RB</t>
  </si>
  <si>
    <t xml:space="preserve">31Y3127</t>
  </si>
  <si>
    <t xml:space="preserve">725-9050</t>
  </si>
  <si>
    <t xml:space="preserve">U3,U12,U14,U16</t>
  </si>
  <si>
    <t xml:space="preserve">OPA2376AIDR</t>
  </si>
  <si>
    <t xml:space="preserve">296-22564-1-ND</t>
  </si>
  <si>
    <t xml:space="preserve">2764744</t>
  </si>
  <si>
    <t xml:space="preserve">54M7255</t>
  </si>
  <si>
    <t xml:space="preserve">DZ4,DZ5</t>
  </si>
  <si>
    <t xml:space="preserve">MMSZ52XXB</t>
  </si>
  <si>
    <t xml:space="preserve">U20</t>
  </si>
  <si>
    <t xml:space="preserve">APX809</t>
  </si>
  <si>
    <t xml:space="preserve">smd-semi:SOT-23</t>
  </si>
  <si>
    <t xml:space="preserve">Diodes Incorporated</t>
  </si>
  <si>
    <t xml:space="preserve">APX809-46SRG-7</t>
  </si>
  <si>
    <t xml:space="preserve">1034-APX809-46SRGDICT-ND</t>
  </si>
  <si>
    <t xml:space="preserve">45W6117</t>
  </si>
  <si>
    <t xml:space="preserve">712-2807</t>
  </si>
  <si>
    <t xml:space="preserve">U21</t>
  </si>
  <si>
    <t xml:space="preserve">NCV78Mxx</t>
  </si>
  <si>
    <t xml:space="preserve">smd-semi:TO-252</t>
  </si>
  <si>
    <t xml:space="preserve">ON Semiconductor</t>
  </si>
  <si>
    <t xml:space="preserve">NCV78M12BDTRKG</t>
  </si>
  <si>
    <t xml:space="preserve">NCV78M12BDTRKGOSCT-ND</t>
  </si>
  <si>
    <t xml:space="preserve">2724233</t>
  </si>
  <si>
    <t xml:space="preserve">863-NCV78M12BDTRKG</t>
  </si>
  <si>
    <t xml:space="preserve">13AC6169</t>
  </si>
  <si>
    <t xml:space="preserve">785-7446</t>
  </si>
  <si>
    <t xml:space="preserve">J2</t>
  </si>
  <si>
    <t xml:space="preserve">GATE_DRIVER_CONN_V</t>
  </si>
  <si>
    <t xml:space="preserve">conn-100mil:CONN-100MIL-M-2x8</t>
  </si>
  <si>
    <t xml:space="preserve">Amphenol FCI</t>
  </si>
  <si>
    <t xml:space="preserve">67997-216HLF</t>
  </si>
  <si>
    <t xml:space="preserve">609-3238-ND</t>
  </si>
  <si>
    <t xml:space="preserve">1923919</t>
  </si>
  <si>
    <t xml:space="preserve">649-67997-216HLF</t>
  </si>
  <si>
    <t xml:space="preserve">02P6775</t>
  </si>
  <si>
    <t xml:space="preserve">863-3131</t>
  </si>
  <si>
    <t xml:space="preserve">R3,R70</t>
  </si>
  <si>
    <t xml:space="preserve">60.4R</t>
  </si>
  <si>
    <t xml:space="preserve">RC0603FR-0760R4L</t>
  </si>
  <si>
    <t xml:space="preserve">311-60.4HRCT-ND</t>
  </si>
  <si>
    <t xml:space="preserve">603-RC0603FR-0760R4L</t>
  </si>
  <si>
    <t xml:space="preserve">66R2512</t>
  </si>
  <si>
    <t xml:space="preserve">J3</t>
  </si>
  <si>
    <t xml:space="preserve">GATE_DRIVER_CONN_W</t>
  </si>
  <si>
    <t xml:space="preserve">U13</t>
  </si>
  <si>
    <t xml:space="preserve">LM1117IMP-v.v</t>
  </si>
  <si>
    <t xml:space="preserve">smd-semi:SOT-223</t>
  </si>
  <si>
    <t xml:space="preserve">LM1117IMP-3.3/NOPB</t>
  </si>
  <si>
    <t xml:space="preserve">LM1117IMPX-3.3/NOPBCT-ND</t>
  </si>
  <si>
    <t xml:space="preserve">1469051</t>
  </si>
  <si>
    <t xml:space="preserve">926-LM1117IMP3.3NOPB</t>
  </si>
  <si>
    <t xml:space="preserve">41K3450</t>
  </si>
  <si>
    <t xml:space="preserve">535-8635</t>
  </si>
  <si>
    <t xml:space="preserve">R76,R77,R87,R88,R97,R98,R121</t>
  </si>
  <si>
    <t xml:space="preserve">2k</t>
  </si>
  <si>
    <t xml:space="preserve">RC0603FR-072KL</t>
  </si>
  <si>
    <t xml:space="preserve">311-2.00KHRCT-ND</t>
  </si>
  <si>
    <t xml:space="preserve">1799328</t>
  </si>
  <si>
    <t xml:space="preserve">603-RC0603FR-072KL</t>
  </si>
  <si>
    <t xml:space="preserve">68R0063</t>
  </si>
  <si>
    <t xml:space="preserve">DZ3</t>
  </si>
  <si>
    <t xml:space="preserve">4v zener</t>
  </si>
  <si>
    <t xml:space="preserve">U15</t>
  </si>
  <si>
    <t xml:space="preserve">AD2S1205</t>
  </si>
  <si>
    <t xml:space="preserve">IPC7351-Nominal:QFP80P1200X1200X160-44</t>
  </si>
  <si>
    <t xml:space="preserve">AD2S1205YSTZ</t>
  </si>
  <si>
    <t xml:space="preserve">AD2S1205YSTZ-ND</t>
  </si>
  <si>
    <t xml:space="preserve">1498670</t>
  </si>
  <si>
    <t xml:space="preserve">34M4949</t>
  </si>
  <si>
    <t xml:space="preserve">708-9454</t>
  </si>
  <si>
    <t xml:space="preserve">C55,C56,C59,C60,C63,C64,C93</t>
  </si>
  <si>
    <t xml:space="preserve">220pF</t>
  </si>
  <si>
    <t xml:space="preserve">GRM1885C1H221JA01D</t>
  </si>
  <si>
    <t xml:space="preserve">490-1435-1-ND</t>
  </si>
  <si>
    <t xml:space="preserve">8819882</t>
  </si>
  <si>
    <t xml:space="preserve">81-GRM39C221J050</t>
  </si>
  <si>
    <t xml:space="preserve">38K1684</t>
  </si>
  <si>
    <t xml:space="preserve">723-5865</t>
  </si>
  <si>
    <t xml:space="preserve">L1,L3</t>
  </si>
  <si>
    <t xml:space="preserve">22uH 5.2A</t>
  </si>
  <si>
    <t xml:space="preserve">manuf:BOURNS-SRR1210</t>
  </si>
  <si>
    <t xml:space="preserve">SRR1210-220M</t>
  </si>
  <si>
    <t xml:space="preserve">SRR1210-220MCT-ND</t>
  </si>
  <si>
    <t xml:space="preserve">2617478</t>
  </si>
  <si>
    <t xml:space="preserve">652-SRR1210-220M</t>
  </si>
  <si>
    <t xml:space="preserve">83T0043</t>
  </si>
  <si>
    <t xml:space="preserve">763-3521</t>
  </si>
  <si>
    <t xml:space="preserve">Q4,Q5</t>
  </si>
  <si>
    <t xml:space="preserve">SI2302</t>
  </si>
  <si>
    <t xml:space="preserve">SI2302-TPMSCT-ND</t>
  </si>
  <si>
    <t xml:space="preserve">2423104</t>
  </si>
  <si>
    <t xml:space="preserve">833-SI2302</t>
  </si>
  <si>
    <t xml:space="preserve">69W7186</t>
  </si>
  <si>
    <t xml:space="preserve">420-063</t>
  </si>
  <si>
    <t xml:space="preserve">U4,U10,U17</t>
  </si>
  <si>
    <t xml:space="preserve">LM2903DT</t>
  </si>
  <si>
    <t xml:space="preserve">STMicroelectronics</t>
  </si>
  <si>
    <t xml:space="preserve">497-1559-1-ND</t>
  </si>
  <si>
    <t xml:space="preserve">2382615</t>
  </si>
  <si>
    <t xml:space="preserve">511-LM2903DT</t>
  </si>
  <si>
    <t xml:space="preserve">89K0667</t>
  </si>
  <si>
    <t xml:space="preserve">714-0754</t>
  </si>
  <si>
    <t xml:space="preserve">C48,C50,C88,C89</t>
  </si>
  <si>
    <t xml:space="preserve">22uF</t>
  </si>
  <si>
    <t xml:space="preserve">TDK Corporation</t>
  </si>
  <si>
    <t xml:space="preserve">C2012X5R1V226M125AC</t>
  </si>
  <si>
    <t xml:space="preserve">445-14428-1-ND</t>
  </si>
  <si>
    <t xml:space="preserve">2528773</t>
  </si>
  <si>
    <t xml:space="preserve">810-C2012X5R1V226MAC</t>
  </si>
  <si>
    <t xml:space="preserve">78Y9944</t>
  </si>
  <si>
    <t xml:space="preserve">915-9334</t>
  </si>
  <si>
    <t xml:space="preserve">R113,R114,R127,R129</t>
  </si>
  <si>
    <t xml:space="preserve">22k</t>
  </si>
  <si>
    <t xml:space="preserve">RC0603FR-0722KL</t>
  </si>
  <si>
    <t xml:space="preserve">311-22.0KHRCT-ND</t>
  </si>
  <si>
    <t xml:space="preserve">9238646</t>
  </si>
  <si>
    <t xml:space="preserve">68R0072</t>
  </si>
  <si>
    <t xml:space="preserve">C46,C47,C49,C52</t>
  </si>
  <si>
    <t xml:space="preserve">22uF 10v</t>
  </si>
  <si>
    <t xml:space="preserve">IPC7351-Nominal:CAPC3216X70</t>
  </si>
  <si>
    <t xml:space="preserve">Taiyo Yuden</t>
  </si>
  <si>
    <t xml:space="preserve">LMK316AB7226ML-TR</t>
  </si>
  <si>
    <t xml:space="preserve">587-2782-1-ND</t>
  </si>
  <si>
    <t xml:space="preserve">2112748</t>
  </si>
  <si>
    <t xml:space="preserve">963-LMK316AB7226ML</t>
  </si>
  <si>
    <t xml:space="preserve">29T3557</t>
  </si>
  <si>
    <t xml:space="preserve">J1</t>
  </si>
  <si>
    <t xml:space="preserve">GATE_DRIVER_CONN_U</t>
  </si>
  <si>
    <t xml:space="preserve">C44</t>
  </si>
  <si>
    <t xml:space="preserve">680pF</t>
  </si>
  <si>
    <t xml:space="preserve">Samsung Electro-Mechanics America, Inc.</t>
  </si>
  <si>
    <t xml:space="preserve">CL21C751JBCNNNC</t>
  </si>
  <si>
    <t xml:space="preserve">1276-2691-1-ND</t>
  </si>
  <si>
    <t xml:space="preserve">J7</t>
  </si>
  <si>
    <t xml:space="preserve">12V</t>
  </si>
  <si>
    <t xml:space="preserve">conn-phoenix:mcv_1,5-2-G-3,81</t>
  </si>
  <si>
    <t xml:space="preserve">1803426</t>
  </si>
  <si>
    <t xml:space="preserve">277-1221-ND</t>
  </si>
  <si>
    <t xml:space="preserve">3913077</t>
  </si>
  <si>
    <t xml:space="preserve">651-1803426</t>
  </si>
  <si>
    <t xml:space="preserve">71C4212</t>
  </si>
  <si>
    <t xml:space="preserve">220-4822</t>
  </si>
  <si>
    <t xml:space="preserve">RT2</t>
  </si>
  <si>
    <t xml:space="preserve">POLYFUSE 1A</t>
  </si>
  <si>
    <t xml:space="preserve">0ZCJ0050AF2E</t>
  </si>
  <si>
    <t xml:space="preserve">507-1803-1-ND</t>
  </si>
  <si>
    <t xml:space="preserve">R136,R137</t>
  </si>
  <si>
    <t xml:space="preserve">0R</t>
  </si>
  <si>
    <t xml:space="preserve">RC0603JR-070RL</t>
  </si>
  <si>
    <t xml:space="preserve">311-0.0GRCT-ND</t>
  </si>
  <si>
    <t xml:space="preserve">9233130</t>
  </si>
  <si>
    <t xml:space="preserve">603-RC0603JR-070RL</t>
  </si>
  <si>
    <t xml:space="preserve">68R0136</t>
  </si>
  <si>
    <t xml:space="preserve">C28,C29,C31</t>
  </si>
  <si>
    <t xml:space="preserve">2.2uF</t>
  </si>
  <si>
    <t xml:space="preserve">GRM188R71A225KE15D</t>
  </si>
  <si>
    <t xml:space="preserve">490-4520-1-ND</t>
  </si>
  <si>
    <t xml:space="preserve">1797012</t>
  </si>
  <si>
    <t xml:space="preserve">81-GRM188R71A225KE15</t>
  </si>
  <si>
    <t xml:space="preserve">72R4209</t>
  </si>
  <si>
    <t xml:space="preserve">723-5597</t>
  </si>
  <si>
    <t xml:space="preserve">Q3</t>
  </si>
  <si>
    <t xml:space="preserve">AO4805</t>
  </si>
  <si>
    <t xml:space="preserve">Alpha &amp; Omega Semiconductor Inc.</t>
  </si>
  <si>
    <t xml:space="preserve">785-1055-1-ND</t>
  </si>
  <si>
    <t xml:space="preserve">U11</t>
  </si>
  <si>
    <t xml:space="preserve">LM3488</t>
  </si>
  <si>
    <t xml:space="preserve">IPC7351-Nominal:SOP65P490X109-8</t>
  </si>
  <si>
    <t xml:space="preserve">LM3488MM/NOPB</t>
  </si>
  <si>
    <t xml:space="preserve">LM3488MM/NOPBCT-ND</t>
  </si>
  <si>
    <t xml:space="preserve">1469252</t>
  </si>
  <si>
    <t xml:space="preserve">41K4832</t>
  </si>
  <si>
    <t xml:space="preserve">533-5834</t>
  </si>
  <si>
    <t xml:space="preserve">U18</t>
  </si>
  <si>
    <t xml:space="preserve">SN74LVC1G</t>
  </si>
  <si>
    <t xml:space="preserve">smd-semi:SC-70-6</t>
  </si>
  <si>
    <t xml:space="preserve">SN74LVC1G11IDCKRQ1</t>
  </si>
  <si>
    <t xml:space="preserve">296-36722-1-ND</t>
  </si>
  <si>
    <t xml:space="preserve">46T0052</t>
  </si>
  <si>
    <t xml:space="preserve">C4,C41,C76,C78</t>
  </si>
  <si>
    <t xml:space="preserve">J4</t>
  </si>
  <si>
    <t xml:space="preserve">micro USB</t>
  </si>
  <si>
    <t xml:space="preserve">conn-fci:CONN-10118194-0001LF-FCI</t>
  </si>
  <si>
    <t xml:space="preserve">10118194-0001LF</t>
  </si>
  <si>
    <t xml:space="preserve">609-4618-1-ND</t>
  </si>
  <si>
    <t xml:space="preserve">2668482</t>
  </si>
  <si>
    <t xml:space="preserve">649-10118194-0001LF</t>
  </si>
  <si>
    <t xml:space="preserve">67T2260</t>
  </si>
  <si>
    <t xml:space="preserve">137-0996</t>
  </si>
  <si>
    <t xml:space="preserve">R17,R19,R41,R43,R55,R57</t>
  </si>
  <si>
    <t xml:space="preserve">8.87k</t>
  </si>
  <si>
    <t xml:space="preserve">RC0603FR-0710KL</t>
  </si>
  <si>
    <t xml:space="preserve">311-10.0KHRCT-ND</t>
  </si>
  <si>
    <t xml:space="preserve">9238603</t>
  </si>
  <si>
    <t xml:space="preserve">68R0049</t>
  </si>
  <si>
    <t xml:space="preserve">R4,R5,R34,R35,R50,R51</t>
  </si>
  <si>
    <t xml:space="preserve">5.6k</t>
  </si>
  <si>
    <t xml:space="preserve">RC0603FR-078K87L</t>
  </si>
  <si>
    <t xml:space="preserve">311-8.87KHRCT-ND</t>
  </si>
  <si>
    <t xml:space="preserve">66R2581</t>
  </si>
  <si>
    <t xml:space="preserve">C40,C42</t>
  </si>
  <si>
    <t xml:space="preserve">180nF</t>
  </si>
  <si>
    <t xml:space="preserve">GRM188R71E184KA88D</t>
  </si>
  <si>
    <t xml:space="preserve">490-6431-1-ND</t>
  </si>
  <si>
    <t xml:space="preserve">12AC0589</t>
  </si>
  <si>
    <t xml:space="preserve">815-1402</t>
  </si>
  <si>
    <t xml:space="preserve">R11,R22,R38,R78-R81,R86,R89-R92,R99-R102,R134,R135,R141</t>
  </si>
  <si>
    <t xml:space="preserve">100R</t>
  </si>
  <si>
    <t xml:space="preserve">RC0603FR-07100RL</t>
  </si>
  <si>
    <t xml:space="preserve">311-100HRCT-ND</t>
  </si>
  <si>
    <t xml:space="preserve">9238360</t>
  </si>
  <si>
    <t xml:space="preserve">68R0052</t>
  </si>
  <si>
    <t xml:space="preserve">R23,R46,R60,R64,R67,R82-R85,R93-R96,R105-R108,R115-R120,R122,R139,R145,R148,R151-R153</t>
  </si>
  <si>
    <t xml:space="preserve">1k</t>
  </si>
  <si>
    <t xml:space="preserve">RC0603FR-071KL</t>
  </si>
  <si>
    <t xml:space="preserve">311-1.00KHRCT-ND</t>
  </si>
  <si>
    <t xml:space="preserve">9238484</t>
  </si>
  <si>
    <t xml:space="preserve">66R1908</t>
  </si>
  <si>
    <t xml:space="preserve">U6,U7</t>
  </si>
  <si>
    <t xml:space="preserve">SN74ACT08PWR</t>
  </si>
  <si>
    <t xml:space="preserve">IPC7351-Nominal:SOP65P640X110-14</t>
  </si>
  <si>
    <t xml:space="preserve">296-4355-1-ND</t>
  </si>
  <si>
    <t xml:space="preserve">2342462</t>
  </si>
  <si>
    <t xml:space="preserve">595-SN74ACT08PWR</t>
  </si>
  <si>
    <t xml:space="preserve">01X3043</t>
  </si>
  <si>
    <t xml:space="preserve">C5</t>
  </si>
  <si>
    <t xml:space="preserve">10uF 35v</t>
  </si>
  <si>
    <t xml:space="preserve">GMK316AB7106KL-TR</t>
  </si>
  <si>
    <t xml:space="preserve">587-3007-1-ND</t>
  </si>
  <si>
    <t xml:space="preserve">2309034</t>
  </si>
  <si>
    <t xml:space="preserve">79T5772</t>
  </si>
  <si>
    <t xml:space="preserve">103-4164</t>
  </si>
  <si>
    <t xml:space="preserve">D15,D17</t>
  </si>
  <si>
    <t xml:space="preserve">SS16</t>
  </si>
  <si>
    <t xml:space="preserve">IPC7351-Nominal:DIOM5326X292</t>
  </si>
  <si>
    <t xml:space="preserve">SS16FSCT-ND</t>
  </si>
  <si>
    <t xml:space="preserve">1470972RL</t>
  </si>
  <si>
    <t xml:space="preserve">512-SS16</t>
  </si>
  <si>
    <t xml:space="preserve">90R9177</t>
  </si>
  <si>
    <t xml:space="preserve">652-7595</t>
  </si>
  <si>
    <t xml:space="preserve">U5</t>
  </si>
  <si>
    <t xml:space="preserve">7400-TSSOP</t>
  </si>
  <si>
    <t xml:space="preserve">SN74LVC00APWR</t>
  </si>
  <si>
    <t xml:space="preserve">296-1216-1-ND</t>
  </si>
  <si>
    <t xml:space="preserve">1105931</t>
  </si>
  <si>
    <t xml:space="preserve">595-SN74LVC00APWR</t>
  </si>
  <si>
    <t xml:space="preserve">24M7585</t>
  </si>
  <si>
    <t xml:space="preserve">527-249</t>
  </si>
  <si>
    <t xml:space="preserve">C39,C43</t>
  </si>
  <si>
    <t xml:space="preserve">1uF 50v</t>
  </si>
  <si>
    <t xml:space="preserve">UMK212B7105KG-T</t>
  </si>
  <si>
    <t xml:space="preserve">587-2910-1-ND</t>
  </si>
  <si>
    <t xml:space="preserve">47T1712</t>
  </si>
  <si>
    <t xml:space="preserve">758-3448</t>
  </si>
  <si>
    <t xml:space="preserve">R124,R125</t>
  </si>
  <si>
    <t xml:space="preserve">68.1k</t>
  </si>
  <si>
    <t xml:space="preserve">RC0603FR-0768K1L</t>
  </si>
  <si>
    <t xml:space="preserve">311-68.1KHRCT-ND</t>
  </si>
  <si>
    <t xml:space="preserve">603-RC0603FR-0768K1L</t>
  </si>
  <si>
    <t xml:space="preserve">66R2536</t>
  </si>
  <si>
    <t xml:space="preserve">J6</t>
  </si>
  <si>
    <t xml:space="preserve">REGEN</t>
  </si>
  <si>
    <t xml:space="preserve">conn-phoenix:mcv_1,5-3-G-3,81</t>
  </si>
  <si>
    <t xml:space="preserve">1803439</t>
  </si>
  <si>
    <t xml:space="preserve">277-1222-ND</t>
  </si>
  <si>
    <t xml:space="preserve">71C4213</t>
  </si>
  <si>
    <t xml:space="preserve">220-4838</t>
  </si>
  <si>
    <t xml:space="preserve">P1</t>
  </si>
  <si>
    <t xml:space="preserve">HALL/Encoder</t>
  </si>
  <si>
    <t xml:space="preserve">C14,C16</t>
  </si>
  <si>
    <t xml:space="preserve">1nF</t>
  </si>
  <si>
    <t xml:space="preserve">GRM188R71H102KA01D</t>
  </si>
  <si>
    <t xml:space="preserve">490-1494-1-ND</t>
  </si>
  <si>
    <t xml:space="preserve">2408525</t>
  </si>
  <si>
    <t xml:space="preserve">81-GRM39X102K050</t>
  </si>
  <si>
    <t xml:space="preserve">38K1668</t>
  </si>
  <si>
    <t xml:space="preserve">723-5660</t>
  </si>
  <si>
    <t xml:space="preserve">R132,R133</t>
  </si>
  <si>
    <t xml:space="preserve">15.4k</t>
  </si>
  <si>
    <t xml:space="preserve">RC0603FR-0715K4L</t>
  </si>
  <si>
    <t xml:space="preserve">311-15.4KHRCT-ND</t>
  </si>
  <si>
    <t xml:space="preserve">603-RC0603FR-0715K4L</t>
  </si>
  <si>
    <t xml:space="preserve">66R2061</t>
  </si>
  <si>
    <t xml:space="preserve">R154-R157</t>
  </si>
  <si>
    <t xml:space="preserve">NI</t>
  </si>
  <si>
    <t xml:space="preserve">603-RC0603FR-071KL</t>
  </si>
  <si>
    <t xml:space="preserve">C69-C71</t>
  </si>
  <si>
    <t xml:space="preserve">4.7uF 50v</t>
  </si>
  <si>
    <t xml:space="preserve">GRM31CR71H475KA12L</t>
  </si>
  <si>
    <t xml:space="preserve">490-6521-1-ND</t>
  </si>
  <si>
    <t xml:space="preserve">1735545</t>
  </si>
  <si>
    <t xml:space="preserve">81-GRM31CR71H475KA2L</t>
  </si>
  <si>
    <t xml:space="preserve">24R6347</t>
  </si>
  <si>
    <t xml:space="preserve">723-6580</t>
  </si>
  <si>
    <t xml:space="preserve">J9</t>
  </si>
  <si>
    <t xml:space="preserve">SWD</t>
  </si>
  <si>
    <t xml:space="preserve">conn-100mil:CONN-100MIL-M-1x5</t>
  </si>
  <si>
    <t xml:space="preserve">C45</t>
  </si>
  <si>
    <t xml:space="preserve">2.2uF 50v</t>
  </si>
  <si>
    <t xml:space="preserve">GRM31CR71H225KA88L</t>
  </si>
  <si>
    <t xml:space="preserve">490-3367-1-ND</t>
  </si>
  <si>
    <t xml:space="preserve">1797017</t>
  </si>
  <si>
    <t xml:space="preserve">81-GRM31CR71H225KA88</t>
  </si>
  <si>
    <t xml:space="preserve">72R4215</t>
  </si>
  <si>
    <t xml:space="preserve">790-0626</t>
  </si>
  <si>
    <t xml:space="preserve">U1</t>
  </si>
  <si>
    <t xml:space="preserve">STM32F40X_LQFP64</t>
  </si>
  <si>
    <t xml:space="preserve">IPC7351-Nominal:QFP50P1200X1200X100-64</t>
  </si>
  <si>
    <t xml:space="preserve">STM32F405RGT6</t>
  </si>
  <si>
    <t xml:space="preserve">497-11767-ND</t>
  </si>
  <si>
    <t xml:space="preserve">2064363</t>
  </si>
  <si>
    <t xml:space="preserve">511-STM32F405RGT6</t>
  </si>
  <si>
    <t xml:space="preserve">73T2329</t>
  </si>
  <si>
    <t xml:space="preserve">746-8217</t>
  </si>
  <si>
    <t xml:space="preserve">R26-R33,R109,R110</t>
  </si>
  <si>
    <t xml:space="preserve">4.7k</t>
  </si>
  <si>
    <t xml:space="preserve">RC0603FR-074K7L</t>
  </si>
  <si>
    <t xml:space="preserve">311-4.70KHRCT-ND</t>
  </si>
  <si>
    <t xml:space="preserve">2363478</t>
  </si>
  <si>
    <t xml:space="preserve">603-RC0603FR-074K7L</t>
  </si>
  <si>
    <t xml:space="preserve">68R0092</t>
  </si>
  <si>
    <t xml:space="preserve">DS2,DS4,DS5</t>
  </si>
  <si>
    <t xml:space="preserve">GREEN</t>
  </si>
  <si>
    <t xml:space="preserve">LTST-C191KGKT</t>
  </si>
  <si>
    <t xml:space="preserve">160-1446-1-ND</t>
  </si>
  <si>
    <t xml:space="preserve">859-LTST-C191KGKT</t>
  </si>
  <si>
    <t xml:space="preserve">12X8125</t>
  </si>
  <si>
    <t xml:space="preserve">692-1010</t>
  </si>
  <si>
    <t xml:space="preserve">C7</t>
  </si>
  <si>
    <t xml:space="preserve">750pF</t>
  </si>
  <si>
    <t xml:space="preserve">P101</t>
  </si>
  <si>
    <t xml:space="preserve">CANBUS</t>
  </si>
  <si>
    <t xml:space="preserve">w_conn_jst-ph:b4b-ph-kl</t>
  </si>
  <si>
    <t xml:space="preserve">JST Sales America Inc.</t>
  </si>
  <si>
    <t xml:space="preserve">B4B-PH-K-S(LF)(SN)</t>
  </si>
  <si>
    <t xml:space="preserve">455-1706-ND</t>
  </si>
  <si>
    <t xml:space="preserve">9492437</t>
  </si>
  <si>
    <t xml:space="preserve">Not Assigned</t>
  </si>
  <si>
    <t xml:space="preserve">37K9958</t>
  </si>
  <si>
    <t xml:space="preserve">820-1434</t>
  </si>
  <si>
    <t xml:space="preserve">Q2</t>
  </si>
  <si>
    <t xml:space="preserve">2N7002PW</t>
  </si>
  <si>
    <t xml:space="preserve">smd-semi:SC-70</t>
  </si>
  <si>
    <t xml:space="preserve">Nexperia USA Inc.</t>
  </si>
  <si>
    <t xml:space="preserve">2N7002PW,115</t>
  </si>
  <si>
    <t xml:space="preserve">1727-4793-1-ND</t>
  </si>
  <si>
    <t xml:space="preserve">771-2N7002PW-115</t>
  </si>
  <si>
    <t xml:space="preserve">72R6770</t>
  </si>
  <si>
    <t xml:space="preserve">Q1</t>
  </si>
  <si>
    <t xml:space="preserve">BSC340N08</t>
  </si>
  <si>
    <t xml:space="preserve">manuf:TEXAS-Q5A</t>
  </si>
  <si>
    <t xml:space="preserve">Infineon Technologies</t>
  </si>
  <si>
    <t xml:space="preserve">BSC340N08NS3GATMA1</t>
  </si>
  <si>
    <t xml:space="preserve">BSC340N08NS3GATMA1CT-ND</t>
  </si>
  <si>
    <t xml:space="preserve">2212853</t>
  </si>
  <si>
    <t xml:space="preserve">726-BSC340N08NS3GATM</t>
  </si>
  <si>
    <t xml:space="preserve">47W3313</t>
  </si>
  <si>
    <t xml:space="preserve">DS6</t>
  </si>
  <si>
    <t xml:space="preserve">FAULT</t>
  </si>
  <si>
    <t xml:space="preserve">859-LTST-C191KRKT</t>
  </si>
  <si>
    <t xml:space="preserve">J5</t>
  </si>
  <si>
    <t xml:space="preserve">ACCEL</t>
  </si>
  <si>
    <t xml:space="preserve">651-1803439</t>
  </si>
  <si>
    <t xml:space="preserve">D16</t>
  </si>
  <si>
    <t xml:space="preserve">30BQ100TR</t>
  </si>
  <si>
    <t xml:space="preserve">IPC7351-Nominal:DIOM7959X265</t>
  </si>
  <si>
    <t xml:space="preserve">SMC Diode Solutions</t>
  </si>
  <si>
    <t xml:space="preserve">1655-1389-1-ND</t>
  </si>
  <si>
    <t xml:space="preserve">9101241</t>
  </si>
  <si>
    <t xml:space="preserve">844-30BQ100TR</t>
  </si>
  <si>
    <t xml:space="preserve">C8,C23,C26,C65</t>
  </si>
  <si>
    <t xml:space="preserve">100pF</t>
  </si>
  <si>
    <t xml:space="preserve">KEMET</t>
  </si>
  <si>
    <t xml:space="preserve">C0603C101J5GACTU</t>
  </si>
  <si>
    <t xml:space="preserve">399-1061-1-ND</t>
  </si>
  <si>
    <t xml:space="preserve">1414603</t>
  </si>
  <si>
    <t xml:space="preserve">80-C0603C101J5G</t>
  </si>
  <si>
    <t xml:space="preserve">64K2833</t>
  </si>
  <si>
    <t xml:space="preserve">264-4523</t>
  </si>
  <si>
    <t xml:space="preserve">R13</t>
  </si>
  <si>
    <t xml:space="preserve">33.2k</t>
  </si>
  <si>
    <t xml:space="preserve">RC0603FR-0733K2L</t>
  </si>
  <si>
    <t xml:space="preserve">311-33.2KHRCT-ND</t>
  </si>
  <si>
    <t xml:space="preserve">603-RC0603FR-0733K2L</t>
  </si>
  <si>
    <t xml:space="preserve">66R2313</t>
  </si>
  <si>
    <t xml:space="preserve">C1,C3,C9,C13,C15,C18-C22,C24,C25,C27,C35-C38,C51,C72-C75,C77,C81,C82,C85-C87,C90-C92</t>
  </si>
  <si>
    <t xml:space="preserve">81-GRM39X104K25</t>
  </si>
  <si>
    <t xml:space="preserve">C17,C33,C79,C80</t>
  </si>
  <si>
    <t xml:space="preserve">15pF</t>
  </si>
  <si>
    <t xml:space="preserve">GCM1885C1H150JA16D</t>
  </si>
  <si>
    <t xml:space="preserve">490-4957-1-ND</t>
  </si>
  <si>
    <t xml:space="preserve">81-GCM1885C1H150J16D</t>
  </si>
  <si>
    <t xml:space="preserve">815-1294</t>
  </si>
  <si>
    <t xml:space="preserve">D1-D14,D18,D19,D21,D22</t>
  </si>
  <si>
    <t xml:space="preserve">BAT54S</t>
  </si>
  <si>
    <t xml:space="preserve">Toshiba Semiconductor and Storage</t>
  </si>
  <si>
    <t xml:space="preserve">TBAT54S,LM</t>
  </si>
  <si>
    <t xml:space="preserve">TBAT54SLMCT-ND</t>
  </si>
  <si>
    <t xml:space="preserve">757-TBAT54SLM</t>
  </si>
  <si>
    <t xml:space="preserve">C83,C84</t>
  </si>
  <si>
    <t xml:space="preserve">120pF</t>
  </si>
  <si>
    <t xml:space="preserve">C0603C121F5GACTU</t>
  </si>
  <si>
    <t xml:space="preserve">399-7850-1-ND</t>
  </si>
  <si>
    <t xml:space="preserve">2581047</t>
  </si>
  <si>
    <t xml:space="preserve">80-C0603C121F5G</t>
  </si>
  <si>
    <t xml:space="preserve">07X0763</t>
  </si>
  <si>
    <t xml:space="preserve">147-897</t>
  </si>
  <si>
    <t xml:space="preserve">DS3</t>
  </si>
  <si>
    <t xml:space="preserve">OCP</t>
  </si>
  <si>
    <t xml:space="preserve">C6</t>
  </si>
  <si>
    <t xml:space="preserve">4.7uF 50v tant</t>
  </si>
  <si>
    <t xml:space="preserve">IPC7351-Nominal:CAPMP7343X310</t>
  </si>
  <si>
    <t xml:space="preserve">Vishay Sprague</t>
  </si>
  <si>
    <t xml:space="preserve">593D475X9050D2TE3</t>
  </si>
  <si>
    <t xml:space="preserve">718-1107-1-ND</t>
  </si>
  <si>
    <t xml:space="preserve">1614982</t>
  </si>
  <si>
    <t xml:space="preserve">74-593D475X9050D2TE3</t>
  </si>
  <si>
    <t xml:space="preserve">65K3048</t>
  </si>
  <si>
    <t xml:space="preserve">684-4610</t>
  </si>
  <si>
    <t xml:space="preserve">R2,R6-R10,R14-R16,R18,R24,R25,R36,R39,R40,R42,R47,R48,R52-R54,R56,R61,R62,R75,R111,R112,R126,R128,R130,R131,R138,R140,R142-R144,R146,R147,R149,R150</t>
  </si>
  <si>
    <t xml:space="preserve">10k</t>
  </si>
  <si>
    <t xml:space="preserve">603-RC0603FR-0710KL</t>
  </si>
  <si>
    <t xml:space="preserve">DZ1</t>
  </si>
  <si>
    <t xml:space="preserve">1SMB18CAT</t>
  </si>
  <si>
    <t xml:space="preserve">w_smd_diode:do214aa</t>
  </si>
  <si>
    <t xml:space="preserve">1SMB18CAT3G</t>
  </si>
  <si>
    <t xml:space="preserve">1SMB18CAT3GOSCT-ND</t>
  </si>
  <si>
    <t xml:space="preserve">2728756</t>
  </si>
  <si>
    <t xml:space="preserve">863-1SMB18CAT3G</t>
  </si>
  <si>
    <t xml:space="preserve">42K3086</t>
  </si>
  <si>
    <t xml:space="preserve">864-7792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</si>
</sst>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product-detail/en/analog-devices-inc/AD8397ARZ/AD8397ARZ-ND/957520" TargetMode="External"/><Relationship Id="rId3" Type="http://schemas.openxmlformats.org/officeDocument/2006/relationships/hyperlink" Target="http://it.farnell.com/webapp/wcs/stores/servlet/Search?catalogId=15001&amp;langId=-4&amp;storeId=10165&amp;gs=true&amp;st=AD8397ARZ%20" TargetMode="External"/><Relationship Id="rId4" Type="http://schemas.openxmlformats.org/officeDocument/2006/relationships/hyperlink" Target="http://www.newark.com/webapp/wcs/stores/servlet/Search?catalogId=15003&amp;langId=-1&amp;storeId=10194&amp;gs=true&amp;st=AD8397ARZ%20" TargetMode="External"/><Relationship Id="rId5" Type="http://schemas.openxmlformats.org/officeDocument/2006/relationships/hyperlink" Target="http://it.rs-online.com/web/p/amplificatori-operazionali/7097118/" TargetMode="External"/><Relationship Id="rId6" Type="http://schemas.openxmlformats.org/officeDocument/2006/relationships/hyperlink" Target="http://www.digikey.com/product-detail/en/texas-instruments/LM22676QTJE-5.0-NOPB/LM22676QTJE-5.0-NOPBCT-ND/2682796" TargetMode="External"/><Relationship Id="rId7" Type="http://schemas.openxmlformats.org/officeDocument/2006/relationships/hyperlink" Target="http://www.digikey.com/product-detail/en/bel-fuse-inc/C1S-5/507-1194-1-ND/809348" TargetMode="External"/><Relationship Id="rId8" Type="http://schemas.openxmlformats.org/officeDocument/2006/relationships/hyperlink" Target="http://www.digikey.com/product-detail/en/lite-on-inc/LTST-C191KRKT/160-1447-1-ND/386836" TargetMode="External"/><Relationship Id="rId9" Type="http://schemas.openxmlformats.org/officeDocument/2006/relationships/hyperlink" Target="http://it.rs-online.com/web/c/?searchTerm=LTST-C191KRKT%20Lite-On%20Inc." TargetMode="External"/><Relationship Id="rId10" Type="http://schemas.openxmlformats.org/officeDocument/2006/relationships/hyperlink" Target="http://www.digikey.com/product-detail/en/yageo/RC0603FR-07270KL/311-270KHRCT-ND/730051" TargetMode="External"/><Relationship Id="rId11" Type="http://schemas.openxmlformats.org/officeDocument/2006/relationships/hyperlink" Target="http://it.farnell.com/yageo-phycomp/rc0603fr-07270kl/res-film-spesso-270k-1-0-1w-0603/dp/9238778" TargetMode="External"/><Relationship Id="rId12" Type="http://schemas.openxmlformats.org/officeDocument/2006/relationships/hyperlink" Target="http://www.mouser.com/ProductDetail/Yageo/RC0603FR-07270KL/?qs=sGAEpiMZZMu61qfTUdNhG%2FPqtBI%2FuY5BniJY%2Fw0mWt4%3D" TargetMode="External"/><Relationship Id="rId13" Type="http://schemas.openxmlformats.org/officeDocument/2006/relationships/hyperlink" Target="http://www.newark.com/yageo-phycomp/rc0603fr-07270kl/surface-mount-thick-film-resistor/dp/98K7388" TargetMode="External"/><Relationship Id="rId14" Type="http://schemas.openxmlformats.org/officeDocument/2006/relationships/hyperlink" Target="http://www.digikey.com/product-detail/en/yageo/RC0603FR-07100KL/311-100KHRCT-ND/729836" TargetMode="External"/><Relationship Id="rId15" Type="http://schemas.openxmlformats.org/officeDocument/2006/relationships/hyperlink" Target="http://it.farnell.com/yageo-phycomp/rc0603fr-07100kl/res-film-spesso-100k-1-0-1w-0603/dp/9238727" TargetMode="External"/><Relationship Id="rId16" Type="http://schemas.openxmlformats.org/officeDocument/2006/relationships/hyperlink" Target="http://www.newark.com/yageo/rc0603fr-07100kl/res-thick-film-100k-1-0-1w-0603/dp/68R0051" TargetMode="External"/><Relationship Id="rId17" Type="http://schemas.openxmlformats.org/officeDocument/2006/relationships/hyperlink" Target="http://www.digikey.com/product-detail/en/omron-electronics-inc-emc-div/B3U-1000P/SW1020CT-ND/1534357" TargetMode="External"/><Relationship Id="rId18" Type="http://schemas.openxmlformats.org/officeDocument/2006/relationships/hyperlink" Target="http://it.farnell.com/omron-electronic-components/b3u-1000p/switch-spst-no-0-05a-12v-smd/dp/1333652" TargetMode="External"/><Relationship Id="rId19" Type="http://schemas.openxmlformats.org/officeDocument/2006/relationships/hyperlink" Target="http://www.newark.com/omron-electronic-components/b3u-1000p/tactile-switch-spst-no-0-05a-smd/dp/78M0188" TargetMode="External"/><Relationship Id="rId20" Type="http://schemas.openxmlformats.org/officeDocument/2006/relationships/hyperlink" Target="http://it.rs-online.com/web/p/interruttori-tattili/0419867/" TargetMode="External"/><Relationship Id="rId21" Type="http://schemas.openxmlformats.org/officeDocument/2006/relationships/hyperlink" Target="http://www.digikey.com/product-detail/en/yageo/RC0603FR-07180KL/311-180KHRCT-ND/729942" TargetMode="External"/><Relationship Id="rId22" Type="http://schemas.openxmlformats.org/officeDocument/2006/relationships/hyperlink" Target="http://it.farnell.com/yageo-phycomp/rc0603fr-07180kl/res-film-spesso-180k-1-0-1w-0603/dp/9238751" TargetMode="External"/><Relationship Id="rId23" Type="http://schemas.openxmlformats.org/officeDocument/2006/relationships/hyperlink" Target="http://www.newark.com/webapp/wcs/stores/servlet/Search?catalogId=15003&amp;langId=-1&amp;storeId=10194&amp;gs=true&amp;st=RC0603FR-07180KL%20Yageo" TargetMode="External"/><Relationship Id="rId24" Type="http://schemas.openxmlformats.org/officeDocument/2006/relationships/hyperlink" Target="http://www.digikey.com/product-detail/en/murata-electronics-north-america/BLM21PG221SN1D/490-1054-1-ND/574418" TargetMode="External"/><Relationship Id="rId25" Type="http://schemas.openxmlformats.org/officeDocument/2006/relationships/hyperlink" Target="http://it.farnell.com/murata/blm21pg221sn1d/ferrite-perlina-0805-0-045ohm/dp/1515661" TargetMode="External"/><Relationship Id="rId26" Type="http://schemas.openxmlformats.org/officeDocument/2006/relationships/hyperlink" Target="http://www.mouser.com/Search/Refine.aspx?Keyword=BLM21PG221SN1D%20" TargetMode="External"/><Relationship Id="rId27" Type="http://schemas.openxmlformats.org/officeDocument/2006/relationships/hyperlink" Target="http://www.newark.com/webapp/wcs/stores/servlet/Search?catalogId=15003&amp;langId=-1&amp;storeId=10194&amp;gs=true&amp;st=BLM21PG221SN1D%20" TargetMode="External"/><Relationship Id="rId28" Type="http://schemas.openxmlformats.org/officeDocument/2006/relationships/hyperlink" Target="http://it.rs-online.com/web/c/?searchTerm=BLM21PG221SN1D%20" TargetMode="External"/><Relationship Id="rId29" Type="http://schemas.openxmlformats.org/officeDocument/2006/relationships/hyperlink" Target="http://www.digikey.com/product-detail/en/murata-electronics-north-america/GRM188R71E104KA01D/490-1524-1-ND/587865" TargetMode="External"/><Relationship Id="rId30" Type="http://schemas.openxmlformats.org/officeDocument/2006/relationships/hyperlink" Target="http://it.farnell.com/murata/grm188r71e104ka01d/cond-mlcc-x7r-0-1uf-25v-0603-bobina/dp/2666513" TargetMode="External"/><Relationship Id="rId31" Type="http://schemas.openxmlformats.org/officeDocument/2006/relationships/hyperlink" Target="http://www.newark.com/murata/grm188r71e104ka01d/capacitor-ceramic-0-1uf-10-25v/dp/14T3317" TargetMode="External"/><Relationship Id="rId32" Type="http://schemas.openxmlformats.org/officeDocument/2006/relationships/hyperlink" Target="http://it.rs-online.com/web/c/?searchTerm=GRM188R71E104KA01D%20" TargetMode="External"/><Relationship Id="rId33" Type="http://schemas.openxmlformats.org/officeDocument/2006/relationships/hyperlink" Target="http://www.digikey.com/product-detail/en/yageo/RC0603FR-0722RL/311-22.0HRCT-ND/730002" TargetMode="External"/><Relationship Id="rId34" Type="http://schemas.openxmlformats.org/officeDocument/2006/relationships/hyperlink" Target="http://it.farnell.com/yageo-phycomp/rc0603fr-0722rl/res-film-spesso-22r-1-0-1w-0603/dp/9238280" TargetMode="External"/><Relationship Id="rId35" Type="http://schemas.openxmlformats.org/officeDocument/2006/relationships/hyperlink" Target="http://www.mouser.com/ProductDetail/Yageo/RC0603FR-0722RL/?qs=sGAEpiMZZMu61qfTUdNhG5eFuApKbqVdBB4KlzoDsqs%3D" TargetMode="External"/><Relationship Id="rId36" Type="http://schemas.openxmlformats.org/officeDocument/2006/relationships/hyperlink" Target="http://www.newark.com/yageo/rc0603fr-0722rl/res-thick-film-22r-1-0-1w-0603/dp/68R0073" TargetMode="External"/><Relationship Id="rId37" Type="http://schemas.openxmlformats.org/officeDocument/2006/relationships/hyperlink" Target="http://www.digikey.com/product-detail/en/abracon-llc/ABM3B-8.000MHZ-10-1-U-T/535-9721-1-ND/1873255" TargetMode="External"/><Relationship Id="rId38" Type="http://schemas.openxmlformats.org/officeDocument/2006/relationships/hyperlink" Target="http://it.farnell.com/abracon/abm3b-8-000mhz-10-1ut/cristallo-8mhz-10pf-5-x-3-2mm/dp/2467816RL" TargetMode="External"/><Relationship Id="rId39" Type="http://schemas.openxmlformats.org/officeDocument/2006/relationships/hyperlink" Target="http://www.newark.com/abracon/abm3b-8-000mhz-10-1-u-t/crystal-8mhz-10pf-5-x-3-2mm/dp/40Y2012" TargetMode="External"/><Relationship Id="rId40" Type="http://schemas.openxmlformats.org/officeDocument/2006/relationships/hyperlink" Target="http://www.digikey.com/product-detail/en/fairchild-on-semiconductor/MBR0540/MBR0540CT-ND/3042807" TargetMode="External"/><Relationship Id="rId41" Type="http://schemas.openxmlformats.org/officeDocument/2006/relationships/hyperlink" Target="http://it.farnell.com/fairchild-semiconductor/mbr0540/diodo-schottky-40v-sod-123/dp/2453267" TargetMode="External"/><Relationship Id="rId42" Type="http://schemas.openxmlformats.org/officeDocument/2006/relationships/hyperlink" Target="http://www.newark.com/fairchild-semiconductor/mbr0540/schottky-rectifier-500ma-40v-sod/dp/58K1808" TargetMode="External"/><Relationship Id="rId43" Type="http://schemas.openxmlformats.org/officeDocument/2006/relationships/hyperlink" Target="http://it.rs-online.com/web/p/diodi-rettificatori-e-schottky/0463842/" TargetMode="External"/><Relationship Id="rId44" Type="http://schemas.openxmlformats.org/officeDocument/2006/relationships/hyperlink" Target="http://www.digikey.com/product-detail/en/murata-electronics-north-america/GRM21BR71A475KA73K/490-6479-1-ND/3845676" TargetMode="External"/><Relationship Id="rId45" Type="http://schemas.openxmlformats.org/officeDocument/2006/relationships/hyperlink" Target="http://it.farnell.com/murata/grm21br71a475ka73k/cond-mlcc-x7r-4-7uf-10v-0805/dp/2611946" TargetMode="External"/><Relationship Id="rId46" Type="http://schemas.openxmlformats.org/officeDocument/2006/relationships/hyperlink" Target="http://www.newark.com/webapp/wcs/stores/servlet/Search?catalogId=15003&amp;langId=-1&amp;storeId=10194&amp;gs=true&amp;st=GRM21BR71A475KA73K%20" TargetMode="External"/><Relationship Id="rId47" Type="http://schemas.openxmlformats.org/officeDocument/2006/relationships/hyperlink" Target="http://it.rs-online.com/web/c/?searchTerm=GRM21BR71A475KA73K%20" TargetMode="External"/><Relationship Id="rId48" Type="http://schemas.openxmlformats.org/officeDocument/2006/relationships/hyperlink" Target="http://www.digikey.com/product-detail/en/susumu/PRL1632-R018-F-T1/PRL1632.018FCT-ND/948868" TargetMode="External"/><Relationship Id="rId49" Type="http://schemas.openxmlformats.org/officeDocument/2006/relationships/hyperlink" Target="http://it.farnell.com/on-semiconductor/1sma5941bt3g/diodo-zener-1-5w-47v-do-214ac/dp/2463629RL" TargetMode="External"/><Relationship Id="rId50" Type="http://schemas.openxmlformats.org/officeDocument/2006/relationships/hyperlink" Target="http://www.newark.com/on-semiconductor/1sma5941bt3g/zener-single-diode-47-v-1-5-w/dp/56Y0320" TargetMode="External"/><Relationship Id="rId51" Type="http://schemas.openxmlformats.org/officeDocument/2006/relationships/hyperlink" Target="http://www.digikey.com/product-detail/en/bourns-inc/SDR1307-270ML/SDR1307-270MLCT-ND/3767619" TargetMode="External"/><Relationship Id="rId52" Type="http://schemas.openxmlformats.org/officeDocument/2006/relationships/hyperlink" Target="http://it.farnell.com/bourns/sdr1307-270ml/inductor-27uh-20-3-3a-smd/dp/2329017" TargetMode="External"/><Relationship Id="rId53" Type="http://schemas.openxmlformats.org/officeDocument/2006/relationships/hyperlink" Target="http://www.newark.com/bourns/sdr1307-270ml/surface-mount-power-inductor-sdr1307/dp/06X7213" TargetMode="External"/><Relationship Id="rId54" Type="http://schemas.openxmlformats.org/officeDocument/2006/relationships/hyperlink" Target="http://www.digikey.com/scripts/DkSearch/dksus.dll?WT.z_header=search_go&amp;lang=en&amp;keywords=1803468%20" TargetMode="External"/><Relationship Id="rId55" Type="http://schemas.openxmlformats.org/officeDocument/2006/relationships/hyperlink" Target="http://it.farnell.com/samtec/tmm-105-02-t-d/header-2-0mm-2x5-vie/dp/1803468" TargetMode="External"/><Relationship Id="rId56" Type="http://schemas.openxmlformats.org/officeDocument/2006/relationships/hyperlink" Target="http://www.mouser.com/Search/Refine.aspx?Keyword=1803468%20" TargetMode="External"/><Relationship Id="rId57" Type="http://schemas.openxmlformats.org/officeDocument/2006/relationships/hyperlink" Target="http://www.newark.com/webapp/wcs/stores/servlet/Search?catalogId=15003&amp;langId=-1&amp;storeId=10194&amp;gs=true&amp;st=1803468%20" TargetMode="External"/><Relationship Id="rId58" Type="http://schemas.openxmlformats.org/officeDocument/2006/relationships/hyperlink" Target="http://it.rs-online.com/web/c/?searchTerm=1803468%20" TargetMode="External"/><Relationship Id="rId59" Type="http://schemas.openxmlformats.org/officeDocument/2006/relationships/hyperlink" Target="http://www.digikey.com/product-detail/en/murata-electronics-north-america/GRM188R71E104KA01D/490-1524-1-ND/587865" TargetMode="External"/><Relationship Id="rId60" Type="http://schemas.openxmlformats.org/officeDocument/2006/relationships/hyperlink" Target="http://it.farnell.com/murata/grm188r71e104ka01d/cond-mlcc-x7r-0-1uf-25v-0603-bobina/dp/2666513" TargetMode="External"/><Relationship Id="rId61" Type="http://schemas.openxmlformats.org/officeDocument/2006/relationships/hyperlink" Target="http://www.newark.com/murata/grm188r71e104ka01d/capacitor-ceramic-0-1uf-10-25v/dp/14T3317" TargetMode="External"/><Relationship Id="rId62" Type="http://schemas.openxmlformats.org/officeDocument/2006/relationships/hyperlink" Target="http://it.rs-online.com/web/c/?searchTerm=GRM188R71E104KA01D%20" TargetMode="External"/><Relationship Id="rId63" Type="http://schemas.openxmlformats.org/officeDocument/2006/relationships/hyperlink" Target="http://www.digikey.com/product-detail/en/yageo/RC0603FR-071K78L/311-1.78KHRCT-ND/729820" TargetMode="External"/><Relationship Id="rId64" Type="http://schemas.openxmlformats.org/officeDocument/2006/relationships/hyperlink" Target="http://www.mouser.com/ProductDetail/Yageo/RC0603FR-071K78L/?qs=sGAEpiMZZMu61qfTUdNhG5eFuApKbqVdAbuGnhhWEd0%3D" TargetMode="External"/><Relationship Id="rId65" Type="http://schemas.openxmlformats.org/officeDocument/2006/relationships/hyperlink" Target="http://www.newark.com/webapp/wcs/stores/servlet/Search?catalogId=15003&amp;langId=-1&amp;storeId=10194&amp;gs=true&amp;st=RC0603FR-071K78L%20Yageo" TargetMode="External"/><Relationship Id="rId66" Type="http://schemas.openxmlformats.org/officeDocument/2006/relationships/hyperlink" Target="http://it.rs-online.com/web/c/?searchTerm=RC0603FR-071K78L%20" TargetMode="External"/><Relationship Id="rId67" Type="http://schemas.openxmlformats.org/officeDocument/2006/relationships/hyperlink" Target="http://www.digikey.com/scripts/DkSearch/dksus.dll?WT.z_header=search_go&amp;lang=en&amp;keywords=1803471%20" TargetMode="External"/><Relationship Id="rId68" Type="http://schemas.openxmlformats.org/officeDocument/2006/relationships/hyperlink" Target="http://it.farnell.com/samtec/tsm-102-01-l-tm/header-2-54mm-smt-3x2way/dp/1803471" TargetMode="External"/><Relationship Id="rId69" Type="http://schemas.openxmlformats.org/officeDocument/2006/relationships/hyperlink" Target="http://www.mouser.com/Search/Refine.aspx?Keyword=1803471%20" TargetMode="External"/><Relationship Id="rId70" Type="http://schemas.openxmlformats.org/officeDocument/2006/relationships/hyperlink" Target="http://www.newark.com/webapp/wcs/stores/servlet/Search?catalogId=15003&amp;langId=-1&amp;storeId=10194&amp;gs=true&amp;st=1803471%20" TargetMode="External"/><Relationship Id="rId71" Type="http://schemas.openxmlformats.org/officeDocument/2006/relationships/hyperlink" Target="http://it.rs-online.com/web/p/blocchetti-terminali-da-pcb/8028753/" TargetMode="External"/><Relationship Id="rId72" Type="http://schemas.openxmlformats.org/officeDocument/2006/relationships/hyperlink" Target="http://www.digikey.com/product-detail/en/texas-instruments/SN74AUP1G74DCUR/296-19761-1-ND/1091423" TargetMode="External"/><Relationship Id="rId73" Type="http://schemas.openxmlformats.org/officeDocument/2006/relationships/hyperlink" Target="http://it.farnell.com/texas-instruments/sn74aup1g74dcur/logic-flip-flop-d-5ns-vssop-8/dp/2334897" TargetMode="External"/><Relationship Id="rId74" Type="http://schemas.openxmlformats.org/officeDocument/2006/relationships/hyperlink" Target="http://www.mouser.com/ProductDetail/Texas-Instruments/SN74AUP1G74DCUR/?qs=sGAEpiMZZMvxP%252bvr8KwMwLkCGCWVq0brtW9lo2ig%2FK0%3D" TargetMode="External"/><Relationship Id="rId75" Type="http://schemas.openxmlformats.org/officeDocument/2006/relationships/hyperlink" Target="http://www.newark.com/texas-instruments/sn74aup1g74dcur/d-type-flip-flop-signal-2ns-vssop/dp/94T5025" TargetMode="External"/><Relationship Id="rId76" Type="http://schemas.openxmlformats.org/officeDocument/2006/relationships/hyperlink" Target="http://it.rs-online.com/web/c/?searchTerm=SN74AUP1G74DCUR%20" TargetMode="External"/><Relationship Id="rId77" Type="http://schemas.openxmlformats.org/officeDocument/2006/relationships/hyperlink" Target="http://www.digikey.com/product-detail/en/texas-instruments/ISO1050DUB/296-33295-5-ND/2231781" TargetMode="External"/><Relationship Id="rId78" Type="http://schemas.openxmlformats.org/officeDocument/2006/relationships/hyperlink" Target="http://it.farnell.com/texas-instruments/iso1050dubr/ic-can-transceiver-isolated-5v/dp/1755712" TargetMode="External"/><Relationship Id="rId79" Type="http://schemas.openxmlformats.org/officeDocument/2006/relationships/hyperlink" Target="http://www.newark.com/texas-instruments/iso1050dubr/can-transceiver-1mbps-1-1-5v-sop/dp/14R9899" TargetMode="External"/><Relationship Id="rId80" Type="http://schemas.openxmlformats.org/officeDocument/2006/relationships/hyperlink" Target="http://it.rs-online.com/web/p/ricetrasmettitori-can/7967994/" TargetMode="External"/><Relationship Id="rId81" Type="http://schemas.openxmlformats.org/officeDocument/2006/relationships/hyperlink" Target="http://www.digikey.com/scripts/DkSearch/dksus.dll?WT.z_header=search_go&amp;lang=en&amp;keywords=1803442%20" TargetMode="External"/><Relationship Id="rId82" Type="http://schemas.openxmlformats.org/officeDocument/2006/relationships/hyperlink" Target="http://it.farnell.com/samtec/tmm-106-03-l-s/header-2-0mm-1x6way/dp/1803442" TargetMode="External"/><Relationship Id="rId83" Type="http://schemas.openxmlformats.org/officeDocument/2006/relationships/hyperlink" Target="http://www.mouser.com/Search/Refine.aspx?Keyword=1803442%20" TargetMode="External"/><Relationship Id="rId84" Type="http://schemas.openxmlformats.org/officeDocument/2006/relationships/hyperlink" Target="http://www.newark.com/webapp/wcs/stores/servlet/Search?catalogId=15003&amp;langId=-1&amp;storeId=10194&amp;gs=true&amp;st=1803442%20" TargetMode="External"/><Relationship Id="rId85" Type="http://schemas.openxmlformats.org/officeDocument/2006/relationships/hyperlink" Target="http://it.rs-online.com/web/c/?searchTerm=1803442%20" TargetMode="External"/><Relationship Id="rId86" Type="http://schemas.openxmlformats.org/officeDocument/2006/relationships/hyperlink" Target="http://www.digikey.com/product-detail/en/murata-electronics-north-america/NCP18XH103F03RB/490-4800-1-ND/1644681" TargetMode="External"/><Relationship Id="rId87" Type="http://schemas.openxmlformats.org/officeDocument/2006/relationships/hyperlink" Target="http://it.farnell.com/murata/ncp18xh103f03rb/termistore-ntc-10kohm-1-0603/dp/2456122" TargetMode="External"/><Relationship Id="rId88" Type="http://schemas.openxmlformats.org/officeDocument/2006/relationships/hyperlink" Target="http://www.mouser.com/ProductDetail/Murata-Electronics/NCP18XH103F03RB/?qs=sGAEpiMZZMthiYuEY6QoebzMs5S8CmI%252b" TargetMode="External"/><Relationship Id="rId89" Type="http://schemas.openxmlformats.org/officeDocument/2006/relationships/hyperlink" Target="http://www.newark.com/webapp/wcs/stores/servlet/Search?catalogId=15003&amp;langId=-1&amp;storeId=10194&amp;gs=true&amp;st=NCP18XH103F03RB%20" TargetMode="External"/><Relationship Id="rId90" Type="http://schemas.openxmlformats.org/officeDocument/2006/relationships/hyperlink" Target="http://it.rs-online.com/web/c/?searchTerm=NCP18XH103F03RB%20" TargetMode="External"/><Relationship Id="rId91" Type="http://schemas.openxmlformats.org/officeDocument/2006/relationships/hyperlink" Target="http://www.digikey.com/product-detail/en/texas-instruments/OPA2376AIDR/296-22564-1-ND/1669056" TargetMode="External"/><Relationship Id="rId92" Type="http://schemas.openxmlformats.org/officeDocument/2006/relationships/hyperlink" Target="http://it.farnell.com/texas-instruments/opa2376aidr/amp-op-5-5mhz-2v-us-soic-8/dp/2764744" TargetMode="External"/><Relationship Id="rId93" Type="http://schemas.openxmlformats.org/officeDocument/2006/relationships/hyperlink" Target="http://www.newark.com/texas-instruments/opa2376aidr/op-amp-5-5mhz-2v-us-soic-8/dp/54M7255" TargetMode="External"/><Relationship Id="rId94" Type="http://schemas.openxmlformats.org/officeDocument/2006/relationships/hyperlink" Target="http://www.digikey.com/product-detail/en/diodes-incorporated/APX809-46SRG-7/1034-APX809-46SRGDICT-ND/5629225" TargetMode="External"/><Relationship Id="rId95" Type="http://schemas.openxmlformats.org/officeDocument/2006/relationships/hyperlink" Target="http://www.newark.com/webapp/wcs/stores/servlet/Search?catalogId=15003&amp;langId=-1&amp;storeId=10194&amp;gs=true&amp;st=APX809-46SRG-7%20Diodes%20Incorporated" TargetMode="External"/><Relationship Id="rId96" Type="http://schemas.openxmlformats.org/officeDocument/2006/relationships/hyperlink" Target="http://it.rs-online.com/web/p/supervisori-per-processori/7122807/" TargetMode="External"/><Relationship Id="rId97" Type="http://schemas.openxmlformats.org/officeDocument/2006/relationships/hyperlink" Target="http://www.digikey.com/product-detail/en/on-semiconductor/NCV78M12BDTRKG/NCV78M12BDTRKGOSCT-ND/6167495" TargetMode="External"/><Relationship Id="rId98" Type="http://schemas.openxmlformats.org/officeDocument/2006/relationships/hyperlink" Target="http://it.farnell.com/on-semiconductor/ncv78m12bdtrkg/reg-lin-tens-aec-q100-12v-to-220/dp/2724233" TargetMode="External"/><Relationship Id="rId99" Type="http://schemas.openxmlformats.org/officeDocument/2006/relationships/hyperlink" Target="http://www.mouser.com/Search/Refine.aspx?Keyword=NCV78M12BDTRKG%20" TargetMode="External"/><Relationship Id="rId100" Type="http://schemas.openxmlformats.org/officeDocument/2006/relationships/hyperlink" Target="http://www.newark.com/webapp/wcs/stores/servlet/Search?catalogId=15003&amp;langId=-1&amp;storeId=10194&amp;gs=true&amp;st=NCV78M12BDTRKG%20" TargetMode="External"/><Relationship Id="rId101" Type="http://schemas.openxmlformats.org/officeDocument/2006/relationships/hyperlink" Target="http://it.rs-online.com/web/c/?searchTerm=NCV78M12BDTRKG%20" TargetMode="External"/><Relationship Id="rId102" Type="http://schemas.openxmlformats.org/officeDocument/2006/relationships/hyperlink" Target="http://www.digikey.com/scripts/DkSearch/dksus.dll?WT.z_header=search_go&amp;lang=en&amp;keywords=67997-216HLF%20" TargetMode="External"/><Relationship Id="rId103" Type="http://schemas.openxmlformats.org/officeDocument/2006/relationships/hyperlink" Target="http://it.farnell.com/webapp/wcs/stores/servlet/Search?catalogId=15001&amp;langId=-4&amp;storeId=10165&amp;gs=true&amp;st=67997-216HLF%20" TargetMode="External"/><Relationship Id="rId104" Type="http://schemas.openxmlformats.org/officeDocument/2006/relationships/hyperlink" Target="http://www.mouser.com/ProductDetail/Amphenol-FCI/67997-216HLF/?qs=sGAEpiMZZMs%252bGHln7q6pm24n0txessAMIHBgst0Rfw8%3D" TargetMode="External"/><Relationship Id="rId105" Type="http://schemas.openxmlformats.org/officeDocument/2006/relationships/hyperlink" Target="http://www.newark.com/webapp/wcs/stores/servlet/Search?catalogId=15003&amp;langId=-1&amp;storeId=10194&amp;gs=true&amp;st=67997-216HLF%20" TargetMode="External"/><Relationship Id="rId106" Type="http://schemas.openxmlformats.org/officeDocument/2006/relationships/hyperlink" Target="http://it.rs-online.com/web/c/?searchTerm=67997-216HLF%20" TargetMode="External"/><Relationship Id="rId107" Type="http://schemas.openxmlformats.org/officeDocument/2006/relationships/hyperlink" Target="http://www.digikey.com/product-detail/en/yageo/RC0603FR-0760R4L/311-60.4HRCT-ND/730274" TargetMode="External"/><Relationship Id="rId108" Type="http://schemas.openxmlformats.org/officeDocument/2006/relationships/hyperlink" Target="http://www.mouser.com/Search/Refine.aspx?Keyword=RC0603FR-0760R4L%20Yageo" TargetMode="External"/><Relationship Id="rId109" Type="http://schemas.openxmlformats.org/officeDocument/2006/relationships/hyperlink" Target="http://www.newark.com/webapp/wcs/stores/servlet/Search?catalogId=15003&amp;langId=-1&amp;storeId=10194&amp;gs=true&amp;st=RC0603FR-0760R4L%20Yageo" TargetMode="External"/><Relationship Id="rId110" Type="http://schemas.openxmlformats.org/officeDocument/2006/relationships/hyperlink" Target="http://www.digikey.com/scripts/DkSearch/dksus.dll?WT.z_header=search_go&amp;lang=en&amp;keywords=67997-216HLF%20" TargetMode="External"/><Relationship Id="rId111" Type="http://schemas.openxmlformats.org/officeDocument/2006/relationships/hyperlink" Target="http://it.farnell.com/webapp/wcs/stores/servlet/Search?catalogId=15001&amp;langId=-4&amp;storeId=10165&amp;gs=true&amp;st=67997-216HLF%20" TargetMode="External"/><Relationship Id="rId112" Type="http://schemas.openxmlformats.org/officeDocument/2006/relationships/hyperlink" Target="http://www.newark.com/webapp/wcs/stores/servlet/Search?catalogId=15003&amp;langId=-1&amp;storeId=10194&amp;gs=true&amp;st=67997-216HLF%20" TargetMode="External"/><Relationship Id="rId113" Type="http://schemas.openxmlformats.org/officeDocument/2006/relationships/hyperlink" Target="http://it.rs-online.com/web/c/?searchTerm=67997-216HLF%20" TargetMode="External"/><Relationship Id="rId114" Type="http://schemas.openxmlformats.org/officeDocument/2006/relationships/hyperlink" Target="http://www.digikey.com/product-detail/en/texas-instruments/LM1117IMPX-3.3-NOPB/LM1117IMPX-3.3-NOPBCT-ND/3440160" TargetMode="External"/><Relationship Id="rId115" Type="http://schemas.openxmlformats.org/officeDocument/2006/relationships/hyperlink" Target="http://it.farnell.com/texas-instruments/lm1117imp-3-3-nopb/ldo-1-2vdo-3-3v-1-0-8a-3sot223/dp/1469051" TargetMode="External"/><Relationship Id="rId116" Type="http://schemas.openxmlformats.org/officeDocument/2006/relationships/hyperlink" Target="http://www.mouser.com/ProductDetail/Texas-Instruments/LM1117IMP-33-NOPB/?qs=sGAEpiMZZMsGz1a6aV8DcCERHZHPu4lvPWVsYNc4DFc%3D" TargetMode="External"/><Relationship Id="rId117" Type="http://schemas.openxmlformats.org/officeDocument/2006/relationships/hyperlink" Target="http://www.newark.com/texas-instruments/lm1117imp-3-3-nopb/ldo-voltage-regulator-3-3v-0-8a/dp/41K3450" TargetMode="External"/><Relationship Id="rId118" Type="http://schemas.openxmlformats.org/officeDocument/2006/relationships/hyperlink" Target="http://it.rs-online.com/web/p/regolatori-di-tensione-low-dropout/5358635/" TargetMode="External"/><Relationship Id="rId119" Type="http://schemas.openxmlformats.org/officeDocument/2006/relationships/hyperlink" Target="http://www.digikey.com/product-detail/en/yageo/RC0603FR-072KL/311-2.00KHRCT-ND/729956" TargetMode="External"/><Relationship Id="rId120" Type="http://schemas.openxmlformats.org/officeDocument/2006/relationships/hyperlink" Target="http://it.farnell.com/yageo/rc0603fr-072kl/res-thick-film-2k-1-0-1w-0603/dp/1799328" TargetMode="External"/><Relationship Id="rId121" Type="http://schemas.openxmlformats.org/officeDocument/2006/relationships/hyperlink" Target="http://www.mouser.com/Search/Refine.aspx?Keyword=RC0603FR-072KL%20Yageo" TargetMode="External"/><Relationship Id="rId122" Type="http://schemas.openxmlformats.org/officeDocument/2006/relationships/hyperlink" Target="http://www.newark.com/yageo/rc0603fr-072kl/res-thick-film-2k-1-0-1w-0603/dp/68R0063" TargetMode="External"/><Relationship Id="rId123" Type="http://schemas.openxmlformats.org/officeDocument/2006/relationships/hyperlink" Target="http://www.digikey.com/scripts/DkSearch/dksus.dll?WT.z_header=search_go&amp;lang=en&amp;keywords=AD2S1205YSTZ%20" TargetMode="External"/><Relationship Id="rId124" Type="http://schemas.openxmlformats.org/officeDocument/2006/relationships/hyperlink" Target="http://it.farnell.com/webapp/wcs/stores/servlet/Search?catalogId=15001&amp;langId=-4&amp;storeId=10165&amp;gs=true&amp;st=AD2S1205YSTZ%20" TargetMode="External"/><Relationship Id="rId125" Type="http://schemas.openxmlformats.org/officeDocument/2006/relationships/hyperlink" Target="http://www.newark.com/webapp/wcs/stores/servlet/Search?catalogId=15003&amp;langId=-1&amp;storeId=10194&amp;gs=true&amp;st=AD2S1205YSTZ%20" TargetMode="External"/><Relationship Id="rId126" Type="http://schemas.openxmlformats.org/officeDocument/2006/relationships/hyperlink" Target="http://it.rs-online.com/web/c/?searchTerm=AD2S1205YSTZ%20" TargetMode="External"/><Relationship Id="rId127" Type="http://schemas.openxmlformats.org/officeDocument/2006/relationships/hyperlink" Target="http://www.digikey.com/product-detail/en/murata-electronics-north-america/GRM1885C1H221JA01D/490-1435-1-ND/587673" TargetMode="External"/><Relationship Id="rId128" Type="http://schemas.openxmlformats.org/officeDocument/2006/relationships/hyperlink" Target="http://it.farnell.com/murata/grm1885c1h221ja01d/conden-mlcc-c0g-np0-220pf-50v/dp/8819882" TargetMode="External"/><Relationship Id="rId129" Type="http://schemas.openxmlformats.org/officeDocument/2006/relationships/hyperlink" Target="http://www.mouser.com/Search/Refine.aspx?Keyword=GRM1885C1H221JA01D%20" TargetMode="External"/><Relationship Id="rId130" Type="http://schemas.openxmlformats.org/officeDocument/2006/relationships/hyperlink" Target="http://www.newark.com/murata/grm1885c1h221ja01d/capacitor-ceramic-220pf-50v-c0g/dp/38K1684" TargetMode="External"/><Relationship Id="rId131" Type="http://schemas.openxmlformats.org/officeDocument/2006/relationships/hyperlink" Target="http://it.rs-online.com/web/c/?searchTerm=GRM1885C1H221JA01D%20" TargetMode="External"/><Relationship Id="rId132" Type="http://schemas.openxmlformats.org/officeDocument/2006/relationships/hyperlink" Target="http://www.digikey.com/product-detail/en/bourns-inc/SRR1210-220M/SRR1210-220MCT-ND/2793211" TargetMode="External"/><Relationship Id="rId133" Type="http://schemas.openxmlformats.org/officeDocument/2006/relationships/hyperlink" Target="http://it.farnell.com/bourns/srr1210-220m/induttore-schermato-22uh-5-2a/dp/2617478" TargetMode="External"/><Relationship Id="rId134" Type="http://schemas.openxmlformats.org/officeDocument/2006/relationships/hyperlink" Target="http://www.mouser.com/Search/Refine.aspx?Keyword=SRR1210-220M%20" TargetMode="External"/><Relationship Id="rId135" Type="http://schemas.openxmlformats.org/officeDocument/2006/relationships/hyperlink" Target="http://www.newark.com/bourns/srr1210-220m/inductor-shielded-22uh-4-5a-smd/dp/83T0043" TargetMode="External"/><Relationship Id="rId136" Type="http://schemas.openxmlformats.org/officeDocument/2006/relationships/hyperlink" Target="http://it.rs-online.com/web/c/?searchTerm=SRR1210-220M%20" TargetMode="External"/><Relationship Id="rId137" Type="http://schemas.openxmlformats.org/officeDocument/2006/relationships/hyperlink" Target="http://www.digikey.com/product-detail/en/micro-commercial-co/SI2302-TP/SI2302-TPMSCT-ND/1793402" TargetMode="External"/><Relationship Id="rId138" Type="http://schemas.openxmlformats.org/officeDocument/2006/relationships/hyperlink" Target="http://it.farnell.com/nxp/si2302ds-215/mosfet-n-ch-20v-2-5a-3-sot-23/dp/2423104" TargetMode="External"/><Relationship Id="rId139" Type="http://schemas.openxmlformats.org/officeDocument/2006/relationships/hyperlink" Target="http://www.mouser.com/ProductDetail/Micro-Commercial-Components-MCC/SI2302/?qs=sGAEpiMZZMshyDBzk1%2FWi1ELg86V7HGMglQdOjx73ac%3D" TargetMode="External"/><Relationship Id="rId140" Type="http://schemas.openxmlformats.org/officeDocument/2006/relationships/hyperlink" Target="http://www.newark.com/vishay/si2302cds-t1-e3/mosfet-n-channel-20v-2-6a-sot/dp/69W7186" TargetMode="External"/><Relationship Id="rId141" Type="http://schemas.openxmlformats.org/officeDocument/2006/relationships/hyperlink" Target="http://it.rs-online.com/web/c/?searchTerm=SI2302%20" TargetMode="External"/><Relationship Id="rId142" Type="http://schemas.openxmlformats.org/officeDocument/2006/relationships/hyperlink" Target="http://www.digikey.com/product-detail/en/stmicroelectronics/LM2903DT/497-1559-1-ND/592066" TargetMode="External"/><Relationship Id="rId143" Type="http://schemas.openxmlformats.org/officeDocument/2006/relationships/hyperlink" Target="http://it.farnell.com/stmicroelectronics/lm2903dt/comparator-dual-1-3us-soic-8/dp/2382615" TargetMode="External"/><Relationship Id="rId144" Type="http://schemas.openxmlformats.org/officeDocument/2006/relationships/hyperlink" Target="http://www.mouser.com/ProductDetail/STMicroelectronics/LM2903DT/?qs=sGAEpiMZZMuayl%2FEk2kXcbSTMTtY4INFHfp4gfh0jRU%3D" TargetMode="External"/><Relationship Id="rId145" Type="http://schemas.openxmlformats.org/officeDocument/2006/relationships/hyperlink" Target="http://www.newark.com/stmicroelectronics/lm2903dt/low-power-comparator-dual-1-3/dp/89K0667" TargetMode="External"/><Relationship Id="rId146" Type="http://schemas.openxmlformats.org/officeDocument/2006/relationships/hyperlink" Target="http://it.rs-online.com/web/c/?searchTerm=LM2903DT%20" TargetMode="External"/><Relationship Id="rId147" Type="http://schemas.openxmlformats.org/officeDocument/2006/relationships/hyperlink" Target="http://www.digikey.com/product-detail/en/tdk-corporation/C2012X5R1V226M125AC/445-14428-1-ND/3956094" TargetMode="External"/><Relationship Id="rId148" Type="http://schemas.openxmlformats.org/officeDocument/2006/relationships/hyperlink" Target="http://it.farnell.com/tdk/c2012x5r1v226m125ac/condensatore-mlcc-x5r-22uf-35v/dp/2528773" TargetMode="External"/><Relationship Id="rId149" Type="http://schemas.openxmlformats.org/officeDocument/2006/relationships/hyperlink" Target="http://www.mouser.com/Search/Refine.aspx?Keyword=C2012X5R1V226M125AC%20" TargetMode="External"/><Relationship Id="rId150" Type="http://schemas.openxmlformats.org/officeDocument/2006/relationships/hyperlink" Target="http://www.newark.com/webapp/wcs/stores/servlet/Search?catalogId=15003&amp;langId=-1&amp;storeId=10194&amp;gs=true&amp;st=C2012X5R1V226M125AC%20" TargetMode="External"/><Relationship Id="rId151" Type="http://schemas.openxmlformats.org/officeDocument/2006/relationships/hyperlink" Target="http://it.rs-online.com/web/p/condensatori-ceramici-multistrato/9159334/" TargetMode="External"/><Relationship Id="rId152" Type="http://schemas.openxmlformats.org/officeDocument/2006/relationships/hyperlink" Target="http://www.digikey.com/product-detail/en/yageo/RC0603FR-0722KL/311-22.0KHRCT-ND/730003" TargetMode="External"/><Relationship Id="rId153" Type="http://schemas.openxmlformats.org/officeDocument/2006/relationships/hyperlink" Target="http://it.farnell.com/yageo-phycomp/rc0603fr-0722kl/res-film-spesso-22k-1-0-1w-0603/dp/9238646" TargetMode="External"/><Relationship Id="rId154" Type="http://schemas.openxmlformats.org/officeDocument/2006/relationships/hyperlink" Target="http://www.newark.com/yageo/rc0603fr-0722kl/res-thick-film-22k-1-0-1w-0603/dp/68R0072" TargetMode="External"/><Relationship Id="rId155" Type="http://schemas.openxmlformats.org/officeDocument/2006/relationships/hyperlink" Target="http://www.digikey.com/product-detail/en/taiyo-yuden/LMK316AB7226ML-TR/587-2782-1-ND/2573976" TargetMode="External"/><Relationship Id="rId156" Type="http://schemas.openxmlformats.org/officeDocument/2006/relationships/hyperlink" Target="http://it.farnell.com/taiyo-yuden/lmk316ab7226ml-tr/condensatore-mlcc-x7r-22uf-10v/dp/2112748" TargetMode="External"/><Relationship Id="rId157" Type="http://schemas.openxmlformats.org/officeDocument/2006/relationships/hyperlink" Target="http://www.mouser.com/Search/Refine.aspx?Keyword=LMK316AB7226ML-TR%20" TargetMode="External"/><Relationship Id="rId158" Type="http://schemas.openxmlformats.org/officeDocument/2006/relationships/hyperlink" Target="http://www.newark.com/taiyo-yuden/lmk316ab7226ml-tr/ceramic-capacitor-22uf-10v-x7r/dp/29T3557" TargetMode="External"/><Relationship Id="rId159" Type="http://schemas.openxmlformats.org/officeDocument/2006/relationships/hyperlink" Target="http://www.digikey.com/scripts/DkSearch/dksus.dll?WT.z_header=search_go&amp;lang=en&amp;keywords=67997-216HLF%20" TargetMode="External"/><Relationship Id="rId160" Type="http://schemas.openxmlformats.org/officeDocument/2006/relationships/hyperlink" Target="http://it.farnell.com/webapp/wcs/stores/servlet/Search?catalogId=15001&amp;langId=-4&amp;storeId=10165&amp;gs=true&amp;st=67997-216HLF%20" TargetMode="External"/><Relationship Id="rId161" Type="http://schemas.openxmlformats.org/officeDocument/2006/relationships/hyperlink" Target="http://www.mouser.com/ProductDetail/Amphenol-FCI/67997-216HLF/?qs=sGAEpiMZZMs%252bGHln7q6pm24n0txessAMIHBgst0Rfw8%3D" TargetMode="External"/><Relationship Id="rId162" Type="http://schemas.openxmlformats.org/officeDocument/2006/relationships/hyperlink" Target="http://www.newark.com/webapp/wcs/stores/servlet/Search?catalogId=15003&amp;langId=-1&amp;storeId=10194&amp;gs=true&amp;st=67997-216HLF%20" TargetMode="External"/><Relationship Id="rId163" Type="http://schemas.openxmlformats.org/officeDocument/2006/relationships/hyperlink" Target="http://it.rs-online.com/web/c/?searchTerm=67997-216HLF%20" TargetMode="External"/><Relationship Id="rId164" Type="http://schemas.openxmlformats.org/officeDocument/2006/relationships/hyperlink" Target="http://www.digikey.com/product-detail/en/samsung-electro-mechanics-america-inc/CL21C751JBCNNNC/1276-2691-1-ND/3890777" TargetMode="External"/><Relationship Id="rId165" Type="http://schemas.openxmlformats.org/officeDocument/2006/relationships/hyperlink" Target="http://www.digikey.com/scripts/DkSearch/dksus.dll?WT.z_header=search_go&amp;lang=en&amp;keywords=1803426%20" TargetMode="External"/><Relationship Id="rId166" Type="http://schemas.openxmlformats.org/officeDocument/2006/relationships/hyperlink" Target="http://it.farnell.com/webapp/wcs/stores/servlet/Search?catalogId=15001&amp;langId=-4&amp;storeId=10165&amp;gs=true&amp;st=1803426%20" TargetMode="External"/><Relationship Id="rId167" Type="http://schemas.openxmlformats.org/officeDocument/2006/relationships/hyperlink" Target="http://www.mouser.com/Search/Refine.aspx?Keyword=1803426%20" TargetMode="External"/><Relationship Id="rId168" Type="http://schemas.openxmlformats.org/officeDocument/2006/relationships/hyperlink" Target="http://www.newark.com/webapp/wcs/stores/servlet/Search?catalogId=15003&amp;langId=-1&amp;storeId=10194&amp;gs=true&amp;st=1803426%20" TargetMode="External"/><Relationship Id="rId169" Type="http://schemas.openxmlformats.org/officeDocument/2006/relationships/hyperlink" Target="http://it.rs-online.com/web/c/?searchTerm=1803426%20" TargetMode="External"/><Relationship Id="rId170" Type="http://schemas.openxmlformats.org/officeDocument/2006/relationships/hyperlink" Target="http://www.digikey.com/product-detail/en/bel-fuse-inc/0ZCJ0050AF2E/507-1803-1-ND/4156312" TargetMode="External"/><Relationship Id="rId171" Type="http://schemas.openxmlformats.org/officeDocument/2006/relationships/hyperlink" Target="http://www.digikey.com/product-detail/en/yageo/RC0603JR-070RL/311-0.0GRCT-ND/729622" TargetMode="External"/><Relationship Id="rId172" Type="http://schemas.openxmlformats.org/officeDocument/2006/relationships/hyperlink" Target="http://it.farnell.com/yageo-phycomp/rc0603jr-070rl/res-film-spesso-0r-5-0-1w-0603/dp/9233130" TargetMode="External"/><Relationship Id="rId173" Type="http://schemas.openxmlformats.org/officeDocument/2006/relationships/hyperlink" Target="http://www.mouser.com/Search/Refine.aspx?Keyword=RC0603JR-070RL%20Yageo" TargetMode="External"/><Relationship Id="rId174" Type="http://schemas.openxmlformats.org/officeDocument/2006/relationships/hyperlink" Target="http://www.newark.com/yageo/rc0603jr-070rl/res-thick-film-0r-0-1w-0603/dp/68R0136" TargetMode="External"/><Relationship Id="rId175" Type="http://schemas.openxmlformats.org/officeDocument/2006/relationships/hyperlink" Target="http://www.digikey.com/product-detail/en/murata-electronics-north-america/GRM188R71A225KE15D/490-4520-1-ND/1033279" TargetMode="External"/><Relationship Id="rId176" Type="http://schemas.openxmlformats.org/officeDocument/2006/relationships/hyperlink" Target="http://it.farnell.com/murata/grm188r71a225ke15d/condensatore-mlcc-x7r-2-2uf-10v/dp/1797012" TargetMode="External"/><Relationship Id="rId177" Type="http://schemas.openxmlformats.org/officeDocument/2006/relationships/hyperlink" Target="http://www.mouser.com/Search/Refine.aspx?Keyword=GRM188R71A225KE15D%20" TargetMode="External"/><Relationship Id="rId178" Type="http://schemas.openxmlformats.org/officeDocument/2006/relationships/hyperlink" Target="http://www.newark.com/murata/grm188r71a225ke15d/ceramic-capacitor-2-2uf-10v-x7r/dp/72R4209" TargetMode="External"/><Relationship Id="rId179" Type="http://schemas.openxmlformats.org/officeDocument/2006/relationships/hyperlink" Target="http://it.rs-online.com/web/c/?searchTerm=GRM188R71A225KE15D%20" TargetMode="External"/><Relationship Id="rId180" Type="http://schemas.openxmlformats.org/officeDocument/2006/relationships/hyperlink" Target="http://www.digikey.com/product-detail/en/alpha-omega-semiconductor-inc/AO4805/785-1055-1-ND/1855997" TargetMode="External"/><Relationship Id="rId181" Type="http://schemas.openxmlformats.org/officeDocument/2006/relationships/hyperlink" Target="http://www.digikey.com/product-detail/en/texas-instruments/LM3488MM-NOPB/LM3488MM-NOPBCT-ND/388894" TargetMode="External"/><Relationship Id="rId182" Type="http://schemas.openxmlformats.org/officeDocument/2006/relationships/hyperlink" Target="http://it.farnell.com/texas-instruments/lm3488mm-nopb/ic-n-ch-controller-vssop-8/dp/1469252" TargetMode="External"/><Relationship Id="rId183" Type="http://schemas.openxmlformats.org/officeDocument/2006/relationships/hyperlink" Target="http://www.newark.com/texas-instruments/lm3488mm-nopb/n-channel-controller-vssop-8/dp/41K4832" TargetMode="External"/><Relationship Id="rId184" Type="http://schemas.openxmlformats.org/officeDocument/2006/relationships/hyperlink" Target="http://it.rs-online.com/web/p/controller-cc-cc/5335834/" TargetMode="External"/><Relationship Id="rId185" Type="http://schemas.openxmlformats.org/officeDocument/2006/relationships/hyperlink" Target="http://www.digikey.com/product-detail/en/texas-instruments/SN74LVC1G11IDCKRQ1/296-36722-1-ND/4341449" TargetMode="External"/><Relationship Id="rId186" Type="http://schemas.openxmlformats.org/officeDocument/2006/relationships/hyperlink" Target="http://www.newark.com/webapp/wcs/stores/servlet/Search?catalogId=15003&amp;langId=-1&amp;storeId=10194&amp;gs=true&amp;st=SN74LVC1G11IDCKRQ1%20" TargetMode="External"/><Relationship Id="rId187" Type="http://schemas.openxmlformats.org/officeDocument/2006/relationships/hyperlink" Target="http://www.digikey.com/product-detail/en/murata-electronics-north-america/GRM188R71A225KE15D/490-4520-1-ND/1033279" TargetMode="External"/><Relationship Id="rId188" Type="http://schemas.openxmlformats.org/officeDocument/2006/relationships/hyperlink" Target="http://it.farnell.com/murata/grm188r71a225ke15d/condensatore-mlcc-x7r-2-2uf-10v/dp/1797012" TargetMode="External"/><Relationship Id="rId189" Type="http://schemas.openxmlformats.org/officeDocument/2006/relationships/hyperlink" Target="http://www.newark.com/murata/grm188r71a225ke15d/ceramic-capacitor-2-2uf-10v-x7r/dp/72R4209" TargetMode="External"/><Relationship Id="rId190" Type="http://schemas.openxmlformats.org/officeDocument/2006/relationships/hyperlink" Target="http://it.rs-online.com/web/c/?searchTerm=GRM188R71A225KE15D%20" TargetMode="External"/><Relationship Id="rId191" Type="http://schemas.openxmlformats.org/officeDocument/2006/relationships/hyperlink" Target="http://www.digikey.com/product-detail/en/amphenol-fci/10118194-0001LF/609-4618-1-ND/2785382" TargetMode="External"/><Relationship Id="rId192" Type="http://schemas.openxmlformats.org/officeDocument/2006/relationships/hyperlink" Target="http://it.farnell.com/webapp/wcs/stores/servlet/Search?catalogId=15001&amp;langId=-4&amp;storeId=10165&amp;gs=true&amp;st=10118194-0001LF%20" TargetMode="External"/><Relationship Id="rId193" Type="http://schemas.openxmlformats.org/officeDocument/2006/relationships/hyperlink" Target="http://www.mouser.com/Search/Refine.aspx?Keyword=10118194-0001LF%20" TargetMode="External"/><Relationship Id="rId194" Type="http://schemas.openxmlformats.org/officeDocument/2006/relationships/hyperlink" Target="http://www.newark.com/webapp/wcs/stores/servlet/Search?catalogId=15003&amp;langId=-1&amp;storeId=10194&amp;gs=true&amp;st=10118194-0001LF%20" TargetMode="External"/><Relationship Id="rId195" Type="http://schemas.openxmlformats.org/officeDocument/2006/relationships/hyperlink" Target="http://it.rs-online.com/web/p/connettori-micro-usb/1370996/" TargetMode="External"/><Relationship Id="rId196" Type="http://schemas.openxmlformats.org/officeDocument/2006/relationships/hyperlink" Target="http://www.digikey.com/product-detail/en/yageo/RC0603FR-0710KL/311-10.0KHRCT-ND/729827" TargetMode="External"/><Relationship Id="rId197" Type="http://schemas.openxmlformats.org/officeDocument/2006/relationships/hyperlink" Target="http://it.farnell.com/yageo-phycomp/rc0603fr-0710kl/res-film-spesso-10k-1-0-1w-0603/dp/9238603" TargetMode="External"/><Relationship Id="rId198" Type="http://schemas.openxmlformats.org/officeDocument/2006/relationships/hyperlink" Target="http://www.newark.com/yageo/rc0603fr-0710kl/res-thick-film-10k-1-0-1w-0603/dp/68R0049" TargetMode="External"/><Relationship Id="rId199" Type="http://schemas.openxmlformats.org/officeDocument/2006/relationships/hyperlink" Target="http://www.digikey.com/product-detail/en/yageo/RC0603FR-078K87L/311-8.87KHRCT-ND/730341" TargetMode="External"/><Relationship Id="rId200" Type="http://schemas.openxmlformats.org/officeDocument/2006/relationships/hyperlink" Target="http://www.newark.com/webapp/wcs/stores/servlet/Search?catalogId=15003&amp;langId=-1&amp;storeId=10194&amp;gs=true&amp;st=RC0603FR-078K87L%20Yageo" TargetMode="External"/><Relationship Id="rId201" Type="http://schemas.openxmlformats.org/officeDocument/2006/relationships/hyperlink" Target="http://www.digikey.com/product-detail/en/murata-electronics-north-america/GRM188R71E184KA88D/490-6431-1-ND/3845628" TargetMode="External"/><Relationship Id="rId202" Type="http://schemas.openxmlformats.org/officeDocument/2006/relationships/hyperlink" Target="http://www.newark.com/kemet/c0603c184k3ractu/cap-mlcc-x7r-0-18uf-25v-0603/dp/12AC0589?rpsku=rel3%3AGRM188R71E184KA88D" TargetMode="External"/><Relationship Id="rId203" Type="http://schemas.openxmlformats.org/officeDocument/2006/relationships/hyperlink" Target="http://it.rs-online.com/web/c/?searchTerm=GRM188R71E184KA88D%20" TargetMode="External"/><Relationship Id="rId204" Type="http://schemas.openxmlformats.org/officeDocument/2006/relationships/hyperlink" Target="http://www.digikey.com/product-detail/en/yageo/RC0603FR-07100RL/311-100HRCT-ND/729835" TargetMode="External"/><Relationship Id="rId205" Type="http://schemas.openxmlformats.org/officeDocument/2006/relationships/hyperlink" Target="http://it.farnell.com/yageo-phycomp/rc0603fr-07100rl/res-film-spesso-100r-1-0-1w-0603/dp/9238360" TargetMode="External"/><Relationship Id="rId206" Type="http://schemas.openxmlformats.org/officeDocument/2006/relationships/hyperlink" Target="http://www.newark.com/yageo/rc0603fr-07100rl/res-thick-film-100r-1-0-1w-0603/dp/68R0052" TargetMode="External"/><Relationship Id="rId207" Type="http://schemas.openxmlformats.org/officeDocument/2006/relationships/hyperlink" Target="http://www.digikey.com/product-detail/en/yageo/RC0603FR-071KL/311-1.00KHRCT-ND/729790" TargetMode="External"/><Relationship Id="rId208" Type="http://schemas.openxmlformats.org/officeDocument/2006/relationships/hyperlink" Target="http://it.farnell.com/yageo-phycomp/rc0603fr-071kl/res-film-spesso-1k-1-0-1w-0603/dp/9238484" TargetMode="External"/><Relationship Id="rId209" Type="http://schemas.openxmlformats.org/officeDocument/2006/relationships/hyperlink" Target="http://www.newark.com/yageo/rc0603fr-071kl/res-thick-film-1k-1-0-1w-0603/dp/66R1908" TargetMode="External"/><Relationship Id="rId210" Type="http://schemas.openxmlformats.org/officeDocument/2006/relationships/hyperlink" Target="http://www.digikey.com/product-detail/en/texas-instruments/SN74ACT08PWR/296-4355-1-ND/375384" TargetMode="External"/><Relationship Id="rId211" Type="http://schemas.openxmlformats.org/officeDocument/2006/relationships/hyperlink" Target="http://it.farnell.com/texas-instruments/sn74act08pwr/ic-quadgate-2i-p-tssop-14/dp/2342462" TargetMode="External"/><Relationship Id="rId212" Type="http://schemas.openxmlformats.org/officeDocument/2006/relationships/hyperlink" Target="http://www.mouser.com/ProductDetail/Texas-Instruments/SN74ACT08PWR/?qs=sGAEpiMZZMtMa9lbYwD6ZFYFPHiRKj8U3xKM6KJoIfw%3D" TargetMode="External"/><Relationship Id="rId213" Type="http://schemas.openxmlformats.org/officeDocument/2006/relationships/hyperlink" Target="http://www.newark.com/texas-instruments/sn74act08pwr/and-gate-quad-2-i-p-tssop-14/dp/01X3043" TargetMode="External"/><Relationship Id="rId214" Type="http://schemas.openxmlformats.org/officeDocument/2006/relationships/hyperlink" Target="http://www.digikey.com/product-detail/en/taiyo-yuden/GMK316AB7106KL-TR/587-3007-1-ND/2763378" TargetMode="External"/><Relationship Id="rId215" Type="http://schemas.openxmlformats.org/officeDocument/2006/relationships/hyperlink" Target="http://it.farnell.com/taiyo-yuden/gmk316ab7106kl-tr/condensatore-mlcc-x7r-10uf-35v/dp/2309034" TargetMode="External"/><Relationship Id="rId216" Type="http://schemas.openxmlformats.org/officeDocument/2006/relationships/hyperlink" Target="http://www.newark.com/taiyo-yuden/gmk316ab7106kl-tr/capacitor-mlcc-1206-10uf-35v-10/dp/79T5772" TargetMode="External"/><Relationship Id="rId217" Type="http://schemas.openxmlformats.org/officeDocument/2006/relationships/hyperlink" Target="http://it.rs-online.com/web/c/?searchTerm=GMK316AB7106KL-TR%20" TargetMode="External"/><Relationship Id="rId218" Type="http://schemas.openxmlformats.org/officeDocument/2006/relationships/hyperlink" Target="http://www.digikey.com/product-detail/en/fairchild-on-semiconductor/SS16/SS16FSCT-ND/2053174" TargetMode="External"/><Relationship Id="rId219" Type="http://schemas.openxmlformats.org/officeDocument/2006/relationships/hyperlink" Target="http://it.farnell.com/fairchild-semiconductor/ss16/diodo-schottky-1a-smd-do-214/dp/1470972RL" TargetMode="External"/><Relationship Id="rId220" Type="http://schemas.openxmlformats.org/officeDocument/2006/relationships/hyperlink" Target="http://www.mouser.com/ProductDetail/ON-Semiconductor-Fairchild/SS16/?qs=sGAEpiMZZMv%252bkWzvOmGqmhmSPsSSKOX2" TargetMode="External"/><Relationship Id="rId221" Type="http://schemas.openxmlformats.org/officeDocument/2006/relationships/hyperlink" Target="http://www.newark.com/multicomp/ss16/schottky-diode-1a-60v-sma/dp/90R9177" TargetMode="External"/><Relationship Id="rId222" Type="http://schemas.openxmlformats.org/officeDocument/2006/relationships/hyperlink" Target="http://it.rs-online.com/web/p/diodi-rettificatori-e-schottky/6527595/" TargetMode="External"/><Relationship Id="rId223" Type="http://schemas.openxmlformats.org/officeDocument/2006/relationships/hyperlink" Target="http://www.digikey.com/product-detail/en/texas-instruments/SN74LVC00APWR/296-1216-1-ND/276484" TargetMode="External"/><Relationship Id="rId224" Type="http://schemas.openxmlformats.org/officeDocument/2006/relationships/hyperlink" Target="http://it.farnell.com/texas-instruments/sn74lvc00apwr/ic-74lvc-smd-74lvc00-tssop14/dp/1105931" TargetMode="External"/><Relationship Id="rId225" Type="http://schemas.openxmlformats.org/officeDocument/2006/relationships/hyperlink" Target="http://www.mouser.com/ProductDetail/Texas-Instruments/SN74LVC00APWR/?qs=sGAEpiMZZMtMa9lbYwD6ZHl%252bb36l%252bC4RYsTKpwnZPts%3D" TargetMode="External"/><Relationship Id="rId226" Type="http://schemas.openxmlformats.org/officeDocument/2006/relationships/hyperlink" Target="http://www.newark.com/texas-instruments/sn74lvc00apwr/ic-74lvc-smd-74lvc00-tssop14/dp/24M7585" TargetMode="External"/><Relationship Id="rId227" Type="http://schemas.openxmlformats.org/officeDocument/2006/relationships/hyperlink" Target="http://it.rs-online.com/web/c/?searchTerm=SN74LVC00APWR%20" TargetMode="External"/><Relationship Id="rId228" Type="http://schemas.openxmlformats.org/officeDocument/2006/relationships/hyperlink" Target="http://www.digikey.com/product-detail/en/taiyo-yuden/UMK212B7105KG-T/587-2910-1-ND/2649030" TargetMode="External"/><Relationship Id="rId229" Type="http://schemas.openxmlformats.org/officeDocument/2006/relationships/hyperlink" Target="http://www.newark.com/taiyo-yuden/umk212b7105kg-t/ceramic-capacitor-1uf-50v-x7r/dp/47T1712" TargetMode="External"/><Relationship Id="rId230" Type="http://schemas.openxmlformats.org/officeDocument/2006/relationships/hyperlink" Target="http://it.rs-online.com/web/p/condensatori-ceramici-multistrato/7583448P/" TargetMode="External"/><Relationship Id="rId231" Type="http://schemas.openxmlformats.org/officeDocument/2006/relationships/hyperlink" Target="http://www.digikey.com/product-detail/en/yageo/RC0603FR-0768K1L/311-68.1KHRCT-ND/730301" TargetMode="External"/><Relationship Id="rId232" Type="http://schemas.openxmlformats.org/officeDocument/2006/relationships/hyperlink" Target="http://www.mouser.com/ProductDetail/Yageo/RC0603FR-0768K1L/?qs=sGAEpiMZZMu61qfTUdNhG5eFuApKbqVdQXPgB42J6q8%3D" TargetMode="External"/><Relationship Id="rId233" Type="http://schemas.openxmlformats.org/officeDocument/2006/relationships/hyperlink" Target="http://www.newark.com/webapp/wcs/stores/servlet/Search?catalogId=15003&amp;langId=-1&amp;storeId=10194&amp;gs=true&amp;st=RC0603FR-0768K1L%20Yageo" TargetMode="External"/><Relationship Id="rId234" Type="http://schemas.openxmlformats.org/officeDocument/2006/relationships/hyperlink" Target="http://www.digikey.com/scripts/DkSearch/dksus.dll?WT.z_header=search_go&amp;lang=en&amp;keywords=1803439%20" TargetMode="External"/><Relationship Id="rId235" Type="http://schemas.openxmlformats.org/officeDocument/2006/relationships/hyperlink" Target="http://it.farnell.com/samtec/tmm-106-01-l-s/header-2-0mm-1x6way/dp/1803439" TargetMode="External"/><Relationship Id="rId236" Type="http://schemas.openxmlformats.org/officeDocument/2006/relationships/hyperlink" Target="http://www.newark.com/webapp/wcs/stores/servlet/Search?catalogId=15003&amp;langId=-1&amp;storeId=10194&amp;gs=true&amp;st=1803439%20" TargetMode="External"/><Relationship Id="rId237" Type="http://schemas.openxmlformats.org/officeDocument/2006/relationships/hyperlink" Target="http://it.rs-online.com/web/c/?searchTerm=1803439%20" TargetMode="External"/><Relationship Id="rId238" Type="http://schemas.openxmlformats.org/officeDocument/2006/relationships/hyperlink" Target="http://www.digikey.com/scripts/DkSearch/dksus.dll?WT.z_header=search_go&amp;lang=en&amp;keywords=1803468%20" TargetMode="External"/><Relationship Id="rId239" Type="http://schemas.openxmlformats.org/officeDocument/2006/relationships/hyperlink" Target="http://it.farnell.com/samtec/tmm-105-02-t-d/header-2-0mm-2x5-vie/dp/1803468" TargetMode="External"/><Relationship Id="rId240" Type="http://schemas.openxmlformats.org/officeDocument/2006/relationships/hyperlink" Target="http://www.newark.com/webapp/wcs/stores/servlet/Search?catalogId=15003&amp;langId=-1&amp;storeId=10194&amp;gs=true&amp;st=1803468%20" TargetMode="External"/><Relationship Id="rId241" Type="http://schemas.openxmlformats.org/officeDocument/2006/relationships/hyperlink" Target="http://it.rs-online.com/web/c/?searchTerm=1803468%20" TargetMode="External"/><Relationship Id="rId242" Type="http://schemas.openxmlformats.org/officeDocument/2006/relationships/hyperlink" Target="http://www.digikey.com/product-detail/en/murata-electronics-north-america/GRM188R71H102KA01D/490-1494-1-ND/587851" TargetMode="External"/><Relationship Id="rId243" Type="http://schemas.openxmlformats.org/officeDocument/2006/relationships/hyperlink" Target="http://it.farnell.com/murata/grm188r71h102ka01d/cond-mlcc-x7r-1000pf-50v-0603/dp/2408525" TargetMode="External"/><Relationship Id="rId244" Type="http://schemas.openxmlformats.org/officeDocument/2006/relationships/hyperlink" Target="http://www.mouser.com/Search/Refine.aspx?Keyword=GRM188R71H102KA01D%20" TargetMode="External"/><Relationship Id="rId245" Type="http://schemas.openxmlformats.org/officeDocument/2006/relationships/hyperlink" Target="http://www.newark.com/murata/grm188r71h102ka01d/capacitor-ceramic-1000pf-50v-x7r/dp/38K1668" TargetMode="External"/><Relationship Id="rId246" Type="http://schemas.openxmlformats.org/officeDocument/2006/relationships/hyperlink" Target="http://it.rs-online.com/web/c/?searchTerm=GRM188R71H102KA01D%20" TargetMode="External"/><Relationship Id="rId247" Type="http://schemas.openxmlformats.org/officeDocument/2006/relationships/hyperlink" Target="http://www.digikey.com/product-detail/en/yageo/RC0603FR-0715K4L/311-15.4KHRCT-ND/729902" TargetMode="External"/><Relationship Id="rId248" Type="http://schemas.openxmlformats.org/officeDocument/2006/relationships/hyperlink" Target="http://www.mouser.com/ProductDetail/Yageo/RC0603FR-0715K4L/?qs=sGAEpiMZZMu61qfTUdNhG5eFuApKbqVddwdqBB6Otg4%3D" TargetMode="External"/><Relationship Id="rId249" Type="http://schemas.openxmlformats.org/officeDocument/2006/relationships/hyperlink" Target="http://www.newark.com/webapp/wcs/stores/servlet/Search?catalogId=15003&amp;langId=-1&amp;storeId=10194&amp;gs=true&amp;st=RC0603FR-0715K4L%20Yageo" TargetMode="External"/><Relationship Id="rId250" Type="http://schemas.openxmlformats.org/officeDocument/2006/relationships/hyperlink" Target="http://www.digikey.com/product-detail/en/yageo/RC0603FR-071KL/311-1.00KHRCT-ND/729790" TargetMode="External"/><Relationship Id="rId251" Type="http://schemas.openxmlformats.org/officeDocument/2006/relationships/hyperlink" Target="http://it.farnell.com/yageo-phycomp/rc0603fr-071kl/res-film-spesso-1k-1-0-1w-0603/dp/9238484" TargetMode="External"/><Relationship Id="rId252" Type="http://schemas.openxmlformats.org/officeDocument/2006/relationships/hyperlink" Target="http://www.mouser.com/Search/Refine.aspx?Keyword=RC0603FR-071KL%20Yageo" TargetMode="External"/><Relationship Id="rId253" Type="http://schemas.openxmlformats.org/officeDocument/2006/relationships/hyperlink" Target="http://www.newark.com/yageo/rc0603fr-071kl/res-thick-film-1k-1-0-1w-0603/dp/66R1908" TargetMode="External"/><Relationship Id="rId254" Type="http://schemas.openxmlformats.org/officeDocument/2006/relationships/hyperlink" Target="http://www.digikey.com/product-detail/en/murata-electronics-north-america/GRM31CR71H475KA12L/490-6521-1-ND/3845718" TargetMode="External"/><Relationship Id="rId255" Type="http://schemas.openxmlformats.org/officeDocument/2006/relationships/hyperlink" Target="http://it.farnell.com/murata/grm31cr71h475ka12l/condensatore-mlcc-x7r-4-7uf-50v/dp/1735545" TargetMode="External"/><Relationship Id="rId256" Type="http://schemas.openxmlformats.org/officeDocument/2006/relationships/hyperlink" Target="http://www.mouser.com/Search/Refine.aspx?Keyword=GRM31CR71H475KA12L%20" TargetMode="External"/><Relationship Id="rId257" Type="http://schemas.openxmlformats.org/officeDocument/2006/relationships/hyperlink" Target="http://www.newark.com/murata/grm31cr71h475ka12l/ceramic-capacitor-4-7uf-50v-x7r/dp/24R6347" TargetMode="External"/><Relationship Id="rId258" Type="http://schemas.openxmlformats.org/officeDocument/2006/relationships/hyperlink" Target="http://it.rs-online.com/web/c/?searchTerm=GRM31CR71H475KA12L%20" TargetMode="External"/><Relationship Id="rId259" Type="http://schemas.openxmlformats.org/officeDocument/2006/relationships/hyperlink" Target="http://www.digikey.com/product-detail/en/murata-electronics-north-america/GRM31CR71H225KA88L/490-3367-1-ND/702908" TargetMode="External"/><Relationship Id="rId260" Type="http://schemas.openxmlformats.org/officeDocument/2006/relationships/hyperlink" Target="http://it.farnell.com/murata/grm31cr71h225ka88l/condensatore-mlcc-x7r-2-2uf-50v/dp/1797017" TargetMode="External"/><Relationship Id="rId261" Type="http://schemas.openxmlformats.org/officeDocument/2006/relationships/hyperlink" Target="http://www.mouser.com/Search/Refine.aspx?Keyword=GRM31CR71H225KA88L%20" TargetMode="External"/><Relationship Id="rId262" Type="http://schemas.openxmlformats.org/officeDocument/2006/relationships/hyperlink" Target="http://www.newark.com/murata/grm31cr71h225ka88l/ceramic-capacitor-2-2uf-50v-x7r/dp/72R4215" TargetMode="External"/><Relationship Id="rId263" Type="http://schemas.openxmlformats.org/officeDocument/2006/relationships/hyperlink" Target="http://it.rs-online.com/web/p/condensatori-ceramici-multistrato/7900626/" TargetMode="External"/><Relationship Id="rId264" Type="http://schemas.openxmlformats.org/officeDocument/2006/relationships/hyperlink" Target="http://www.digikey.com/product-detail/en/stmicroelectronics/STM32F405RGT6/497-11767-ND/2754208" TargetMode="External"/><Relationship Id="rId265" Type="http://schemas.openxmlformats.org/officeDocument/2006/relationships/hyperlink" Target="http://it.farnell.com/stmicroelectronics/stm32f405rgt6/mcu-32bit-cortex-m4-168mhz-lqfp/dp/2064363" TargetMode="External"/><Relationship Id="rId266" Type="http://schemas.openxmlformats.org/officeDocument/2006/relationships/hyperlink" Target="http://www.mouser.com/ProductDetail/STMicroelectronics/STM32F405RGT6/?qs=sGAEpiMZZMv%2FbGM7XKYHKw08UF8YuIh3" TargetMode="External"/><Relationship Id="rId267" Type="http://schemas.openxmlformats.org/officeDocument/2006/relationships/hyperlink" Target="http://www.newark.com/stmicroelectronics/stm32f405rgt6/microcontroller-mcu-32-bit-cortex/dp/73T2329" TargetMode="External"/><Relationship Id="rId268" Type="http://schemas.openxmlformats.org/officeDocument/2006/relationships/hyperlink" Target="http://it.rs-online.com/web/p/microcontroller/7468217/" TargetMode="External"/><Relationship Id="rId269" Type="http://schemas.openxmlformats.org/officeDocument/2006/relationships/hyperlink" Target="http://www.digikey.com/product-detail/en/yageo/RC0603FR-074K7L/311-4.70KHRCT-ND/730159" TargetMode="External"/><Relationship Id="rId270" Type="http://schemas.openxmlformats.org/officeDocument/2006/relationships/hyperlink" Target="http://it.farnell.com/yageo/rc0603fr-074k7l/res-thick-film-4k7-1-0-1w-0603/dp/2363478" TargetMode="External"/><Relationship Id="rId271" Type="http://schemas.openxmlformats.org/officeDocument/2006/relationships/hyperlink" Target="http://www.mouser.com/Search/Refine.aspx?Keyword=RC0603FR-074K7L%20Yageo" TargetMode="External"/><Relationship Id="rId272" Type="http://schemas.openxmlformats.org/officeDocument/2006/relationships/hyperlink" Target="http://www.newark.com/yageo/rc0603fr-074k7l/res-thick-film-4k7-1-0-1w-0603/dp/68R0092" TargetMode="External"/><Relationship Id="rId273" Type="http://schemas.openxmlformats.org/officeDocument/2006/relationships/hyperlink" Target="http://www.digikey.com/product-detail/en/lite-on-inc/LTST-C191KGKT/160-1446-1-ND/386834" TargetMode="External"/><Relationship Id="rId274" Type="http://schemas.openxmlformats.org/officeDocument/2006/relationships/hyperlink" Target="http://www.mouser.com/Search/Refine.aspx?Keyword=LTST-C191KGKT%20" TargetMode="External"/><Relationship Id="rId275" Type="http://schemas.openxmlformats.org/officeDocument/2006/relationships/hyperlink" Target="http://www.newark.com/webapp/wcs/stores/servlet/Search?catalogId=15003&amp;langId=-1&amp;storeId=10194&amp;gs=true&amp;st=LTST-C191KGKT%20" TargetMode="External"/><Relationship Id="rId276" Type="http://schemas.openxmlformats.org/officeDocument/2006/relationships/hyperlink" Target="http://it.rs-online.com/web/c/?searchTerm=LTST-C191KGKT%20Lite-On%20Inc." TargetMode="External"/><Relationship Id="rId277" Type="http://schemas.openxmlformats.org/officeDocument/2006/relationships/hyperlink" Target="http://www.digikey.com/product-detail/en/samsung-electro-mechanics-america-inc/CL21C751JBCNNNC/1276-2691-1-ND/3890777" TargetMode="External"/><Relationship Id="rId278" Type="http://schemas.openxmlformats.org/officeDocument/2006/relationships/hyperlink" Target="http://www.digikey.com/scripts/DkSearch/dksus.dll?WT.z_header=search_go&amp;lang=en&amp;keywords=B4B-PH-K-S%28LF%29%28SN%29%20" TargetMode="External"/><Relationship Id="rId279" Type="http://schemas.openxmlformats.org/officeDocument/2006/relationships/hyperlink" Target="http://it.farnell.com/webapp/wcs/stores/servlet/Search?catalogId=15001&amp;langId=-4&amp;storeId=10165&amp;gs=true&amp;st=B4B-PH-K-S%28LF%29%28SN%29%20" TargetMode="External"/><Relationship Id="rId280" Type="http://schemas.openxmlformats.org/officeDocument/2006/relationships/hyperlink" Target="http://www.mouser.com/ProductDetail/JST-Automotive/B4B-PH-K-S-LFSNP/?qs=sGAEpiMZZMs7eK6h2EBtKliNAMvvK%252btjsVmBQvFTnqo%3D" TargetMode="External"/><Relationship Id="rId281" Type="http://schemas.openxmlformats.org/officeDocument/2006/relationships/hyperlink" Target="http://www.newark.com/webapp/wcs/stores/servlet/Search?catalogId=15003&amp;langId=-1&amp;storeId=10194&amp;gs=true&amp;st=B4B-PH-K-S%28LF%29%28SN%29%20" TargetMode="External"/><Relationship Id="rId282" Type="http://schemas.openxmlformats.org/officeDocument/2006/relationships/hyperlink" Target="http://it.rs-online.com/web/p/file-di-contatti-da-pcb/8201434/" TargetMode="External"/><Relationship Id="rId283" Type="http://schemas.openxmlformats.org/officeDocument/2006/relationships/hyperlink" Target="http://www.digikey.com/product-detail/en/nexperia-usa-inc/2N7002PW,115/1727-4793-1-ND/2531274" TargetMode="External"/><Relationship Id="rId284" Type="http://schemas.openxmlformats.org/officeDocument/2006/relationships/hyperlink" Target="http://www.mouser.com/Search/Refine.aspx?Keyword=2N7002PW%2C115%20" TargetMode="External"/><Relationship Id="rId285" Type="http://schemas.openxmlformats.org/officeDocument/2006/relationships/hyperlink" Target="http://www.newark.com/nexperia/2n7002pw-115/mosfet-transistor-n-channel-310/dp/72R6770?iscrfnonsku=true" TargetMode="External"/><Relationship Id="rId286" Type="http://schemas.openxmlformats.org/officeDocument/2006/relationships/hyperlink" Target="http://www.digikey.com/product-detail/en/infineon-technologies/BSC340N08NS3GATMA1/BSC340N08NS3GATMA1CT-ND/2231044" TargetMode="External"/><Relationship Id="rId287" Type="http://schemas.openxmlformats.org/officeDocument/2006/relationships/hyperlink" Target="http://it.farnell.com/webapp/wcs/stores/servlet/Search?catalogId=15001&amp;langId=-4&amp;storeId=10165&amp;gs=true&amp;st=BSC340N08NS3GATMA1%20" TargetMode="External"/><Relationship Id="rId288" Type="http://schemas.openxmlformats.org/officeDocument/2006/relationships/hyperlink" Target="http://www.mouser.com/ProductDetail/Infineon-Technologies/BSC340N08NS3GATMA1/?qs=sGAEpiMZZMshyDBzk1%2FWi4lI00SCTc04ssenWcCvr3w%3D" TargetMode="External"/><Relationship Id="rId289" Type="http://schemas.openxmlformats.org/officeDocument/2006/relationships/hyperlink" Target="http://www.newark.com/webapp/wcs/stores/servlet/Search?catalogId=15003&amp;langId=-1&amp;storeId=10194&amp;gs=true&amp;st=BSC340N08NS3GATMA1%20" TargetMode="External"/><Relationship Id="rId290" Type="http://schemas.openxmlformats.org/officeDocument/2006/relationships/hyperlink" Target="http://www.digikey.com/product-detail/en/lite-on-inc/LTST-C191KRKT/160-1447-1-ND/386836" TargetMode="External"/><Relationship Id="rId291" Type="http://schemas.openxmlformats.org/officeDocument/2006/relationships/hyperlink" Target="http://www.mouser.com/Search/Refine.aspx?Keyword=LTST-C191KRKT%20" TargetMode="External"/><Relationship Id="rId292" Type="http://schemas.openxmlformats.org/officeDocument/2006/relationships/hyperlink" Target="http://it.rs-online.com/web/c/?searchTerm=LTST-C191KRKT%20Lite-On%20Inc." TargetMode="External"/><Relationship Id="rId293" Type="http://schemas.openxmlformats.org/officeDocument/2006/relationships/hyperlink" Target="http://www.digikey.com/scripts/DkSearch/dksus.dll?WT.z_header=search_go&amp;lang=en&amp;keywords=1803439%20" TargetMode="External"/><Relationship Id="rId294" Type="http://schemas.openxmlformats.org/officeDocument/2006/relationships/hyperlink" Target="http://it.farnell.com/samtec/tmm-106-01-l-s/header-2-0mm-1x6way/dp/1803439" TargetMode="External"/><Relationship Id="rId295" Type="http://schemas.openxmlformats.org/officeDocument/2006/relationships/hyperlink" Target="http://www.mouser.com/Search/Refine.aspx?Keyword=1803439%20" TargetMode="External"/><Relationship Id="rId296" Type="http://schemas.openxmlformats.org/officeDocument/2006/relationships/hyperlink" Target="http://www.newark.com/webapp/wcs/stores/servlet/Search?catalogId=15003&amp;langId=-1&amp;storeId=10194&amp;gs=true&amp;st=1803439%20" TargetMode="External"/><Relationship Id="rId297" Type="http://schemas.openxmlformats.org/officeDocument/2006/relationships/hyperlink" Target="http://it.rs-online.com/web/c/?searchTerm=1803439%20" TargetMode="External"/><Relationship Id="rId298" Type="http://schemas.openxmlformats.org/officeDocument/2006/relationships/hyperlink" Target="http://www.digikey.com/product-detail/en/smc-diode-solutions/30BQ100TR/1655-1389-1-ND/6022834" TargetMode="External"/><Relationship Id="rId299" Type="http://schemas.openxmlformats.org/officeDocument/2006/relationships/hyperlink" Target="http://it.farnell.com/webapp/wcs/stores/servlet/Search?catalogId=15001&amp;langId=-4&amp;storeId=10165&amp;gs=true&amp;st=30BQ100TR%20" TargetMode="External"/><Relationship Id="rId300" Type="http://schemas.openxmlformats.org/officeDocument/2006/relationships/hyperlink" Target="http://www.mouser.com/ProductDetail/Vishay-Semiconductors/30BQ100TR/?qs=sGAEpiMZZMtQ8nqTKtFS%2FJprle8Jw5aCGUnKqRt19Aw%3D" TargetMode="External"/><Relationship Id="rId301" Type="http://schemas.openxmlformats.org/officeDocument/2006/relationships/hyperlink" Target="http://www.digikey.com/product-detail/en/kemet/C0603C101J5GACTU/399-1061-1-ND/411336" TargetMode="External"/><Relationship Id="rId302" Type="http://schemas.openxmlformats.org/officeDocument/2006/relationships/hyperlink" Target="http://it.farnell.com/kemet/c0603c101j5gactu/conden-mlcc-c0g-np0-100pf-50v/dp/1414603" TargetMode="External"/><Relationship Id="rId303" Type="http://schemas.openxmlformats.org/officeDocument/2006/relationships/hyperlink" Target="http://www.mouser.com/ProductDetail/KEMET/C0603C101J5GACTU/?qs=sGAEpiMZZMs0AnBnWHyRQJxdEn2F2BG1VF1Ewm2YKBI%3D" TargetMode="External"/><Relationship Id="rId304" Type="http://schemas.openxmlformats.org/officeDocument/2006/relationships/hyperlink" Target="http://www.newark.com/kemet/c0603c101j5gactu/ceramic-capacitor-100pf-50v-c0g/dp/64K2833" TargetMode="External"/><Relationship Id="rId305" Type="http://schemas.openxmlformats.org/officeDocument/2006/relationships/hyperlink" Target="http://it.rs-online.com/web/c/?searchTerm=C0603C101J5GACTU%20" TargetMode="External"/><Relationship Id="rId306" Type="http://schemas.openxmlformats.org/officeDocument/2006/relationships/hyperlink" Target="http://www.digikey.com/product-detail/en/yageo/RC0603FR-0733K2L/311-33.2KHRCT-ND/730108" TargetMode="External"/><Relationship Id="rId307" Type="http://schemas.openxmlformats.org/officeDocument/2006/relationships/hyperlink" Target="http://www.mouser.com/ProductDetail/Yageo/RC0603FR-0733K2L/?qs=sGAEpiMZZMu61qfTUdNhG5eFuApKbqVdQytJjX%2FQECo%3D" TargetMode="External"/><Relationship Id="rId308" Type="http://schemas.openxmlformats.org/officeDocument/2006/relationships/hyperlink" Target="http://www.newark.com/webapp/wcs/stores/servlet/Search?catalogId=15003&amp;langId=-1&amp;storeId=10194&amp;gs=true&amp;st=RC0603FR-0733K2L%20Yageo" TargetMode="External"/><Relationship Id="rId309" Type="http://schemas.openxmlformats.org/officeDocument/2006/relationships/hyperlink" Target="http://www.digikey.com/product-detail/en/murata-electronics-north-america/GRM188R71E104KA01D/490-1524-1-ND/587865" TargetMode="External"/><Relationship Id="rId310" Type="http://schemas.openxmlformats.org/officeDocument/2006/relationships/hyperlink" Target="http://it.farnell.com/murata/grm188r71e104ka01d/cond-mlcc-x7r-0-1uf-25v-0603-bobina/dp/2666513" TargetMode="External"/><Relationship Id="rId311" Type="http://schemas.openxmlformats.org/officeDocument/2006/relationships/hyperlink" Target="http://www.mouser.com/Search/Refine.aspx?Keyword=GRM188R71E104KA01D%20" TargetMode="External"/><Relationship Id="rId312" Type="http://schemas.openxmlformats.org/officeDocument/2006/relationships/hyperlink" Target="http://www.newark.com/murata/grm188r71e104ka01d/capacitor-ceramic-0-1uf-10-25v/dp/14T3317" TargetMode="External"/><Relationship Id="rId313" Type="http://schemas.openxmlformats.org/officeDocument/2006/relationships/hyperlink" Target="http://it.rs-online.com/web/c/?searchTerm=GRM188R71E104KA01D%20" TargetMode="External"/><Relationship Id="rId314" Type="http://schemas.openxmlformats.org/officeDocument/2006/relationships/hyperlink" Target="http://www.digikey.com/product-detail/en/murata-electronics-north-america/GCM1885C1H150JA16D/490-4957-1-ND/1765276" TargetMode="External"/><Relationship Id="rId315" Type="http://schemas.openxmlformats.org/officeDocument/2006/relationships/hyperlink" Target="http://www.mouser.com/Search/Refine.aspx?Keyword=GCM1885C1H150JA16D%20" TargetMode="External"/><Relationship Id="rId316" Type="http://schemas.openxmlformats.org/officeDocument/2006/relationships/hyperlink" Target="http://it.rs-online.com/web/c/?searchTerm=GCM1885C1H150JA16D%20" TargetMode="External"/><Relationship Id="rId317" Type="http://schemas.openxmlformats.org/officeDocument/2006/relationships/hyperlink" Target="http://www.digikey.com/product-detail/en/toshiba-semiconductor-and-storage/TBAT54S,LM/TBAT54SLMCT-ND/6109133" TargetMode="External"/><Relationship Id="rId318" Type="http://schemas.openxmlformats.org/officeDocument/2006/relationships/hyperlink" Target="http://www.mouser.com/Search/Refine.aspx?Keyword=TBAT54S%2CLM%20" TargetMode="External"/><Relationship Id="rId319" Type="http://schemas.openxmlformats.org/officeDocument/2006/relationships/hyperlink" Target="http://www.digikey.com/product-detail/en/kemet/C0603C121F5GACTU/399-7850-1-ND/3471573" TargetMode="External"/><Relationship Id="rId320" Type="http://schemas.openxmlformats.org/officeDocument/2006/relationships/hyperlink" Target="http://it.farnell.com/kemet/c0603c121f5gactu/cond-c0g-np0-120pf-50v-0603/dp/2581047" TargetMode="External"/><Relationship Id="rId321" Type="http://schemas.openxmlformats.org/officeDocument/2006/relationships/hyperlink" Target="http://www.mouser.com/ProductDetail/KEMET/C0603C121F5GACTU/?qs=sGAEpiMZZMs0AnBnWHyRQFqPnX0OlvcorV%2FRIpLioiY%3D" TargetMode="External"/><Relationship Id="rId322" Type="http://schemas.openxmlformats.org/officeDocument/2006/relationships/hyperlink" Target="http://www.newark.com/kemet/c0603c121f5gactu/mlcc-capacitor-120pf-50v-c0g-1/dp/07X0763" TargetMode="External"/><Relationship Id="rId323" Type="http://schemas.openxmlformats.org/officeDocument/2006/relationships/hyperlink" Target="http://it.rs-online.com/web/c/?searchTerm=C0603C121F5GACTU%20KEMET" TargetMode="External"/><Relationship Id="rId324" Type="http://schemas.openxmlformats.org/officeDocument/2006/relationships/hyperlink" Target="http://www.digikey.com/product-detail/en/lite-on-inc/LTST-C191KRKT/160-1447-1-ND/386836" TargetMode="External"/><Relationship Id="rId325" Type="http://schemas.openxmlformats.org/officeDocument/2006/relationships/hyperlink" Target="http://www.mouser.com/Search/Refine.aspx?Keyword=LTST-C191KRKT%20" TargetMode="External"/><Relationship Id="rId326" Type="http://schemas.openxmlformats.org/officeDocument/2006/relationships/hyperlink" Target="http://it.rs-online.com/web/c/?searchTerm=LTST-C191KRKT%20Lite-On%20Inc." TargetMode="External"/><Relationship Id="rId327" Type="http://schemas.openxmlformats.org/officeDocument/2006/relationships/hyperlink" Target="http://www.digikey.com/product-detail/en/vishay-sprague/593D475X9050D2TE3/718-1107-1-ND/1559601" TargetMode="External"/><Relationship Id="rId328" Type="http://schemas.openxmlformats.org/officeDocument/2006/relationships/hyperlink" Target="http://it.farnell.com/webapp/wcs/stores/servlet/Search?catalogId=15001&amp;langId=-4&amp;storeId=10165&amp;gs=true&amp;st=593D475X9050D2TE3%20" TargetMode="External"/><Relationship Id="rId329" Type="http://schemas.openxmlformats.org/officeDocument/2006/relationships/hyperlink" Target="http://www.mouser.com/Search/Refine.aspx?Keyword=593D475X9050D2TE3%20" TargetMode="External"/><Relationship Id="rId330" Type="http://schemas.openxmlformats.org/officeDocument/2006/relationships/hyperlink" Target="http://www.newark.com/webapp/wcs/stores/servlet/Search?catalogId=15003&amp;langId=-1&amp;storeId=10194&amp;gs=true&amp;st=593D475X9050D2TE3%20" TargetMode="External"/><Relationship Id="rId331" Type="http://schemas.openxmlformats.org/officeDocument/2006/relationships/hyperlink" Target="http://it.rs-online.com/web/c/?searchTerm=593D475X9050D2TE3%20" TargetMode="External"/><Relationship Id="rId332" Type="http://schemas.openxmlformats.org/officeDocument/2006/relationships/hyperlink" Target="http://www.digikey.com/product-detail/en/yageo/RC0603FR-0710KL/311-10.0KHRCT-ND/729827" TargetMode="External"/><Relationship Id="rId333" Type="http://schemas.openxmlformats.org/officeDocument/2006/relationships/hyperlink" Target="http://it.farnell.com/yageo-phycomp/rc0603fr-0710kl/res-film-spesso-10k-1-0-1w-0603/dp/9238603" TargetMode="External"/><Relationship Id="rId334" Type="http://schemas.openxmlformats.org/officeDocument/2006/relationships/hyperlink" Target="http://www.mouser.com/ProductDetail/Yageo/RC0603FR-0710KL/?qs=sGAEpiMZZMu61qfTUdNhGy0AaN4GKk3uV0uhGqAFOnk%3D" TargetMode="External"/><Relationship Id="rId335" Type="http://schemas.openxmlformats.org/officeDocument/2006/relationships/hyperlink" Target="http://www.newark.com/yageo/rc0603fr-0710kl/res-thick-film-10k-1-0-1w-0603/dp/68R0049" TargetMode="External"/><Relationship Id="rId336" Type="http://schemas.openxmlformats.org/officeDocument/2006/relationships/hyperlink" Target="http://www.digikey.com/product-detail/en/littelfuse-inc/1SMB18CAT3G/1SMB18CAT3GOSCT-ND/917699" TargetMode="External"/><Relationship Id="rId337" Type="http://schemas.openxmlformats.org/officeDocument/2006/relationships/hyperlink" Target="http://it.farnell.com/bourns/smbj18ca/diodo-tvs-600w-18v-bidir-do-214aa/dp/2728756?rpsku=rel3%3A1SMB18CAT3G" TargetMode="External"/><Relationship Id="rId338" Type="http://schemas.openxmlformats.org/officeDocument/2006/relationships/hyperlink" Target="http://www.mouser.com/ProductDetail/Littelfuse/1SMB18CAT3G/?qs=sGAEpiMZZMvxHShE6Whpu6Rssi0ON3Ox3YJO2sq0tf4%3D" TargetMode="External"/><Relationship Id="rId339" Type="http://schemas.openxmlformats.org/officeDocument/2006/relationships/hyperlink" Target="http://www.newark.com/webapp/wcs/stores/servlet/Search?catalogId=15003&amp;langId=-1&amp;storeId=10194&amp;gs=true&amp;st=1SMB18CAT3G%20" TargetMode="External"/><Relationship Id="rId340" Type="http://schemas.openxmlformats.org/officeDocument/2006/relationships/hyperlink" Target="http://it.rs-online.com/web/c/?searchTerm=1SMB18CAT3G%20" TargetMode="External"/><Relationship Id="rId34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G44" activeCellId="0" sqref="G44"/>
    </sheetView>
  </sheetViews>
  <sheetFormatPr defaultRowHeight="15"/>
  <cols>
    <col collapsed="false" hidden="false" max="8" min="1" style="0" width="9.10526315789474"/>
    <col collapsed="false" hidden="false" max="9" min="9" style="0" width="15.7449392712551"/>
    <col collapsed="false" hidden="false" max="10" min="10" style="0" width="9.10526315789474"/>
    <col collapsed="false" hidden="false" max="12" min="11" style="0" width="9.10526315789474"/>
    <col collapsed="false" hidden="false" max="13" min="13" style="0" width="15.7449392712551"/>
    <col collapsed="false" hidden="false" max="15" min="14" style="0" width="9.10526315789474"/>
    <col collapsed="false" hidden="false" max="16" min="16" style="0" width="9.10526315789474"/>
    <col collapsed="false" hidden="false" max="18" min="17" style="0" width="9.10526315789474"/>
    <col collapsed="false" hidden="false" max="19" min="19" style="0" width="15.7449392712551"/>
    <col collapsed="false" hidden="false" max="21" min="20" style="0" width="9.10526315789474"/>
    <col collapsed="false" hidden="false" max="22" min="22" style="0" width="9.10526315789474"/>
    <col collapsed="false" hidden="false" max="24" min="23" style="0" width="9.10526315789474"/>
    <col collapsed="false" hidden="false" max="25" min="25" style="0" width="15.7449392712551"/>
    <col collapsed="false" hidden="false" max="27" min="26" style="0" width="9.10526315789474"/>
    <col collapsed="false" hidden="false" max="28" min="28" style="0" width="9.10526315789474"/>
    <col collapsed="false" hidden="false" max="30" min="29" style="0" width="9.10526315789474"/>
    <col collapsed="false" hidden="false" max="31" min="31" style="0" width="15.7449392712551"/>
    <col collapsed="false" hidden="false" max="33" min="32" style="0" width="9.10526315789474"/>
    <col collapsed="false" hidden="false" max="34" min="34" style="0" width="9.10526315789474"/>
    <col collapsed="false" hidden="false" max="36" min="35" style="0" width="9.10526315789474"/>
    <col collapsed="false" hidden="false" max="37" min="37" style="0" width="15.7449392712551"/>
    <col collapsed="false" hidden="false" max="39" min="38" style="0" width="9.10526315789474"/>
    <col collapsed="false" hidden="false" max="1025" min="40" style="0" width="8.57085020242915"/>
  </cols>
  <sheetData>
    <row r="1" customFormat="false" ht="15" hidden="false" customHeight="false" outlineLevel="0" collapsed="false">
      <c r="H1" s="1" t="s">
        <v>0</v>
      </c>
      <c r="I1" s="1" t="n">
        <v>10</v>
      </c>
    </row>
    <row r="2" customFormat="false" ht="15" hidden="false" customHeight="false" outlineLevel="0" collapsed="false">
      <c r="H2" s="2" t="s">
        <v>1</v>
      </c>
      <c r="I2" s="3" t="n">
        <f aca="false">SUM(I7:I100)</f>
        <v>627.944871</v>
      </c>
      <c r="M2" s="3" t="n">
        <f aca="false">SUM(M7:M100)</f>
        <v>872.774</v>
      </c>
      <c r="S2" s="3" t="n">
        <f aca="false">SUM(S7:S100)</f>
        <v>572.692313</v>
      </c>
      <c r="Y2" s="3" t="n">
        <f aca="false">SUM(Y7:Y100)</f>
        <v>413.83</v>
      </c>
      <c r="AE2" s="3" t="n">
        <f aca="false">SUM(AE7:AE100)</f>
        <v>1294.1</v>
      </c>
      <c r="AK2" s="3" t="n">
        <f aca="false">SUM(AK7:AK100)</f>
        <v>806.46621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62.7944871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D7" s="0" t="s">
        <v>24</v>
      </c>
      <c r="E7" s="0" t="s">
        <v>25</v>
      </c>
      <c r="F7" s="0" t="s">
        <v>26</v>
      </c>
      <c r="G7" s="0" t="n">
        <f aca="false">BoardQty*1</f>
        <v>10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3.91184</v>
      </c>
      <c r="I7" s="12" t="n">
        <f aca="false">IFERROR(G7*H7,"")</f>
        <v>39.1184</v>
      </c>
      <c r="L7" s="12" t="n">
        <f aca="false">IFERROR(LOOKUP(IF(K7="",G7,K7),{0,1,10,98,100,196,500,588,1000,1078,2500},{0,6.21,5.744,5.27224,4.7063,4.56923,4.0064,3.88971,3.28048,3.28048,3.11646}),"")</f>
        <v>5.744</v>
      </c>
      <c r="M7" s="12" t="n">
        <f aca="false">IFERROR(IF(K7="",G7,K7)*L7,"")</f>
        <v>57.44</v>
      </c>
      <c r="N7" s="0" t="s">
        <v>27</v>
      </c>
      <c r="O7" s="13" t="s">
        <v>28</v>
      </c>
      <c r="R7" s="12" t="n">
        <f aca="false">IFERROR(LOOKUP(IF(Q7="",G7,Q7),{0,1,10,100,200,400,2000,3000},{0,7.92998,5.24059,4.98547,4.47523,3.41223,3.34845,3.27404}),"")</f>
        <v>5.24059</v>
      </c>
      <c r="S7" s="12" t="n">
        <f aca="false">IFERROR(IF(Q7="",G7,Q7)*R7,"")</f>
        <v>52.4059</v>
      </c>
      <c r="T7" s="0" t="s">
        <v>29</v>
      </c>
      <c r="U7" s="13" t="s">
        <v>28</v>
      </c>
      <c r="AD7" s="12" t="n">
        <f aca="false">IFERROR(LOOKUP(IF(AC7="",G7,AC7),{0,1,98,100,250,500},{0,4.48,4.48,4.28,3.88,3.48}),"")</f>
        <v>4.48</v>
      </c>
      <c r="AE7" s="12" t="n">
        <f aca="false">IFERROR(IF(AC7="",G7,AC7)*AD7,"")</f>
        <v>44.8</v>
      </c>
      <c r="AF7" s="0" t="s">
        <v>30</v>
      </c>
      <c r="AG7" s="13" t="s">
        <v>28</v>
      </c>
      <c r="AJ7" s="12" t="n">
        <f aca="false">IFERROR(LOOKUP(IF(AI7="",G7,AI7),{0,1,10},{0,5.14492,3.91184}),"")</f>
        <v>3.91184</v>
      </c>
      <c r="AK7" s="12" t="n">
        <f aca="false">IFERROR(IF(AI7="",G7,AI7)*AJ7,"")</f>
        <v>39.1184</v>
      </c>
      <c r="AL7" s="0" t="s">
        <v>31</v>
      </c>
      <c r="AM7" s="13" t="s">
        <v>28</v>
      </c>
    </row>
    <row r="8" customFormat="false" ht="15" hidden="false" customHeight="false" outlineLevel="0" collapsed="false">
      <c r="A8" s="0" t="s">
        <v>32</v>
      </c>
      <c r="B8" s="0" t="s">
        <v>33</v>
      </c>
      <c r="D8" s="0" t="s">
        <v>34</v>
      </c>
      <c r="E8" s="0" t="s">
        <v>35</v>
      </c>
      <c r="F8" s="0" t="s">
        <v>36</v>
      </c>
      <c r="G8" s="0" t="n">
        <f aca="false">BoardQty*1</f>
        <v>10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4.832</v>
      </c>
      <c r="I8" s="12" t="n">
        <f aca="false">IFERROR(G8*H8,"")</f>
        <v>48.32</v>
      </c>
      <c r="J8" s="0" t="n">
        <v>327</v>
      </c>
      <c r="L8" s="12" t="n">
        <f aca="false">IFERROR(LOOKUP(IF(K8="",G8,K8),{0,1,10,100,250,500,1000,1250},{0,5.38,4.832,3.9588,3.64636,3.27186,2.13752,2.46375}),"")</f>
        <v>4.832</v>
      </c>
      <c r="M8" s="12" t="n">
        <f aca="false">IFERROR(IF(K8="",G8,K8)*L8,"")</f>
        <v>48.32</v>
      </c>
      <c r="N8" s="0" t="s">
        <v>37</v>
      </c>
      <c r="O8" s="13" t="s">
        <v>28</v>
      </c>
    </row>
    <row r="9" customFormat="false" ht="15" hidden="false" customHeight="false" outlineLevel="0" collapsed="false">
      <c r="A9" s="0" t="s">
        <v>38</v>
      </c>
      <c r="B9" s="0" t="s">
        <v>39</v>
      </c>
      <c r="D9" s="0" t="s">
        <v>40</v>
      </c>
      <c r="E9" s="0" t="s">
        <v>41</v>
      </c>
      <c r="F9" s="0" t="s">
        <v>42</v>
      </c>
      <c r="G9" s="0" t="n">
        <f aca="false">BoardQty*1</f>
        <v>10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0.308</v>
      </c>
      <c r="I9" s="12" t="n">
        <f aca="false">IFERROR(G9*H9,"")</f>
        <v>3.08</v>
      </c>
      <c r="J9" s="0" t="n">
        <v>37378</v>
      </c>
      <c r="L9" s="12" t="n">
        <f aca="false">IFERROR(LOOKUP(IF(K9="",G9,K9),{0,1,5,10,50,100,250,500,1000,5000,10000},{0,0.33,0.322,0.308,0.2746,0.2557,0.22732,0.18942,0.17995,0.12915,0.12054}),"")</f>
        <v>0.308</v>
      </c>
      <c r="M9" s="12" t="n">
        <f aca="false">IFERROR(IF(K9="",G9,K9)*L9,"")</f>
        <v>3.08</v>
      </c>
      <c r="N9" s="0" t="s">
        <v>43</v>
      </c>
      <c r="O9" s="13" t="s">
        <v>28</v>
      </c>
    </row>
    <row r="10" customFormat="false" ht="15" hidden="false" customHeight="false" outlineLevel="0" collapsed="false">
      <c r="A10" s="0" t="s">
        <v>44</v>
      </c>
      <c r="B10" s="0" t="s">
        <v>45</v>
      </c>
      <c r="D10" s="0" t="s">
        <v>46</v>
      </c>
      <c r="E10" s="0" t="s">
        <v>47</v>
      </c>
      <c r="F10" s="0" t="s">
        <v>48</v>
      </c>
      <c r="G10" s="0" t="n">
        <f aca="false">BoardQty*1</f>
        <v>10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0.071221</v>
      </c>
      <c r="I10" s="12" t="n">
        <f aca="false">IFERROR(G10*H10,"")</f>
        <v>0.71221</v>
      </c>
      <c r="J10" s="0" t="n">
        <v>514296</v>
      </c>
      <c r="L10" s="12" t="n">
        <f aca="false">IFERROR(LOOKUP(IF(K10="",G10,K10),{0,1,10,25,100,250,500,1000,2500,5000,10000,25000,50000,125000},{0,0.29,0.211,0.1556,0.1111,0.07556,0.06666,0.05222,0.05111,0.0404,0.03636,0.03232,0.02929,0.02727}),"")</f>
        <v>0.211</v>
      </c>
      <c r="M10" s="12" t="n">
        <f aca="false">IFERROR(IF(K10="",G10,K10)*L10,"")</f>
        <v>2.11</v>
      </c>
      <c r="N10" s="0" t="s">
        <v>49</v>
      </c>
      <c r="O10" s="13" t="s">
        <v>28</v>
      </c>
      <c r="AH10" s="0" t="n">
        <v>10300</v>
      </c>
      <c r="AJ10" s="12" t="n">
        <f aca="false">IFERROR(LOOKUP(IF(AI10="",G10,AI10),{0,1,100,1000},{0,0.071221,0.071221,0.048898}),"")</f>
        <v>0.071221</v>
      </c>
      <c r="AK10" s="12" t="n">
        <f aca="false">IFERROR(IF(AI10="",G10,AI10)*AJ10,"")</f>
        <v>0.71221</v>
      </c>
      <c r="AL10" s="0" t="s">
        <v>50</v>
      </c>
      <c r="AM10" s="13" t="s">
        <v>28</v>
      </c>
    </row>
    <row r="11" customFormat="false" ht="15" hidden="false" customHeight="false" outlineLevel="0" collapsed="false">
      <c r="A11" s="0" t="s">
        <v>51</v>
      </c>
      <c r="B11" s="0" t="s">
        <v>52</v>
      </c>
      <c r="D11" s="0" t="s">
        <v>53</v>
      </c>
      <c r="E11" s="0" t="s">
        <v>54</v>
      </c>
      <c r="F11" s="0" t="s">
        <v>55</v>
      </c>
      <c r="G11" s="0" t="n">
        <f aca="false">BoardQty*2</f>
        <v>20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0.0069095</v>
      </c>
      <c r="I11" s="12" t="n">
        <f aca="false">IFERROR(G11*H11,"")</f>
        <v>0.13819</v>
      </c>
      <c r="J11" s="0" t="n">
        <v>1004050</v>
      </c>
      <c r="L11" s="12" t="n">
        <f aca="false">IFERROR(LOOKUP(IF(K11="",G11,K11),{0,1,10,100,1000,2500,5000,10000,25000,50000,125000},{0,0.1,0.015,0.006,0.00268,0.00233,0.00192,0.00167,0.00147,0.00135,0.00132}),"")</f>
        <v>0.015</v>
      </c>
      <c r="M11" s="12" t="n">
        <f aca="false">IFERROR(IF(K11="",G11,K11)*L11,"")</f>
        <v>0.3</v>
      </c>
      <c r="N11" s="0" t="s">
        <v>56</v>
      </c>
      <c r="O11" s="13" t="s">
        <v>28</v>
      </c>
      <c r="R11" s="12" t="n">
        <f aca="false">IFERROR(LOOKUP(IF(Q11="",G11,Q11),{0,1,100,500,1000,2500},{0,0.0069095,0.0069095,0.0059528,0.0052087,0.0035079}),"")</f>
        <v>0.0069095</v>
      </c>
      <c r="S11" s="12" t="n">
        <f aca="false">IFERROR(IF(Q11="",G11,Q11)*R11,"")</f>
        <v>0.13819</v>
      </c>
      <c r="T11" s="0" t="s">
        <v>57</v>
      </c>
      <c r="U11" s="13" t="s">
        <v>28</v>
      </c>
      <c r="V11" s="0" t="n">
        <v>118723</v>
      </c>
      <c r="X11" s="12" t="n">
        <f aca="false">IFERROR(LOOKUP(IF(W11="",G11,W11),{0,1,10,100,1000,5000},{0,0.1,0.011,0.004,0.002,0.001}),"")</f>
        <v>0.011</v>
      </c>
      <c r="Y11" s="12" t="n">
        <f aca="false">IFERROR(IF(W11="",G11,W11)*X11,"")</f>
        <v>0.22</v>
      </c>
      <c r="Z11" s="0" t="s">
        <v>58</v>
      </c>
      <c r="AA11" s="13" t="s">
        <v>28</v>
      </c>
      <c r="AD11" s="12" t="n">
        <f aca="false">IFERROR(LOOKUP(IF(AC11="",G11,AC11),{0,1,10,25,100,250,1000},{0,0.009,0.009,0.009,0.006,0.004,0.003}),"")</f>
        <v>0.009</v>
      </c>
      <c r="AE11" s="12" t="n">
        <f aca="false">IFERROR(IF(AC11="",G11,AC11)*AD11,"")</f>
        <v>0.18</v>
      </c>
      <c r="AF11" s="0" t="s">
        <v>59</v>
      </c>
      <c r="AG11" s="13" t="s">
        <v>28</v>
      </c>
    </row>
    <row r="12" customFormat="false" ht="15" hidden="false" customHeight="false" outlineLevel="0" collapsed="false">
      <c r="A12" s="0" t="s">
        <v>60</v>
      </c>
      <c r="B12" s="0" t="s">
        <v>61</v>
      </c>
      <c r="D12" s="0" t="s">
        <v>53</v>
      </c>
      <c r="E12" s="0" t="s">
        <v>54</v>
      </c>
      <c r="F12" s="0" t="s">
        <v>62</v>
      </c>
      <c r="G12" s="0" t="n">
        <f aca="false">BoardQty*2</f>
        <v>20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0.0082914</v>
      </c>
      <c r="I12" s="12" t="n">
        <f aca="false">IFERROR(G12*H12,"")</f>
        <v>0.165828</v>
      </c>
      <c r="J12" s="0" t="n">
        <v>9154471</v>
      </c>
      <c r="L12" s="12" t="n">
        <f aca="false">IFERROR(LOOKUP(IF(K12="",G12,K12),{0,1,10,100,1000,2500,5000,10000,25000,50000,125000},{0,0.1,0.015,0.006,0.00268,0.00233,0.00192,0.00167,0.00147,0.00135,0.00132}),"")</f>
        <v>0.015</v>
      </c>
      <c r="M12" s="12" t="n">
        <f aca="false">IFERROR(IF(K12="",G12,K12)*L12,"")</f>
        <v>0.3</v>
      </c>
      <c r="N12" s="0" t="s">
        <v>63</v>
      </c>
      <c r="O12" s="13" t="s">
        <v>28</v>
      </c>
      <c r="R12" s="12" t="n">
        <f aca="false">IFERROR(LOOKUP(IF(Q12="",G12,Q12),{0,1,100,500,1000,2500},{0,0.0082914,0.0082914,0.0062717,0.0049961,0.0041457}),"")</f>
        <v>0.0082914</v>
      </c>
      <c r="S12" s="12" t="n">
        <f aca="false">IFERROR(IF(Q12="",G12,Q12)*R12,"")</f>
        <v>0.165828</v>
      </c>
      <c r="T12" s="0" t="s">
        <v>64</v>
      </c>
      <c r="U12" s="13" t="s">
        <v>28</v>
      </c>
      <c r="AD12" s="12" t="n">
        <f aca="false">IFERROR(LOOKUP(IF(AC12="",G12,AC12),{0,1,10,25,100,250,1000},{0,0.08,0.014,0.01,0.006,0.004,0.003}),"")</f>
        <v>0.014</v>
      </c>
      <c r="AE12" s="12" t="n">
        <f aca="false">IFERROR(IF(AC12="",G12,AC12)*AD12,"")</f>
        <v>0.28</v>
      </c>
      <c r="AF12" s="0" t="s">
        <v>65</v>
      </c>
      <c r="AG12" s="13" t="s">
        <v>28</v>
      </c>
    </row>
    <row r="13" customFormat="false" ht="15" hidden="false" customHeight="false" outlineLevel="0" collapsed="false">
      <c r="A13" s="0" t="s">
        <v>66</v>
      </c>
      <c r="B13" s="0" t="s">
        <v>67</v>
      </c>
      <c r="D13" s="0" t="s">
        <v>68</v>
      </c>
      <c r="E13" s="0" t="s">
        <v>69</v>
      </c>
      <c r="F13" s="0" t="s">
        <v>70</v>
      </c>
      <c r="G13" s="0" t="n">
        <f aca="false">BoardQty*1</f>
        <v>10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0.961</v>
      </c>
      <c r="I13" s="12" t="n">
        <f aca="false">IFERROR(G13*H13,"")</f>
        <v>9.61</v>
      </c>
      <c r="J13" s="0" t="n">
        <v>81061</v>
      </c>
      <c r="L13" s="12" t="n">
        <f aca="false">IFERROR(LOOKUP(IF(K13="",G13,K13),{0,1,10,25,50,100,250,500,1000,3500,7000},{0,1,0.961,0.9064,0.7976,0.7251,0.68888,0.67074,0.52571,0.47792,0.44496}),"")</f>
        <v>0.961</v>
      </c>
      <c r="M13" s="12" t="n">
        <f aca="false">IFERROR(IF(K13="",G13,K13)*L13,"")</f>
        <v>9.61</v>
      </c>
      <c r="N13" s="0" t="s">
        <v>71</v>
      </c>
      <c r="O13" s="13" t="s">
        <v>28</v>
      </c>
      <c r="R13" s="12" t="n">
        <f aca="false">IFERROR(LOOKUP(IF(Q13="",G13,Q13),{0,1,25,80,200,600,2000,6000,12000},{0,1.033236,0.825951,0.748352,0.619729,0.553823,0.537878,0.527248,0.516618}),"")</f>
        <v>1.033236</v>
      </c>
      <c r="S13" s="12" t="n">
        <f aca="false">IFERROR(IF(Q13="",G13,Q13)*R13,"")</f>
        <v>10.33236</v>
      </c>
      <c r="T13" s="0" t="s">
        <v>72</v>
      </c>
      <c r="U13" s="13" t="s">
        <v>28</v>
      </c>
      <c r="AD13" s="12" t="n">
        <f aca="false">IFERROR(LOOKUP(IF(AC13="",G13,AC13),{0,1,10,25,50,100,250,500,1000},{0,0.97,0.961,0.906,0.798,0.725,0.689,0.618,0.526}),"")</f>
        <v>0.961</v>
      </c>
      <c r="AE13" s="12" t="n">
        <f aca="false">IFERROR(IF(AC13="",G13,AC13)*AD13,"")</f>
        <v>9.61</v>
      </c>
      <c r="AF13" s="0" t="s">
        <v>73</v>
      </c>
      <c r="AG13" s="13" t="s">
        <v>28</v>
      </c>
      <c r="AH13" s="0" t="n">
        <v>75</v>
      </c>
      <c r="AJ13" s="12" t="n">
        <f aca="false">IFERROR(LOOKUP(IF(AI13="",G13,AI13),{0,1,25,125},{0,1.556232,1.556232,1.365955}),"")</f>
        <v>1.556232</v>
      </c>
      <c r="AK13" s="12" t="n">
        <f aca="false">IFERROR(IF(AI13="",G13,AI13)*AJ13,"")</f>
        <v>15.56232</v>
      </c>
      <c r="AL13" s="0" t="s">
        <v>74</v>
      </c>
      <c r="AM13" s="13" t="s">
        <v>28</v>
      </c>
    </row>
    <row r="14" customFormat="false" ht="15" hidden="false" customHeight="false" outlineLevel="0" collapsed="false">
      <c r="A14" s="0" t="s">
        <v>75</v>
      </c>
      <c r="B14" s="0" t="s">
        <v>76</v>
      </c>
      <c r="D14" s="0" t="s">
        <v>53</v>
      </c>
      <c r="E14" s="0" t="s">
        <v>54</v>
      </c>
      <c r="F14" s="0" t="s">
        <v>77</v>
      </c>
      <c r="G14" s="0" t="n">
        <f aca="false">BoardQty*1</f>
        <v>10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0.0070158</v>
      </c>
      <c r="I14" s="12" t="n">
        <f aca="false">IFERROR(G14*H14,"")</f>
        <v>0.070158</v>
      </c>
      <c r="J14" s="0" t="n">
        <v>426887</v>
      </c>
      <c r="L14" s="12" t="n">
        <f aca="false">IFERROR(LOOKUP(IF(K14="",G14,K14),{0,1,10,100,1000,2500,5000,10000,25000,50000,125000},{0,0.1,0.015,0.006,0.00268,0.00233,0.00192,0.00167,0.00147,0.00135,0.00132}),"")</f>
        <v>0.015</v>
      </c>
      <c r="M14" s="12" t="n">
        <f aca="false">IFERROR(IF(K14="",G14,K14)*L14,"")</f>
        <v>0.15</v>
      </c>
      <c r="N14" s="0" t="s">
        <v>78</v>
      </c>
      <c r="O14" s="13" t="s">
        <v>28</v>
      </c>
      <c r="R14" s="12" t="n">
        <f aca="false">IFERROR(LOOKUP(IF(Q14="",G14,Q14),{0,1,100,500,1000,2500},{0,0.0070158,0.0070158,0.0059528,0.0052087,0.0035079}),"")</f>
        <v>0.0070158</v>
      </c>
      <c r="S14" s="12" t="n">
        <f aca="false">IFERROR(IF(Q14="",G14,Q14)*R14,"")</f>
        <v>0.070158</v>
      </c>
      <c r="T14" s="0" t="s">
        <v>79</v>
      </c>
      <c r="U14" s="13" t="s">
        <v>28</v>
      </c>
      <c r="AD14" s="12" t="n">
        <f aca="false">IFERROR(LOOKUP(IF(AC14="",G14,AC14),{0,1,10,25,100,250,1000},{0,0.009,0.009,0.009,0.006,0.004,0.003}),"")</f>
        <v>0.009</v>
      </c>
      <c r="AE14" s="12" t="n">
        <f aca="false">IFERROR(IF(AC14="",G14,AC14)*AD14,"")</f>
        <v>0.09</v>
      </c>
      <c r="AF14" s="0" t="s">
        <v>80</v>
      </c>
      <c r="AG14" s="13" t="s">
        <v>28</v>
      </c>
    </row>
    <row r="15" customFormat="false" ht="15" hidden="false" customHeight="false" outlineLevel="0" collapsed="false">
      <c r="A15" s="0" t="s">
        <v>81</v>
      </c>
      <c r="B15" s="0" t="s">
        <v>82</v>
      </c>
      <c r="D15" s="0" t="s">
        <v>83</v>
      </c>
      <c r="E15" s="0" t="s">
        <v>84</v>
      </c>
      <c r="F15" s="0" t="s">
        <v>85</v>
      </c>
      <c r="G15" s="0" t="n">
        <f aca="false">BoardQty*6</f>
        <v>60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0.0479413</v>
      </c>
      <c r="I15" s="12" t="n">
        <f aca="false">IFERROR(G15*H15,"")</f>
        <v>2.876478</v>
      </c>
      <c r="J15" s="0" t="n">
        <v>1021586</v>
      </c>
      <c r="L15" s="12" t="n">
        <f aca="false">IFERROR(LOOKUP(IF(K15="",G15,K15),{0,1,10,25,50,100,250,500,1000,4000,8000,12000,28000,100000},{0,0.1,0.081,0.0732,0.0538,0.0464,0.03664,0.03094,0.02605,0.02368,0.02146,0.02072,0.01924,0.01902}),"")</f>
        <v>0.0538</v>
      </c>
      <c r="M15" s="12" t="n">
        <f aca="false">IFERROR(IF(K15="",G15,K15)*L15,"")</f>
        <v>3.228</v>
      </c>
      <c r="N15" s="0" t="s">
        <v>86</v>
      </c>
      <c r="O15" s="13" t="s">
        <v>28</v>
      </c>
      <c r="R15" s="12" t="n">
        <f aca="false">IFERROR(LOOKUP(IF(Q15="",G15,Q15),{0,1,100,500,1000,2000,4000,20000,40000},{0,0.0479413,0.0479413,0.0327404,0.0289136,0.0259372,0.0234923,0.0186025,0.0183899}),"")</f>
        <v>0.0479413</v>
      </c>
      <c r="S15" s="12" t="n">
        <f aca="false">IFERROR(IF(Q15="",G15,Q15)*R15,"")</f>
        <v>2.876478</v>
      </c>
      <c r="T15" s="0" t="s">
        <v>87</v>
      </c>
      <c r="U15" s="13" t="s">
        <v>28</v>
      </c>
      <c r="V15" s="0" t="n">
        <v>310947</v>
      </c>
      <c r="X15" s="12" t="n">
        <f aca="false">IFERROR(LOOKUP(IF(W15="",G15,W15),{0,1,10,100,500,1000,4000,24000},{0,0.111,0.073,0.039,0.037,0.031,0.021,0.02}),"")</f>
        <v>0.073</v>
      </c>
      <c r="Y15" s="12" t="n">
        <f aca="false">IFERROR(IF(W15="",G15,W15)*X15,"")</f>
        <v>4.38</v>
      </c>
      <c r="Z15" s="0" t="s">
        <v>88</v>
      </c>
      <c r="AA15" s="13" t="s">
        <v>28</v>
      </c>
      <c r="AD15" s="12" t="n">
        <f aca="false">IFERROR(LOOKUP(IF(AC15="",G15,AC15),{0,1,10,25,50,100,250,500,1000},{0,0.11,0.073,0.062,0.05,0.039,0.038,0.036,0.031}),"")</f>
        <v>0.05</v>
      </c>
      <c r="AE15" s="12" t="n">
        <f aca="false">IFERROR(IF(AC15="",G15,AC15)*AD15,"")</f>
        <v>3</v>
      </c>
      <c r="AF15" s="0" t="s">
        <v>89</v>
      </c>
      <c r="AG15" s="13" t="s">
        <v>28</v>
      </c>
      <c r="AH15" s="0" t="n">
        <v>1675</v>
      </c>
      <c r="AJ15" s="12" t="n">
        <f aca="false">IFERROR(LOOKUP(IF(AI15="",G15,AI15),{0,1,25,250},{0,0.072284,0.072284,0.03189}),"")</f>
        <v>0.072284</v>
      </c>
      <c r="AK15" s="12" t="n">
        <f aca="false">IFERROR(IF(AI15="",G15,AI15)*AJ15,"")</f>
        <v>4.33704</v>
      </c>
      <c r="AL15" s="0" t="s">
        <v>90</v>
      </c>
      <c r="AM15" s="13" t="s">
        <v>28</v>
      </c>
    </row>
    <row r="16" customFormat="false" ht="15" hidden="false" customHeight="false" outlineLevel="0" collapsed="false">
      <c r="A16" s="0" t="s">
        <v>91</v>
      </c>
      <c r="B16" s="0" t="s">
        <v>92</v>
      </c>
      <c r="D16" s="0" t="s">
        <v>93</v>
      </c>
      <c r="E16" s="0" t="s">
        <v>84</v>
      </c>
      <c r="F16" s="0" t="s">
        <v>94</v>
      </c>
      <c r="G16" s="0" t="n">
        <f aca="false">BoardQty*6</f>
        <v>60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0.015</v>
      </c>
      <c r="I16" s="12" t="n">
        <f aca="false">IFERROR(G16*H16,"")</f>
        <v>0.9</v>
      </c>
      <c r="J16" s="0" t="n">
        <v>11651872</v>
      </c>
      <c r="L16" s="12" t="n">
        <f aca="false">IFERROR(LOOKUP(IF(K16="",G16,K16),{0,1,10,100,500,1000,4000,8000,12000},{0,0.12,0.086,0.0384,0.02746,0.02157,0.01569,0.01432,0.01364}),"")</f>
        <v>0.086</v>
      </c>
      <c r="M16" s="12" t="n">
        <f aca="false">IFERROR(IF(K16="",G16,K16)*L16,"")</f>
        <v>5.16</v>
      </c>
      <c r="N16" s="0" t="s">
        <v>95</v>
      </c>
      <c r="O16" s="13" t="s">
        <v>28</v>
      </c>
      <c r="T16" s="0" t="s">
        <v>96</v>
      </c>
      <c r="U16" s="13" t="s">
        <v>28</v>
      </c>
      <c r="AD16" s="12" t="n">
        <f aca="false">IFERROR(LOOKUP(IF(AC16="",G16,AC16),{0,1,25,50,100,250,500,1000},{0,0.1,0.017,0.015,0.012,0.011,0.01,0.008}),"")</f>
        <v>0.015</v>
      </c>
      <c r="AE16" s="12" t="n">
        <f aca="false">IFERROR(IF(AC16="",G16,AC16)*AD16,"")</f>
        <v>0.9</v>
      </c>
      <c r="AF16" s="0" t="s">
        <v>97</v>
      </c>
      <c r="AG16" s="13" t="s">
        <v>28</v>
      </c>
      <c r="AJ16" s="12" t="n">
        <f aca="false">IFERROR(LOOKUP(IF(AI16="",G16,AI16),{0,1,200,1000},{0,0.017008,0.017008,0.015945}),"")</f>
        <v>0.017008</v>
      </c>
      <c r="AK16" s="12" t="n">
        <f aca="false">IFERROR(IF(AI16="",G16,AI16)*AJ16,"")</f>
        <v>1.02048</v>
      </c>
      <c r="AL16" s="0" t="s">
        <v>98</v>
      </c>
      <c r="AM16" s="13" t="s">
        <v>28</v>
      </c>
    </row>
    <row r="17" customFormat="false" ht="15" hidden="false" customHeight="false" outlineLevel="0" collapsed="false">
      <c r="A17" s="0" t="s">
        <v>99</v>
      </c>
      <c r="B17" s="0" t="s">
        <v>100</v>
      </c>
      <c r="D17" s="0" t="s">
        <v>53</v>
      </c>
      <c r="E17" s="0" t="s">
        <v>54</v>
      </c>
      <c r="F17" s="0" t="s">
        <v>101</v>
      </c>
      <c r="G17" s="0" t="n">
        <f aca="false">BoardQty*12</f>
        <v>120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0.004</v>
      </c>
      <c r="I17" s="12" t="n">
        <f aca="false">IFERROR(G17*H17,"")</f>
        <v>0.48</v>
      </c>
      <c r="J17" s="0" t="n">
        <v>1651234</v>
      </c>
      <c r="L17" s="12" t="n">
        <f aca="false">IFERROR(LOOKUP(IF(K17="",G17,K17),{0,1,10,100,1000,2500,5000,10000,25000,50000,125000},{0,0.1,0.015,0.006,0.00268,0.00233,0.00192,0.00167,0.00147,0.00135,0.00132}),"")</f>
        <v>0.006</v>
      </c>
      <c r="M17" s="12" t="n">
        <f aca="false">IFERROR(IF(K17="",G17,K17)*L17,"")</f>
        <v>0.72</v>
      </c>
      <c r="N17" s="0" t="s">
        <v>102</v>
      </c>
      <c r="O17" s="13" t="s">
        <v>28</v>
      </c>
      <c r="R17" s="12" t="n">
        <f aca="false">IFERROR(LOOKUP(IF(Q17="",G17,Q17),{0,1,100,500,1000,2500},{0,0.0083977,0.0083977,0.0062717,0.0049961,0.004252}),"")</f>
        <v>0.0083977</v>
      </c>
      <c r="S17" s="12" t="n">
        <f aca="false">IFERROR(IF(Q17="",G17,Q17)*R17,"")</f>
        <v>1.007724</v>
      </c>
      <c r="T17" s="0" t="s">
        <v>103</v>
      </c>
      <c r="U17" s="13" t="s">
        <v>28</v>
      </c>
      <c r="V17" s="0" t="n">
        <v>237453</v>
      </c>
      <c r="X17" s="12" t="n">
        <f aca="false">IFERROR(LOOKUP(IF(W17="",G17,W17),{0,1,10,100,1000,5000},{0,0.1,0.011,0.004,0.002,0.001}),"")</f>
        <v>0.004</v>
      </c>
      <c r="Y17" s="12" t="n">
        <f aca="false">IFERROR(IF(W17="",G17,W17)*X17,"")</f>
        <v>0.48</v>
      </c>
      <c r="Z17" s="0" t="s">
        <v>104</v>
      </c>
      <c r="AA17" s="13" t="s">
        <v>28</v>
      </c>
      <c r="AD17" s="12" t="n">
        <f aca="false">IFERROR(LOOKUP(IF(AC17="",G17,AC17),{0,1,10,25,100,250,1000},{0,0.08,0.014,0.01,0.006,0.004,0.003}),"")</f>
        <v>0.006</v>
      </c>
      <c r="AE17" s="12" t="n">
        <f aca="false">IFERROR(IF(AC17="",G17,AC17)*AD17,"")</f>
        <v>0.72</v>
      </c>
      <c r="AF17" s="0" t="s">
        <v>105</v>
      </c>
      <c r="AG17" s="13" t="s">
        <v>28</v>
      </c>
    </row>
    <row r="18" customFormat="false" ht="15" hidden="false" customHeight="false" outlineLevel="0" collapsed="false">
      <c r="A18" s="0" t="s">
        <v>106</v>
      </c>
      <c r="B18" s="0" t="s">
        <v>107</v>
      </c>
      <c r="D18" s="0" t="s">
        <v>108</v>
      </c>
      <c r="E18" s="0" t="s">
        <v>109</v>
      </c>
      <c r="F18" s="0" t="s">
        <v>110</v>
      </c>
      <c r="G18" s="0" t="n">
        <f aca="false">BoardQty*2</f>
        <v>20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0.578</v>
      </c>
      <c r="I18" s="12" t="n">
        <f aca="false">IFERROR(G18*H18,"")</f>
        <v>11.56</v>
      </c>
      <c r="J18" s="0" t="n">
        <v>58564</v>
      </c>
      <c r="L18" s="12" t="n">
        <f aca="false">IFERROR(LOOKUP(IF(K18="",G18,K18),{0,1,10,50,100,500,1000,3000,5000,10000},{0,0.69,0.578,0.5198,0.462,0.4389,0.336,0.315,0.3045,0.294}),"")</f>
        <v>0.578</v>
      </c>
      <c r="M18" s="12" t="n">
        <f aca="false">IFERROR(IF(K18="",G18,K18)*L18,"")</f>
        <v>11.56</v>
      </c>
      <c r="N18" s="0" t="s">
        <v>111</v>
      </c>
      <c r="O18" s="13" t="s">
        <v>28</v>
      </c>
      <c r="T18" s="0" t="s">
        <v>112</v>
      </c>
      <c r="U18" s="13" t="s">
        <v>28</v>
      </c>
      <c r="AD18" s="12" t="n">
        <f aca="false">IFERROR(LOOKUP(IF(AC18="",G18,AC18),{0,1,10,50,100,500},{0,1.21,1.01,0.902,0.801,0.723}),"")</f>
        <v>1.01</v>
      </c>
      <c r="AE18" s="12" t="n">
        <f aca="false">IFERROR(IF(AC18="",G18,AC18)*AD18,"")</f>
        <v>20.2</v>
      </c>
      <c r="AF18" s="0" t="s">
        <v>113</v>
      </c>
      <c r="AG18" s="13" t="s">
        <v>28</v>
      </c>
    </row>
    <row r="19" customFormat="false" ht="15" hidden="false" customHeight="false" outlineLevel="0" collapsed="false">
      <c r="A19" s="0" t="s">
        <v>114</v>
      </c>
      <c r="B19" s="0" t="s">
        <v>115</v>
      </c>
      <c r="D19" s="0" t="s">
        <v>116</v>
      </c>
      <c r="E19" s="0" t="s">
        <v>117</v>
      </c>
      <c r="F19" s="0" t="s">
        <v>115</v>
      </c>
      <c r="G19" s="0" t="n">
        <f aca="false">BoardQty*2</f>
        <v>20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0.091418</v>
      </c>
      <c r="I19" s="12" t="n">
        <f aca="false">IFERROR(G19*H19,"")</f>
        <v>1.82836</v>
      </c>
      <c r="J19" s="0" t="n">
        <v>30675</v>
      </c>
      <c r="L19" s="12" t="n">
        <f aca="false">IFERROR(LOOKUP(IF(K19="",G19,K19),{0,1,10,100,500,1000,3000,6000,15000,30000,75000},{0,0.39,0.287,0.1627,0.10774,0.08259,0.06972,0.06275,0.05578,0.05229,0.04648}),"")</f>
        <v>0.287</v>
      </c>
      <c r="M19" s="12" t="n">
        <f aca="false">IFERROR(IF(K19="",G19,K19)*L19,"")</f>
        <v>5.74</v>
      </c>
      <c r="N19" s="0" t="s">
        <v>118</v>
      </c>
      <c r="O19" s="13" t="s">
        <v>28</v>
      </c>
      <c r="R19" s="12" t="n">
        <f aca="false">IFERROR(LOOKUP(IF(Q19="",G19,Q19),{0,1,50,250,500,1500},{0,0.1035362,0.1035362,0.0927999,0.0713273,0.0546382}),"")</f>
        <v>0.1035362</v>
      </c>
      <c r="S19" s="12" t="n">
        <f aca="false">IFERROR(IF(Q19="",G19,Q19)*R19,"")</f>
        <v>2.070724</v>
      </c>
      <c r="T19" s="0" t="s">
        <v>119</v>
      </c>
      <c r="U19" s="13" t="s">
        <v>28</v>
      </c>
      <c r="AD19" s="12" t="n">
        <f aca="false">IFERROR(LOOKUP(IF(AC19="",G19,AC19),{0,1,25,50,100,250,500,1000},{0,0.34,0.219,0.157,0.094,0.087,0.079,0.072}),"")</f>
        <v>0.34</v>
      </c>
      <c r="AE19" s="12" t="n">
        <f aca="false">IFERROR(IF(AC19="",G19,AC19)*AD19,"")</f>
        <v>6.8</v>
      </c>
      <c r="AF19" s="0" t="s">
        <v>120</v>
      </c>
      <c r="AG19" s="13" t="s">
        <v>28</v>
      </c>
      <c r="AJ19" s="12" t="n">
        <f aca="false">IFERROR(LOOKUP(IF(AI19="",G19,AI19),{0,1,100,200},{0,0.091418,0.091418,0.081851}),"")</f>
        <v>0.091418</v>
      </c>
      <c r="AK19" s="12" t="n">
        <f aca="false">IFERROR(IF(AI19="",G19,AI19)*AJ19,"")</f>
        <v>1.82836</v>
      </c>
      <c r="AL19" s="0" t="s">
        <v>121</v>
      </c>
      <c r="AM19" s="13" t="s">
        <v>28</v>
      </c>
    </row>
    <row r="20" customFormat="false" ht="15" hidden="false" customHeight="false" outlineLevel="0" collapsed="false">
      <c r="A20" s="0" t="s">
        <v>122</v>
      </c>
      <c r="B20" s="0" t="s">
        <v>123</v>
      </c>
      <c r="D20" s="0" t="s">
        <v>124</v>
      </c>
      <c r="E20" s="0" t="s">
        <v>84</v>
      </c>
      <c r="F20" s="0" t="s">
        <v>125</v>
      </c>
      <c r="G20" s="0" t="n">
        <f aca="false">BoardQty*4</f>
        <v>40</v>
      </c>
      <c r="H2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0.11693</v>
      </c>
      <c r="I20" s="12" t="n">
        <f aca="false">IFERROR(G20*H20,"")</f>
        <v>4.6772</v>
      </c>
      <c r="J20" s="0" t="n">
        <v>308520</v>
      </c>
      <c r="L20" s="12" t="n">
        <f aca="false">IFERROR(LOOKUP(IF(K20="",G20,K20),{0,1,10,100,500,1000,2500,3000,5000,6000,9000,10000,20000,30000},{0,0.57,0.4,0.2637,0.19532,0.16602,0.15625,0.13587,0.14649,0.12738,0.11889,0.11889,0.11677,0.11464}),"")</f>
        <v>0.4</v>
      </c>
      <c r="M20" s="12" t="n">
        <f aca="false">IFERROR(IF(K20="",G20,K20)*L20,"")</f>
        <v>16</v>
      </c>
      <c r="N20" s="0" t="s">
        <v>126</v>
      </c>
      <c r="O20" s="13" t="s">
        <v>28</v>
      </c>
      <c r="R20" s="12" t="n">
        <f aca="false">IFERROR(LOOKUP(IF(Q20="",G20,Q20),{0,1,100,500,2500,5000,10000,50000,100000},{0,0.11693,0.11693,0.0955637,0.0808943,0.0750478,0.0726029,0.0700517,0.0686698}),"")</f>
        <v>0.11693</v>
      </c>
      <c r="S20" s="12" t="n">
        <f aca="false">IFERROR(IF(Q20="",G20,Q20)*R20,"")</f>
        <v>4.6772</v>
      </c>
      <c r="T20" s="0" t="s">
        <v>127</v>
      </c>
      <c r="U20" s="13" t="s">
        <v>28</v>
      </c>
      <c r="AD20" s="12" t="n">
        <f aca="false">IFERROR(LOOKUP(IF(AC20="",G20,AC20),{0,1,10,25,50,100,250,500,1000},{0,0.157,0.157,0.131,0.105,0.079,0.07,0.062,0.056}),"")</f>
        <v>0.131</v>
      </c>
      <c r="AE20" s="12" t="n">
        <f aca="false">IFERROR(IF(AC20="",G20,AC20)*AD20,"")</f>
        <v>5.24</v>
      </c>
      <c r="AF20" s="0" t="s">
        <v>128</v>
      </c>
      <c r="AG20" s="13" t="s">
        <v>28</v>
      </c>
      <c r="AH20" s="0" t="n">
        <v>925</v>
      </c>
      <c r="AJ20" s="12" t="n">
        <f aca="false">IFERROR(LOOKUP(IF(AI20="",G20,AI20),{0,1,25,125},{0,0.149883,0.149883,0.091418}),"")</f>
        <v>0.149883</v>
      </c>
      <c r="AK20" s="12" t="n">
        <f aca="false">IFERROR(IF(AI20="",G20,AI20)*AJ20,"")</f>
        <v>5.99532</v>
      </c>
      <c r="AL20" s="0" t="s">
        <v>129</v>
      </c>
      <c r="AM20" s="13" t="s">
        <v>28</v>
      </c>
    </row>
    <row r="21" customFormat="false" ht="15" hidden="false" customHeight="false" outlineLevel="0" collapsed="false">
      <c r="A21" s="0" t="s">
        <v>130</v>
      </c>
      <c r="B21" s="0" t="s">
        <v>131</v>
      </c>
      <c r="D21" s="0" t="s">
        <v>132</v>
      </c>
      <c r="E21" s="0" t="s">
        <v>133</v>
      </c>
      <c r="F21" s="0" t="s">
        <v>134</v>
      </c>
      <c r="G21" s="0" t="n">
        <f aca="false">BoardQty*1</f>
        <v>10</v>
      </c>
      <c r="H2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0.546</v>
      </c>
      <c r="I21" s="12" t="n">
        <f aca="false">IFERROR(G21*H21,"")</f>
        <v>5.46</v>
      </c>
      <c r="J21" s="0" t="n">
        <v>940</v>
      </c>
      <c r="L21" s="12" t="n">
        <f aca="false">IFERROR(LOOKUP(IF(K21="",G21,K21),{0,1,10,25,50,100,250,500,1000,2000,5000,10000,25000,50000},{0,0.65,0.546,0.4676,0.421,0.3664,0.32744,0.26508,0.19491,0.18853,0.18428,0.1779,0.17364,0.17265}),"")</f>
        <v>0.546</v>
      </c>
      <c r="M21" s="12" t="n">
        <f aca="false">IFERROR(IF(K21="",G21,K21)*L21,"")</f>
        <v>5.46</v>
      </c>
      <c r="N21" s="0" t="s">
        <v>135</v>
      </c>
      <c r="O21" s="13" t="s">
        <v>28</v>
      </c>
    </row>
    <row r="22" customFormat="false" ht="15" hidden="false" customHeight="false" outlineLevel="0" collapsed="false">
      <c r="A22" s="0" t="s">
        <v>136</v>
      </c>
      <c r="B22" s="0" t="s">
        <v>137</v>
      </c>
      <c r="D22" s="0" t="s">
        <v>138</v>
      </c>
      <c r="F22" s="0" t="s">
        <v>139</v>
      </c>
      <c r="G22" s="0" t="n">
        <f aca="false">BoardQty*1</f>
        <v>10</v>
      </c>
      <c r="H2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</v>
      </c>
      <c r="I22" s="12" t="n">
        <f aca="false">IFERROR(G22*H22,"")</f>
        <v>3</v>
      </c>
      <c r="R22" s="12" t="n">
        <f aca="false">IFERROR(LOOKUP(IF(Q22="",G22,Q22),{0,1,10,100,250,1000,2500,5000},{0,0.416696,0.416696,0.204096,0.20197,0.149883,0.135001,0.11693}),"")</f>
        <v>0.416696</v>
      </c>
      <c r="S22" s="12" t="n">
        <f aca="false">IFERROR(IF(Q22="",G22,Q22)*R22,"")</f>
        <v>4.16696</v>
      </c>
      <c r="T22" s="0" t="s">
        <v>140</v>
      </c>
      <c r="U22" s="13" t="s">
        <v>28</v>
      </c>
      <c r="AD22" s="12" t="n">
        <f aca="false">IFERROR(LOOKUP(IF(AC22="",G22,AC22),{0,1,10,25,50,100,250,500,1000},{0,0.3,0.3,0.254,0.209,0.163,0.149,0.136,0.122}),"")</f>
        <v>0.3</v>
      </c>
      <c r="AE22" s="12" t="n">
        <f aca="false">IFERROR(IF(AC22="",G22,AC22)*AD22,"")</f>
        <v>3</v>
      </c>
      <c r="AF22" s="0" t="s">
        <v>141</v>
      </c>
      <c r="AG22" s="13" t="s">
        <v>28</v>
      </c>
    </row>
    <row r="23" customFormat="false" ht="15" hidden="false" customHeight="false" outlineLevel="0" collapsed="false">
      <c r="A23" s="0" t="s">
        <v>142</v>
      </c>
      <c r="B23" s="0" t="s">
        <v>143</v>
      </c>
      <c r="D23" s="0" t="s">
        <v>144</v>
      </c>
      <c r="E23" s="0" t="s">
        <v>145</v>
      </c>
      <c r="F23" s="0" t="s">
        <v>146</v>
      </c>
      <c r="G23" s="0" t="n">
        <f aca="false">BoardQty*1</f>
        <v>10</v>
      </c>
      <c r="H2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0.757</v>
      </c>
      <c r="I23" s="12" t="n">
        <f aca="false">IFERROR(G23*H23,"")</f>
        <v>7.57</v>
      </c>
      <c r="J23" s="0" t="n">
        <v>4401</v>
      </c>
      <c r="L23" s="12" t="n">
        <f aca="false">IFERROR(LOOKUP(IF(K23="",G23,K23),{0,1,10,100,400,800,1200,2800},{0,0.89,0.826,0.5973,0.4641,0.3757,0.3536,0.3458}),"")</f>
        <v>0.826</v>
      </c>
      <c r="M23" s="12" t="n">
        <f aca="false">IFERROR(IF(K23="",G23,K23)*L23,"")</f>
        <v>8.26</v>
      </c>
      <c r="N23" s="0" t="s">
        <v>147</v>
      </c>
      <c r="O23" s="13" t="s">
        <v>28</v>
      </c>
      <c r="R23" s="12" t="n">
        <f aca="false">IFERROR(LOOKUP(IF(Q23="",G23,Q23),{0,1,10,50,200,400,800,4000,8000},{0,0.799376,0.799376,0.502799,0.495358,0.431578,0.37205,0.349727,0.327404}),"")</f>
        <v>0.799376</v>
      </c>
      <c r="S23" s="12" t="n">
        <f aca="false">IFERROR(IF(Q23="",G23,Q23)*R23,"")</f>
        <v>7.99376</v>
      </c>
      <c r="T23" s="0" t="s">
        <v>148</v>
      </c>
      <c r="U23" s="13" t="s">
        <v>28</v>
      </c>
      <c r="AD23" s="12" t="n">
        <f aca="false">IFERROR(LOOKUP(IF(AC23="",G23,AC23),{0,1,10,25,50,100},{0,0.82,0.757,0.698,0.582,0.547}),"")</f>
        <v>0.757</v>
      </c>
      <c r="AE23" s="12" t="n">
        <f aca="false">IFERROR(IF(AC23="",G23,AC23)*AD23,"")</f>
        <v>7.57</v>
      </c>
      <c r="AF23" s="0" t="s">
        <v>149</v>
      </c>
      <c r="AG23" s="13" t="s">
        <v>28</v>
      </c>
    </row>
    <row r="24" customFormat="false" ht="15" hidden="false" customHeight="false" outlineLevel="0" collapsed="false">
      <c r="A24" s="0" t="s">
        <v>150</v>
      </c>
      <c r="B24" s="0" t="s">
        <v>151</v>
      </c>
      <c r="D24" s="0" t="s">
        <v>93</v>
      </c>
      <c r="E24" s="0" t="s">
        <v>84</v>
      </c>
      <c r="G24" s="0" t="n">
        <f aca="false">BoardQty*6</f>
        <v>60</v>
      </c>
      <c r="H2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4" s="12" t="n">
        <f aca="false">IFERROR(G24*H24,"")</f>
        <v>0</v>
      </c>
    </row>
    <row r="25" customFormat="false" ht="15" hidden="false" customHeight="false" outlineLevel="0" collapsed="false">
      <c r="A25" s="0" t="s">
        <v>152</v>
      </c>
      <c r="B25" s="0" t="s">
        <v>153</v>
      </c>
      <c r="D25" s="0" t="s">
        <v>154</v>
      </c>
      <c r="E25" s="0" t="s">
        <v>155</v>
      </c>
      <c r="F25" s="0" t="s">
        <v>156</v>
      </c>
      <c r="G25" s="0" t="n">
        <f aca="false">BoardQty*1</f>
        <v>10</v>
      </c>
      <c r="H2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0.697328</v>
      </c>
      <c r="I25" s="12" t="n">
        <f aca="false">IFERROR(G25*H25,"")</f>
        <v>6.97328</v>
      </c>
      <c r="J25" s="0" t="n">
        <v>1986</v>
      </c>
      <c r="L25" s="12" t="n">
        <f aca="false">IFERROR(LOOKUP(IF(K25="",G25,K25),{0,1,10,50,100,250,500,1000,2500},{0,2.21,2.112,2.0544,1.92,1.7664,1.632,1.5552,1.4592}),"")</f>
        <v>2.112</v>
      </c>
      <c r="M25" s="12" t="n">
        <f aca="false">IFERROR(IF(K25="",G25,K25)*L25,"")</f>
        <v>21.12</v>
      </c>
      <c r="N25" s="0" t="s">
        <v>157</v>
      </c>
      <c r="O25" s="13" t="s">
        <v>28</v>
      </c>
      <c r="R25" s="12" t="n">
        <f aca="false">IFERROR(LOOKUP(IF(Q25="",G25,Q25),{0,1,25,50,100,500,1000,5000,10000},{0,0.697328,0.697328,0.64843,0.586776,0.482602,0.440082,0.341223,0.314648}),"")</f>
        <v>0.697328</v>
      </c>
      <c r="S25" s="12" t="n">
        <f aca="false">IFERROR(IF(Q25="",G25,Q25)*R25,"")</f>
        <v>6.97328</v>
      </c>
      <c r="T25" s="0" t="s">
        <v>156</v>
      </c>
      <c r="U25" s="13" t="s">
        <v>28</v>
      </c>
      <c r="V25" s="0" t="n">
        <v>1345</v>
      </c>
      <c r="X25" s="12" t="n">
        <f aca="false">IFERROR(LOOKUP(IF(W25="",G25,W25),{0,1,10,25,50,100,250,500,1000,2500},{0,2.22,2.12,2.1,2.07,1.92,1.77,1.64,1.57,1.46}),"")</f>
        <v>2.12</v>
      </c>
      <c r="Y25" s="12" t="n">
        <f aca="false">IFERROR(IF(W25="",G25,W25)*X25,"")</f>
        <v>21.2</v>
      </c>
      <c r="Z25" s="0" t="s">
        <v>158</v>
      </c>
      <c r="AA25" s="13" t="s">
        <v>28</v>
      </c>
      <c r="AD25" s="12" t="n">
        <f aca="false">IFERROR(LOOKUP(IF(AC25="",G25,AC25),{0,1,10,25,50,100,500,1000,2000},{0,2.18,2.11,2.07,2.05,1.92,1.63,1.55,1.45}),"")</f>
        <v>2.11</v>
      </c>
      <c r="AE25" s="12" t="n">
        <f aca="false">IFERROR(IF(AC25="",G25,AC25)*AD25,"")</f>
        <v>21.1</v>
      </c>
      <c r="AF25" s="0" t="s">
        <v>159</v>
      </c>
      <c r="AG25" s="13" t="s">
        <v>28</v>
      </c>
      <c r="AH25" s="0" t="n">
        <v>45</v>
      </c>
      <c r="AJ25" s="12" t="n">
        <f aca="false">IFERROR(LOOKUP(IF(AI25="",G25,AI25),{0,1,5,75,250,500,1000},{0,2.087732,2.087732,1.74332,1.481822,1.309616,1.22245}),"")</f>
        <v>2.087732</v>
      </c>
      <c r="AK25" s="12" t="n">
        <f aca="false">IFERROR(IF(AI25="",G25,AI25)*AJ25,"")</f>
        <v>20.87732</v>
      </c>
      <c r="AL25" s="0" t="s">
        <v>160</v>
      </c>
      <c r="AM25" s="13" t="s">
        <v>28</v>
      </c>
    </row>
    <row r="26" customFormat="false" ht="15" hidden="false" customHeight="false" outlineLevel="0" collapsed="false">
      <c r="A26" s="0" t="s">
        <v>161</v>
      </c>
      <c r="B26" s="0" t="s">
        <v>92</v>
      </c>
      <c r="D26" s="0" t="s">
        <v>93</v>
      </c>
      <c r="E26" s="0" t="s">
        <v>84</v>
      </c>
      <c r="F26" s="0" t="s">
        <v>94</v>
      </c>
      <c r="G26" s="0" t="n">
        <f aca="false">BoardQty*1</f>
        <v>10</v>
      </c>
      <c r="H2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0.017008</v>
      </c>
      <c r="I26" s="12" t="n">
        <f aca="false">IFERROR(G26*H26,"")</f>
        <v>0.17008</v>
      </c>
      <c r="J26" s="0" t="n">
        <v>11651872</v>
      </c>
      <c r="L26" s="12" t="n">
        <f aca="false">IFERROR(LOOKUP(IF(K26="",G26,K26),{0,1,10,100,500,1000,4000,8000,12000},{0,0.12,0.086,0.0384,0.02746,0.02157,0.01569,0.01432,0.01364}),"")</f>
        <v>0.086</v>
      </c>
      <c r="M26" s="12" t="n">
        <f aca="false">IFERROR(IF(K26="",G26,K26)*L26,"")</f>
        <v>0.86</v>
      </c>
      <c r="N26" s="0" t="s">
        <v>95</v>
      </c>
      <c r="O26" s="13" t="s">
        <v>28</v>
      </c>
      <c r="T26" s="0" t="s">
        <v>96</v>
      </c>
      <c r="U26" s="13" t="s">
        <v>28</v>
      </c>
      <c r="AD26" s="12" t="n">
        <f aca="false">IFERROR(LOOKUP(IF(AC26="",G26,AC26),{0,1,25,50,100,250,500,1000},{0,0.1,0.017,0.015,0.012,0.011,0.01,0.008}),"")</f>
        <v>0.1</v>
      </c>
      <c r="AE26" s="12" t="n">
        <f aca="false">IFERROR(IF(AC26="",G26,AC26)*AD26,"")</f>
        <v>1</v>
      </c>
      <c r="AF26" s="0" t="s">
        <v>97</v>
      </c>
      <c r="AG26" s="13" t="s">
        <v>28</v>
      </c>
      <c r="AJ26" s="12" t="n">
        <f aca="false">IFERROR(LOOKUP(IF(AI26="",G26,AI26),{0,1,200,1000},{0,0.017008,0.017008,0.015945}),"")</f>
        <v>0.017008</v>
      </c>
      <c r="AK26" s="12" t="n">
        <f aca="false">IFERROR(IF(AI26="",G26,AI26)*AJ26,"")</f>
        <v>0.17008</v>
      </c>
      <c r="AL26" s="0" t="s">
        <v>98</v>
      </c>
      <c r="AM26" s="13" t="s">
        <v>28</v>
      </c>
    </row>
    <row r="27" customFormat="false" ht="15" hidden="false" customHeight="false" outlineLevel="0" collapsed="false">
      <c r="A27" s="0" t="s">
        <v>162</v>
      </c>
      <c r="B27" s="0" t="s">
        <v>163</v>
      </c>
      <c r="D27" s="0" t="s">
        <v>53</v>
      </c>
      <c r="E27" s="0" t="s">
        <v>54</v>
      </c>
      <c r="F27" s="0" t="s">
        <v>164</v>
      </c>
      <c r="G27" s="0" t="n">
        <f aca="false">BoardQty*1</f>
        <v>10</v>
      </c>
      <c r="H2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27" s="12" t="n">
        <f aca="false">IFERROR(G27*H27,"")</f>
        <v>0.05</v>
      </c>
      <c r="J27" s="0" t="n">
        <v>142497</v>
      </c>
      <c r="L27" s="12" t="n">
        <f aca="false">IFERROR(LOOKUP(IF(K27="",G27,K27),{0,1,10,100,1000,2500,5000,10000,25000,50000,125000},{0,0.1,0.015,0.006,0.00268,0.00233,0.00192,0.00167,0.00147,0.00135,0.00132}),"")</f>
        <v>0.015</v>
      </c>
      <c r="M27" s="12" t="n">
        <f aca="false">IFERROR(IF(K27="",G27,K27)*L27,"")</f>
        <v>0.15</v>
      </c>
      <c r="N27" s="0" t="s">
        <v>165</v>
      </c>
      <c r="O27" s="13" t="s">
        <v>28</v>
      </c>
      <c r="V27" s="0" t="n">
        <v>26369</v>
      </c>
      <c r="X27" s="12" t="n">
        <f aca="false">IFERROR(LOOKUP(IF(W27="",G27,W27),{0,1,10,100,1000,5000},{0,0.1,0.011,0.004,0.002,0.001}),"")</f>
        <v>0.011</v>
      </c>
      <c r="Y27" s="12" t="n">
        <f aca="false">IFERROR(IF(W27="",G27,W27)*X27,"")</f>
        <v>0.11</v>
      </c>
      <c r="Z27" s="0" t="s">
        <v>166</v>
      </c>
      <c r="AA27" s="13" t="s">
        <v>28</v>
      </c>
      <c r="AD27" s="12" t="n">
        <f aca="false">IFERROR(LOOKUP(IF(AC27="",G27,AC27),{0,1,5000,10000,15000},{0,0.005,0.005,0.003,0.002}),"")</f>
        <v>0.005</v>
      </c>
      <c r="AE27" s="12" t="n">
        <f aca="false">IFERROR(IF(AC27="",G27,AC27)*AD27,"")</f>
        <v>0.05</v>
      </c>
      <c r="AF27" s="0" t="s">
        <v>167</v>
      </c>
      <c r="AG27" s="13" t="s">
        <v>28</v>
      </c>
      <c r="AL27" s="0" t="s">
        <v>168</v>
      </c>
      <c r="AM27" s="13" t="s">
        <v>28</v>
      </c>
    </row>
    <row r="28" customFormat="false" ht="15" hidden="false" customHeight="false" outlineLevel="0" collapsed="false">
      <c r="A28" s="0" t="s">
        <v>169</v>
      </c>
      <c r="B28" s="0" t="s">
        <v>170</v>
      </c>
      <c r="D28" s="0" t="s">
        <v>171</v>
      </c>
      <c r="E28" s="0" t="s">
        <v>155</v>
      </c>
      <c r="F28" s="0" t="s">
        <v>172</v>
      </c>
      <c r="G28" s="0" t="n">
        <f aca="false">BoardQty*1</f>
        <v>10</v>
      </c>
      <c r="H2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0.86103</v>
      </c>
      <c r="I28" s="12" t="n">
        <f aca="false">IFERROR(G28*H28,"")</f>
        <v>8.6103</v>
      </c>
      <c r="J28" s="0" t="n">
        <v>1553</v>
      </c>
      <c r="L28" s="12" t="n">
        <f aca="false">IFERROR(LOOKUP(IF(K28="",G28,K28),{0,1,10,50,100,250,500,1000,2500},{0,2.65,2.536,2.4666,2.3052,2.1208,1.95942,1.8306,1.7176}),"")</f>
        <v>2.536</v>
      </c>
      <c r="M28" s="12" t="n">
        <f aca="false">IFERROR(IF(K28="",G28,K28)*L28,"")</f>
        <v>25.36</v>
      </c>
      <c r="N28" s="0" t="s">
        <v>173</v>
      </c>
      <c r="O28" s="13" t="s">
        <v>28</v>
      </c>
      <c r="R28" s="12" t="n">
        <f aca="false">IFERROR(LOOKUP(IF(Q28="",G28,Q28),{0,1,25,50,100,500,1000,5000},{0,0.86103,0.86103,0.76536,0.72284,0.596343,0.525122,0.412444}),"")</f>
        <v>0.86103</v>
      </c>
      <c r="S28" s="12" t="n">
        <f aca="false">IFERROR(IF(Q28="",G28,Q28)*R28,"")</f>
        <v>8.6103</v>
      </c>
      <c r="T28" s="0" t="s">
        <v>172</v>
      </c>
      <c r="U28" s="13" t="s">
        <v>28</v>
      </c>
      <c r="V28" s="0" t="n">
        <v>1531</v>
      </c>
      <c r="X28" s="12" t="n">
        <f aca="false">IFERROR(LOOKUP(IF(W28="",G28,W28),{0,1,10,50,100,250,500,1000,2500},{0,2.66,2.55,2.48,2.31,2.14,1.97,1.84,1.72}),"")</f>
        <v>2.55</v>
      </c>
      <c r="Y28" s="12" t="n">
        <f aca="false">IFERROR(IF(W28="",G28,W28)*X28,"")</f>
        <v>25.5</v>
      </c>
      <c r="Z28" s="0" t="s">
        <v>174</v>
      </c>
      <c r="AA28" s="13" t="s">
        <v>28</v>
      </c>
      <c r="AD28" s="12" t="n">
        <f aca="false">IFERROR(LOOKUP(IF(AC28="",G28,AC28),{0,1,100,250,500,1000},{0,1.46,1.17,1.07,0.984,0.904}),"")</f>
        <v>1.46</v>
      </c>
      <c r="AE28" s="12" t="n">
        <f aca="false">IFERROR(IF(AC28="",G28,AC28)*AD28,"")</f>
        <v>14.6</v>
      </c>
      <c r="AF28" s="0" t="s">
        <v>175</v>
      </c>
      <c r="AG28" s="13" t="s">
        <v>28</v>
      </c>
      <c r="AH28" s="0" t="n">
        <v>148</v>
      </c>
      <c r="AL28" s="0" t="s">
        <v>176</v>
      </c>
      <c r="AM28" s="13" t="s">
        <v>28</v>
      </c>
    </row>
    <row r="29" customFormat="false" ht="15" hidden="false" customHeight="false" outlineLevel="0" collapsed="false">
      <c r="A29" s="0" t="s">
        <v>177</v>
      </c>
      <c r="B29" s="0" t="s">
        <v>178</v>
      </c>
      <c r="D29" s="0" t="s">
        <v>179</v>
      </c>
      <c r="E29" s="0" t="s">
        <v>35</v>
      </c>
      <c r="F29" s="0" t="s">
        <v>180</v>
      </c>
      <c r="G29" s="0" t="n">
        <f aca="false">BoardQty*1</f>
        <v>10</v>
      </c>
      <c r="H2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0.192403</v>
      </c>
      <c r="I29" s="12" t="n">
        <f aca="false">IFERROR(G29*H29,"")</f>
        <v>1.92403</v>
      </c>
      <c r="J29" s="0" t="n">
        <v>2760</v>
      </c>
      <c r="L29" s="12" t="n">
        <f aca="false">IFERROR(LOOKUP(IF(K29="",G29,K29),{0,1,10,100,500,1000,3000,6000,15000},{0,0.58,0.498,0.372,0.29232,0.22588,0.19995,0.18705,0.17415}),"")</f>
        <v>0.498</v>
      </c>
      <c r="M29" s="12" t="n">
        <f aca="false">IFERROR(IF(K29="",G29,K29)*L29,"")</f>
        <v>4.98</v>
      </c>
      <c r="N29" s="0" t="s">
        <v>181</v>
      </c>
      <c r="O29" s="13" t="s">
        <v>28</v>
      </c>
      <c r="R29" s="12" t="n">
        <f aca="false">IFERROR(LOOKUP(IF(Q29="",G29,Q29),{0,1,3000,15000,30000},{0,0.192403,0.192403,0.186025,0.169017}),"")</f>
        <v>0.192403</v>
      </c>
      <c r="S29" s="12" t="n">
        <f aca="false">IFERROR(IF(Q29="",G29,Q29)*R29,"")</f>
        <v>1.92403</v>
      </c>
      <c r="T29" s="0" t="s">
        <v>182</v>
      </c>
      <c r="U29" s="13" t="s">
        <v>28</v>
      </c>
      <c r="V29" s="0" t="n">
        <v>6362</v>
      </c>
      <c r="X29" s="12" t="n">
        <f aca="false">IFERROR(LOOKUP(IF(W29="",G29,W29),{0,1,10,100,1000,3000,9000,24000},{0,0.562,0.467,0.284,0.219,0.188,0.175,0.169}),"")</f>
        <v>0.467</v>
      </c>
      <c r="Y29" s="12" t="n">
        <f aca="false">IFERROR(IF(W29="",G29,W29)*X29,"")</f>
        <v>4.67</v>
      </c>
      <c r="Z29" s="0" t="s">
        <v>183</v>
      </c>
      <c r="AA29" s="13" t="s">
        <v>28</v>
      </c>
      <c r="AD29" s="12" t="n">
        <f aca="false">IFERROR(LOOKUP(IF(AC29="",G29,AC29),{0,1,10,100,1000},{0,0.559,0.466,0.284,0.22}),"")</f>
        <v>0.466</v>
      </c>
      <c r="AE29" s="12" t="n">
        <f aca="false">IFERROR(IF(AC29="",G29,AC29)*AD29,"")</f>
        <v>4.66</v>
      </c>
      <c r="AF29" s="0" t="s">
        <v>184</v>
      </c>
      <c r="AG29" s="13" t="s">
        <v>28</v>
      </c>
      <c r="AH29" s="0" t="n">
        <v>80</v>
      </c>
      <c r="AJ29" s="12" t="n">
        <f aca="false">IFERROR(LOOKUP(IF(AI29="",G29,AI29),{0,1,5,10},{0,0.525122,0.525122,0.465594}),"")</f>
        <v>0.465594</v>
      </c>
      <c r="AK29" s="12" t="n">
        <f aca="false">IFERROR(IF(AI29="",G29,AI29)*AJ29,"")</f>
        <v>4.65594</v>
      </c>
      <c r="AL29" s="0" t="s">
        <v>185</v>
      </c>
      <c r="AM29" s="13" t="s">
        <v>28</v>
      </c>
    </row>
    <row r="30" customFormat="false" ht="15" hidden="false" customHeight="false" outlineLevel="0" collapsed="false">
      <c r="A30" s="0" t="s">
        <v>186</v>
      </c>
      <c r="B30" s="0" t="s">
        <v>187</v>
      </c>
      <c r="D30" s="0" t="s">
        <v>188</v>
      </c>
      <c r="E30" s="0" t="s">
        <v>35</v>
      </c>
      <c r="F30" s="0" t="s">
        <v>189</v>
      </c>
      <c r="G30" s="0" t="n">
        <f aca="false">BoardQty*1</f>
        <v>10</v>
      </c>
      <c r="H3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4.0394</v>
      </c>
      <c r="I30" s="12" t="n">
        <f aca="false">IFERROR(G30*H30,"")</f>
        <v>40.394</v>
      </c>
      <c r="J30" s="0" t="n">
        <v>1576</v>
      </c>
      <c r="L30" s="12" t="n">
        <f aca="false">IFERROR(LOOKUP(IF(K30="",G30,K30),{0,1,10,100,350,500,1000,1050},{0,5.49,4.927,4.0365,3.515,3.4362,2.898,2.1375}),"")</f>
        <v>4.927</v>
      </c>
      <c r="M30" s="12" t="n">
        <f aca="false">IFERROR(IF(K30="",G30,K30)*L30,"")</f>
        <v>49.27</v>
      </c>
      <c r="N30" s="0" t="s">
        <v>190</v>
      </c>
      <c r="O30" s="13" t="s">
        <v>28</v>
      </c>
      <c r="R30" s="12" t="n">
        <f aca="false">IFERROR(LOOKUP(IF(Q30="",G30,Q30),{0,1,10,25,50,100,250,500},{0,4.0394,4.0394,3.87995,3.60357,3.31656,3.11459,2.2323}),"")</f>
        <v>4.0394</v>
      </c>
      <c r="S30" s="12" t="n">
        <f aca="false">IFERROR(IF(Q30="",G30,Q30)*R30,"")</f>
        <v>40.394</v>
      </c>
      <c r="T30" s="0" t="s">
        <v>191</v>
      </c>
      <c r="U30" s="13" t="s">
        <v>28</v>
      </c>
      <c r="AD30" s="12" t="n">
        <f aca="false">IFERROR(LOOKUP(IF(AC30="",G30,AC30),{0,1,10,25,100,250},{0,4.54,4.06,3.9,3.34,3.17}),"")</f>
        <v>4.06</v>
      </c>
      <c r="AE30" s="12" t="n">
        <f aca="false">IFERROR(IF(AC30="",G30,AC30)*AD30,"")</f>
        <v>40.6</v>
      </c>
      <c r="AF30" s="0" t="s">
        <v>192</v>
      </c>
      <c r="AG30" s="13" t="s">
        <v>28</v>
      </c>
      <c r="AH30" s="0" t="n">
        <v>12</v>
      </c>
      <c r="AJ30" s="12" t="n">
        <f aca="false">IFERROR(LOOKUP(IF(AI30="",G30,AI30),{0,1,2},{0,4.95358,4.7835}),"")</f>
        <v>4.7835</v>
      </c>
      <c r="AK30" s="12" t="n">
        <f aca="false">IFERROR(IF(AI30="",G30,AI30)*AJ30,"")</f>
        <v>47.835</v>
      </c>
      <c r="AL30" s="0" t="s">
        <v>193</v>
      </c>
      <c r="AM30" s="13" t="s">
        <v>28</v>
      </c>
    </row>
    <row r="31" customFormat="false" ht="15" hidden="false" customHeight="false" outlineLevel="0" collapsed="false">
      <c r="A31" s="0" t="s">
        <v>194</v>
      </c>
      <c r="B31" s="0" t="s">
        <v>195</v>
      </c>
      <c r="D31" s="0" t="s">
        <v>196</v>
      </c>
      <c r="E31" s="0" t="s">
        <v>155</v>
      </c>
      <c r="F31" s="0" t="s">
        <v>197</v>
      </c>
      <c r="G31" s="0" t="n">
        <f aca="false">BoardQty*1</f>
        <v>10</v>
      </c>
      <c r="H3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0.80788</v>
      </c>
      <c r="I31" s="12" t="n">
        <f aca="false">IFERROR(G31*H31,"")</f>
        <v>8.0788</v>
      </c>
      <c r="J31" s="0" t="n">
        <v>7249</v>
      </c>
      <c r="L31" s="12" t="n">
        <f aca="false">IFERROR(LOOKUP(IF(K31="",G31,K31),{0,1,10,50,100,250,500,1000,2500,5000},{0,1.56,1.495,1.43,1.391,1.3,1.196,1.105,1.053,0.988}),"")</f>
        <v>1.495</v>
      </c>
      <c r="M31" s="12" t="n">
        <f aca="false">IFERROR(IF(K31="",G31,K31)*L31,"")</f>
        <v>14.95</v>
      </c>
      <c r="N31" s="0" t="s">
        <v>198</v>
      </c>
      <c r="O31" s="13" t="s">
        <v>28</v>
      </c>
      <c r="R31" s="12" t="n">
        <f aca="false">IFERROR(LOOKUP(IF(Q31="",G31,Q31),{0,1,25,50,100,500,1000,5000},{0,0.80788,0.80788,0.75473,0.657997,0.553823,0.497484,0.383743}),"")</f>
        <v>0.80788</v>
      </c>
      <c r="S31" s="12" t="n">
        <f aca="false">IFERROR(IF(Q31="",G31,Q31)*R31,"")</f>
        <v>8.0788</v>
      </c>
      <c r="T31" s="0" t="s">
        <v>197</v>
      </c>
      <c r="U31" s="13" t="s">
        <v>28</v>
      </c>
      <c r="V31" s="0" t="n">
        <v>4171</v>
      </c>
      <c r="X31" s="12" t="n">
        <f aca="false">IFERROR(LOOKUP(IF(W31="",G31,W31),{0,1,10,50,100,250,500,1000,2500,5000},{0,1.57,1.5,1.44,1.38,1.31,1.19,1.1,1.05,0.991}),"")</f>
        <v>1.5</v>
      </c>
      <c r="Y31" s="12" t="n">
        <f aca="false">IFERROR(IF(W31="",G31,W31)*X31,"")</f>
        <v>15</v>
      </c>
      <c r="Z31" s="0" t="s">
        <v>199</v>
      </c>
      <c r="AA31" s="13" t="s">
        <v>28</v>
      </c>
      <c r="AD31" s="12" t="n">
        <f aca="false">IFERROR(LOOKUP(IF(AC31="",G31,AC31),{0,1,10,50,100,250,500,1000,2500},{0,1.56,1.49,1.43,1.38,1.3,1.19,1.1,1.05}),"")</f>
        <v>1.49</v>
      </c>
      <c r="AE31" s="12" t="n">
        <f aca="false">IFERROR(IF(AC31="",G31,AC31)*AD31,"")</f>
        <v>14.9</v>
      </c>
      <c r="AF31" s="0" t="s">
        <v>200</v>
      </c>
      <c r="AG31" s="13" t="s">
        <v>28</v>
      </c>
      <c r="AH31" s="0" t="n">
        <v>270</v>
      </c>
      <c r="AJ31" s="12" t="n">
        <f aca="false">IFERROR(LOOKUP(IF(AI31="",G31,AI31),{0,1,5,75,250,500,1000},{0,1.45631,1.45631,1.228828,1.054496,0.941818,0.88229}),"")</f>
        <v>1.45631</v>
      </c>
      <c r="AK31" s="12" t="n">
        <f aca="false">IFERROR(IF(AI31="",G31,AI31)*AJ31,"")</f>
        <v>14.5631</v>
      </c>
      <c r="AL31" s="0" t="s">
        <v>201</v>
      </c>
      <c r="AM31" s="13" t="s">
        <v>28</v>
      </c>
    </row>
    <row r="32" customFormat="false" ht="15" hidden="false" customHeight="false" outlineLevel="0" collapsed="false">
      <c r="A32" s="0" t="s">
        <v>202</v>
      </c>
      <c r="B32" s="0" t="s">
        <v>203</v>
      </c>
      <c r="D32" s="0" t="s">
        <v>53</v>
      </c>
      <c r="E32" s="0" t="s">
        <v>84</v>
      </c>
      <c r="F32" s="0" t="s">
        <v>204</v>
      </c>
      <c r="G32" s="0" t="n">
        <f aca="false">BoardQty*1</f>
        <v>10</v>
      </c>
      <c r="H3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0.0973708</v>
      </c>
      <c r="I32" s="12" t="n">
        <f aca="false">IFERROR(G32*H32,"")</f>
        <v>0.973708</v>
      </c>
      <c r="J32" s="0" t="n">
        <v>104000</v>
      </c>
      <c r="L32" s="12" t="n">
        <f aca="false">IFERROR(LOOKUP(IF(K32="",G32,K32),{0,1,5,10,25,50,100,500,1000,4000,8000,12000,20000,28000},{0,0.23,0.22,0.195,0.1796,0.1436,0.123,0.10764,0.09227,0.07922,0.0699,0.06757,0.06641,0.06524}),"")</f>
        <v>0.195</v>
      </c>
      <c r="M32" s="12" t="n">
        <f aca="false">IFERROR(IF(K32="",G32,K32)*L32,"")</f>
        <v>1.95</v>
      </c>
      <c r="N32" s="0" t="s">
        <v>205</v>
      </c>
      <c r="O32" s="13" t="s">
        <v>28</v>
      </c>
      <c r="R32" s="12" t="n">
        <f aca="false">IFERROR(LOOKUP(IF(Q32="",G32,Q32),{0,1,100,500,1000,2000,4000,20000,40000},{0,0.0973708,0.0973708,0.087166,0.0802565,0.073347,0.0664375,0.0642052,0.0629296}),"")</f>
        <v>0.0973708</v>
      </c>
      <c r="S32" s="12" t="n">
        <f aca="false">IFERROR(IF(Q32="",G32,Q32)*R32,"")</f>
        <v>0.973708</v>
      </c>
      <c r="T32" s="0" t="s">
        <v>206</v>
      </c>
      <c r="U32" s="13" t="s">
        <v>28</v>
      </c>
      <c r="V32" s="0" t="n">
        <v>6642</v>
      </c>
      <c r="X32" s="12" t="n">
        <f aca="false">IFERROR(LOOKUP(IF(W32="",G32,W32),{0,1,10,100,500,1000,4000,8000,24000},{0,0.221,0.159,0.113,0.109,0.092,0.071,0.068,0.065}),"")</f>
        <v>0.159</v>
      </c>
      <c r="Y32" s="12" t="n">
        <f aca="false">IFERROR(IF(W32="",G32,W32)*X32,"")</f>
        <v>1.59</v>
      </c>
      <c r="Z32" s="0" t="s">
        <v>207</v>
      </c>
      <c r="AA32" s="13" t="s">
        <v>28</v>
      </c>
      <c r="AD32" s="12" t="n">
        <f aca="false">IFERROR(LOOKUP(IF(AC32="",G32,AC32),{0,1,10,25,50,100,250,500,1000},{0,0.159,0.159,0.144,0.128,0.113,0.111,0.108,0.092}),"")</f>
        <v>0.159</v>
      </c>
      <c r="AE32" s="12" t="n">
        <f aca="false">IFERROR(IF(AC32="",G32,AC32)*AD32,"")</f>
        <v>1.59</v>
      </c>
      <c r="AF32" s="0" t="s">
        <v>208</v>
      </c>
      <c r="AG32" s="13" t="s">
        <v>28</v>
      </c>
      <c r="AH32" s="0" t="n">
        <v>190</v>
      </c>
      <c r="AJ32" s="12" t="n">
        <f aca="false">IFERROR(LOOKUP(IF(AI32="",G32,AI32),{0,1,10,100},{0,0.199844,0.199844,0.165828}),"")</f>
        <v>0.199844</v>
      </c>
      <c r="AK32" s="12" t="n">
        <f aca="false">IFERROR(IF(AI32="",G32,AI32)*AJ32,"")</f>
        <v>1.99844</v>
      </c>
      <c r="AL32" s="0" t="s">
        <v>209</v>
      </c>
      <c r="AM32" s="13" t="s">
        <v>28</v>
      </c>
    </row>
    <row r="33" customFormat="false" ht="15" hidden="false" customHeight="false" outlineLevel="0" collapsed="false">
      <c r="A33" s="0" t="s">
        <v>210</v>
      </c>
      <c r="B33" s="0" t="s">
        <v>211</v>
      </c>
      <c r="D33" s="0" t="s">
        <v>24</v>
      </c>
      <c r="E33" s="0" t="s">
        <v>35</v>
      </c>
      <c r="F33" s="0" t="s">
        <v>211</v>
      </c>
      <c r="G33" s="0" t="n">
        <f aca="false">BoardQty*4</f>
        <v>40</v>
      </c>
      <c r="H3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2.16</v>
      </c>
      <c r="I33" s="12" t="n">
        <f aca="false">IFERROR(G33*H33,"")</f>
        <v>86.4</v>
      </c>
      <c r="J33" s="0" t="n">
        <v>13926</v>
      </c>
      <c r="L33" s="12" t="n">
        <f aca="false">IFERROR(LOOKUP(IF(K33="",G33,K33),{0,1,10,100,300,500,1000,2500},{0,2.6,2.334,1.8758,1.91477,1.54114,1.27694,1.06876}),"")</f>
        <v>2.334</v>
      </c>
      <c r="M33" s="12" t="n">
        <f aca="false">IFERROR(IF(K33="",G33,K33)*L33,"")</f>
        <v>93.36</v>
      </c>
      <c r="N33" s="0" t="s">
        <v>212</v>
      </c>
      <c r="O33" s="13" t="s">
        <v>28</v>
      </c>
      <c r="R33" s="12" t="n">
        <f aca="false">IFERROR(LOOKUP(IF(Q33="",G33,Q33),{0,1,10,100,250,500},{0,2.66813,2.21104,1.96655,1.8071,1.41379}),"")</f>
        <v>2.21104</v>
      </c>
      <c r="S33" s="12" t="n">
        <f aca="false">IFERROR(IF(Q33="",G33,Q33)*R33,"")</f>
        <v>88.4416</v>
      </c>
      <c r="T33" s="0" t="s">
        <v>213</v>
      </c>
      <c r="U33" s="13" t="s">
        <v>28</v>
      </c>
      <c r="AD33" s="12" t="n">
        <f aca="false">IFERROR(LOOKUP(IF(AC33="",G33,AC33),{0,1,10,25,100,250,500,1000},{0,2.52,2.27,2.16,1.83,1.71,1.5,1.07}),"")</f>
        <v>2.16</v>
      </c>
      <c r="AE33" s="12" t="n">
        <f aca="false">IFERROR(IF(AC33="",G33,AC33)*AD33,"")</f>
        <v>86.4</v>
      </c>
      <c r="AF33" s="0" t="s">
        <v>214</v>
      </c>
      <c r="AG33" s="13" t="s">
        <v>28</v>
      </c>
    </row>
    <row r="34" customFormat="false" ht="15" hidden="false" customHeight="false" outlineLevel="0" collapsed="false">
      <c r="A34" s="0" t="s">
        <v>215</v>
      </c>
      <c r="B34" s="0" t="s">
        <v>216</v>
      </c>
      <c r="D34" s="0" t="s">
        <v>116</v>
      </c>
      <c r="G34" s="0" t="n">
        <f aca="false">BoardQty*2</f>
        <v>20</v>
      </c>
      <c r="H3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4" s="12" t="n">
        <f aca="false">IFERROR(G34*H34,"")</f>
        <v>0</v>
      </c>
    </row>
    <row r="35" customFormat="false" ht="15" hidden="false" customHeight="false" outlineLevel="0" collapsed="false">
      <c r="A35" s="0" t="s">
        <v>217</v>
      </c>
      <c r="B35" s="0" t="s">
        <v>218</v>
      </c>
      <c r="D35" s="0" t="s">
        <v>219</v>
      </c>
      <c r="E35" s="0" t="s">
        <v>220</v>
      </c>
      <c r="F35" s="0" t="s">
        <v>221</v>
      </c>
      <c r="G35" s="0" t="n">
        <f aca="false">BoardQty*1</f>
        <v>10</v>
      </c>
      <c r="H3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0.283</v>
      </c>
      <c r="I35" s="12" t="n">
        <f aca="false">IFERROR(G35*H35,"")</f>
        <v>2.83</v>
      </c>
      <c r="J35" s="0" t="n">
        <v>3512</v>
      </c>
      <c r="L35" s="12" t="n">
        <f aca="false">IFERROR(LOOKUP(IF(K35="",G35,K35),{0,1,10,100,500,1000,3000,6000,15000,30000,75000},{0,0.38,0.283,0.1761,0.12052,0.0927,0.099,0.093,0.087,0.0798,0.0768}),"")</f>
        <v>0.283</v>
      </c>
      <c r="M35" s="12" t="n">
        <f aca="false">IFERROR(IF(K35="",G35,K35)*L35,"")</f>
        <v>2.83</v>
      </c>
      <c r="N35" s="0" t="s">
        <v>222</v>
      </c>
      <c r="O35" s="13" t="s">
        <v>28</v>
      </c>
      <c r="AD35" s="12" t="n">
        <f aca="false">IFERROR(LOOKUP(IF(AC35="",G35,AC35),{0,1,6},{0,62.5,62.5}),"")</f>
        <v>62.5</v>
      </c>
      <c r="AE35" s="12" t="n">
        <f aca="false">IFERROR(IF(AC35="",G35,AC35)*AD35,"")</f>
        <v>625</v>
      </c>
      <c r="AF35" s="0" t="s">
        <v>223</v>
      </c>
      <c r="AG35" s="13" t="s">
        <v>28</v>
      </c>
      <c r="AL35" s="0" t="s">
        <v>224</v>
      </c>
      <c r="AM35" s="13" t="s">
        <v>28</v>
      </c>
    </row>
    <row r="36" customFormat="false" ht="15" hidden="false" customHeight="false" outlineLevel="0" collapsed="false">
      <c r="A36" s="0" t="s">
        <v>225</v>
      </c>
      <c r="B36" s="0" t="s">
        <v>226</v>
      </c>
      <c r="D36" s="0" t="s">
        <v>227</v>
      </c>
      <c r="E36" s="0" t="s">
        <v>228</v>
      </c>
      <c r="F36" s="0" t="s">
        <v>229</v>
      </c>
      <c r="G36" s="0" t="n">
        <f aca="false">BoardQty*1</f>
        <v>10</v>
      </c>
      <c r="H3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0.351853</v>
      </c>
      <c r="I36" s="12" t="n">
        <f aca="false">IFERROR(G36*H36,"")</f>
        <v>3.51853</v>
      </c>
      <c r="J36" s="0" t="n">
        <v>567</v>
      </c>
      <c r="L36" s="12" t="n">
        <f aca="false">IFERROR(LOOKUP(IF(K36="",G36,K36),{0,1,10,100,500,1000,2500,5000,12500,25000},{0,0.65,0.56,0.4182,0.32858,0.2539,0.22475,0.21025,0.19575,0.1856}),"")</f>
        <v>0.56</v>
      </c>
      <c r="M36" s="12" t="n">
        <f aca="false">IFERROR(IF(K36="",G36,K36)*L36,"")</f>
        <v>5.6</v>
      </c>
      <c r="N36" s="0" t="s">
        <v>230</v>
      </c>
      <c r="O36" s="13" t="s">
        <v>28</v>
      </c>
      <c r="R36" s="12" t="n">
        <f aca="false">IFERROR(LOOKUP(IF(Q36="",G36,Q36),{0,1,10,100,250,500,1000},{0,0.575083,0.575083,0.442208,0.32953,0.284884,0.245553}),"")</f>
        <v>0.575083</v>
      </c>
      <c r="S36" s="12" t="n">
        <f aca="false">IFERROR(IF(Q36="",G36,Q36)*R36,"")</f>
        <v>5.75083</v>
      </c>
      <c r="T36" s="0" t="s">
        <v>231</v>
      </c>
      <c r="U36" s="13" t="s">
        <v>28</v>
      </c>
      <c r="V36" s="0" t="n">
        <v>2490</v>
      </c>
      <c r="X36" s="12" t="n">
        <f aca="false">IFERROR(LOOKUP(IF(W36="",G36,W36),{0,1,10,100,1000,2500,10000,25000},{0,0.642,0.525,0.321,0.248,0.211,0.197,0.189}),"")</f>
        <v>0.525</v>
      </c>
      <c r="Y36" s="12" t="n">
        <f aca="false">IFERROR(IF(W36="",G36,W36)*X36,"")</f>
        <v>5.25</v>
      </c>
      <c r="Z36" s="0" t="s">
        <v>232</v>
      </c>
      <c r="AA36" s="13" t="s">
        <v>28</v>
      </c>
      <c r="AD36" s="12" t="n">
        <f aca="false">IFERROR(LOOKUP(IF(AC36="",G36,AC36),{0,1,10,25,50,100,250,500,1000},{0,0.63,0.523,0.455,0.387,0.319,0.295,0.271,0.247}),"")</f>
        <v>0.523</v>
      </c>
      <c r="AE36" s="12" t="n">
        <f aca="false">IFERROR(IF(AC36="",G36,AC36)*AD36,"")</f>
        <v>5.23</v>
      </c>
      <c r="AF36" s="0" t="s">
        <v>233</v>
      </c>
      <c r="AG36" s="13" t="s">
        <v>28</v>
      </c>
      <c r="AH36" s="0" t="n">
        <v>340</v>
      </c>
      <c r="AJ36" s="12" t="n">
        <f aca="false">IFERROR(LOOKUP(IF(AI36="",G36,AI36),{0,1,10,20},{0,0.351853,0.351853,0.344412}),"")</f>
        <v>0.351853</v>
      </c>
      <c r="AK36" s="12" t="n">
        <f aca="false">IFERROR(IF(AI36="",G36,AI36)*AJ36,"")</f>
        <v>3.51853</v>
      </c>
      <c r="AL36" s="0" t="s">
        <v>234</v>
      </c>
      <c r="AM36" s="13" t="s">
        <v>28</v>
      </c>
    </row>
    <row r="37" customFormat="false" ht="15" hidden="false" customHeight="false" outlineLevel="0" collapsed="false">
      <c r="A37" s="0" t="s">
        <v>235</v>
      </c>
      <c r="B37" s="0" t="s">
        <v>236</v>
      </c>
      <c r="D37" s="0" t="s">
        <v>237</v>
      </c>
      <c r="E37" s="0" t="s">
        <v>238</v>
      </c>
      <c r="F37" s="0" t="s">
        <v>239</v>
      </c>
      <c r="G37" s="0" t="n">
        <f aca="false">BoardQty*1</f>
        <v>10</v>
      </c>
      <c r="H3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0.371</v>
      </c>
      <c r="I37" s="12" t="n">
        <f aca="false">IFERROR(G37*H37,"")</f>
        <v>3.71</v>
      </c>
      <c r="J37" s="0" t="n">
        <v>5515</v>
      </c>
      <c r="L37" s="12" t="n">
        <f aca="false">IFERROR(LOOKUP(IF(K37="",G37,K37),{0,1,10,100,500,1000,5000,10000},{0,0.77,0.726,0.5564,0.4838,0.39914,0.35076,0.32657}),"")</f>
        <v>0.726</v>
      </c>
      <c r="M37" s="12" t="n">
        <f aca="false">IFERROR(IF(K37="",G37,K37)*L37,"")</f>
        <v>7.26</v>
      </c>
      <c r="N37" s="0" t="s">
        <v>240</v>
      </c>
      <c r="O37" s="13" t="s">
        <v>28</v>
      </c>
      <c r="T37" s="0" t="s">
        <v>241</v>
      </c>
      <c r="U37" s="13" t="s">
        <v>28</v>
      </c>
      <c r="V37" s="0" t="n">
        <v>1830</v>
      </c>
      <c r="X37" s="12" t="n">
        <f aca="false">IFERROR(LOOKUP(IF(W37="",G37,W37),{0,1,10,100,500,1000,2500,5000},{0,0.782,0.583,0.558,0.485,0.401,0.365,0.352}),"")</f>
        <v>0.583</v>
      </c>
      <c r="Y37" s="12" t="n">
        <f aca="false">IFERROR(IF(W37="",G37,W37)*X37,"")</f>
        <v>5.83</v>
      </c>
      <c r="Z37" s="0" t="s">
        <v>242</v>
      </c>
      <c r="AA37" s="13" t="s">
        <v>28</v>
      </c>
      <c r="AD37" s="12" t="n">
        <f aca="false">IFERROR(LOOKUP(IF(AC37="",G37,AC37),{0,1,2400},{0,0.371,0.371}),"")</f>
        <v>0.371</v>
      </c>
      <c r="AE37" s="12" t="n">
        <f aca="false">IFERROR(IF(AC37="",G37,AC37)*AD37,"")</f>
        <v>3.71</v>
      </c>
      <c r="AF37" s="0" t="s">
        <v>243</v>
      </c>
      <c r="AG37" s="13" t="s">
        <v>28</v>
      </c>
      <c r="AL37" s="0" t="s">
        <v>244</v>
      </c>
      <c r="AM37" s="13" t="s">
        <v>28</v>
      </c>
    </row>
    <row r="38" customFormat="false" ht="15" hidden="false" customHeight="false" outlineLevel="0" collapsed="false">
      <c r="A38" s="0" t="s">
        <v>245</v>
      </c>
      <c r="B38" s="0" t="s">
        <v>246</v>
      </c>
      <c r="D38" s="0" t="s">
        <v>53</v>
      </c>
      <c r="E38" s="0" t="s">
        <v>54</v>
      </c>
      <c r="F38" s="0" t="s">
        <v>247</v>
      </c>
      <c r="G38" s="0" t="n">
        <f aca="false">BoardQty*2</f>
        <v>20</v>
      </c>
      <c r="H3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38" s="12" t="n">
        <f aca="false">IFERROR(G38*H38,"")</f>
        <v>0.1</v>
      </c>
      <c r="J38" s="0" t="n">
        <v>245864</v>
      </c>
      <c r="L38" s="12" t="n">
        <f aca="false">IFERROR(LOOKUP(IF(K38="",G38,K38),{0,1,10,100,1000,2500,5000,10000,25000,50000,125000},{0,0.1,0.015,0.006,0.00268,0.00233,0.00192,0.00167,0.00147,0.00135,0.00132}),"")</f>
        <v>0.015</v>
      </c>
      <c r="M38" s="12" t="n">
        <f aca="false">IFERROR(IF(K38="",G38,K38)*L38,"")</f>
        <v>0.3</v>
      </c>
      <c r="N38" s="0" t="s">
        <v>248</v>
      </c>
      <c r="O38" s="13" t="s">
        <v>28</v>
      </c>
      <c r="V38" s="0" t="n">
        <v>52831</v>
      </c>
      <c r="X38" s="12" t="n">
        <f aca="false">IFERROR(LOOKUP(IF(W38="",G38,W38),{0,1,10,100,1000,5000},{0,0.1,0.011,0.004,0.002,0.001}),"")</f>
        <v>0.011</v>
      </c>
      <c r="Y38" s="12" t="n">
        <f aca="false">IFERROR(IF(W38="",G38,W38)*X38,"")</f>
        <v>0.22</v>
      </c>
      <c r="Z38" s="0" t="s">
        <v>249</v>
      </c>
      <c r="AA38" s="13" t="s">
        <v>28</v>
      </c>
      <c r="AD38" s="12" t="n">
        <f aca="false">IFERROR(LOOKUP(IF(AC38="",G38,AC38),{0,1,5000,10000,15000},{0,0.005,0.005,0.003,0.002}),"")</f>
        <v>0.005</v>
      </c>
      <c r="AE38" s="12" t="n">
        <f aca="false">IFERROR(IF(AC38="",G38,AC38)*AD38,"")</f>
        <v>0.1</v>
      </c>
      <c r="AF38" s="0" t="s">
        <v>250</v>
      </c>
      <c r="AG38" s="13" t="s">
        <v>28</v>
      </c>
    </row>
    <row r="39" customFormat="false" ht="15" hidden="false" customHeight="false" outlineLevel="0" collapsed="false">
      <c r="A39" s="0" t="s">
        <v>251</v>
      </c>
      <c r="B39" s="0" t="s">
        <v>252</v>
      </c>
      <c r="D39" s="0" t="s">
        <v>237</v>
      </c>
      <c r="E39" s="0" t="s">
        <v>238</v>
      </c>
      <c r="F39" s="0" t="s">
        <v>239</v>
      </c>
      <c r="G39" s="0" t="n">
        <f aca="false">BoardQty*1</f>
        <v>10</v>
      </c>
      <c r="H3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0.371</v>
      </c>
      <c r="I39" s="12" t="n">
        <f aca="false">IFERROR(G39*H39,"")</f>
        <v>3.71</v>
      </c>
      <c r="J39" s="0" t="n">
        <v>5515</v>
      </c>
      <c r="L39" s="12" t="n">
        <f aca="false">IFERROR(LOOKUP(IF(K39="",G39,K39),{0,1,10,100,500,1000,5000,10000},{0,0.77,0.726,0.5564,0.4838,0.39914,0.35076,0.32657}),"")</f>
        <v>0.726</v>
      </c>
      <c r="M39" s="12" t="n">
        <f aca="false">IFERROR(IF(K39="",G39,K39)*L39,"")</f>
        <v>7.26</v>
      </c>
      <c r="N39" s="0" t="s">
        <v>240</v>
      </c>
      <c r="O39" s="13" t="s">
        <v>28</v>
      </c>
      <c r="T39" s="0" t="s">
        <v>241</v>
      </c>
      <c r="U39" s="13" t="s">
        <v>28</v>
      </c>
      <c r="AD39" s="12" t="n">
        <f aca="false">IFERROR(LOOKUP(IF(AC39="",G39,AC39),{0,1,2400},{0,0.371,0.371}),"")</f>
        <v>0.371</v>
      </c>
      <c r="AE39" s="12" t="n">
        <f aca="false">IFERROR(IF(AC39="",G39,AC39)*AD39,"")</f>
        <v>3.71</v>
      </c>
      <c r="AF39" s="0" t="s">
        <v>243</v>
      </c>
      <c r="AG39" s="13" t="s">
        <v>28</v>
      </c>
      <c r="AL39" s="0" t="s">
        <v>244</v>
      </c>
      <c r="AM39" s="13" t="s">
        <v>28</v>
      </c>
    </row>
    <row r="40" customFormat="false" ht="15" hidden="false" customHeight="false" outlineLevel="0" collapsed="false">
      <c r="A40" s="0" t="s">
        <v>253</v>
      </c>
      <c r="B40" s="0" t="s">
        <v>254</v>
      </c>
      <c r="D40" s="0" t="s">
        <v>255</v>
      </c>
      <c r="E40" s="0" t="s">
        <v>35</v>
      </c>
      <c r="F40" s="0" t="s">
        <v>256</v>
      </c>
      <c r="G40" s="0" t="n">
        <f aca="false">BoardQty*1</f>
        <v>10</v>
      </c>
      <c r="H4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0.916306</v>
      </c>
      <c r="I40" s="12" t="n">
        <f aca="false">IFERROR(G40*H40,"")</f>
        <v>9.16306</v>
      </c>
      <c r="J40" s="0" t="n">
        <v>43475</v>
      </c>
      <c r="L40" s="12" t="n">
        <f aca="false">IFERROR(LOOKUP(IF(K40="",G40,K40),{0,1,10,100,500,1000,2000,5000,6000,10000},{0,1.14,1.015,0.7912,0.65364,0.51603,0.4676,0.44422,0.44422,0.42752}),"")</f>
        <v>1.015</v>
      </c>
      <c r="M40" s="12" t="n">
        <f aca="false">IFERROR(IF(K40="",G40,K40)*L40,"")</f>
        <v>10.15</v>
      </c>
      <c r="N40" s="0" t="s">
        <v>257</v>
      </c>
      <c r="O40" s="13" t="s">
        <v>28</v>
      </c>
      <c r="R40" s="12" t="n">
        <f aca="false">IFERROR(LOOKUP(IF(Q40="",G40,Q40),{0,1,50,100,250,500},{0,0.964141,0.845085,0.650556,0.613351,0.576146}),"")</f>
        <v>0.964141</v>
      </c>
      <c r="S40" s="12" t="n">
        <f aca="false">IFERROR(IF(Q40="",G40,Q40)*R40,"")</f>
        <v>9.64141</v>
      </c>
      <c r="T40" s="0" t="s">
        <v>258</v>
      </c>
      <c r="U40" s="13" t="s">
        <v>28</v>
      </c>
      <c r="V40" s="0" t="n">
        <v>7224</v>
      </c>
      <c r="X40" s="12" t="n">
        <f aca="false">IFERROR(LOOKUP(IF(W40="",G40,W40),{0,1,10,100,500,1000,2000,10000},{0,1.1,0.939,0.721,0.637,0.503,0.446,0.435}),"")</f>
        <v>0.939</v>
      </c>
      <c r="Y40" s="12" t="n">
        <f aca="false">IFERROR(IF(W40="",G40,W40)*X40,"")</f>
        <v>9.39</v>
      </c>
      <c r="Z40" s="0" t="s">
        <v>259</v>
      </c>
      <c r="AA40" s="13" t="s">
        <v>28</v>
      </c>
      <c r="AD40" s="12" t="n">
        <f aca="false">IFERROR(LOOKUP(IF(AC40="",G40,AC40),{0,1,10,100,500},{0,1.1,0.936,0.719,0.635}),"")</f>
        <v>0.936</v>
      </c>
      <c r="AE40" s="12" t="n">
        <f aca="false">IFERROR(IF(AC40="",G40,AC40)*AD40,"")</f>
        <v>9.36</v>
      </c>
      <c r="AF40" s="0" t="s">
        <v>260</v>
      </c>
      <c r="AG40" s="13" t="s">
        <v>28</v>
      </c>
      <c r="AH40" s="0" t="n">
        <v>135</v>
      </c>
      <c r="AJ40" s="12" t="n">
        <f aca="false">IFERROR(LOOKUP(IF(AI40="",G40,AI40),{0,1,5,25},{0,0.916306,0.916306,0.87166}),"")</f>
        <v>0.916306</v>
      </c>
      <c r="AK40" s="12" t="n">
        <f aca="false">IFERROR(IF(AI40="",G40,AI40)*AJ40,"")</f>
        <v>9.16306</v>
      </c>
      <c r="AL40" s="0" t="s">
        <v>261</v>
      </c>
      <c r="AM40" s="13" t="s">
        <v>28</v>
      </c>
    </row>
    <row r="41" customFormat="false" ht="15" hidden="false" customHeight="false" outlineLevel="0" collapsed="false">
      <c r="A41" s="0" t="s">
        <v>262</v>
      </c>
      <c r="B41" s="0" t="s">
        <v>263</v>
      </c>
      <c r="D41" s="0" t="s">
        <v>53</v>
      </c>
      <c r="E41" s="0" t="s">
        <v>54</v>
      </c>
      <c r="F41" s="0" t="s">
        <v>264</v>
      </c>
      <c r="G41" s="0" t="n">
        <f aca="false">BoardQty*7</f>
        <v>70</v>
      </c>
      <c r="H4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</v>
      </c>
      <c r="I41" s="12" t="n">
        <f aca="false">IFERROR(G41*H41,"")</f>
        <v>0.7</v>
      </c>
      <c r="J41" s="0" t="n">
        <v>2107834</v>
      </c>
      <c r="L41" s="12" t="n">
        <f aca="false">IFERROR(LOOKUP(IF(K41="",G41,K41),{0,1,10,100,1000,2500,5000,10000,25000,50000,125000},{0,0.1,0.015,0.006,0.00268,0.00233,0.00192,0.00167,0.00147,0.00135,0.00132}),"")</f>
        <v>0.015</v>
      </c>
      <c r="M41" s="12" t="n">
        <f aca="false">IFERROR(IF(K41="",G41,K41)*L41,"")</f>
        <v>1.05</v>
      </c>
      <c r="N41" s="0" t="s">
        <v>265</v>
      </c>
      <c r="O41" s="13" t="s">
        <v>28</v>
      </c>
      <c r="R41" s="12" t="n">
        <f aca="false">IFERROR(LOOKUP(IF(Q41="",G41,Q41),{0,1,10,25,100,250},{0,0.0750478,0.0131812,0.0126497,0.0117993,0.0108426}),"")</f>
        <v>0.0126497</v>
      </c>
      <c r="S41" s="12" t="n">
        <f aca="false">IFERROR(IF(Q41="",G41,Q41)*R41,"")</f>
        <v>0.885479</v>
      </c>
      <c r="T41" s="0" t="s">
        <v>266</v>
      </c>
      <c r="U41" s="13" t="s">
        <v>28</v>
      </c>
      <c r="V41" s="0" t="n">
        <v>554469</v>
      </c>
      <c r="X41" s="12" t="n">
        <f aca="false">IFERROR(LOOKUP(IF(W41="",G41,W41),{0,1,10,100,1000,5000,10000},{0,0.1,0.011,0.004,0.002,0.002,0.001}),"")</f>
        <v>0.011</v>
      </c>
      <c r="Y41" s="12" t="n">
        <f aca="false">IFERROR(IF(W41="",G41,W41)*X41,"")</f>
        <v>0.77</v>
      </c>
      <c r="Z41" s="0" t="s">
        <v>267</v>
      </c>
      <c r="AA41" s="13" t="s">
        <v>28</v>
      </c>
      <c r="AD41" s="12" t="n">
        <f aca="false">IFERROR(LOOKUP(IF(AC41="",G41,AC41),{0,1,10,25,100,250,1000},{0,0.08,0.014,0.01,0.006,0.004,0.003}),"")</f>
        <v>0.01</v>
      </c>
      <c r="AE41" s="12" t="n">
        <f aca="false">IFERROR(IF(AC41="",G41,AC41)*AD41,"")</f>
        <v>0.7</v>
      </c>
      <c r="AF41" s="0" t="s">
        <v>268</v>
      </c>
      <c r="AG41" s="13" t="s">
        <v>28</v>
      </c>
    </row>
    <row r="42" customFormat="false" ht="15" hidden="false" customHeight="false" outlineLevel="0" collapsed="false">
      <c r="A42" s="0" t="s">
        <v>269</v>
      </c>
      <c r="B42" s="0" t="s">
        <v>270</v>
      </c>
      <c r="D42" s="0" t="s">
        <v>138</v>
      </c>
      <c r="G42" s="0" t="n">
        <f aca="false">BoardQty*1</f>
        <v>10</v>
      </c>
      <c r="H4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2" s="12" t="n">
        <f aca="false">IFERROR(G42*H42,"")</f>
        <v>0</v>
      </c>
    </row>
    <row r="43" customFormat="false" ht="15" hidden="false" customHeight="false" outlineLevel="0" collapsed="false">
      <c r="A43" s="0" t="s">
        <v>271</v>
      </c>
      <c r="B43" s="0" t="s">
        <v>272</v>
      </c>
      <c r="D43" s="0" t="s">
        <v>273</v>
      </c>
      <c r="E43" s="0" t="s">
        <v>25</v>
      </c>
      <c r="F43" s="0" t="s">
        <v>274</v>
      </c>
      <c r="G43" s="0" t="n">
        <v>0</v>
      </c>
      <c r="H4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3" s="12" t="n">
        <f aca="false">IFERROR(G43*H43,"")</f>
        <v>0</v>
      </c>
      <c r="J43" s="0" t="n">
        <v>287</v>
      </c>
      <c r="L43" s="12" t="n">
        <f aca="false">IFERROR(LOOKUP(IF(K43="",G43,K43),{0,1,10,160},{0,24.76,22.832,19.49706}),"")</f>
        <v>0</v>
      </c>
      <c r="M43" s="12" t="n">
        <f aca="false">IFERROR(IF(K43="",G43,K43)*L43,"")</f>
        <v>0</v>
      </c>
      <c r="N43" s="0" t="s">
        <v>275</v>
      </c>
      <c r="O43" s="13" t="s">
        <v>28</v>
      </c>
      <c r="R43" s="12" t="n">
        <f aca="false">IFERROR(LOOKUP(IF(Q43="",G43,Q43),{0,1,10,100,200,400,600},{0,22.14229,19.60172,18.15604,17.14619,17.02926,16.9017}),"")</f>
        <v>0</v>
      </c>
      <c r="S43" s="12" t="n">
        <f aca="false">IFERROR(IF(Q43="",G43,Q43)*R43,"")</f>
        <v>0</v>
      </c>
      <c r="T43" s="0" t="s">
        <v>276</v>
      </c>
      <c r="U43" s="13" t="s">
        <v>28</v>
      </c>
      <c r="AD43" s="12" t="n">
        <f aca="false">IFERROR(LOOKUP(IF(AC43="",G43,AC43),{0,1,19,25,50,100,250,500},{0,21.09,21.09,19.44,18.67,18.04,16.51,15.75}),"")</f>
        <v>0</v>
      </c>
      <c r="AE43" s="12" t="n">
        <f aca="false">IFERROR(IF(AC43="",G43,AC43)*AD43,"")</f>
        <v>0</v>
      </c>
      <c r="AF43" s="0" t="s">
        <v>277</v>
      </c>
      <c r="AG43" s="13" t="s">
        <v>28</v>
      </c>
      <c r="AH43" s="0" t="n">
        <v>53</v>
      </c>
      <c r="AJ43" s="12" t="n">
        <f aca="false">IFERROR(LOOKUP(IF(AI43="",G43,AI43),{0,1,10},{0,20.79228,18.18793}),"")</f>
        <v>0</v>
      </c>
      <c r="AK43" s="12" t="n">
        <f aca="false">IFERROR(IF(AI43="",G43,AI43)*AJ43,"")</f>
        <v>0</v>
      </c>
      <c r="AL43" s="0" t="s">
        <v>278</v>
      </c>
      <c r="AM43" s="13" t="s">
        <v>28</v>
      </c>
    </row>
    <row r="44" customFormat="false" ht="15" hidden="false" customHeight="false" outlineLevel="0" collapsed="false">
      <c r="A44" s="0" t="s">
        <v>279</v>
      </c>
      <c r="B44" s="0" t="s">
        <v>280</v>
      </c>
      <c r="D44" s="0" t="s">
        <v>93</v>
      </c>
      <c r="E44" s="0" t="s">
        <v>84</v>
      </c>
      <c r="F44" s="0" t="s">
        <v>281</v>
      </c>
      <c r="G44" s="0" t="n">
        <f aca="false">BoardQty*7</f>
        <v>70</v>
      </c>
      <c r="H4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0.017</v>
      </c>
      <c r="I44" s="12" t="n">
        <f aca="false">IFERROR(G44*H44,"")</f>
        <v>1.19</v>
      </c>
      <c r="J44" s="0" t="n">
        <v>754873</v>
      </c>
      <c r="L44" s="12" t="n">
        <f aca="false">IFERROR(LOOKUP(IF(K44="",G44,K44),{0,1,10,100,500,1000,4000,8000,12000},{0,0.12,0.088,0.0391,0.02792,0.02193,0.01594,0.01455,0.01386}),"")</f>
        <v>0.088</v>
      </c>
      <c r="M44" s="12" t="n">
        <f aca="false">IFERROR(IF(K44="",G44,K44)*L44,"")</f>
        <v>6.16</v>
      </c>
      <c r="N44" s="0" t="s">
        <v>282</v>
      </c>
      <c r="O44" s="13" t="s">
        <v>28</v>
      </c>
      <c r="R44" s="12" t="n">
        <f aca="false">IFERROR(LOOKUP(IF(Q44="",G44,Q44),{0,1,100,500,1000,2000},{0,0.0217915,0.0217915,0.0157324,0.0112678,0.01063}),"")</f>
        <v>0.0217915</v>
      </c>
      <c r="S44" s="12" t="n">
        <f aca="false">IFERROR(IF(Q44="",G44,Q44)*R44,"")</f>
        <v>1.525405</v>
      </c>
      <c r="T44" s="0" t="s">
        <v>283</v>
      </c>
      <c r="U44" s="13" t="s">
        <v>28</v>
      </c>
      <c r="V44" s="0" t="n">
        <v>91636</v>
      </c>
      <c r="X44" s="12" t="n">
        <f aca="false">IFERROR(LOOKUP(IF(W44="",G44,W44),{0,1,10,100,500,1000,4000},{0,0.1,0.022,0.015,0.013,0.011,0.009}),"")</f>
        <v>0.022</v>
      </c>
      <c r="Y44" s="12" t="n">
        <f aca="false">IFERROR(IF(W44="",G44,W44)*X44,"")</f>
        <v>1.54</v>
      </c>
      <c r="Z44" s="0" t="s">
        <v>284</v>
      </c>
      <c r="AA44" s="13" t="s">
        <v>28</v>
      </c>
      <c r="AD44" s="12" t="n">
        <f aca="false">IFERROR(LOOKUP(IF(AC44="",G44,AC44),{0,1,10,25,50,100,250,500,1000},{0,0.1,0.022,0.02,0.017,0.015,0.014,0.013,0.01}),"")</f>
        <v>0.017</v>
      </c>
      <c r="AE44" s="12" t="n">
        <f aca="false">IFERROR(IF(AC44="",G44,AC44)*AD44,"")</f>
        <v>1.19</v>
      </c>
      <c r="AF44" s="0" t="s">
        <v>285</v>
      </c>
      <c r="AG44" s="13" t="s">
        <v>28</v>
      </c>
      <c r="AH44" s="0" t="n">
        <v>1800</v>
      </c>
      <c r="AJ44" s="12" t="n">
        <f aca="false">IFERROR(LOOKUP(IF(AI44="",G44,AI44),{0,1,200,1000},{0,0.02126,0.02126,0.015945}),"")</f>
        <v>0.02126</v>
      </c>
      <c r="AK44" s="12" t="n">
        <f aca="false">IFERROR(IF(AI44="",G44,AI44)*AJ44,"")</f>
        <v>1.4882</v>
      </c>
      <c r="AL44" s="0" t="s">
        <v>286</v>
      </c>
      <c r="AM44" s="13" t="s">
        <v>28</v>
      </c>
    </row>
    <row r="45" customFormat="false" ht="15" hidden="false" customHeight="false" outlineLevel="0" collapsed="false">
      <c r="A45" s="0" t="s">
        <v>287</v>
      </c>
      <c r="B45" s="0" t="s">
        <v>288</v>
      </c>
      <c r="D45" s="0" t="s">
        <v>289</v>
      </c>
      <c r="E45" s="0" t="s">
        <v>145</v>
      </c>
      <c r="F45" s="0" t="s">
        <v>290</v>
      </c>
      <c r="G45" s="0" t="n">
        <f aca="false">BoardQty*2</f>
        <v>20</v>
      </c>
      <c r="H4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0.887</v>
      </c>
      <c r="I45" s="12" t="n">
        <f aca="false">IFERROR(G45*H45,"")</f>
        <v>17.74</v>
      </c>
      <c r="J45" s="0" t="n">
        <v>3008</v>
      </c>
      <c r="L45" s="12" t="n">
        <f aca="false">IFERROR(LOOKUP(IF(K45="",G45,K45),{0,1,10,100,250,500,750,1250,2500},{0,1.13,1.048,0.7581,0.58904,0.5049,0.47685,0.4488,0.4389}),"")</f>
        <v>1.048</v>
      </c>
      <c r="M45" s="12" t="n">
        <f aca="false">IFERROR(IF(K45="",G45,K45)*L45,"")</f>
        <v>20.96</v>
      </c>
      <c r="N45" s="0" t="s">
        <v>291</v>
      </c>
      <c r="O45" s="13" t="s">
        <v>28</v>
      </c>
      <c r="R45" s="12" t="n">
        <f aca="false">IFERROR(LOOKUP(IF(Q45="",G45,Q45),{0,1,10,25,50,100,250,1250,2500},{0,0.99922,0.99922,0.951385,0.750478,0.713273,0.592091,0.504925,0.45709}),"")</f>
        <v>0.99922</v>
      </c>
      <c r="S45" s="12" t="n">
        <f aca="false">IFERROR(IF(Q45="",G45,Q45)*R45,"")</f>
        <v>19.9844</v>
      </c>
      <c r="T45" s="0" t="s">
        <v>292</v>
      </c>
      <c r="U45" s="13" t="s">
        <v>28</v>
      </c>
      <c r="V45" s="0" t="n">
        <v>2036</v>
      </c>
      <c r="X45" s="12" t="n">
        <f aca="false">IFERROR(LOOKUP(IF(W45="",G45,W45),{0,1,10,50,100,250,500,1000},{0,1.03,0.89,0.741,0.696,0.556,0.527,0.499}),"")</f>
        <v>0.89</v>
      </c>
      <c r="Y45" s="12" t="n">
        <f aca="false">IFERROR(IF(W45="",G45,W45)*X45,"")</f>
        <v>17.8</v>
      </c>
      <c r="Z45" s="0" t="s">
        <v>293</v>
      </c>
      <c r="AA45" s="13" t="s">
        <v>28</v>
      </c>
      <c r="AD45" s="12" t="n">
        <f aca="false">IFERROR(LOOKUP(IF(AC45="",G45,AC45),{0,1,10,25,50,100},{0,1.03,0.887,0.813,0.739,0.694}),"")</f>
        <v>0.887</v>
      </c>
      <c r="AE45" s="12" t="n">
        <f aca="false">IFERROR(IF(AC45="",G45,AC45)*AD45,"")</f>
        <v>17.74</v>
      </c>
      <c r="AF45" s="0" t="s">
        <v>294</v>
      </c>
      <c r="AG45" s="13" t="s">
        <v>28</v>
      </c>
      <c r="AJ45" s="12" t="n">
        <f aca="false">IFERROR(LOOKUP(IF(AI45="",G45,AI45),{0,1,10,50},{0,0.930125,0.930125,0.73347}),"")</f>
        <v>0.930125</v>
      </c>
      <c r="AK45" s="12" t="n">
        <f aca="false">IFERROR(IF(AI45="",G45,AI45)*AJ45,"")</f>
        <v>18.6025</v>
      </c>
      <c r="AL45" s="0" t="s">
        <v>295</v>
      </c>
      <c r="AM45" s="13" t="s">
        <v>28</v>
      </c>
    </row>
    <row r="46" customFormat="false" ht="15" hidden="false" customHeight="false" outlineLevel="0" collapsed="false">
      <c r="A46" s="0" t="s">
        <v>296</v>
      </c>
      <c r="B46" s="0" t="s">
        <v>297</v>
      </c>
      <c r="D46" s="0" t="s">
        <v>219</v>
      </c>
      <c r="F46" s="0" t="s">
        <v>297</v>
      </c>
      <c r="G46" s="0" t="n">
        <f aca="false">BoardQty*2</f>
        <v>20</v>
      </c>
      <c r="H4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0.126497</v>
      </c>
      <c r="I46" s="12" t="n">
        <f aca="false">IFERROR(G46*H46,"")</f>
        <v>2.52994</v>
      </c>
      <c r="J46" s="0" t="n">
        <v>16120</v>
      </c>
      <c r="L46" s="12" t="n">
        <f aca="false">IFERROR(LOOKUP(IF(K46="",G46,K46),{0,1,10,25,100,250,500,1000,3000},{0,0.54,0.453,0.3964,0.3399,0.2946,0.24926,0.19261,0.1705}),"")</f>
        <v>0.453</v>
      </c>
      <c r="M46" s="12" t="n">
        <f aca="false">IFERROR(IF(K46="",G46,K46)*L46,"")</f>
        <v>9.06</v>
      </c>
      <c r="N46" s="0" t="s">
        <v>298</v>
      </c>
      <c r="O46" s="13" t="s">
        <v>28</v>
      </c>
      <c r="R46" s="12" t="n">
        <f aca="false">IFERROR(LOOKUP(IF(Q46="",G46,Q46),{0,1,12000},{0,0.126497,0.126497}),"")</f>
        <v>0.126497</v>
      </c>
      <c r="S46" s="12" t="n">
        <f aca="false">IFERROR(IF(Q46="",G46,Q46)*R46,"")</f>
        <v>2.52994</v>
      </c>
      <c r="T46" s="0" t="s">
        <v>299</v>
      </c>
      <c r="U46" s="13" t="s">
        <v>28</v>
      </c>
      <c r="X46" s="12" t="n">
        <f aca="false">IFERROR(LOOKUP(IF(W46="",G46,W46),{0,1,3000,9000,24000},{0,0.145,0.145,0.136,0.131}),"")</f>
        <v>0.145</v>
      </c>
      <c r="Y46" s="12" t="n">
        <f aca="false">IFERROR(IF(W46="",G46,W46)*X46,"")</f>
        <v>2.9</v>
      </c>
      <c r="Z46" s="0" t="s">
        <v>300</v>
      </c>
      <c r="AA46" s="13" t="s">
        <v>28</v>
      </c>
      <c r="AD46" s="12" t="n">
        <f aca="false">IFERROR(LOOKUP(IF(AC46="",G46,AC46),{0,1,25,50,100,250,500,1000,2500},{0,0.46,0.311,0.261,0.21,0.189,0.168,0.139,0.129}),"")</f>
        <v>0.46</v>
      </c>
      <c r="AE46" s="12" t="n">
        <f aca="false">IFERROR(IF(AC46="",G46,AC46)*AD46,"")</f>
        <v>9.2</v>
      </c>
      <c r="AF46" s="0" t="s">
        <v>301</v>
      </c>
      <c r="AG46" s="13" t="s">
        <v>28</v>
      </c>
      <c r="AJ46" s="12" t="n">
        <f aca="false">IFERROR(LOOKUP(IF(AI46="",G46,AI46),{0,1,5,10},{0,16.66784,15.98752,15.63673}),"")</f>
        <v>15.63673</v>
      </c>
      <c r="AK46" s="12" t="n">
        <f aca="false">IFERROR(IF(AI46="",G46,AI46)*AJ46,"")</f>
        <v>312.7346</v>
      </c>
      <c r="AL46" s="0" t="s">
        <v>302</v>
      </c>
      <c r="AM46" s="13" t="s">
        <v>28</v>
      </c>
    </row>
    <row r="47" customFormat="false" ht="15" hidden="false" customHeight="false" outlineLevel="0" collapsed="false">
      <c r="A47" s="0" t="s">
        <v>303</v>
      </c>
      <c r="B47" s="0" t="s">
        <v>304</v>
      </c>
      <c r="D47" s="0" t="s">
        <v>24</v>
      </c>
      <c r="E47" s="0" t="s">
        <v>305</v>
      </c>
      <c r="F47" s="0" t="s">
        <v>304</v>
      </c>
      <c r="G47" s="0" t="n">
        <f aca="false">BoardQty*3</f>
        <v>30</v>
      </c>
      <c r="H4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0.099922</v>
      </c>
      <c r="I47" s="12" t="n">
        <f aca="false">IFERROR(G47*H47,"")</f>
        <v>2.99766</v>
      </c>
      <c r="J47" s="0" t="n">
        <v>5073</v>
      </c>
      <c r="L47" s="12" t="n">
        <f aca="false">IFERROR(LOOKUP(IF(K47="",G47,K47),{0,1,10,100,500,1000,2000,2500,5000,12500,25000,62500,125000},{0,0.43,0.32,0.1996,0.13658,0.10506,1.33,0.0918,0.0867,0.07905,0.07395,0.0663,0.06375}),"")</f>
        <v>0.32</v>
      </c>
      <c r="M47" s="12" t="n">
        <f aca="false">IFERROR(IF(K47="",G47,K47)*L47,"")</f>
        <v>9.6</v>
      </c>
      <c r="N47" s="0" t="s">
        <v>306</v>
      </c>
      <c r="O47" s="13" t="s">
        <v>28</v>
      </c>
      <c r="R47" s="12" t="n">
        <f aca="false">IFERROR(LOOKUP(IF(Q47="",G47,Q47),{0,1,50,250,500,1000},{0,0.099922,0.099922,0.09567,0.0876975,0.079725}),"")</f>
        <v>0.099922</v>
      </c>
      <c r="S47" s="12" t="n">
        <f aca="false">IFERROR(IF(Q47="",G47,Q47)*R47,"")</f>
        <v>2.99766</v>
      </c>
      <c r="T47" s="0" t="s">
        <v>307</v>
      </c>
      <c r="U47" s="13" t="s">
        <v>28</v>
      </c>
      <c r="V47" s="0" t="n">
        <v>12129</v>
      </c>
      <c r="X47" s="12" t="n">
        <f aca="false">IFERROR(LOOKUP(IF(W47="",G47,W47),{0,1,10,100,1000,2500,10000,25000,50000,100000},{0,0.421,0.29,0.133,0.103,0.087,0.08,0.074,0.067,0.066}),"")</f>
        <v>0.29</v>
      </c>
      <c r="Y47" s="12" t="n">
        <f aca="false">IFERROR(IF(W47="",G47,W47)*X47,"")</f>
        <v>8.7</v>
      </c>
      <c r="Z47" s="0" t="s">
        <v>308</v>
      </c>
      <c r="AA47" s="13" t="s">
        <v>28</v>
      </c>
      <c r="AD47" s="12" t="n">
        <f aca="false">IFERROR(LOOKUP(IF(AC47="",G47,AC47),{0,1,10,25,50,100,250,500,1000},{0,0.42,0.289,0.237,0.185,0.133,0.123,0.112,0.102}),"")</f>
        <v>0.237</v>
      </c>
      <c r="AE47" s="12" t="n">
        <f aca="false">IFERROR(IF(AC47="",G47,AC47)*AD47,"")</f>
        <v>7.11</v>
      </c>
      <c r="AF47" s="0" t="s">
        <v>309</v>
      </c>
      <c r="AG47" s="13" t="s">
        <v>28</v>
      </c>
      <c r="AH47" s="0" t="n">
        <v>900</v>
      </c>
      <c r="AJ47" s="12" t="n">
        <f aca="false">IFERROR(LOOKUP(IF(AI47="",G47,AI47),{0,1,20,100},{0,0.261498,0.261498,0.120119}),"")</f>
        <v>0.261498</v>
      </c>
      <c r="AK47" s="12" t="n">
        <f aca="false">IFERROR(IF(AI47="",G47,AI47)*AJ47,"")</f>
        <v>7.84494</v>
      </c>
      <c r="AL47" s="0" t="s">
        <v>310</v>
      </c>
      <c r="AM47" s="13" t="s">
        <v>28</v>
      </c>
    </row>
    <row r="48" customFormat="false" ht="15" hidden="false" customHeight="false" outlineLevel="0" collapsed="false">
      <c r="A48" s="0" t="s">
        <v>311</v>
      </c>
      <c r="B48" s="0" t="s">
        <v>312</v>
      </c>
      <c r="D48" s="0" t="s">
        <v>124</v>
      </c>
      <c r="E48" s="0" t="s">
        <v>313</v>
      </c>
      <c r="F48" s="0" t="s">
        <v>314</v>
      </c>
      <c r="G48" s="0" t="n">
        <f aca="false">BoardQty*4</f>
        <v>40</v>
      </c>
      <c r="H4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0.863</v>
      </c>
      <c r="I48" s="12" t="n">
        <f aca="false">IFERROR(G48*H48,"")</f>
        <v>34.52</v>
      </c>
      <c r="J48" s="0" t="n">
        <v>121603</v>
      </c>
      <c r="L48" s="12" t="n">
        <f aca="false">IFERROR(LOOKUP(IF(K48="",G48,K48),{0,1,10,100,500,1000,2000,4000},{0,1.14,0.863,0.6176,0.47818,0.41176,0.33495,0.31763}),"")</f>
        <v>0.863</v>
      </c>
      <c r="M48" s="12" t="n">
        <f aca="false">IFERROR(IF(K48="",G48,K48)*L48,"")</f>
        <v>34.52</v>
      </c>
      <c r="N48" s="0" t="s">
        <v>315</v>
      </c>
      <c r="O48" s="13" t="s">
        <v>28</v>
      </c>
      <c r="R48" s="12" t="n">
        <f aca="false">IFERROR(LOOKUP(IF(Q48="",G48,Q48),{0,1,5,50,250,500,1000,2000,10000,20000},{0,1.19056,1.19056,0.633548,0.625044,0.490043,0.422011,0.39331,0.366735,0.359294}),"")</f>
        <v>1.19056</v>
      </c>
      <c r="S48" s="12" t="n">
        <f aca="false">IFERROR(IF(Q48="",G48,Q48)*R48,"")</f>
        <v>47.6224</v>
      </c>
      <c r="T48" s="0" t="s">
        <v>316</v>
      </c>
      <c r="U48" s="13" t="s">
        <v>28</v>
      </c>
      <c r="X48" s="12" t="n">
        <f aca="false">IFERROR(LOOKUP(IF(W48="",G48,W48),{0,1,10,100,500,1000,2000,10000},{0,1.31,1.1,0.585,0.526,0.48,0.432,0.399}),"")</f>
        <v>1.1</v>
      </c>
      <c r="Y48" s="12" t="n">
        <f aca="false">IFERROR(IF(W48="",G48,W48)*X48,"")</f>
        <v>44</v>
      </c>
      <c r="Z48" s="0" t="s">
        <v>317</v>
      </c>
      <c r="AA48" s="13" t="s">
        <v>28</v>
      </c>
      <c r="AD48" s="12" t="n">
        <f aca="false">IFERROR(LOOKUP(IF(AC48="",G48,AC48),{0,1,5,10,25,50,100,250,500},{0,1.31,1.31,1.1,0.928,0.756,0.584,0.555,0.525}),"")</f>
        <v>0.928</v>
      </c>
      <c r="AE48" s="12" t="n">
        <f aca="false">IFERROR(IF(AC48="",G48,AC48)*AD48,"")</f>
        <v>37.12</v>
      </c>
      <c r="AF48" s="0" t="s">
        <v>318</v>
      </c>
      <c r="AG48" s="13" t="s">
        <v>28</v>
      </c>
      <c r="AJ48" s="12" t="n">
        <f aca="false">IFERROR(LOOKUP(IF(AI48="",G48,AI48),{0,1,5,50},{0,0.941818,0.941818,0.748352}),"")</f>
        <v>0.941818</v>
      </c>
      <c r="AK48" s="12" t="n">
        <f aca="false">IFERROR(IF(AI48="",G48,AI48)*AJ48,"")</f>
        <v>37.67272</v>
      </c>
      <c r="AL48" s="0" t="s">
        <v>319</v>
      </c>
      <c r="AM48" s="13" t="s">
        <v>28</v>
      </c>
    </row>
    <row r="49" customFormat="false" ht="15" hidden="false" customHeight="false" outlineLevel="0" collapsed="false">
      <c r="A49" s="0" t="s">
        <v>320</v>
      </c>
      <c r="B49" s="0" t="s">
        <v>321</v>
      </c>
      <c r="D49" s="0" t="s">
        <v>53</v>
      </c>
      <c r="E49" s="0" t="s">
        <v>54</v>
      </c>
      <c r="F49" s="0" t="s">
        <v>322</v>
      </c>
      <c r="G49" s="0" t="n">
        <f aca="false">BoardQty*4</f>
        <v>40</v>
      </c>
      <c r="H4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0.0082914</v>
      </c>
      <c r="I49" s="12" t="n">
        <f aca="false">IFERROR(G49*H49,"")</f>
        <v>0.331656</v>
      </c>
      <c r="J49" s="0" t="n">
        <v>1053240</v>
      </c>
      <c r="L49" s="12" t="n">
        <f aca="false">IFERROR(LOOKUP(IF(K49="",G49,K49),{0,1,10,100,1000,2500,5000,10000,25000,50000,125000},{0,0.1,0.015,0.006,0.00268,0.00233,0.00192,0.00167,0.00147,0.00135,0.00132}),"")</f>
        <v>0.015</v>
      </c>
      <c r="M49" s="12" t="n">
        <f aca="false">IFERROR(IF(K49="",G49,K49)*L49,"")</f>
        <v>0.6</v>
      </c>
      <c r="N49" s="0" t="s">
        <v>323</v>
      </c>
      <c r="O49" s="13" t="s">
        <v>28</v>
      </c>
      <c r="R49" s="12" t="n">
        <f aca="false">IFERROR(LOOKUP(IF(Q49="",G49,Q49),{0,1,100,500,1000,2500},{0,0.0082914,0.0082914,0.0062717,0.0049961,0.0041457}),"")</f>
        <v>0.0082914</v>
      </c>
      <c r="S49" s="12" t="n">
        <f aca="false">IFERROR(IF(Q49="",G49,Q49)*R49,"")</f>
        <v>0.331656</v>
      </c>
      <c r="T49" s="0" t="s">
        <v>324</v>
      </c>
      <c r="U49" s="13" t="s">
        <v>28</v>
      </c>
      <c r="AD49" s="12" t="n">
        <f aca="false">IFERROR(LOOKUP(IF(AC49="",G49,AC49),{0,1,10,25,100,250,1000},{0,0.08,0.014,0.01,0.006,0.004,0.003}),"")</f>
        <v>0.01</v>
      </c>
      <c r="AE49" s="12" t="n">
        <f aca="false">IFERROR(IF(AC49="",G49,AC49)*AD49,"")</f>
        <v>0.4</v>
      </c>
      <c r="AF49" s="0" t="s">
        <v>325</v>
      </c>
      <c r="AG49" s="13" t="s">
        <v>28</v>
      </c>
    </row>
    <row r="50" customFormat="false" ht="15" hidden="false" customHeight="false" outlineLevel="0" collapsed="false">
      <c r="A50" s="0" t="s">
        <v>326</v>
      </c>
      <c r="B50" s="0" t="s">
        <v>327</v>
      </c>
      <c r="D50" s="0" t="s">
        <v>328</v>
      </c>
      <c r="E50" s="0" t="s">
        <v>329</v>
      </c>
      <c r="F50" s="0" t="s">
        <v>330</v>
      </c>
      <c r="G50" s="0" t="n">
        <f aca="false">BoardQty*4</f>
        <v>40</v>
      </c>
      <c r="H5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0.227482</v>
      </c>
      <c r="I50" s="12" t="n">
        <f aca="false">IFERROR(G50*H50,"")</f>
        <v>9.09928</v>
      </c>
      <c r="J50" s="0" t="n">
        <v>264803</v>
      </c>
      <c r="L50" s="12" t="n">
        <f aca="false">IFERROR(LOOKUP(IF(K50="",G50,K50),{0,1,10,100,500,1000,2000,4000},{0,0.52,0.363,0.2178,0.16338,0.13796,0.11365,0.10734}),"")</f>
        <v>0.363</v>
      </c>
      <c r="M50" s="12" t="n">
        <f aca="false">IFERROR(IF(K50="",G50,K50)*L50,"")</f>
        <v>14.52</v>
      </c>
      <c r="N50" s="0" t="s">
        <v>331</v>
      </c>
      <c r="O50" s="13" t="s">
        <v>28</v>
      </c>
      <c r="R50" s="12" t="n">
        <f aca="false">IFERROR(LOOKUP(IF(Q50="",G50,Q50),{0,1,50,250,500,1000,2000,10000,20000},{0,0.227482,0.227482,0.195592,0.167954,0.130749,0.108426,0.093544,0.0857841}),"")</f>
        <v>0.227482</v>
      </c>
      <c r="S50" s="12" t="n">
        <f aca="false">IFERROR(IF(Q50="",G50,Q50)*R50,"")</f>
        <v>9.09928</v>
      </c>
      <c r="T50" s="0" t="s">
        <v>332</v>
      </c>
      <c r="U50" s="13" t="s">
        <v>28</v>
      </c>
      <c r="V50" s="0" t="n">
        <v>61782</v>
      </c>
      <c r="X50" s="12" t="n">
        <f aca="false">IFERROR(LOOKUP(IF(W50="",G50,W50),{0,1,10,100,500,1000,2000},{0,0.614,0.356,0.223,0.19,0.149,0.106}),"")</f>
        <v>0.356</v>
      </c>
      <c r="Y50" s="12" t="n">
        <f aca="false">IFERROR(IF(W50="",G50,W50)*X50,"")</f>
        <v>14.24</v>
      </c>
      <c r="Z50" s="0" t="s">
        <v>333</v>
      </c>
      <c r="AA50" s="13" t="s">
        <v>28</v>
      </c>
      <c r="AD50" s="12" t="n">
        <f aca="false">IFERROR(LOOKUP(IF(AC50="",G50,AC50),{0,1,10,25,50,100,250,500,1000},{0,0.6,0.344,0.301,0.258,0.215,0.2,0.184,0.144}),"")</f>
        <v>0.301</v>
      </c>
      <c r="AE50" s="12" t="n">
        <f aca="false">IFERROR(IF(AC50="",G50,AC50)*AD50,"")</f>
        <v>12.04</v>
      </c>
      <c r="AF50" s="0" t="s">
        <v>334</v>
      </c>
      <c r="AG50" s="13" t="s">
        <v>28</v>
      </c>
    </row>
    <row r="51" customFormat="false" ht="15" hidden="false" customHeight="false" outlineLevel="0" collapsed="false">
      <c r="A51" s="0" t="s">
        <v>335</v>
      </c>
      <c r="B51" s="0" t="s">
        <v>336</v>
      </c>
      <c r="D51" s="0" t="s">
        <v>237</v>
      </c>
      <c r="E51" s="0" t="s">
        <v>238</v>
      </c>
      <c r="F51" s="0" t="s">
        <v>239</v>
      </c>
      <c r="G51" s="0" t="n">
        <f aca="false">BoardQty*1</f>
        <v>10</v>
      </c>
      <c r="H5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0.371</v>
      </c>
      <c r="I51" s="12" t="n">
        <f aca="false">IFERROR(G51*H51,"")</f>
        <v>3.71</v>
      </c>
      <c r="J51" s="0" t="n">
        <v>5515</v>
      </c>
      <c r="L51" s="12" t="n">
        <f aca="false">IFERROR(LOOKUP(IF(K51="",G51,K51),{0,1,10,100,500,1000,5000,10000},{0,0.77,0.726,0.5564,0.4838,0.39914,0.35076,0.32657}),"")</f>
        <v>0.726</v>
      </c>
      <c r="M51" s="12" t="n">
        <f aca="false">IFERROR(IF(K51="",G51,K51)*L51,"")</f>
        <v>7.26</v>
      </c>
      <c r="N51" s="0" t="s">
        <v>240</v>
      </c>
      <c r="O51" s="13" t="s">
        <v>28</v>
      </c>
      <c r="T51" s="0" t="s">
        <v>241</v>
      </c>
      <c r="U51" s="13" t="s">
        <v>28</v>
      </c>
      <c r="V51" s="0" t="n">
        <v>1830</v>
      </c>
      <c r="X51" s="12" t="n">
        <f aca="false">IFERROR(LOOKUP(IF(W51="",G51,W51),{0,1,10,100,500,1000,2500,5000},{0,0.782,0.583,0.558,0.485,0.401,0.365,0.352}),"")</f>
        <v>0.583</v>
      </c>
      <c r="Y51" s="12" t="n">
        <f aca="false">IFERROR(IF(W51="",G51,W51)*X51,"")</f>
        <v>5.83</v>
      </c>
      <c r="Z51" s="0" t="s">
        <v>242</v>
      </c>
      <c r="AA51" s="13" t="s">
        <v>28</v>
      </c>
      <c r="AD51" s="12" t="n">
        <f aca="false">IFERROR(LOOKUP(IF(AC51="",G51,AC51),{0,1,2400},{0,0.371,0.371}),"")</f>
        <v>0.371</v>
      </c>
      <c r="AE51" s="12" t="n">
        <f aca="false">IFERROR(IF(AC51="",G51,AC51)*AD51,"")</f>
        <v>3.71</v>
      </c>
      <c r="AF51" s="0" t="s">
        <v>243</v>
      </c>
      <c r="AG51" s="13" t="s">
        <v>28</v>
      </c>
      <c r="AL51" s="0" t="s">
        <v>244</v>
      </c>
      <c r="AM51" s="13" t="s">
        <v>28</v>
      </c>
    </row>
    <row r="52" customFormat="false" ht="15" hidden="false" customHeight="false" outlineLevel="0" collapsed="false">
      <c r="A52" s="0" t="s">
        <v>337</v>
      </c>
      <c r="B52" s="0" t="s">
        <v>338</v>
      </c>
      <c r="D52" s="0" t="s">
        <v>124</v>
      </c>
      <c r="E52" s="0" t="s">
        <v>339</v>
      </c>
      <c r="F52" s="0" t="s">
        <v>340</v>
      </c>
      <c r="G52" s="0" t="n">
        <f aca="false">BoardQty*1</f>
        <v>10</v>
      </c>
      <c r="H5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0.134</v>
      </c>
      <c r="I52" s="12" t="n">
        <f aca="false">IFERROR(G52*H52,"")</f>
        <v>1.34</v>
      </c>
      <c r="J52" s="0" t="n">
        <v>392</v>
      </c>
      <c r="L52" s="12" t="n">
        <f aca="false">IFERROR(LOOKUP(IF(K52="",G52,K52),{0,1,10,100,4000},{0,0.19,0.134,0.0632,0.03122}),"")</f>
        <v>0.134</v>
      </c>
      <c r="M52" s="12" t="n">
        <f aca="false">IFERROR(IF(K52="",G52,K52)*L52,"")</f>
        <v>1.34</v>
      </c>
      <c r="N52" s="0" t="s">
        <v>341</v>
      </c>
      <c r="O52" s="13" t="s">
        <v>28</v>
      </c>
    </row>
    <row r="53" customFormat="false" ht="15" hidden="false" customHeight="false" outlineLevel="0" collapsed="false">
      <c r="A53" s="0" t="s">
        <v>342</v>
      </c>
      <c r="B53" s="0" t="s">
        <v>343</v>
      </c>
      <c r="D53" s="0" t="s">
        <v>344</v>
      </c>
      <c r="E53" s="0" t="s">
        <v>155</v>
      </c>
      <c r="F53" s="0" t="s">
        <v>345</v>
      </c>
      <c r="G53" s="0" t="n">
        <f aca="false">BoardQty*1</f>
        <v>10</v>
      </c>
      <c r="H5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0.615477</v>
      </c>
      <c r="I53" s="12" t="n">
        <f aca="false">IFERROR(G53*H53,"")</f>
        <v>6.15477</v>
      </c>
      <c r="J53" s="0" t="n">
        <v>12693</v>
      </c>
      <c r="L53" s="12" t="n">
        <f aca="false">IFERROR(LOOKUP(IF(K53="",G53,K53),{0,1,10,50,100,250,500,1000,2500,5000},{0,0.77,0.739,0.7068,0.6876,0.6426,0.5912,0.5355,0.5103,0.4788}),"")</f>
        <v>0.739</v>
      </c>
      <c r="M53" s="12" t="n">
        <f aca="false">IFERROR(IF(K53="",G53,K53)*L53,"")</f>
        <v>7.39</v>
      </c>
      <c r="N53" s="0" t="s">
        <v>346</v>
      </c>
      <c r="O53" s="13" t="s">
        <v>28</v>
      </c>
      <c r="R53" s="12" t="n">
        <f aca="false">IFERROR(LOOKUP(IF(Q53="",G53,Q53),{0,1,5,20,50,150,400,1500,4000},{0,0.64843,0.615477,0.583587,0.550634,0.476224,0.408192,0.399688,0.392247}),"")</f>
        <v>0.615477</v>
      </c>
      <c r="S53" s="12" t="n">
        <f aca="false">IFERROR(IF(Q53="",G53,Q53)*R53,"")</f>
        <v>6.15477</v>
      </c>
      <c r="T53" s="0" t="s">
        <v>347</v>
      </c>
      <c r="U53" s="13" t="s">
        <v>28</v>
      </c>
      <c r="V53" s="0" t="n">
        <v>6064</v>
      </c>
      <c r="X53" s="12" t="n">
        <f aca="false">IFERROR(LOOKUP(IF(W53="",G53,W53),{0,1,10,50,100,250,500,1000,2500,5000},{0,0.753,0.726,0.695,0.675,0.632,0.582,0.537,0.512,0.48}),"")</f>
        <v>0.726</v>
      </c>
      <c r="Y53" s="12" t="n">
        <f aca="false">IFERROR(IF(W53="",G53,W53)*X53,"")</f>
        <v>7.26</v>
      </c>
      <c r="Z53" s="0" t="s">
        <v>348</v>
      </c>
      <c r="AA53" s="13" t="s">
        <v>28</v>
      </c>
      <c r="AD53" s="12" t="n">
        <f aca="false">IFERROR(LOOKUP(IF(AC53="",G53,AC53),{0,1,10,50,100,250,500,1000,2500},{0,0.75,0.723,0.693,0.673,0.63,0.58,0.535,0.51}),"")</f>
        <v>0.723</v>
      </c>
      <c r="AE53" s="12" t="n">
        <f aca="false">IFERROR(IF(AC53="",G53,AC53)*AD53,"")</f>
        <v>7.23</v>
      </c>
      <c r="AF53" s="0" t="s">
        <v>349</v>
      </c>
      <c r="AG53" s="13" t="s">
        <v>28</v>
      </c>
      <c r="AH53" s="0" t="n">
        <v>305</v>
      </c>
      <c r="AJ53" s="12" t="n">
        <f aca="false">IFERROR(LOOKUP(IF(AI53="",G53,AI53),{0,1,5,75,250,500,1000},{0,0.68032,0.68032,0.578272,0.501736,0.452838,0.429452}),"")</f>
        <v>0.68032</v>
      </c>
      <c r="AK53" s="12" t="n">
        <f aca="false">IFERROR(IF(AI53="",G53,AI53)*AJ53,"")</f>
        <v>6.8032</v>
      </c>
      <c r="AL53" s="0" t="s">
        <v>350</v>
      </c>
      <c r="AM53" s="13" t="s">
        <v>28</v>
      </c>
    </row>
    <row r="54" customFormat="false" ht="15" hidden="false" customHeight="false" outlineLevel="0" collapsed="false">
      <c r="A54" s="0" t="s">
        <v>351</v>
      </c>
      <c r="B54" s="0" t="s">
        <v>352</v>
      </c>
      <c r="D54" s="0" t="s">
        <v>40</v>
      </c>
      <c r="E54" s="0" t="s">
        <v>41</v>
      </c>
      <c r="F54" s="0" t="s">
        <v>353</v>
      </c>
      <c r="G54" s="0" t="n">
        <f aca="false">BoardQty*1</f>
        <v>10</v>
      </c>
      <c r="H5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0.191</v>
      </c>
      <c r="I54" s="12" t="n">
        <f aca="false">IFERROR(G54*H54,"")</f>
        <v>1.91</v>
      </c>
      <c r="J54" s="0" t="n">
        <v>350367</v>
      </c>
      <c r="L54" s="12" t="n">
        <f aca="false">IFERROR(LOOKUP(IF(K54="",G54,K54),{0,1,5,10,50,100,250,500,1000,3000,6000,15000},{0,0.21,0.2,0.191,0.1706,0.1588,0.14112,0.1176,0.11172,0.08624,0.08085,0.07546}),"")</f>
        <v>0.191</v>
      </c>
      <c r="M54" s="12" t="n">
        <f aca="false">IFERROR(IF(K54="",G54,K54)*L54,"")</f>
        <v>1.91</v>
      </c>
      <c r="N54" s="0" t="s">
        <v>354</v>
      </c>
      <c r="O54" s="13" t="s">
        <v>28</v>
      </c>
    </row>
    <row r="55" customFormat="false" ht="15" hidden="false" customHeight="false" outlineLevel="0" collapsed="false">
      <c r="A55" s="0" t="s">
        <v>355</v>
      </c>
      <c r="B55" s="0" t="s">
        <v>356</v>
      </c>
      <c r="D55" s="0" t="s">
        <v>53</v>
      </c>
      <c r="E55" s="0" t="s">
        <v>54</v>
      </c>
      <c r="F55" s="0" t="s">
        <v>357</v>
      </c>
      <c r="G55" s="0" t="n">
        <f aca="false">BoardQty*2</f>
        <v>20</v>
      </c>
      <c r="H5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0.0055276</v>
      </c>
      <c r="I55" s="12" t="n">
        <f aca="false">IFERROR(G55*H55,"")</f>
        <v>0.110552</v>
      </c>
      <c r="J55" s="0" t="n">
        <v>13249120</v>
      </c>
      <c r="L55" s="12" t="n">
        <f aca="false">IFERROR(LOOKUP(IF(K55="",G55,K55),{0,1,10,25,50,100,250,500,1000,5000,10000,25000,50000,125000},{0,0.1,0.01,0.0072,0.0056,0.0041,0.00316,0.00252,0.00186,0.00122,0.00106,0.00093,0.00085,0.00083}),"")</f>
        <v>0.01</v>
      </c>
      <c r="M55" s="12" t="n">
        <f aca="false">IFERROR(IF(K55="",G55,K55)*L55,"")</f>
        <v>0.2</v>
      </c>
      <c r="N55" s="0" t="s">
        <v>358</v>
      </c>
      <c r="O55" s="13" t="s">
        <v>28</v>
      </c>
      <c r="R55" s="12" t="n">
        <f aca="false">IFERROR(LOOKUP(IF(Q55="",G55,Q55),{0,1,100,500,1000,2500},{0,0.0055276,0.0055276,0.005315,0.0049961,0.0047835}),"")</f>
        <v>0.0055276</v>
      </c>
      <c r="S55" s="12" t="n">
        <f aca="false">IFERROR(IF(Q55="",G55,Q55)*R55,"")</f>
        <v>0.110552</v>
      </c>
      <c r="T55" s="0" t="s">
        <v>359</v>
      </c>
      <c r="U55" s="13" t="s">
        <v>28</v>
      </c>
      <c r="V55" s="0" t="n">
        <v>1306421</v>
      </c>
      <c r="X55" s="12" t="n">
        <f aca="false">IFERROR(LOOKUP(IF(W55="",G55,W55),{0,1,10,100,1000,5000},{0,0.1,0.008,0.002,0.001,0.001}),"")</f>
        <v>0.008</v>
      </c>
      <c r="Y55" s="12" t="n">
        <f aca="false">IFERROR(IF(W55="",G55,W55)*X55,"")</f>
        <v>0.16</v>
      </c>
      <c r="Z55" s="0" t="s">
        <v>360</v>
      </c>
      <c r="AA55" s="13" t="s">
        <v>28</v>
      </c>
      <c r="AD55" s="12" t="n">
        <f aca="false">IFERROR(LOOKUP(IF(AC55="",G55,AC55),{0,1,10,25,100,250,1000},{0,0.06,0.01,0.007,0.004,0.003,0.002}),"")</f>
        <v>0.01</v>
      </c>
      <c r="AE55" s="12" t="n">
        <f aca="false">IFERROR(IF(AC55="",G55,AC55)*AD55,"")</f>
        <v>0.2</v>
      </c>
      <c r="AF55" s="0" t="s">
        <v>361</v>
      </c>
      <c r="AG55" s="13" t="s">
        <v>28</v>
      </c>
    </row>
    <row r="56" customFormat="false" ht="15" hidden="false" customHeight="false" outlineLevel="0" collapsed="false">
      <c r="A56" s="0" t="s">
        <v>362</v>
      </c>
      <c r="B56" s="0" t="s">
        <v>363</v>
      </c>
      <c r="D56" s="0" t="s">
        <v>93</v>
      </c>
      <c r="E56" s="0" t="s">
        <v>84</v>
      </c>
      <c r="F56" s="0" t="s">
        <v>364</v>
      </c>
      <c r="G56" s="0" t="n">
        <f aca="false">BoardQty*3</f>
        <v>30</v>
      </c>
      <c r="H5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0.1008787</v>
      </c>
      <c r="I56" s="12" t="n">
        <f aca="false">IFERROR(G56*H56,"")</f>
        <v>3.026361</v>
      </c>
      <c r="L56" s="12" t="n">
        <f aca="false">IFERROR(LOOKUP(IF(K56="",G56,K56),{0,1,10,100,500,1000,4000,8000,12000},{0,0.29,0.199,0.1009,0.06906,0.0611,0.0462,0.04389,0.04158}),"")</f>
        <v>0.199</v>
      </c>
      <c r="M56" s="12" t="n">
        <f aca="false">IFERROR(IF(K56="",G56,K56)*L56,"")</f>
        <v>5.97</v>
      </c>
      <c r="N56" s="0" t="s">
        <v>365</v>
      </c>
      <c r="O56" s="13" t="s">
        <v>28</v>
      </c>
      <c r="R56" s="12" t="n">
        <f aca="false">IFERROR(LOOKUP(IF(Q56="",G56,Q56),{0,1,100,500,1000,2000},{0,0.1008787,0.1008787,0.0764297,0.0650556,0.0577209}),"")</f>
        <v>0.1008787</v>
      </c>
      <c r="S56" s="12" t="n">
        <f aca="false">IFERROR(IF(Q56="",G56,Q56)*R56,"")</f>
        <v>3.026361</v>
      </c>
      <c r="T56" s="0" t="s">
        <v>366</v>
      </c>
      <c r="U56" s="13" t="s">
        <v>28</v>
      </c>
      <c r="X56" s="12" t="n">
        <f aca="false">IFERROR(LOOKUP(IF(W56="",G56,W56),{0,1,10,100,500,1000,4000,8000},{0,0.321,0.219,0.112,0.077,0.07,0.052,0.05}),"")</f>
        <v>0.219</v>
      </c>
      <c r="Y56" s="12" t="n">
        <f aca="false">IFERROR(IF(W56="",G56,W56)*X56,"")</f>
        <v>6.57</v>
      </c>
      <c r="Z56" s="0" t="s">
        <v>367</v>
      </c>
      <c r="AA56" s="13" t="s">
        <v>28</v>
      </c>
      <c r="AD56" s="12" t="n">
        <f aca="false">IFERROR(LOOKUP(IF(AC56="",G56,AC56),{0,1,10,25,50,100,250,500,1000},{0,0.25,0.113,0.101,0.088,0.076,0.072,0.067,0.062}),"")</f>
        <v>0.101</v>
      </c>
      <c r="AE56" s="12" t="n">
        <f aca="false">IFERROR(IF(AC56="",G56,AC56)*AD56,"")</f>
        <v>3.03</v>
      </c>
      <c r="AF56" s="0" t="s">
        <v>368</v>
      </c>
      <c r="AG56" s="13" t="s">
        <v>28</v>
      </c>
      <c r="AH56" s="0" t="n">
        <v>1200</v>
      </c>
      <c r="AJ56" s="12" t="n">
        <f aca="false">IFERROR(LOOKUP(IF(AI56="",G56,AI56),{0,1,50,250},{0,0.125434,0.125434,0.08504}),"")</f>
        <v>0.125434</v>
      </c>
      <c r="AK56" s="12" t="n">
        <f aca="false">IFERROR(IF(AI56="",G56,AI56)*AJ56,"")</f>
        <v>3.76302</v>
      </c>
      <c r="AL56" s="0" t="s">
        <v>369</v>
      </c>
      <c r="AM56" s="13" t="s">
        <v>28</v>
      </c>
    </row>
    <row r="57" customFormat="false" ht="15" hidden="false" customHeight="false" outlineLevel="0" collapsed="false">
      <c r="A57" s="0" t="s">
        <v>370</v>
      </c>
      <c r="B57" s="0" t="s">
        <v>371</v>
      </c>
      <c r="D57" s="0" t="s">
        <v>24</v>
      </c>
      <c r="E57" s="0" t="s">
        <v>372</v>
      </c>
      <c r="F57" s="0" t="s">
        <v>371</v>
      </c>
      <c r="G57" s="0" t="n">
        <f aca="false">BoardQty*1</f>
        <v>10</v>
      </c>
      <c r="H5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0.777</v>
      </c>
      <c r="I57" s="12" t="n">
        <f aca="false">IFERROR(G57*H57,"")</f>
        <v>7.77</v>
      </c>
      <c r="J57" s="0" t="n">
        <v>10773</v>
      </c>
      <c r="L57" s="12" t="n">
        <f aca="false">IFERROR(LOOKUP(IF(K57="",G57,K57),{0,1,10,25,100,250,500,1000,3000},{0,0.89,0.777,0.6884,0.5996,0.52184,0.44414,0.35531,0.31262}),"")</f>
        <v>0.777</v>
      </c>
      <c r="M57" s="12" t="n">
        <f aca="false">IFERROR(IF(K57="",G57,K57)*L57,"")</f>
        <v>7.77</v>
      </c>
      <c r="N57" s="0" t="s">
        <v>373</v>
      </c>
      <c r="O57" s="13" t="s">
        <v>28</v>
      </c>
    </row>
    <row r="58" customFormat="false" ht="15" hidden="false" customHeight="false" outlineLevel="0" collapsed="false">
      <c r="A58" s="0" t="s">
        <v>374</v>
      </c>
      <c r="B58" s="0" t="s">
        <v>375</v>
      </c>
      <c r="D58" s="0" t="s">
        <v>376</v>
      </c>
      <c r="E58" s="0" t="s">
        <v>35</v>
      </c>
      <c r="F58" s="0" t="s">
        <v>377</v>
      </c>
      <c r="G58" s="0" t="n">
        <f aca="false">BoardQty*1</f>
        <v>10</v>
      </c>
      <c r="H5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1.76458</v>
      </c>
      <c r="I58" s="12" t="n">
        <f aca="false">IFERROR(G58*H58,"")</f>
        <v>17.6458</v>
      </c>
      <c r="J58" s="0" t="n">
        <v>9233</v>
      </c>
      <c r="L58" s="12" t="n">
        <f aca="false">IFERROR(LOOKUP(IF(K58="",G58,K58),{0,1,10,100,500,1000,3500},{0,2.05,1.842,1.4809,1.21668,1.00811,0.84375}),"")</f>
        <v>1.842</v>
      </c>
      <c r="M58" s="12" t="n">
        <f aca="false">IFERROR(IF(K58="",G58,K58)*L58,"")</f>
        <v>18.42</v>
      </c>
      <c r="N58" s="0" t="s">
        <v>378</v>
      </c>
      <c r="O58" s="13" t="s">
        <v>28</v>
      </c>
      <c r="R58" s="12" t="n">
        <f aca="false">IFERROR(LOOKUP(IF(Q58="",G58,Q58),{0,1,50,100,250,500},{0,2.03033,1.79647,1.50946,1.43505,1.23308}),"")</f>
        <v>2.03033</v>
      </c>
      <c r="S58" s="12" t="n">
        <f aca="false">IFERROR(IF(Q58="",G58,Q58)*R58,"")</f>
        <v>20.3033</v>
      </c>
      <c r="T58" s="0" t="s">
        <v>379</v>
      </c>
      <c r="U58" s="13" t="s">
        <v>28</v>
      </c>
      <c r="AD58" s="12" t="n">
        <f aca="false">IFERROR(LOOKUP(IF(AC58="",G58,AC58),{0,1,10,25,100,250,500},{0,1.99,1.79,1.71,1.44,1.35,1.18}),"")</f>
        <v>1.79</v>
      </c>
      <c r="AE58" s="12" t="n">
        <f aca="false">IFERROR(IF(AC58="",G58,AC58)*AD58,"")</f>
        <v>17.9</v>
      </c>
      <c r="AF58" s="0" t="s">
        <v>380</v>
      </c>
      <c r="AG58" s="13" t="s">
        <v>28</v>
      </c>
      <c r="AJ58" s="12" t="n">
        <f aca="false">IFERROR(LOOKUP(IF(AI58="",G58,AI58),{0,1,10},{0,1.92403,1.76458}),"")</f>
        <v>1.76458</v>
      </c>
      <c r="AK58" s="12" t="n">
        <f aca="false">IFERROR(IF(AI58="",G58,AI58)*AJ58,"")</f>
        <v>17.6458</v>
      </c>
      <c r="AL58" s="0" t="s">
        <v>381</v>
      </c>
      <c r="AM58" s="13" t="s">
        <v>28</v>
      </c>
    </row>
    <row r="59" customFormat="false" ht="15" hidden="false" customHeight="false" outlineLevel="0" collapsed="false">
      <c r="A59" s="0" t="s">
        <v>382</v>
      </c>
      <c r="B59" s="0" t="s">
        <v>383</v>
      </c>
      <c r="D59" s="0" t="s">
        <v>384</v>
      </c>
      <c r="E59" s="0" t="s">
        <v>35</v>
      </c>
      <c r="F59" s="0" t="s">
        <v>385</v>
      </c>
      <c r="G59" s="0" t="n">
        <f aca="false">BoardQty*1</f>
        <v>10</v>
      </c>
      <c r="H5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0.109</v>
      </c>
      <c r="I59" s="12" t="n">
        <f aca="false">IFERROR(G59*H59,"")</f>
        <v>1.09</v>
      </c>
      <c r="J59" s="0" t="n">
        <v>5390</v>
      </c>
      <c r="L59" s="12" t="n">
        <f aca="false">IFERROR(LOOKUP(IF(K59="",G59,K59),{0,1,10,100,500,1000,3000,6000,15000},{0,0.41,0.334,0.2274,0.17056,0.12793,0.11385,0.10695,0.10005}),"")</f>
        <v>0.334</v>
      </c>
      <c r="M59" s="12" t="n">
        <f aca="false">IFERROR(IF(K59="",G59,K59)*L59,"")</f>
        <v>3.34</v>
      </c>
      <c r="N59" s="0" t="s">
        <v>386</v>
      </c>
      <c r="O59" s="13" t="s">
        <v>28</v>
      </c>
      <c r="AD59" s="12" t="n">
        <f aca="false">IFERROR(LOOKUP(IF(AC59="",G59,AC59),{0,1,6000,10000,25000,50000},{0,0.109,0.109,0.102,0.094,0.09}),"")</f>
        <v>0.109</v>
      </c>
      <c r="AE59" s="12" t="n">
        <f aca="false">IFERROR(IF(AC59="",G59,AC59)*AD59,"")</f>
        <v>1.09</v>
      </c>
      <c r="AF59" s="0" t="s">
        <v>387</v>
      </c>
      <c r="AG59" s="13" t="s">
        <v>28</v>
      </c>
    </row>
    <row r="60" customFormat="false" ht="15" hidden="false" customHeight="false" outlineLevel="0" collapsed="false">
      <c r="A60" s="0" t="s">
        <v>388</v>
      </c>
      <c r="B60" s="0" t="s">
        <v>363</v>
      </c>
      <c r="D60" s="0" t="s">
        <v>93</v>
      </c>
      <c r="E60" s="0" t="s">
        <v>84</v>
      </c>
      <c r="F60" s="0" t="s">
        <v>364</v>
      </c>
      <c r="G60" s="0" t="n">
        <f aca="false">BoardQty*4</f>
        <v>40</v>
      </c>
      <c r="H6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0.1008787</v>
      </c>
      <c r="I60" s="12" t="n">
        <f aca="false">IFERROR(G60*H60,"")</f>
        <v>4.035148</v>
      </c>
      <c r="L60" s="12" t="n">
        <f aca="false">IFERROR(LOOKUP(IF(K60="",G60,K60),{0,1,10,100,500,1000,4000,8000,12000},{0,0.29,0.199,0.1009,0.06906,0.0611,0.0462,0.04389,0.04158}),"")</f>
        <v>0.199</v>
      </c>
      <c r="M60" s="12" t="n">
        <f aca="false">IFERROR(IF(K60="",G60,K60)*L60,"")</f>
        <v>7.96</v>
      </c>
      <c r="N60" s="0" t="s">
        <v>365</v>
      </c>
      <c r="O60" s="13" t="s">
        <v>28</v>
      </c>
      <c r="R60" s="12" t="n">
        <f aca="false">IFERROR(LOOKUP(IF(Q60="",G60,Q60),{0,1,100,500,1000,2000},{0,0.1008787,0.1008787,0.0764297,0.0650556,0.0577209}),"")</f>
        <v>0.1008787</v>
      </c>
      <c r="S60" s="12" t="n">
        <f aca="false">IFERROR(IF(Q60="",G60,Q60)*R60,"")</f>
        <v>4.035148</v>
      </c>
      <c r="T60" s="0" t="s">
        <v>366</v>
      </c>
      <c r="U60" s="13" t="s">
        <v>28</v>
      </c>
      <c r="AD60" s="12" t="n">
        <f aca="false">IFERROR(LOOKUP(IF(AC60="",G60,AC60),{0,1,10,25,50,100,250,500,1000},{0,0.25,0.113,0.101,0.088,0.076,0.072,0.067,0.062}),"")</f>
        <v>0.101</v>
      </c>
      <c r="AE60" s="12" t="n">
        <f aca="false">IFERROR(IF(AC60="",G60,AC60)*AD60,"")</f>
        <v>4.04</v>
      </c>
      <c r="AF60" s="0" t="s">
        <v>368</v>
      </c>
      <c r="AG60" s="13" t="s">
        <v>28</v>
      </c>
      <c r="AH60" s="0" t="n">
        <v>1200</v>
      </c>
      <c r="AJ60" s="12" t="n">
        <f aca="false">IFERROR(LOOKUP(IF(AI60="",G60,AI60),{0,1,50,250},{0,0.125434,0.125434,0.08504}),"")</f>
        <v>0.125434</v>
      </c>
      <c r="AK60" s="12" t="n">
        <f aca="false">IFERROR(IF(AI60="",G60,AI60)*AJ60,"")</f>
        <v>5.01736</v>
      </c>
      <c r="AL60" s="0" t="s">
        <v>369</v>
      </c>
      <c r="AM60" s="13" t="s">
        <v>28</v>
      </c>
    </row>
    <row r="61" customFormat="false" ht="15" hidden="false" customHeight="false" outlineLevel="0" collapsed="false">
      <c r="A61" s="0" t="s">
        <v>389</v>
      </c>
      <c r="B61" s="0" t="s">
        <v>390</v>
      </c>
      <c r="D61" s="0" t="s">
        <v>391</v>
      </c>
      <c r="E61" s="0" t="s">
        <v>238</v>
      </c>
      <c r="F61" s="0" t="s">
        <v>392</v>
      </c>
      <c r="G61" s="0" t="n">
        <f aca="false">BoardQty*1</f>
        <v>10</v>
      </c>
      <c r="H6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0.291</v>
      </c>
      <c r="I61" s="12" t="n">
        <f aca="false">IFERROR(G61*H61,"")</f>
        <v>2.91</v>
      </c>
      <c r="J61" s="0" t="n">
        <v>131961</v>
      </c>
      <c r="L61" s="12" t="n">
        <f aca="false">IFERROR(LOOKUP(IF(K61="",G61,K61),{0,1,10,25,50,100,250,500,1200,2400,6000,8400,12000,30000,60000},{0,0.46,0.437,0.3744,0.318,0.3056,0.27444,0.26196,0.19845,0.18144,0.1701,0.15876,0.15309,0.15082,0.14742}),"")</f>
        <v>0.437</v>
      </c>
      <c r="M61" s="12" t="n">
        <f aca="false">IFERROR(IF(K61="",G61,K61)*L61,"")</f>
        <v>4.37</v>
      </c>
      <c r="N61" s="0" t="s">
        <v>393</v>
      </c>
      <c r="O61" s="13" t="s">
        <v>28</v>
      </c>
      <c r="R61" s="12" t="n">
        <f aca="false">IFERROR(LOOKUP(IF(Q61="",G61,Q61),{0,1,10,50,150,250,500,1500,2500,5000},{0,0.315711,0.315711,0.29764,0.278506,0.272128,0.239175,0.18071,0.172206,0.169017}),"")</f>
        <v>0.315711</v>
      </c>
      <c r="S61" s="12" t="n">
        <f aca="false">IFERROR(IF(Q61="",G61,Q61)*R61,"")</f>
        <v>3.15711</v>
      </c>
      <c r="T61" s="0" t="s">
        <v>394</v>
      </c>
      <c r="U61" s="13" t="s">
        <v>28</v>
      </c>
      <c r="V61" s="0" t="n">
        <v>66411</v>
      </c>
      <c r="X61" s="12" t="n">
        <f aca="false">IFERROR(LOOKUP(IF(W61="",G61,W61),{0,1,10,100,500,1200},{0,0.421,0.291,0.278,0.24,0.232}),"")</f>
        <v>0.291</v>
      </c>
      <c r="Y61" s="12" t="n">
        <f aca="false">IFERROR(IF(W61="",G61,W61)*X61,"")</f>
        <v>2.91</v>
      </c>
      <c r="Z61" s="0" t="s">
        <v>395</v>
      </c>
      <c r="AA61" s="13" t="s">
        <v>28</v>
      </c>
      <c r="AD61" s="12" t="n">
        <f aca="false">IFERROR(LOOKUP(IF(AC61="",G61,AC61),{0,1,10,100,500,1000,2500,5000},{0,0.403,0.388,0.273,0.234,0.194,0.178,0.167}),"")</f>
        <v>0.388</v>
      </c>
      <c r="AE61" s="12" t="n">
        <f aca="false">IFERROR(IF(AC61="",G61,AC61)*AD61,"")</f>
        <v>3.88</v>
      </c>
      <c r="AF61" s="0" t="s">
        <v>396</v>
      </c>
      <c r="AG61" s="13" t="s">
        <v>28</v>
      </c>
      <c r="AJ61" s="12" t="n">
        <f aca="false">IFERROR(LOOKUP(IF(AI61="",G61,AI61),{0,1,10,100,200,500,1000},{0,0.496421,0.496421,0.418822,0.38268,0.334845,0.3189}),"")</f>
        <v>0.496421</v>
      </c>
      <c r="AK61" s="12" t="n">
        <f aca="false">IFERROR(IF(AI61="",G61,AI61)*AJ61,"")</f>
        <v>4.96421</v>
      </c>
      <c r="AL61" s="0" t="s">
        <v>397</v>
      </c>
      <c r="AM61" s="13" t="s">
        <v>28</v>
      </c>
    </row>
    <row r="62" customFormat="false" ht="15" hidden="false" customHeight="false" outlineLevel="0" collapsed="false">
      <c r="A62" s="0" t="s">
        <v>398</v>
      </c>
      <c r="B62" s="0" t="s">
        <v>399</v>
      </c>
      <c r="D62" s="0" t="s">
        <v>53</v>
      </c>
      <c r="E62" s="0" t="s">
        <v>54</v>
      </c>
      <c r="F62" s="0" t="s">
        <v>400</v>
      </c>
      <c r="G62" s="0" t="n">
        <f aca="false">BoardQty*6</f>
        <v>60</v>
      </c>
      <c r="H6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0.0083977</v>
      </c>
      <c r="I62" s="12" t="n">
        <f aca="false">IFERROR(G62*H62,"")</f>
        <v>0.503862</v>
      </c>
      <c r="J62" s="0" t="n">
        <v>21618005</v>
      </c>
      <c r="L62" s="12" t="n">
        <f aca="false">IFERROR(LOOKUP(IF(K62="",G62,K62),{0,1,10,100,1000,2500,5000,10000,25000,50000,125000},{0,0.1,0.015,0.006,0.00268,0.00233,0.00192,0.00167,0.00147,0.00135,0.00132}),"")</f>
        <v>0.015</v>
      </c>
      <c r="M62" s="12" t="n">
        <f aca="false">IFERROR(IF(K62="",G62,K62)*L62,"")</f>
        <v>0.9</v>
      </c>
      <c r="N62" s="0" t="s">
        <v>401</v>
      </c>
      <c r="O62" s="13" t="s">
        <v>28</v>
      </c>
      <c r="R62" s="12" t="n">
        <f aca="false">IFERROR(LOOKUP(IF(Q62="",G62,Q62),{0,1,100,500,1000,2500},{0,0.0083977,0.0083977,0.0062717,0.0049961,0.0041457}),"")</f>
        <v>0.0083977</v>
      </c>
      <c r="S62" s="12" t="n">
        <f aca="false">IFERROR(IF(Q62="",G62,Q62)*R62,"")</f>
        <v>0.503862</v>
      </c>
      <c r="T62" s="0" t="s">
        <v>402</v>
      </c>
      <c r="U62" s="13" t="s">
        <v>28</v>
      </c>
      <c r="AD62" s="12" t="n">
        <f aca="false">IFERROR(LOOKUP(IF(AC62="",G62,AC62),{0,1,10,25,100,250,1000},{0,0.08,0.014,0.01,0.006,0.004,0.003}),"")</f>
        <v>0.01</v>
      </c>
      <c r="AE62" s="12" t="n">
        <f aca="false">IFERROR(IF(AC62="",G62,AC62)*AD62,"")</f>
        <v>0.6</v>
      </c>
      <c r="AF62" s="0" t="s">
        <v>403</v>
      </c>
      <c r="AG62" s="13" t="s">
        <v>28</v>
      </c>
    </row>
    <row r="63" customFormat="false" ht="15" hidden="false" customHeight="false" outlineLevel="0" collapsed="false">
      <c r="A63" s="0" t="s">
        <v>404</v>
      </c>
      <c r="B63" s="0" t="s">
        <v>405</v>
      </c>
      <c r="D63" s="0" t="s">
        <v>53</v>
      </c>
      <c r="E63" s="0" t="s">
        <v>54</v>
      </c>
      <c r="F63" s="0" t="s">
        <v>406</v>
      </c>
      <c r="G63" s="0" t="n">
        <f aca="false">BoardQty*6</f>
        <v>60</v>
      </c>
      <c r="H6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63" s="12" t="n">
        <f aca="false">IFERROR(G63*H63,"")</f>
        <v>0.3</v>
      </c>
      <c r="J63" s="0" t="n">
        <v>300069</v>
      </c>
      <c r="L63" s="12" t="n">
        <f aca="false">IFERROR(LOOKUP(IF(K63="",G63,K63),{0,1,10,100,1000,2500,5000,10000,25000,50000,125000},{0,0.1,0.015,0.006,0.00268,0.00233,0.00192,0.00167,0.00147,0.00135,0.00132}),"")</f>
        <v>0.015</v>
      </c>
      <c r="M63" s="12" t="n">
        <f aca="false">IFERROR(IF(K63="",G63,K63)*L63,"")</f>
        <v>0.9</v>
      </c>
      <c r="N63" s="0" t="s">
        <v>407</v>
      </c>
      <c r="O63" s="13" t="s">
        <v>28</v>
      </c>
      <c r="AD63" s="12" t="n">
        <f aca="false">IFERROR(LOOKUP(IF(AC63="",G63,AC63),{0,1,5000,10000,15000},{0,0.005,0.005,0.003,0.002}),"")</f>
        <v>0.005</v>
      </c>
      <c r="AE63" s="12" t="n">
        <f aca="false">IFERROR(IF(AC63="",G63,AC63)*AD63,"")</f>
        <v>0.3</v>
      </c>
      <c r="AF63" s="0" t="s">
        <v>408</v>
      </c>
      <c r="AG63" s="13" t="s">
        <v>28</v>
      </c>
    </row>
    <row r="64" customFormat="false" ht="15" hidden="false" customHeight="false" outlineLevel="0" collapsed="false">
      <c r="A64" s="0" t="s">
        <v>409</v>
      </c>
      <c r="B64" s="0" t="s">
        <v>410</v>
      </c>
      <c r="D64" s="0" t="s">
        <v>93</v>
      </c>
      <c r="E64" s="0" t="s">
        <v>84</v>
      </c>
      <c r="F64" s="0" t="s">
        <v>411</v>
      </c>
      <c r="G64" s="0" t="n">
        <f aca="false">BoardQty*2</f>
        <v>20</v>
      </c>
      <c r="H6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0.047835</v>
      </c>
      <c r="I64" s="12" t="n">
        <f aca="false">IFERROR(G64*H64,"")</f>
        <v>0.9567</v>
      </c>
      <c r="J64" s="0" t="n">
        <v>22348</v>
      </c>
      <c r="L64" s="12" t="n">
        <f aca="false">IFERROR(LOOKUP(IF(K64="",G64,K64),{0,1,10,100,500,1000,4000,8000,12000},{0,0.18,0.13,0.0611,0.04284,0.03547,0.02625,0.02442,0.0232}),"")</f>
        <v>0.13</v>
      </c>
      <c r="M64" s="12" t="n">
        <f aca="false">IFERROR(IF(K64="",G64,K64)*L64,"")</f>
        <v>2.6</v>
      </c>
      <c r="N64" s="0" t="s">
        <v>412</v>
      </c>
      <c r="O64" s="13" t="s">
        <v>28</v>
      </c>
      <c r="AD64" s="12" t="n">
        <f aca="false">IFERROR(LOOKUP(IF(AC64="",G64,AC64),{0,1,4000,8000,16000,24000},{0,0.065,0.065,0.061,0.06,0.059}),"")</f>
        <v>0.065</v>
      </c>
      <c r="AE64" s="12" t="n">
        <f aca="false">IFERROR(IF(AC64="",G64,AC64)*AD64,"")</f>
        <v>1.3</v>
      </c>
      <c r="AF64" s="0" t="s">
        <v>413</v>
      </c>
      <c r="AG64" s="13" t="s">
        <v>28</v>
      </c>
      <c r="AH64" s="0" t="n">
        <v>700</v>
      </c>
      <c r="AJ64" s="12" t="n">
        <f aca="false">IFERROR(LOOKUP(IF(AI64="",G64,AI64),{0,1,100,500},{0,0.047835,0.047835,0.041457}),"")</f>
        <v>0.047835</v>
      </c>
      <c r="AK64" s="12" t="n">
        <f aca="false">IFERROR(IF(AI64="",G64,AI64)*AJ64,"")</f>
        <v>0.9567</v>
      </c>
      <c r="AL64" s="0" t="s">
        <v>414</v>
      </c>
      <c r="AM64" s="13" t="s">
        <v>28</v>
      </c>
    </row>
    <row r="65" customFormat="false" ht="15" hidden="false" customHeight="false" outlineLevel="0" collapsed="false">
      <c r="A65" s="0" t="s">
        <v>415</v>
      </c>
      <c r="B65" s="0" t="s">
        <v>416</v>
      </c>
      <c r="D65" s="0" t="s">
        <v>53</v>
      </c>
      <c r="E65" s="0" t="s">
        <v>54</v>
      </c>
      <c r="F65" s="0" t="s">
        <v>417</v>
      </c>
      <c r="G65" s="0" t="n">
        <f aca="false">BoardQty*19</f>
        <v>190</v>
      </c>
      <c r="H6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0.006</v>
      </c>
      <c r="I65" s="12" t="n">
        <f aca="false">IFERROR(G65*H65,"")</f>
        <v>1.14</v>
      </c>
      <c r="J65" s="0" t="n">
        <v>5571291</v>
      </c>
      <c r="L65" s="12" t="n">
        <f aca="false">IFERROR(LOOKUP(IF(K65="",G65,K65),{0,1,10,100,1000,2500,5000,10000,25000,50000,125000},{0,0.1,0.015,0.006,0.00268,0.00233,0.00192,0.00167,0.00147,0.00135,0.00132}),"")</f>
        <v>0.006</v>
      </c>
      <c r="M65" s="12" t="n">
        <f aca="false">IFERROR(IF(K65="",G65,K65)*L65,"")</f>
        <v>1.14</v>
      </c>
      <c r="N65" s="0" t="s">
        <v>418</v>
      </c>
      <c r="O65" s="13" t="s">
        <v>28</v>
      </c>
      <c r="R65" s="12" t="n">
        <f aca="false">IFERROR(LOOKUP(IF(Q65="",G65,Q65),{0,1,100,500,1000,2500},{0,0.0082914,0.0082914,0.0062717,0.0049961,0.0041457}),"")</f>
        <v>0.0082914</v>
      </c>
      <c r="S65" s="12" t="n">
        <f aca="false">IFERROR(IF(Q65="",G65,Q65)*R65,"")</f>
        <v>1.575366</v>
      </c>
      <c r="T65" s="0" t="s">
        <v>419</v>
      </c>
      <c r="U65" s="13" t="s">
        <v>28</v>
      </c>
      <c r="AD65" s="12" t="n">
        <f aca="false">IFERROR(LOOKUP(IF(AC65="",G65,AC65),{0,1,10,25,100,250,1000},{0,0.08,0.014,0.01,0.006,0.004,0.003}),"")</f>
        <v>0.006</v>
      </c>
      <c r="AE65" s="12" t="n">
        <f aca="false">IFERROR(IF(AC65="",G65,AC65)*AD65,"")</f>
        <v>1.14</v>
      </c>
      <c r="AF65" s="0" t="s">
        <v>420</v>
      </c>
      <c r="AG65" s="13" t="s">
        <v>28</v>
      </c>
    </row>
    <row r="66" customFormat="false" ht="15" hidden="false" customHeight="false" outlineLevel="0" collapsed="false">
      <c r="A66" s="0" t="s">
        <v>421</v>
      </c>
      <c r="B66" s="0" t="s">
        <v>422</v>
      </c>
      <c r="D66" s="0" t="s">
        <v>53</v>
      </c>
      <c r="E66" s="0" t="s">
        <v>54</v>
      </c>
      <c r="F66" s="0" t="s">
        <v>423</v>
      </c>
      <c r="G66" s="0" t="n">
        <f aca="false">BoardQty*30</f>
        <v>300</v>
      </c>
      <c r="H6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0.002</v>
      </c>
      <c r="I66" s="12" t="n">
        <f aca="false">IFERROR(G66*H66,"")</f>
        <v>0.6</v>
      </c>
      <c r="J66" s="0" t="n">
        <v>9036583</v>
      </c>
      <c r="L66" s="12" t="n">
        <f aca="false">IFERROR(LOOKUP(IF(K66="",G66,K66),{0,1,10,100,1000,2500,5000,10000,25000,50000,125000},{0,0.1,0.015,0.006,0.00268,0.00233,0.00192,0.00167,0.00147,0.00135,0.00132}),"")</f>
        <v>0.006</v>
      </c>
      <c r="M66" s="12" t="n">
        <f aca="false">IFERROR(IF(K66="",G66,K66)*L66,"")</f>
        <v>1.8</v>
      </c>
      <c r="N66" s="0" t="s">
        <v>424</v>
      </c>
      <c r="O66" s="13" t="s">
        <v>28</v>
      </c>
      <c r="R66" s="12" t="n">
        <f aca="false">IFERROR(LOOKUP(IF(Q66="",G66,Q66),{0,1,100,500,1000,2500},{0,0.0082914,0.0082914,0.0062717,0.0049961,0.0041457}),"")</f>
        <v>0.0082914</v>
      </c>
      <c r="S66" s="12" t="n">
        <f aca="false">IFERROR(IF(Q66="",G66,Q66)*R66,"")</f>
        <v>2.48742</v>
      </c>
      <c r="T66" s="0" t="s">
        <v>425</v>
      </c>
      <c r="U66" s="13" t="s">
        <v>28</v>
      </c>
      <c r="AD66" s="12" t="n">
        <f aca="false">IFERROR(LOOKUP(IF(AC66="",G66,AC66),{0,1,5000,10000},{0,0.002,0.002,0.001}),"")</f>
        <v>0.002</v>
      </c>
      <c r="AE66" s="12" t="n">
        <f aca="false">IFERROR(IF(AC66="",G66,AC66)*AD66,"")</f>
        <v>0.6</v>
      </c>
      <c r="AF66" s="0" t="s">
        <v>426</v>
      </c>
      <c r="AG66" s="13" t="s">
        <v>28</v>
      </c>
    </row>
    <row r="67" customFormat="false" ht="15" hidden="false" customHeight="false" outlineLevel="0" collapsed="false">
      <c r="A67" s="0" t="s">
        <v>427</v>
      </c>
      <c r="B67" s="0" t="s">
        <v>428</v>
      </c>
      <c r="D67" s="0" t="s">
        <v>429</v>
      </c>
      <c r="E67" s="0" t="s">
        <v>35</v>
      </c>
      <c r="F67" s="0" t="s">
        <v>428</v>
      </c>
      <c r="G67" s="0" t="n">
        <f aca="false">BoardQty*2</f>
        <v>20</v>
      </c>
      <c r="H6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0.280632</v>
      </c>
      <c r="I67" s="12" t="n">
        <f aca="false">IFERROR(G67*H67,"")</f>
        <v>5.61264</v>
      </c>
      <c r="J67" s="0" t="n">
        <v>4248</v>
      </c>
      <c r="L67" s="12" t="n">
        <f aca="false">IFERROR(LOOKUP(IF(K67="",G67,K67),{0,1,10,100,500,1000,1980,2000,4000,6000,10000},{0,0.55,0.467,0.349,0.27418,0.21187,0.2244,0.18755,0.18755,0.17545,0.16335}),"")</f>
        <v>0.467</v>
      </c>
      <c r="M67" s="12" t="n">
        <f aca="false">IFERROR(IF(K67="",G67,K67)*L67,"")</f>
        <v>9.34</v>
      </c>
      <c r="N67" s="0" t="s">
        <v>430</v>
      </c>
      <c r="O67" s="13" t="s">
        <v>28</v>
      </c>
      <c r="R67" s="12" t="n">
        <f aca="false">IFERROR(LOOKUP(IF(Q67="",G67,Q67),{0,1,50,250,500,1000},{0,0.280632,0.280632,0.266813,0.259372,0.175395}),"")</f>
        <v>0.280632</v>
      </c>
      <c r="S67" s="12" t="n">
        <f aca="false">IFERROR(IF(Q67="",G67,Q67)*R67,"")</f>
        <v>5.61264</v>
      </c>
      <c r="T67" s="0" t="s">
        <v>431</v>
      </c>
      <c r="U67" s="13" t="s">
        <v>28</v>
      </c>
      <c r="V67" s="0" t="n">
        <v>2950</v>
      </c>
      <c r="X67" s="12" t="n">
        <f aca="false">IFERROR(LOOKUP(IF(W67="",G67,W67),{0,1,10,100,1000,2000,10000,24000},{0,0.522,0.438,0.267,0.207,0.176,0.164,0.158}),"")</f>
        <v>0.438</v>
      </c>
      <c r="Y67" s="12" t="n">
        <f aca="false">IFERROR(IF(W67="",G67,W67)*X67,"")</f>
        <v>8.76</v>
      </c>
      <c r="Z67" s="0" t="s">
        <v>432</v>
      </c>
      <c r="AA67" s="13" t="s">
        <v>28</v>
      </c>
      <c r="AD67" s="12" t="n">
        <f aca="false">IFERROR(LOOKUP(IF(AC67="",G67,AC67),{0,1,10,100,1000},{0,0.527,0.44,0.269,0.208}),"")</f>
        <v>0.44</v>
      </c>
      <c r="AE67" s="12" t="n">
        <f aca="false">IFERROR(IF(AC67="",G67,AC67)*AD67,"")</f>
        <v>8.8</v>
      </c>
      <c r="AF67" s="0" t="s">
        <v>433</v>
      </c>
      <c r="AG67" s="13" t="s">
        <v>28</v>
      </c>
    </row>
    <row r="68" customFormat="false" ht="15" hidden="false" customHeight="false" outlineLevel="0" collapsed="false">
      <c r="A68" s="0" t="s">
        <v>434</v>
      </c>
      <c r="B68" s="0" t="s">
        <v>435</v>
      </c>
      <c r="D68" s="0" t="s">
        <v>328</v>
      </c>
      <c r="E68" s="0" t="s">
        <v>329</v>
      </c>
      <c r="F68" s="0" t="s">
        <v>436</v>
      </c>
      <c r="G68" s="0" t="n">
        <f aca="false">BoardQty*1</f>
        <v>10</v>
      </c>
      <c r="H6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0.349727</v>
      </c>
      <c r="I68" s="12" t="n">
        <f aca="false">IFERROR(G68*H68,"")</f>
        <v>3.49727</v>
      </c>
      <c r="J68" s="0" t="n">
        <v>747856</v>
      </c>
      <c r="L68" s="12" t="n">
        <f aca="false">IFERROR(LOOKUP(IF(K68="",G68,K68),{0,1,10,100,500,1000,2000,4000},{0,0.54,0.38,0.25,0.1852,0.15742,0.12883,0.12078}),"")</f>
        <v>0.38</v>
      </c>
      <c r="M68" s="12" t="n">
        <f aca="false">IFERROR(IF(K68="",G68,K68)*L68,"")</f>
        <v>3.8</v>
      </c>
      <c r="N68" s="0" t="s">
        <v>437</v>
      </c>
      <c r="O68" s="13" t="s">
        <v>28</v>
      </c>
      <c r="R68" s="12" t="n">
        <f aca="false">IFERROR(LOOKUP(IF(Q68="",G68,Q68),{0,1,50,250,500,1000,2000,10000,20000},{0,0.349727,0.349727,0.260435,0.207285,0.172206,0.146694,0.135001,0.131812}),"")</f>
        <v>0.349727</v>
      </c>
      <c r="S68" s="12" t="n">
        <f aca="false">IFERROR(IF(Q68="",G68,Q68)*R68,"")</f>
        <v>3.49727</v>
      </c>
      <c r="T68" s="0" t="s">
        <v>438</v>
      </c>
      <c r="U68" s="13" t="s">
        <v>28</v>
      </c>
      <c r="AD68" s="12" t="n">
        <f aca="false">IFERROR(LOOKUP(IF(AC68="",G68,AC68),{0,1,10,25,50,100,250,500,1000},{0,0.58,0.351,0.315,0.278,0.242,0.231,0.22,0.176}),"")</f>
        <v>0.351</v>
      </c>
      <c r="AE68" s="12" t="n">
        <f aca="false">IFERROR(IF(AC68="",G68,AC68)*AD68,"")</f>
        <v>3.51</v>
      </c>
      <c r="AF68" s="0" t="s">
        <v>439</v>
      </c>
      <c r="AG68" s="13" t="s">
        <v>28</v>
      </c>
      <c r="AJ68" s="12" t="n">
        <f aca="false">IFERROR(LOOKUP(IF(AI68="",G68,AI68),{0,1,20,100},{0,0.365672,0.365672,0.241301}),"")</f>
        <v>0.365672</v>
      </c>
      <c r="AK68" s="12" t="n">
        <f aca="false">IFERROR(IF(AI68="",G68,AI68)*AJ68,"")</f>
        <v>3.65672</v>
      </c>
      <c r="AL68" s="0" t="s">
        <v>440</v>
      </c>
      <c r="AM68" s="13" t="s">
        <v>28</v>
      </c>
    </row>
    <row r="69" customFormat="false" ht="15" hidden="false" customHeight="false" outlineLevel="0" collapsed="false">
      <c r="A69" s="0" t="s">
        <v>441</v>
      </c>
      <c r="B69" s="0" t="s">
        <v>442</v>
      </c>
      <c r="D69" s="0" t="s">
        <v>443</v>
      </c>
      <c r="E69" s="0" t="s">
        <v>117</v>
      </c>
      <c r="F69" s="0" t="s">
        <v>442</v>
      </c>
      <c r="G69" s="0" t="n">
        <f aca="false">BoardQty*2</f>
        <v>20</v>
      </c>
      <c r="H6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0.03189</v>
      </c>
      <c r="I69" s="12" t="n">
        <f aca="false">IFERROR(G69*H69,"")</f>
        <v>0.6378</v>
      </c>
      <c r="J69" s="0" t="n">
        <v>19775</v>
      </c>
      <c r="L69" s="12" t="n">
        <f aca="false">IFERROR(LOOKUP(IF(K69="",G69,K69),{0,1,10,100,500,1000,7500,15000,37500},{0,0.4,0.322,0.2191,0.1643,0.12323,0.10302,0.09637,0.08862}),"")</f>
        <v>0.322</v>
      </c>
      <c r="M69" s="12" t="n">
        <f aca="false">IFERROR(IF(K69="",G69,K69)*L69,"")</f>
        <v>6.44</v>
      </c>
      <c r="N69" s="0" t="s">
        <v>444</v>
      </c>
      <c r="O69" s="13" t="s">
        <v>28</v>
      </c>
      <c r="R69" s="12" t="n">
        <f aca="false">IFERROR(LOOKUP(IF(Q69="",G69,Q69),{0,1,10,100,500,2500,4000},{0,0.367798,0.367798,0.153072,0.115867,0.097796,0.0899298}),"")</f>
        <v>0.367798</v>
      </c>
      <c r="S69" s="12" t="n">
        <f aca="false">IFERROR(IF(Q69="",G69,Q69)*R69,"")</f>
        <v>7.35596</v>
      </c>
      <c r="T69" s="0" t="s">
        <v>445</v>
      </c>
      <c r="U69" s="13" t="s">
        <v>28</v>
      </c>
      <c r="V69" s="0" t="n">
        <v>24077</v>
      </c>
      <c r="X69" s="12" t="n">
        <f aca="false">IFERROR(LOOKUP(IF(W69="",G69,W69),{0,1,10,100,1000,2500,7500,22500,45000},{0,0.372,0.282,0.152,0.114,0.099,0.092,0.085,0.083}),"")</f>
        <v>0.282</v>
      </c>
      <c r="Y69" s="12" t="n">
        <f aca="false">IFERROR(IF(W69="",G69,W69)*X69,"")</f>
        <v>5.64</v>
      </c>
      <c r="Z69" s="0" t="s">
        <v>446</v>
      </c>
      <c r="AA69" s="13" t="s">
        <v>28</v>
      </c>
      <c r="AD69" s="12" t="n">
        <f aca="false">IFERROR(LOOKUP(IF(AC69="",G69,AC69),{0,1,10,50,100,500,1000},{0,0.213,0.179,0.075,0.052,0.037,0.032}),"")</f>
        <v>0.179</v>
      </c>
      <c r="AE69" s="12" t="n">
        <f aca="false">IFERROR(IF(AC69="",G69,AC69)*AD69,"")</f>
        <v>3.58</v>
      </c>
      <c r="AF69" s="0" t="s">
        <v>447</v>
      </c>
      <c r="AG69" s="13" t="s">
        <v>28</v>
      </c>
      <c r="AH69" s="0" t="n">
        <v>1100</v>
      </c>
      <c r="AJ69" s="12" t="n">
        <f aca="false">IFERROR(LOOKUP(IF(AI69="",G69,AI69),{0,1,100,1000},{0,0.03189,0.03189,0.028701}),"")</f>
        <v>0.03189</v>
      </c>
      <c r="AK69" s="12" t="n">
        <f aca="false">IFERROR(IF(AI69="",G69,AI69)*AJ69,"")</f>
        <v>0.6378</v>
      </c>
      <c r="AL69" s="0" t="s">
        <v>448</v>
      </c>
      <c r="AM69" s="13" t="s">
        <v>28</v>
      </c>
    </row>
    <row r="70" customFormat="false" ht="15" hidden="false" customHeight="false" outlineLevel="0" collapsed="false">
      <c r="A70" s="0" t="s">
        <v>449</v>
      </c>
      <c r="B70" s="0" t="s">
        <v>450</v>
      </c>
      <c r="D70" s="0" t="s">
        <v>429</v>
      </c>
      <c r="E70" s="0" t="s">
        <v>35</v>
      </c>
      <c r="F70" s="0" t="s">
        <v>451</v>
      </c>
      <c r="G70" s="0" t="n">
        <f aca="false">BoardQty*1</f>
        <v>10</v>
      </c>
      <c r="H7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0.100985</v>
      </c>
      <c r="I70" s="12" t="n">
        <f aca="false">IFERROR(G70*H70,"")</f>
        <v>1.00985</v>
      </c>
      <c r="J70" s="0" t="n">
        <v>8000</v>
      </c>
      <c r="L70" s="12" t="n">
        <f aca="false">IFERROR(LOOKUP(IF(K70="",G70,K70),{0,1,10,100,500,1000,1250,2000,3060,4000,6000,10000},{0,0.42,0.339,0.2307,0.17304,0.12978,0.3232,0.1155,0.1386,0.1155,0.1085,0.1015}),"")</f>
        <v>0.339</v>
      </c>
      <c r="M70" s="12" t="n">
        <f aca="false">IFERROR(IF(K70="",G70,K70)*L70,"")</f>
        <v>3.39</v>
      </c>
      <c r="N70" s="0" t="s">
        <v>452</v>
      </c>
      <c r="O70" s="13" t="s">
        <v>28</v>
      </c>
      <c r="R70" s="12" t="n">
        <f aca="false">IFERROR(LOOKUP(IF(Q70="",G70,Q70),{0,1,50,250,500,1000},{0,0.181773,0.181773,0.167954,0.163702,0.126497}),"")</f>
        <v>0.181773</v>
      </c>
      <c r="S70" s="12" t="n">
        <f aca="false">IFERROR(IF(Q70="",G70,Q70)*R70,"")</f>
        <v>1.81773</v>
      </c>
      <c r="T70" s="0" t="s">
        <v>453</v>
      </c>
      <c r="U70" s="13" t="s">
        <v>28</v>
      </c>
      <c r="V70" s="0" t="n">
        <v>3481</v>
      </c>
      <c r="X70" s="12" t="n">
        <f aca="false">IFERROR(LOOKUP(IF(W70="",G70,W70),{0,1,10,100,1000,2000,10000,24000,50000},{0,0.401,0.312,0.169,0.126,0.11,0.103,0.093,0.092}),"")</f>
        <v>0.312</v>
      </c>
      <c r="Y70" s="12" t="n">
        <f aca="false">IFERROR(IF(W70="",G70,W70)*X70,"")</f>
        <v>3.12</v>
      </c>
      <c r="Z70" s="0" t="s">
        <v>454</v>
      </c>
      <c r="AA70" s="13" t="s">
        <v>28</v>
      </c>
      <c r="AD70" s="12" t="n">
        <f aca="false">IFERROR(LOOKUP(IF(AC70="",G70,AC70),{0,1,5,10,100,1000},{0,0.472,0.472,0.323,0.153,0.117}),"")</f>
        <v>0.323</v>
      </c>
      <c r="AE70" s="12" t="n">
        <f aca="false">IFERROR(IF(AC70="",G70,AC70)*AD70,"")</f>
        <v>3.23</v>
      </c>
      <c r="AF70" s="0" t="s">
        <v>455</v>
      </c>
      <c r="AG70" s="13" t="s">
        <v>28</v>
      </c>
      <c r="AH70" s="0" t="n">
        <v>300</v>
      </c>
      <c r="AJ70" s="12" t="n">
        <f aca="false">IFERROR(LOOKUP(IF(AI70="",G70,AI70),{0,1,20,40,200,400,800},{0,0.100985,0.100985,0.099922,0.097796,0.096733,0.09567}),"")</f>
        <v>0.100985</v>
      </c>
      <c r="AK70" s="12" t="n">
        <f aca="false">IFERROR(IF(AI70="",G70,AI70)*AJ70,"")</f>
        <v>1.00985</v>
      </c>
      <c r="AL70" s="0" t="s">
        <v>456</v>
      </c>
      <c r="AM70" s="13" t="s">
        <v>28</v>
      </c>
    </row>
    <row r="71" customFormat="false" ht="15" hidden="false" customHeight="false" outlineLevel="0" collapsed="false">
      <c r="A71" s="0" t="s">
        <v>457</v>
      </c>
      <c r="B71" s="0" t="s">
        <v>458</v>
      </c>
      <c r="D71" s="0" t="s">
        <v>124</v>
      </c>
      <c r="E71" s="0" t="s">
        <v>329</v>
      </c>
      <c r="F71" s="0" t="s">
        <v>459</v>
      </c>
      <c r="G71" s="0" t="n">
        <f aca="false">BoardQty*2</f>
        <v>20</v>
      </c>
      <c r="H7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0.124</v>
      </c>
      <c r="I71" s="12" t="n">
        <f aca="false">IFERROR(G71*H71,"")</f>
        <v>2.48</v>
      </c>
      <c r="J71" s="0" t="n">
        <v>859296</v>
      </c>
      <c r="L71" s="12" t="n">
        <f aca="false">IFERROR(LOOKUP(IF(K71="",G71,K71),{0,1,10,100,500,1000,3000,6000,9000},{0,0.18,0.124,0.063,0.0431,0.03813,0.03386,0.03098,0.02882}),"")</f>
        <v>0.124</v>
      </c>
      <c r="M71" s="12" t="n">
        <f aca="false">IFERROR(IF(K71="",G71,K71)*L71,"")</f>
        <v>2.48</v>
      </c>
      <c r="N71" s="0" t="s">
        <v>460</v>
      </c>
      <c r="O71" s="13" t="s">
        <v>28</v>
      </c>
      <c r="AD71" s="12" t="n">
        <f aca="false">IFERROR(LOOKUP(IF(AC71="",G71,AC71),{0,1,25,50,100,250,500,1000},{0,0.21,0.109,0.085,0.07,0.058,0.049,0.041}),"")</f>
        <v>0.21</v>
      </c>
      <c r="AE71" s="12" t="n">
        <f aca="false">IFERROR(IF(AC71="",G71,AC71)*AD71,"")</f>
        <v>4.2</v>
      </c>
      <c r="AF71" s="0" t="s">
        <v>461</v>
      </c>
      <c r="AG71" s="13" t="s">
        <v>28</v>
      </c>
      <c r="AL71" s="0" t="s">
        <v>462</v>
      </c>
      <c r="AM71" s="13" t="s">
        <v>28</v>
      </c>
    </row>
    <row r="72" customFormat="false" ht="15" hidden="false" customHeight="false" outlineLevel="0" collapsed="false">
      <c r="A72" s="0" t="s">
        <v>463</v>
      </c>
      <c r="B72" s="0" t="s">
        <v>464</v>
      </c>
      <c r="D72" s="0" t="s">
        <v>53</v>
      </c>
      <c r="E72" s="0" t="s">
        <v>54</v>
      </c>
      <c r="F72" s="0" t="s">
        <v>465</v>
      </c>
      <c r="G72" s="0" t="n">
        <f aca="false">BoardQty*2</f>
        <v>20</v>
      </c>
      <c r="H7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72" s="12" t="n">
        <f aca="false">IFERROR(G72*H72,"")</f>
        <v>0.1</v>
      </c>
      <c r="J72" s="0" t="n">
        <v>137947</v>
      </c>
      <c r="L72" s="12" t="n">
        <f aca="false">IFERROR(LOOKUP(IF(K72="",G72,K72),{0,1,10,100,1000,2500,5000,10000,25000,50000,125000},{0,0.1,0.015,0.006,0.00268,0.00233,0.00192,0.00167,0.00147,0.00135,0.00132}),"")</f>
        <v>0.015</v>
      </c>
      <c r="M72" s="12" t="n">
        <f aca="false">IFERROR(IF(K72="",G72,K72)*L72,"")</f>
        <v>0.3</v>
      </c>
      <c r="N72" s="0" t="s">
        <v>466</v>
      </c>
      <c r="O72" s="13" t="s">
        <v>28</v>
      </c>
      <c r="V72" s="0" t="n">
        <v>62020</v>
      </c>
      <c r="X72" s="12" t="n">
        <f aca="false">IFERROR(LOOKUP(IF(W72="",G72,W72),{0,1,10,100,1000,5000},{0,0.1,0.011,0.004,0.002,0.001}),"")</f>
        <v>0.011</v>
      </c>
      <c r="Y72" s="12" t="n">
        <f aca="false">IFERROR(IF(W72="",G72,W72)*X72,"")</f>
        <v>0.22</v>
      </c>
      <c r="Z72" s="0" t="s">
        <v>467</v>
      </c>
      <c r="AA72" s="13" t="s">
        <v>28</v>
      </c>
      <c r="AD72" s="12" t="n">
        <f aca="false">IFERROR(LOOKUP(IF(AC72="",G72,AC72),{0,1,5000,10000,15000},{0,0.005,0.005,0.003,0.002}),"")</f>
        <v>0.005</v>
      </c>
      <c r="AE72" s="12" t="n">
        <f aca="false">IFERROR(IF(AC72="",G72,AC72)*AD72,"")</f>
        <v>0.1</v>
      </c>
      <c r="AF72" s="0" t="s">
        <v>468</v>
      </c>
      <c r="AG72" s="13" t="s">
        <v>28</v>
      </c>
    </row>
    <row r="73" customFormat="false" ht="15" hidden="false" customHeight="false" outlineLevel="0" collapsed="false">
      <c r="A73" s="0" t="s">
        <v>469</v>
      </c>
      <c r="B73" s="0" t="s">
        <v>470</v>
      </c>
      <c r="D73" s="0" t="s">
        <v>471</v>
      </c>
      <c r="E73" s="0" t="s">
        <v>155</v>
      </c>
      <c r="F73" s="0" t="s">
        <v>472</v>
      </c>
      <c r="G73" s="0" t="n">
        <f aca="false">BoardQty*1</f>
        <v>10</v>
      </c>
      <c r="H7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0.80788</v>
      </c>
      <c r="I73" s="12" t="n">
        <f aca="false">IFERROR(G73*H73,"")</f>
        <v>8.0788</v>
      </c>
      <c r="J73" s="0" t="n">
        <v>10870</v>
      </c>
      <c r="L73" s="12" t="n">
        <f aca="false">IFERROR(LOOKUP(IF(K73="",G73,K73),{0,1,10,50,100,250,500,1000,2500,5000},{0,1.18,1.126,1.0772,1.0477,0.9792,0.90086,0.816,0.7776,0.7296}),"")</f>
        <v>1.126</v>
      </c>
      <c r="M73" s="12" t="n">
        <f aca="false">IFERROR(IF(K73="",G73,K73)*L73,"")</f>
        <v>11.26</v>
      </c>
      <c r="N73" s="0" t="s">
        <v>473</v>
      </c>
      <c r="O73" s="13" t="s">
        <v>28</v>
      </c>
      <c r="R73" s="12" t="n">
        <f aca="false">IFERROR(LOOKUP(IF(Q73="",G73,Q73),{0,1,25,50,100,500,1000,5000},{0,0.80788,0.80788,0.75473,0.657997,0.553823,0.497484,0.383743}),"")</f>
        <v>0.80788</v>
      </c>
      <c r="S73" s="12" t="n">
        <f aca="false">IFERROR(IF(Q73="",G73,Q73)*R73,"")</f>
        <v>8.0788</v>
      </c>
      <c r="T73" s="0" t="s">
        <v>472</v>
      </c>
      <c r="U73" s="13" t="s">
        <v>28</v>
      </c>
      <c r="AD73" s="12" t="n">
        <f aca="false">IFERROR(LOOKUP(IF(AC73="",G73,AC73),{0,1,10,50,100,250,500,1000,2500},{0,1.15,1.1,1.05,1.02,0.96,0.883,0.816,0.778}),"")</f>
        <v>1.1</v>
      </c>
      <c r="AE73" s="12" t="n">
        <f aca="false">IFERROR(IF(AC73="",G73,AC73)*AD73,"")</f>
        <v>11</v>
      </c>
      <c r="AF73" s="0" t="s">
        <v>474</v>
      </c>
      <c r="AG73" s="13" t="s">
        <v>28</v>
      </c>
      <c r="AH73" s="0" t="n">
        <v>200</v>
      </c>
      <c r="AJ73" s="12" t="n">
        <f aca="false">IFERROR(LOOKUP(IF(AI73="",G73,AI73),{0,1,5,75,250,500,1000},{0,1.050244,1.050244,0.844022,0.705832,0.654808,0.652682}),"")</f>
        <v>1.050244</v>
      </c>
      <c r="AK73" s="12" t="n">
        <f aca="false">IFERROR(IF(AI73="",G73,AI73)*AJ73,"")</f>
        <v>10.50244</v>
      </c>
      <c r="AL73" s="0" t="s">
        <v>475</v>
      </c>
      <c r="AM73" s="13" t="s">
        <v>28</v>
      </c>
    </row>
    <row r="74" customFormat="false" ht="15" hidden="false" customHeight="false" outlineLevel="0" collapsed="false">
      <c r="A74" s="0" t="s">
        <v>476</v>
      </c>
      <c r="B74" s="0" t="s">
        <v>477</v>
      </c>
      <c r="D74" s="0" t="s">
        <v>154</v>
      </c>
      <c r="E74" s="0" t="s">
        <v>155</v>
      </c>
      <c r="F74" s="0" t="s">
        <v>156</v>
      </c>
      <c r="G74" s="0" t="n">
        <f aca="false">BoardQty*1</f>
        <v>10</v>
      </c>
      <c r="H7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0.697328</v>
      </c>
      <c r="I74" s="12" t="n">
        <f aca="false">IFERROR(G74*H74,"")</f>
        <v>6.97328</v>
      </c>
      <c r="J74" s="0" t="n">
        <v>1986</v>
      </c>
      <c r="L74" s="12" t="n">
        <f aca="false">IFERROR(LOOKUP(IF(K74="",G74,K74),{0,1,10,50,100,250,500,1000,2500},{0,2.21,2.112,2.0544,1.92,1.7664,1.632,1.5552,1.4592}),"")</f>
        <v>2.112</v>
      </c>
      <c r="M74" s="12" t="n">
        <f aca="false">IFERROR(IF(K74="",G74,K74)*L74,"")</f>
        <v>21.12</v>
      </c>
      <c r="N74" s="0" t="s">
        <v>157</v>
      </c>
      <c r="O74" s="13" t="s">
        <v>28</v>
      </c>
      <c r="R74" s="12" t="n">
        <f aca="false">IFERROR(LOOKUP(IF(Q74="",G74,Q74),{0,1,25,50,100,500,1000,5000,10000},{0,0.697328,0.697328,0.64843,0.586776,0.482602,0.440082,0.341223,0.314648}),"")</f>
        <v>0.697328</v>
      </c>
      <c r="S74" s="12" t="n">
        <f aca="false">IFERROR(IF(Q74="",G74,Q74)*R74,"")</f>
        <v>6.97328</v>
      </c>
      <c r="T74" s="0" t="s">
        <v>156</v>
      </c>
      <c r="U74" s="13" t="s">
        <v>28</v>
      </c>
      <c r="AD74" s="12" t="n">
        <f aca="false">IFERROR(LOOKUP(IF(AC74="",G74,AC74),{0,1,10,25,50,100,500,1000,2000},{0,2.18,2.11,2.07,2.05,1.92,1.63,1.55,1.45}),"")</f>
        <v>2.11</v>
      </c>
      <c r="AE74" s="12" t="n">
        <f aca="false">IFERROR(IF(AC74="",G74,AC74)*AD74,"")</f>
        <v>21.1</v>
      </c>
      <c r="AF74" s="0" t="s">
        <v>159</v>
      </c>
      <c r="AG74" s="13" t="s">
        <v>28</v>
      </c>
      <c r="AH74" s="0" t="n">
        <v>45</v>
      </c>
      <c r="AJ74" s="12" t="n">
        <f aca="false">IFERROR(LOOKUP(IF(AI74="",G74,AI74),{0,1,5,75,250,500,1000},{0,2.087732,2.087732,1.74332,1.481822,1.309616,1.22245}),"")</f>
        <v>2.087732</v>
      </c>
      <c r="AK74" s="12" t="n">
        <f aca="false">IFERROR(IF(AI74="",G74,AI74)*AJ74,"")</f>
        <v>20.87732</v>
      </c>
      <c r="AL74" s="0" t="s">
        <v>160</v>
      </c>
      <c r="AM74" s="13" t="s">
        <v>28</v>
      </c>
    </row>
    <row r="75" customFormat="false" ht="15" hidden="false" customHeight="false" outlineLevel="0" collapsed="false">
      <c r="A75" s="0" t="s">
        <v>478</v>
      </c>
      <c r="B75" s="0" t="s">
        <v>479</v>
      </c>
      <c r="D75" s="0" t="s">
        <v>93</v>
      </c>
      <c r="E75" s="0" t="s">
        <v>84</v>
      </c>
      <c r="F75" s="0" t="s">
        <v>480</v>
      </c>
      <c r="G75" s="0" t="n">
        <f aca="false">BoardQty*2</f>
        <v>20</v>
      </c>
      <c r="H7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0.014882</v>
      </c>
      <c r="I75" s="12" t="n">
        <f aca="false">IFERROR(G75*H75,"")</f>
        <v>0.29764</v>
      </c>
      <c r="J75" s="0" t="n">
        <v>3758296</v>
      </c>
      <c r="L75" s="12" t="n">
        <f aca="false">IFERROR(LOOKUP(IF(K75="",G75,K75),{0,1,10,100,500,1000,4000,8000,12000},{0,0.1,0.057,0.0254,0.01818,0.01428,0.01037,0.00947,0.00902}),"")</f>
        <v>0.057</v>
      </c>
      <c r="M75" s="12" t="n">
        <f aca="false">IFERROR(IF(K75="",G75,K75)*L75,"")</f>
        <v>1.14</v>
      </c>
      <c r="N75" s="0" t="s">
        <v>481</v>
      </c>
      <c r="O75" s="13" t="s">
        <v>28</v>
      </c>
      <c r="T75" s="0" t="s">
        <v>482</v>
      </c>
      <c r="U75" s="13" t="s">
        <v>28</v>
      </c>
      <c r="V75" s="0" t="n">
        <v>697285</v>
      </c>
      <c r="X75" s="12" t="n">
        <f aca="false">IFERROR(LOOKUP(IF(W75="",G75,W75),{0,1,10,100,500,1000,4000,8000},{0,0.1,0.024,0.011,0.008,0.006,0.005,0.004}),"")</f>
        <v>0.024</v>
      </c>
      <c r="Y75" s="12" t="n">
        <f aca="false">IFERROR(IF(W75="",G75,W75)*X75,"")</f>
        <v>0.48</v>
      </c>
      <c r="Z75" s="0" t="s">
        <v>483</v>
      </c>
      <c r="AA75" s="13" t="s">
        <v>28</v>
      </c>
      <c r="AD75" s="12" t="n">
        <f aca="false">IFERROR(LOOKUP(IF(AC75="",G75,AC75),{0,1,25,50,100,250,500,1000,2500},{0,0.1,0.027,0.025,0.022,0.02,0.018,0.016,0.015}),"")</f>
        <v>0.1</v>
      </c>
      <c r="AE75" s="12" t="n">
        <f aca="false">IFERROR(IF(AC75="",G75,AC75)*AD75,"")</f>
        <v>2</v>
      </c>
      <c r="AF75" s="0" t="s">
        <v>484</v>
      </c>
      <c r="AG75" s="13" t="s">
        <v>28</v>
      </c>
      <c r="AJ75" s="12" t="n">
        <f aca="false">IFERROR(LOOKUP(IF(AI75="",G75,AI75),{0,1,200,1000},{0,0.014882,0.014882,0.014882}),"")</f>
        <v>0.014882</v>
      </c>
      <c r="AK75" s="12" t="n">
        <f aca="false">IFERROR(IF(AI75="",G75,AI75)*AJ75,"")</f>
        <v>0.29764</v>
      </c>
      <c r="AL75" s="0" t="s">
        <v>485</v>
      </c>
      <c r="AM75" s="13" t="s">
        <v>28</v>
      </c>
    </row>
    <row r="76" customFormat="false" ht="15" hidden="false" customHeight="false" outlineLevel="0" collapsed="false">
      <c r="A76" s="0" t="s">
        <v>486</v>
      </c>
      <c r="B76" s="0" t="s">
        <v>487</v>
      </c>
      <c r="D76" s="0" t="s">
        <v>53</v>
      </c>
      <c r="E76" s="0" t="s">
        <v>54</v>
      </c>
      <c r="F76" s="0" t="s">
        <v>488</v>
      </c>
      <c r="G76" s="0" t="n">
        <f aca="false">BoardQty*2</f>
        <v>20</v>
      </c>
      <c r="H7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76" s="12" t="n">
        <f aca="false">IFERROR(G76*H76,"")</f>
        <v>0.1</v>
      </c>
      <c r="J76" s="0" t="n">
        <v>178705</v>
      </c>
      <c r="L76" s="12" t="n">
        <f aca="false">IFERROR(LOOKUP(IF(K76="",G76,K76),{0,1,10,100,1000,2500,5000,10000,25000,50000,125000},{0,0.1,0.015,0.006,0.00268,0.00233,0.00192,0.00167,0.00147,0.00135,0.00132}),"")</f>
        <v>0.015</v>
      </c>
      <c r="M76" s="12" t="n">
        <f aca="false">IFERROR(IF(K76="",G76,K76)*L76,"")</f>
        <v>0.3</v>
      </c>
      <c r="N76" s="0" t="s">
        <v>489</v>
      </c>
      <c r="O76" s="13" t="s">
        <v>28</v>
      </c>
      <c r="V76" s="0" t="n">
        <v>53090</v>
      </c>
      <c r="X76" s="12" t="n">
        <f aca="false">IFERROR(LOOKUP(IF(W76="",G76,W76),{0,1,10,100,1000,5000,10000},{0,0.1,0.011,0.004,0.002,0.002,0.001}),"")</f>
        <v>0.011</v>
      </c>
      <c r="Y76" s="12" t="n">
        <f aca="false">IFERROR(IF(W76="",G76,W76)*X76,"")</f>
        <v>0.22</v>
      </c>
      <c r="Z76" s="0" t="s">
        <v>490</v>
      </c>
      <c r="AA76" s="13" t="s">
        <v>28</v>
      </c>
      <c r="AD76" s="12" t="n">
        <f aca="false">IFERROR(LOOKUP(IF(AC76="",G76,AC76),{0,1,5000,10000,15000},{0,0.005,0.005,0.003,0.002}),"")</f>
        <v>0.005</v>
      </c>
      <c r="AE76" s="12" t="n">
        <f aca="false">IFERROR(IF(AC76="",G76,AC76)*AD76,"")</f>
        <v>0.1</v>
      </c>
      <c r="AF76" s="0" t="s">
        <v>491</v>
      </c>
      <c r="AG76" s="13" t="s">
        <v>28</v>
      </c>
    </row>
    <row r="77" customFormat="false" ht="15" hidden="false" customHeight="false" outlineLevel="0" collapsed="false">
      <c r="A77" s="0" t="s">
        <v>492</v>
      </c>
      <c r="B77" s="0" t="s">
        <v>493</v>
      </c>
      <c r="D77" s="0" t="s">
        <v>53</v>
      </c>
      <c r="E77" s="0" t="s">
        <v>54</v>
      </c>
      <c r="F77" s="0" t="s">
        <v>423</v>
      </c>
      <c r="G77" s="0" t="n">
        <f aca="false">BoardQty*4</f>
        <v>40</v>
      </c>
      <c r="H7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0.002</v>
      </c>
      <c r="I77" s="12" t="n">
        <f aca="false">IFERROR(G77*H77,"")</f>
        <v>0.08</v>
      </c>
      <c r="J77" s="0" t="n">
        <v>9036583</v>
      </c>
      <c r="L77" s="12" t="n">
        <f aca="false">IFERROR(LOOKUP(IF(K77="",G77,K77),{0,1,10,100,1000,2500,5000,10000,25000,50000,125000},{0,0.1,0.015,0.006,0.00268,0.00233,0.00192,0.00167,0.00147,0.00135,0.00132}),"")</f>
        <v>0.015</v>
      </c>
      <c r="M77" s="12" t="n">
        <f aca="false">IFERROR(IF(K77="",G77,K77)*L77,"")</f>
        <v>0.6</v>
      </c>
      <c r="N77" s="0" t="s">
        <v>424</v>
      </c>
      <c r="O77" s="13" t="s">
        <v>28</v>
      </c>
      <c r="R77" s="12" t="n">
        <f aca="false">IFERROR(LOOKUP(IF(Q77="",G77,Q77),{0,1,100,500,1000,2500},{0,0.0082914,0.0082914,0.0062717,0.0049961,0.0041457}),"")</f>
        <v>0.0082914</v>
      </c>
      <c r="S77" s="12" t="n">
        <f aca="false">IFERROR(IF(Q77="",G77,Q77)*R77,"")</f>
        <v>0.331656</v>
      </c>
      <c r="T77" s="0" t="s">
        <v>425</v>
      </c>
      <c r="U77" s="13" t="s">
        <v>28</v>
      </c>
      <c r="V77" s="0" t="n">
        <v>2152691</v>
      </c>
      <c r="X77" s="12" t="n">
        <f aca="false">IFERROR(LOOKUP(IF(W77="",G77,W77),{0,1,10,100,1000,5000},{0,0.1,0.011,0.004,0.002,0.001}),"")</f>
        <v>0.011</v>
      </c>
      <c r="Y77" s="12" t="n">
        <f aca="false">IFERROR(IF(W77="",G77,W77)*X77,"")</f>
        <v>0.44</v>
      </c>
      <c r="Z77" s="0" t="s">
        <v>494</v>
      </c>
      <c r="AA77" s="13" t="s">
        <v>28</v>
      </c>
      <c r="AD77" s="12" t="n">
        <f aca="false">IFERROR(LOOKUP(IF(AC77="",G77,AC77),{0,1,5000,10000},{0,0.002,0.002,0.001}),"")</f>
        <v>0.002</v>
      </c>
      <c r="AE77" s="12" t="n">
        <f aca="false">IFERROR(IF(AC77="",G77,AC77)*AD77,"")</f>
        <v>0.08</v>
      </c>
      <c r="AF77" s="0" t="s">
        <v>426</v>
      </c>
      <c r="AG77" s="13" t="s">
        <v>28</v>
      </c>
    </row>
    <row r="78" customFormat="false" ht="15" hidden="false" customHeight="false" outlineLevel="0" collapsed="false">
      <c r="A78" s="0" t="s">
        <v>495</v>
      </c>
      <c r="B78" s="0" t="s">
        <v>496</v>
      </c>
      <c r="D78" s="0" t="s">
        <v>328</v>
      </c>
      <c r="E78" s="0" t="s">
        <v>84</v>
      </c>
      <c r="F78" s="0" t="s">
        <v>497</v>
      </c>
      <c r="G78" s="0" t="n">
        <f aca="false">BoardQty*3</f>
        <v>30</v>
      </c>
      <c r="H7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0.21</v>
      </c>
      <c r="I78" s="12" t="n">
        <f aca="false">IFERROR(G78*H78,"")</f>
        <v>6.3</v>
      </c>
      <c r="L78" s="12" t="n">
        <f aca="false">IFERROR(LOOKUP(IF(K78="",G78,K78),{0,1,10,100,500,1000,2000,4000,6000},{0,0.37,0.25,0.1419,0.10018,0.08766,0.0726,0.06716,0.06716}),"")</f>
        <v>0.25</v>
      </c>
      <c r="M78" s="12" t="n">
        <f aca="false">IFERROR(IF(K78="",G78,K78)*L78,"")</f>
        <v>7.5</v>
      </c>
      <c r="N78" s="0" t="s">
        <v>498</v>
      </c>
      <c r="O78" s="13" t="s">
        <v>28</v>
      </c>
      <c r="R78" s="12" t="n">
        <f aca="false">IFERROR(LOOKUP(IF(Q78="",G78,Q78),{0,1,50,250,500,1000},{0,0.26575,0.26575,0.198781,0.19134,0.183899}),"")</f>
        <v>0.26575</v>
      </c>
      <c r="S78" s="12" t="n">
        <f aca="false">IFERROR(IF(Q78="",G78,Q78)*R78,"")</f>
        <v>7.9725</v>
      </c>
      <c r="T78" s="0" t="s">
        <v>499</v>
      </c>
      <c r="U78" s="13" t="s">
        <v>28</v>
      </c>
      <c r="X78" s="12" t="n">
        <f aca="false">IFERROR(LOOKUP(IF(W78="",G78,W78),{0,1,10,100,500,1000,2000,10000,24000,50000},{0,0.432,0.227,0.15,0.137,0.123,0.085,0.084,0.08,0.072}),"")</f>
        <v>0.227</v>
      </c>
      <c r="Y78" s="12" t="n">
        <f aca="false">IFERROR(IF(W78="",G78,W78)*X78,"")</f>
        <v>6.81</v>
      </c>
      <c r="Z78" s="0" t="s">
        <v>500</v>
      </c>
      <c r="AA78" s="13" t="s">
        <v>28</v>
      </c>
      <c r="AD78" s="12" t="n">
        <f aca="false">IFERROR(LOOKUP(IF(AC78="",G78,AC78),{0,1,10,25,50,100,250,500,1000},{0,0.43,0.226,0.21,0.193,0.177,0.163,0.152,0.142}),"")</f>
        <v>0.21</v>
      </c>
      <c r="AE78" s="12" t="n">
        <f aca="false">IFERROR(IF(AC78="",G78,AC78)*AD78,"")</f>
        <v>6.3</v>
      </c>
      <c r="AF78" s="0" t="s">
        <v>501</v>
      </c>
      <c r="AG78" s="13" t="s">
        <v>28</v>
      </c>
      <c r="AJ78" s="12" t="n">
        <f aca="false">IFERROR(LOOKUP(IF(AI78="",G78,AI78),{0,1,10,50},{0,0.676068,0.676068,0.481539}),"")</f>
        <v>0.676068</v>
      </c>
      <c r="AK78" s="12" t="n">
        <f aca="false">IFERROR(IF(AI78="",G78,AI78)*AJ78,"")</f>
        <v>20.28204</v>
      </c>
      <c r="AL78" s="0" t="s">
        <v>502</v>
      </c>
      <c r="AM78" s="13" t="s">
        <v>28</v>
      </c>
    </row>
    <row r="79" customFormat="false" ht="15" hidden="false" customHeight="false" outlineLevel="0" collapsed="false">
      <c r="A79" s="0" t="s">
        <v>503</v>
      </c>
      <c r="B79" s="0" t="s">
        <v>504</v>
      </c>
      <c r="D79" s="0" t="s">
        <v>505</v>
      </c>
      <c r="G79" s="0" t="n">
        <f aca="false">BoardQty*1</f>
        <v>10</v>
      </c>
      <c r="H7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79" s="12" t="n">
        <f aca="false">IFERROR(G79*H79,"")</f>
        <v>0</v>
      </c>
    </row>
    <row r="80" customFormat="false" ht="15" hidden="false" customHeight="false" outlineLevel="0" collapsed="false">
      <c r="A80" s="0" t="s">
        <v>506</v>
      </c>
      <c r="B80" s="0" t="s">
        <v>507</v>
      </c>
      <c r="D80" s="0" t="s">
        <v>328</v>
      </c>
      <c r="E80" s="0" t="s">
        <v>84</v>
      </c>
      <c r="F80" s="0" t="s">
        <v>508</v>
      </c>
      <c r="G80" s="0" t="n">
        <f aca="false">BoardQty*1</f>
        <v>10</v>
      </c>
      <c r="H8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0.123308</v>
      </c>
      <c r="I80" s="12" t="n">
        <f aca="false">IFERROR(G80*H80,"")</f>
        <v>1.23308</v>
      </c>
      <c r="J80" s="0" t="n">
        <v>5</v>
      </c>
      <c r="L80" s="12" t="n">
        <f aca="false">IFERROR(LOOKUP(IF(K80="",G80,K80),{0,1,10,100,500,1000,2000,4000},{0,0.52,0.364,0.2186,0.16394,0.13844,0.11405,0.10771}),"")</f>
        <v>0.364</v>
      </c>
      <c r="M80" s="12" t="n">
        <f aca="false">IFERROR(IF(K80="",G80,K80)*L80,"")</f>
        <v>3.64</v>
      </c>
      <c r="N80" s="0" t="s">
        <v>509</v>
      </c>
      <c r="O80" s="13" t="s">
        <v>28</v>
      </c>
      <c r="R80" s="12" t="n">
        <f aca="false">IFERROR(LOOKUP(IF(Q80="",G80,Q80),{0,1,50,250,500,1000},{0,0.131812,0.131812,0.0992842,0.0845085,0.0799376}),"")</f>
        <v>0.131812</v>
      </c>
      <c r="S80" s="12" t="n">
        <f aca="false">IFERROR(IF(Q80="",G80,Q80)*R80,"")</f>
        <v>1.31812</v>
      </c>
      <c r="T80" s="0" t="s">
        <v>510</v>
      </c>
      <c r="U80" s="13" t="s">
        <v>28</v>
      </c>
      <c r="X80" s="12" t="n">
        <f aca="false">IFERROR(LOOKUP(IF(W80="",G80,W80),{0,1,10,100,500,1000,2000,10000},{0,0.291,0.135,0.091,0.079,0.071,0.06,0.052}),"")</f>
        <v>0.135</v>
      </c>
      <c r="Y80" s="12" t="n">
        <f aca="false">IFERROR(IF(W80="",G80,W80)*X80,"")</f>
        <v>1.35</v>
      </c>
      <c r="Z80" s="0" t="s">
        <v>511</v>
      </c>
      <c r="AA80" s="13" t="s">
        <v>28</v>
      </c>
      <c r="AD80" s="12" t="n">
        <f aca="false">IFERROR(LOOKUP(IF(AC80="",G80,AC80),{0,1,10,25,50,100,250,500,1000},{0,0.29,0.134,0.119,0.105,0.09,0.085,0.079,0.07}),"")</f>
        <v>0.134</v>
      </c>
      <c r="AE80" s="12" t="n">
        <f aca="false">IFERROR(IF(AC80="",G80,AC80)*AD80,"")</f>
        <v>1.34</v>
      </c>
      <c r="AF80" s="0" t="s">
        <v>512</v>
      </c>
      <c r="AG80" s="13" t="s">
        <v>28</v>
      </c>
      <c r="AH80" s="0" t="n">
        <v>425</v>
      </c>
      <c r="AJ80" s="12" t="n">
        <f aca="false">IFERROR(LOOKUP(IF(AI80="",G80,AI80),{0,1,25,250},{0,0.123308,0.123308,0.11693}),"")</f>
        <v>0.123308</v>
      </c>
      <c r="AK80" s="12" t="n">
        <f aca="false">IFERROR(IF(AI80="",G80,AI80)*AJ80,"")</f>
        <v>1.23308</v>
      </c>
      <c r="AL80" s="0" t="s">
        <v>513</v>
      </c>
      <c r="AM80" s="13" t="s">
        <v>28</v>
      </c>
    </row>
    <row r="81" customFormat="false" ht="15" hidden="false" customHeight="false" outlineLevel="0" collapsed="false">
      <c r="A81" s="0" t="s">
        <v>514</v>
      </c>
      <c r="B81" s="0" t="s">
        <v>515</v>
      </c>
      <c r="D81" s="0" t="s">
        <v>516</v>
      </c>
      <c r="E81" s="0" t="s">
        <v>305</v>
      </c>
      <c r="F81" s="0" t="s">
        <v>517</v>
      </c>
      <c r="G81" s="0" t="n">
        <f aca="false">BoardQty*1</f>
        <v>10</v>
      </c>
      <c r="H8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9.34377</v>
      </c>
      <c r="I81" s="12" t="n">
        <f aca="false">IFERROR(G81*H81,"")</f>
        <v>93.4377</v>
      </c>
      <c r="J81" s="0" t="n">
        <v>9645</v>
      </c>
      <c r="L81" s="12" t="n">
        <f aca="false">IFERROR(LOOKUP(IF(K81="",G81,K81),{0,1,10,100,500,1000},{0,10.58,9.725,8.2136,7.30656,6.70187}),"")</f>
        <v>9.725</v>
      </c>
      <c r="M81" s="12" t="n">
        <f aca="false">IFERROR(IF(K81="",G81,K81)*L81,"")</f>
        <v>97.25</v>
      </c>
      <c r="N81" s="0" t="s">
        <v>518</v>
      </c>
      <c r="O81" s="13" t="s">
        <v>28</v>
      </c>
      <c r="R81" s="12" t="n">
        <f aca="false">IFERROR(LOOKUP(IF(Q81="",G81,Q81),{0,1,10,25,50,100,250,500,1000},{0,10.16228,9.34377,8.90794,8.47211,7.89809,7.82368,6.99454,6.56934}),"")</f>
        <v>9.34377</v>
      </c>
      <c r="S81" s="12" t="n">
        <f aca="false">IFERROR(IF(Q81="",G81,Q81)*R81,"")</f>
        <v>93.4377</v>
      </c>
      <c r="T81" s="0" t="s">
        <v>519</v>
      </c>
      <c r="U81" s="13" t="s">
        <v>28</v>
      </c>
      <c r="V81" s="0" t="n">
        <v>6761</v>
      </c>
      <c r="X81" s="12" t="n">
        <f aca="false">IFERROR(LOOKUP(IF(W81="",G81,W81),{0,1,10,25,100,250,500,1000},{0,10.61,9.76,9.36,8.25,7.84,7.33,6.73}),"")</f>
        <v>9.76</v>
      </c>
      <c r="Y81" s="12" t="n">
        <f aca="false">IFERROR(IF(W81="",G81,W81)*X81,"")</f>
        <v>97.6</v>
      </c>
      <c r="Z81" s="0" t="s">
        <v>520</v>
      </c>
      <c r="AA81" s="13" t="s">
        <v>28</v>
      </c>
      <c r="AD81" s="12" t="n">
        <f aca="false">IFERROR(LOOKUP(IF(AC81="",G81,AC81),{0,1,10,25,50,100,250,500},{0,10.58,9.73,9.33,8.78,8.22,7.81,7.31}),"")</f>
        <v>9.73</v>
      </c>
      <c r="AE81" s="12" t="n">
        <f aca="false">IFERROR(IF(AC81="",G81,AC81)*AD81,"")</f>
        <v>97.3</v>
      </c>
      <c r="AF81" s="0" t="s">
        <v>521</v>
      </c>
      <c r="AG81" s="13" t="s">
        <v>28</v>
      </c>
      <c r="AH81" s="0" t="n">
        <v>6</v>
      </c>
      <c r="AJ81" s="12" t="n">
        <f aca="false">IFERROR(LOOKUP(IF(AI81="",G81,AI81),{0,1,10},{0,11.85245,10.90638}),"")</f>
        <v>10.90638</v>
      </c>
      <c r="AK81" s="12" t="n">
        <f aca="false">IFERROR(IF(AI81="",G81,AI81)*AJ81,"")</f>
        <v>109.0638</v>
      </c>
      <c r="AL81" s="0" t="s">
        <v>522</v>
      </c>
      <c r="AM81" s="13" t="s">
        <v>28</v>
      </c>
    </row>
    <row r="82" customFormat="false" ht="15" hidden="false" customHeight="false" outlineLevel="0" collapsed="false">
      <c r="A82" s="0" t="s">
        <v>523</v>
      </c>
      <c r="B82" s="0" t="s">
        <v>524</v>
      </c>
      <c r="D82" s="0" t="s">
        <v>53</v>
      </c>
      <c r="E82" s="0" t="s">
        <v>54</v>
      </c>
      <c r="F82" s="0" t="s">
        <v>525</v>
      </c>
      <c r="G82" s="0" t="n">
        <f aca="false">BoardQty*10</f>
        <v>100</v>
      </c>
      <c r="H8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0.004</v>
      </c>
      <c r="I82" s="12" t="n">
        <f aca="false">IFERROR(G82*H82,"")</f>
        <v>0.4</v>
      </c>
      <c r="J82" s="0" t="n">
        <v>4739017</v>
      </c>
      <c r="L82" s="12" t="n">
        <f aca="false">IFERROR(LOOKUP(IF(K82="",G82,K82),{0,1,10,100,1000,2500,5000,10000,25000,50000,125000},{0,0.1,0.015,0.006,0.00268,0.00233,0.00192,0.00167,0.00147,0.00135,0.00132}),"")</f>
        <v>0.006</v>
      </c>
      <c r="M82" s="12" t="n">
        <f aca="false">IFERROR(IF(K82="",G82,K82)*L82,"")</f>
        <v>0.6</v>
      </c>
      <c r="N82" s="0" t="s">
        <v>526</v>
      </c>
      <c r="O82" s="13" t="s">
        <v>28</v>
      </c>
      <c r="R82" s="12" t="n">
        <f aca="false">IFERROR(LOOKUP(IF(Q82="",G82,Q82),{0,1,5000},{0,0.0044646,0.0044646}),"")</f>
        <v>0.0044646</v>
      </c>
      <c r="S82" s="12" t="n">
        <f aca="false">IFERROR(IF(Q82="",G82,Q82)*R82,"")</f>
        <v>0.44646</v>
      </c>
      <c r="T82" s="0" t="s">
        <v>527</v>
      </c>
      <c r="U82" s="13" t="s">
        <v>28</v>
      </c>
      <c r="V82" s="0" t="n">
        <v>995382</v>
      </c>
      <c r="X82" s="12" t="n">
        <f aca="false">IFERROR(LOOKUP(IF(W82="",G82,W82),{0,1,10,100,1000,5000},{0,0.1,0.011,0.004,0.002,0.001}),"")</f>
        <v>0.004</v>
      </c>
      <c r="Y82" s="12" t="n">
        <f aca="false">IFERROR(IF(W82="",G82,W82)*X82,"")</f>
        <v>0.4</v>
      </c>
      <c r="Z82" s="0" t="s">
        <v>528</v>
      </c>
      <c r="AA82" s="13" t="s">
        <v>28</v>
      </c>
      <c r="AD82" s="12" t="n">
        <f aca="false">IFERROR(LOOKUP(IF(AC82="",G82,AC82),{0,1,10,25,100,250,1000},{0,0.08,0.014,0.01,0.006,0.004,0.003}),"")</f>
        <v>0.006</v>
      </c>
      <c r="AE82" s="12" t="n">
        <f aca="false">IFERROR(IF(AC82="",G82,AC82)*AD82,"")</f>
        <v>0.6</v>
      </c>
      <c r="AF82" s="0" t="s">
        <v>529</v>
      </c>
      <c r="AG82" s="13" t="s">
        <v>28</v>
      </c>
    </row>
    <row r="83" customFormat="false" ht="15" hidden="false" customHeight="false" outlineLevel="0" collapsed="false">
      <c r="A83" s="0" t="s">
        <v>530</v>
      </c>
      <c r="B83" s="0" t="s">
        <v>531</v>
      </c>
      <c r="D83" s="0" t="s">
        <v>46</v>
      </c>
      <c r="E83" s="0" t="s">
        <v>47</v>
      </c>
      <c r="F83" s="0" t="s">
        <v>532</v>
      </c>
      <c r="G83" s="0" t="n">
        <f aca="false">BoardQty*3</f>
        <v>30</v>
      </c>
      <c r="H8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0.11</v>
      </c>
      <c r="I83" s="12" t="n">
        <f aca="false">IFERROR(G83*H83,"")</f>
        <v>3.3</v>
      </c>
      <c r="J83" s="0" t="n">
        <v>1270840</v>
      </c>
      <c r="L83" s="12" t="n">
        <f aca="false">IFERROR(LOOKUP(IF(K83="",G83,K83),{0,1,10,25,100,250,500,1000,2500,5000,10000,25000,50000,125000},{0,0.29,0.211,0.1556,0.1111,0.07556,0.06666,0.05222,0.05111,0.0404,0.03636,0.03232,0.02929,0.02727}),"")</f>
        <v>0.1556</v>
      </c>
      <c r="M83" s="12" t="n">
        <f aca="false">IFERROR(IF(K83="",G83,K83)*L83,"")</f>
        <v>4.668</v>
      </c>
      <c r="N83" s="0" t="s">
        <v>533</v>
      </c>
      <c r="O83" s="13" t="s">
        <v>28</v>
      </c>
      <c r="V83" s="0" t="n">
        <v>167148</v>
      </c>
      <c r="X83" s="12" t="n">
        <f aca="false">IFERROR(LOOKUP(IF(W83="",G83,W83),{0,1,10,100,1000,5000,10000,25000,50000,100000},{0,0.301,0.238,0.074,0.051,0.044,0.039,0.035,0.032,0.031}),"")</f>
        <v>0.238</v>
      </c>
      <c r="Y83" s="12" t="n">
        <f aca="false">IFERROR(IF(W83="",G83,W83)*X83,"")</f>
        <v>7.14</v>
      </c>
      <c r="Z83" s="0" t="s">
        <v>534</v>
      </c>
      <c r="AA83" s="13" t="s">
        <v>28</v>
      </c>
      <c r="AD83" s="12" t="n">
        <f aca="false">IFERROR(LOOKUP(IF(AC83="",G83,AC83),{0,1,3000,6000,12000,18000,30000},{0,0.11,0.11,0.104,0.097,0.096,0.094}),"")</f>
        <v>0.11</v>
      </c>
      <c r="AE83" s="12" t="n">
        <f aca="false">IFERROR(IF(AC83="",G83,AC83)*AD83,"")</f>
        <v>3.3</v>
      </c>
      <c r="AF83" s="0" t="s">
        <v>535</v>
      </c>
      <c r="AG83" s="13" t="s">
        <v>28</v>
      </c>
      <c r="AH83" s="0" t="n">
        <v>350</v>
      </c>
      <c r="AJ83" s="12" t="n">
        <f aca="false">IFERROR(LOOKUP(IF(AI83="",G83,AI83),{0,1,50,250},{0,0.224293,0.224293,0.070158}),"")</f>
        <v>0.224293</v>
      </c>
      <c r="AK83" s="12" t="n">
        <f aca="false">IFERROR(IF(AI83="",G83,AI83)*AJ83,"")</f>
        <v>6.72879</v>
      </c>
      <c r="AL83" s="0" t="s">
        <v>536</v>
      </c>
      <c r="AM83" s="13" t="s">
        <v>28</v>
      </c>
    </row>
    <row r="84" customFormat="false" ht="15" hidden="false" customHeight="false" outlineLevel="0" collapsed="false">
      <c r="A84" s="0" t="s">
        <v>537</v>
      </c>
      <c r="B84" s="0" t="s">
        <v>538</v>
      </c>
      <c r="D84" s="0" t="s">
        <v>124</v>
      </c>
      <c r="E84" s="0" t="s">
        <v>339</v>
      </c>
      <c r="F84" s="0" t="s">
        <v>340</v>
      </c>
      <c r="G84" s="0" t="n">
        <f aca="false">BoardQty*1</f>
        <v>10</v>
      </c>
      <c r="H8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0.134</v>
      </c>
      <c r="I84" s="12" t="n">
        <f aca="false">IFERROR(G84*H84,"")</f>
        <v>1.34</v>
      </c>
      <c r="J84" s="0" t="n">
        <v>392</v>
      </c>
      <c r="L84" s="12" t="n">
        <f aca="false">IFERROR(LOOKUP(IF(K84="",G84,K84),{0,1,10,100,4000},{0,0.19,0.134,0.0632,0.03122}),"")</f>
        <v>0.134</v>
      </c>
      <c r="M84" s="12" t="n">
        <f aca="false">IFERROR(IF(K84="",G84,K84)*L84,"")</f>
        <v>1.34</v>
      </c>
      <c r="N84" s="0" t="s">
        <v>341</v>
      </c>
      <c r="O84" s="13" t="s">
        <v>28</v>
      </c>
    </row>
    <row r="85" customFormat="false" ht="15" hidden="false" customHeight="false" outlineLevel="0" collapsed="false">
      <c r="A85" s="0" t="s">
        <v>539</v>
      </c>
      <c r="B85" s="0" t="s">
        <v>540</v>
      </c>
      <c r="D85" s="0" t="s">
        <v>541</v>
      </c>
      <c r="E85" s="0" t="s">
        <v>542</v>
      </c>
      <c r="F85" s="0" t="s">
        <v>543</v>
      </c>
      <c r="G85" s="0" t="n">
        <f aca="false">BoardQty*1</f>
        <v>10</v>
      </c>
      <c r="H8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0.165828</v>
      </c>
      <c r="I85" s="12" t="n">
        <f aca="false">IFERROR(G85*H85,"")</f>
        <v>1.65828</v>
      </c>
      <c r="J85" s="0" t="n">
        <v>66052</v>
      </c>
      <c r="L85" s="12" t="n">
        <f aca="false">IFERROR(LOOKUP(IF(K85="",G85,K85),{0,1,10,100,500,1000,5000,10000},{0,0.24,0.227,0.1573,0.13312,0.10892,0.09682,0.08774}),"")</f>
        <v>0.227</v>
      </c>
      <c r="M85" s="12" t="n">
        <f aca="false">IFERROR(IF(K85="",G85,K85)*L85,"")</f>
        <v>2.27</v>
      </c>
      <c r="N85" s="0" t="s">
        <v>544</v>
      </c>
      <c r="O85" s="13" t="s">
        <v>28</v>
      </c>
      <c r="R85" s="12" t="n">
        <f aca="false">IFERROR(LOOKUP(IF(Q85="",G85,Q85),{0,1,20,50,150,400,1250,4000,10000},{0,0.165828,0.154135,0.142442,0.12756,0.111615,0.1053433,0.0989653,0.0897172}),"")</f>
        <v>0.165828</v>
      </c>
      <c r="S85" s="12" t="n">
        <f aca="false">IFERROR(IF(Q85="",G85,Q85)*R85,"")</f>
        <v>1.65828</v>
      </c>
      <c r="T85" s="0" t="s">
        <v>545</v>
      </c>
      <c r="U85" s="13" t="s">
        <v>28</v>
      </c>
      <c r="Z85" s="0" t="s">
        <v>546</v>
      </c>
      <c r="AA85" s="13" t="s">
        <v>28</v>
      </c>
      <c r="AD85" s="12" t="n">
        <f aca="false">IFERROR(LOOKUP(IF(AC85="",G85,AC85),{0,1,10,25,50,100,250,500,1000},{0,0.232,0.227,0.197,0.176,0.164,0.146,0.141,0.115}),"")</f>
        <v>0.227</v>
      </c>
      <c r="AE85" s="12" t="n">
        <f aca="false">IFERROR(IF(AC85="",G85,AC85)*AD85,"")</f>
        <v>2.27</v>
      </c>
      <c r="AF85" s="0" t="s">
        <v>547</v>
      </c>
      <c r="AG85" s="13" t="s">
        <v>28</v>
      </c>
      <c r="AH85" s="0" t="n">
        <v>120</v>
      </c>
      <c r="AJ85" s="12" t="n">
        <f aca="false">IFERROR(LOOKUP(IF(AI85="",G85,AI85),{0,1,5,125},{0,0.165828,0.165828,0.142442}),"")</f>
        <v>0.165828</v>
      </c>
      <c r="AK85" s="12" t="n">
        <f aca="false">IFERROR(IF(AI85="",G85,AI85)*AJ85,"")</f>
        <v>1.65828</v>
      </c>
      <c r="AL85" s="0" t="s">
        <v>548</v>
      </c>
      <c r="AM85" s="13" t="s">
        <v>28</v>
      </c>
    </row>
    <row r="86" customFormat="false" ht="15" hidden="false" customHeight="false" outlineLevel="0" collapsed="false">
      <c r="A86" s="0" t="s">
        <v>549</v>
      </c>
      <c r="B86" s="0" t="s">
        <v>550</v>
      </c>
      <c r="D86" s="0" t="s">
        <v>551</v>
      </c>
      <c r="E86" s="0" t="s">
        <v>552</v>
      </c>
      <c r="F86" s="0" t="s">
        <v>553</v>
      </c>
      <c r="G86" s="0" t="n">
        <f aca="false">BoardQty*1</f>
        <v>10</v>
      </c>
      <c r="H8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0.028</v>
      </c>
      <c r="I86" s="12" t="n">
        <f aca="false">IFERROR(G86*H86,"")</f>
        <v>0.28</v>
      </c>
      <c r="J86" s="0" t="n">
        <v>24430</v>
      </c>
      <c r="L86" s="12" t="n">
        <f aca="false">IFERROR(LOOKUP(IF(K86="",G86,K86),{0,1,10,100,500,1000,3000},{0,0.3,0.244,0.1292,0.08498,0.05778,0.0506}),"")</f>
        <v>0.244</v>
      </c>
      <c r="M86" s="12" t="n">
        <f aca="false">IFERROR(IF(K86="",G86,K86)*L86,"")</f>
        <v>2.44</v>
      </c>
      <c r="N86" s="0" t="s">
        <v>554</v>
      </c>
      <c r="O86" s="13" t="s">
        <v>28</v>
      </c>
      <c r="V86" s="0" t="n">
        <v>70561</v>
      </c>
      <c r="X86" s="12" t="n">
        <f aca="false">IFERROR(LOOKUP(IF(W86="",G86,W86),{0,1,10,100,1000,3000,9000,24000,45000,99000},{0,0.271,0.181,0.076,0.052,0.04,0.035,0.032,0.031,0.027}),"")</f>
        <v>0.181</v>
      </c>
      <c r="Y86" s="12" t="n">
        <f aca="false">IFERROR(IF(W86="",G86,W86)*X86,"")</f>
        <v>1.81</v>
      </c>
      <c r="Z86" s="0" t="s">
        <v>555</v>
      </c>
      <c r="AA86" s="13" t="s">
        <v>28</v>
      </c>
      <c r="AD86" s="12" t="n">
        <f aca="false">IFERROR(LOOKUP(IF(AC86="",G86,AC86),{0,1,3000,6000,12000,18000},{0,0.028,0.028,0.027,0.026,0.025}),"")</f>
        <v>0.028</v>
      </c>
      <c r="AE86" s="12" t="n">
        <f aca="false">IFERROR(IF(AC86="",G86,AC86)*AD86,"")</f>
        <v>0.28</v>
      </c>
      <c r="AF86" s="0" t="s">
        <v>556</v>
      </c>
      <c r="AG86" s="13" t="s">
        <v>28</v>
      </c>
    </row>
    <row r="87" customFormat="false" ht="15" hidden="false" customHeight="false" outlineLevel="0" collapsed="false">
      <c r="A87" s="0" t="s">
        <v>557</v>
      </c>
      <c r="B87" s="0" t="s">
        <v>558</v>
      </c>
      <c r="D87" s="0" t="s">
        <v>559</v>
      </c>
      <c r="E87" s="0" t="s">
        <v>560</v>
      </c>
      <c r="F87" s="0" t="s">
        <v>561</v>
      </c>
      <c r="G87" s="0" t="n">
        <f aca="false">BoardQty*1</f>
        <v>10</v>
      </c>
      <c r="H8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0.495</v>
      </c>
      <c r="I87" s="12" t="n">
        <f aca="false">IFERROR(G87*H87,"")</f>
        <v>4.95</v>
      </c>
      <c r="J87" s="0" t="n">
        <v>37009</v>
      </c>
      <c r="L87" s="12" t="n">
        <f aca="false">IFERROR(LOOKUP(IF(K87="",G87,K87),{0,1,10,100,500,1000,5000},{0,0.68,0.596,0.4569,0.3612,0.28896,0.23671}),"")</f>
        <v>0.596</v>
      </c>
      <c r="M87" s="12" t="n">
        <f aca="false">IFERROR(IF(K87="",G87,K87)*L87,"")</f>
        <v>5.96</v>
      </c>
      <c r="N87" s="0" t="s">
        <v>562</v>
      </c>
      <c r="O87" s="13" t="s">
        <v>28</v>
      </c>
      <c r="R87" s="12" t="n">
        <f aca="false">IFERROR(LOOKUP(IF(Q87="",G87,Q87),{0,1,25,100,250,500,5000,20000,30000},{0,0.579335,0.530437,0.316774,0.300829,0.238112,0.224293,0.210474,0.196655}),"")</f>
        <v>0.579335</v>
      </c>
      <c r="S87" s="12" t="n">
        <f aca="false">IFERROR(IF(Q87="",G87,Q87)*R87,"")</f>
        <v>5.79335</v>
      </c>
      <c r="T87" s="0" t="s">
        <v>563</v>
      </c>
      <c r="U87" s="13" t="s">
        <v>28</v>
      </c>
      <c r="V87" s="0" t="n">
        <v>6692</v>
      </c>
      <c r="X87" s="12" t="n">
        <f aca="false">IFERROR(LOOKUP(IF(W87="",G87,W87),{0,1,10,100,1000,5000,10000,25000},{0,0.602,0.497,0.32,0.257,0.217,0.209,0.208}),"")</f>
        <v>0.497</v>
      </c>
      <c r="Y87" s="12" t="n">
        <f aca="false">IFERROR(IF(W87="",G87,W87)*X87,"")</f>
        <v>4.97</v>
      </c>
      <c r="Z87" s="0" t="s">
        <v>564</v>
      </c>
      <c r="AA87" s="13" t="s">
        <v>28</v>
      </c>
      <c r="AD87" s="12" t="n">
        <f aca="false">IFERROR(LOOKUP(IF(AC87="",G87,AC87),{0,1,10,100,500,1000},{0,0.6,0.495,0.319,0.288,0.256}),"")</f>
        <v>0.495</v>
      </c>
      <c r="AE87" s="12" t="n">
        <f aca="false">IFERROR(IF(AC87="",G87,AC87)*AD87,"")</f>
        <v>4.95</v>
      </c>
      <c r="AF87" s="0" t="s">
        <v>565</v>
      </c>
      <c r="AG87" s="13" t="s">
        <v>28</v>
      </c>
    </row>
    <row r="88" customFormat="false" ht="15" hidden="false" customHeight="false" outlineLevel="0" collapsed="false">
      <c r="A88" s="0" t="s">
        <v>566</v>
      </c>
      <c r="B88" s="0" t="s">
        <v>567</v>
      </c>
      <c r="D88" s="0" t="s">
        <v>46</v>
      </c>
      <c r="E88" s="0" t="s">
        <v>47</v>
      </c>
      <c r="F88" s="0" t="s">
        <v>48</v>
      </c>
      <c r="G88" s="0" t="n">
        <f aca="false">BoardQty*1</f>
        <v>10</v>
      </c>
      <c r="H8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0.071221</v>
      </c>
      <c r="I88" s="12" t="n">
        <f aca="false">IFERROR(G88*H88,"")</f>
        <v>0.71221</v>
      </c>
      <c r="J88" s="0" t="n">
        <v>514296</v>
      </c>
      <c r="L88" s="12" t="n">
        <f aca="false">IFERROR(LOOKUP(IF(K88="",G88,K88),{0,1,10,25,100,250,500,1000,2500,5000,10000,25000,50000,125000},{0,0.29,0.211,0.1556,0.1111,0.07556,0.06666,0.05222,0.05111,0.0404,0.03636,0.03232,0.02929,0.02727}),"")</f>
        <v>0.211</v>
      </c>
      <c r="M88" s="12" t="n">
        <f aca="false">IFERROR(IF(K88="",G88,K88)*L88,"")</f>
        <v>2.11</v>
      </c>
      <c r="N88" s="0" t="s">
        <v>49</v>
      </c>
      <c r="O88" s="13" t="s">
        <v>28</v>
      </c>
      <c r="V88" s="0" t="n">
        <v>109197</v>
      </c>
      <c r="X88" s="12" t="n">
        <f aca="false">IFERROR(LOOKUP(IF(W88="",G88,W88),{0,1,10,100,1000,5000,10000,25000,50000,100000},{0,0.301,0.238,0.074,0.051,0.044,0.039,0.035,0.032,0.031}),"")</f>
        <v>0.238</v>
      </c>
      <c r="Y88" s="12" t="n">
        <f aca="false">IFERROR(IF(W88="",G88,W88)*X88,"")</f>
        <v>2.38</v>
      </c>
      <c r="Z88" s="0" t="s">
        <v>568</v>
      </c>
      <c r="AA88" s="13" t="s">
        <v>28</v>
      </c>
      <c r="AH88" s="0" t="n">
        <v>10300</v>
      </c>
      <c r="AJ88" s="12" t="n">
        <f aca="false">IFERROR(LOOKUP(IF(AI88="",G88,AI88),{0,1,100,1000},{0,0.071221,0.071221,0.048898}),"")</f>
        <v>0.071221</v>
      </c>
      <c r="AK88" s="12" t="n">
        <f aca="false">IFERROR(IF(AI88="",G88,AI88)*AJ88,"")</f>
        <v>0.71221</v>
      </c>
      <c r="AL88" s="0" t="s">
        <v>50</v>
      </c>
      <c r="AM88" s="13" t="s">
        <v>28</v>
      </c>
    </row>
    <row r="89" customFormat="false" ht="15" hidden="false" customHeight="false" outlineLevel="0" collapsed="false">
      <c r="A89" s="0" t="s">
        <v>569</v>
      </c>
      <c r="B89" s="0" t="s">
        <v>570</v>
      </c>
      <c r="D89" s="0" t="s">
        <v>471</v>
      </c>
      <c r="E89" s="0" t="s">
        <v>155</v>
      </c>
      <c r="F89" s="0" t="s">
        <v>472</v>
      </c>
      <c r="G89" s="0" t="n">
        <f aca="false">BoardQty*1</f>
        <v>10</v>
      </c>
      <c r="H8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0.80788</v>
      </c>
      <c r="I89" s="12" t="n">
        <f aca="false">IFERROR(G89*H89,"")</f>
        <v>8.0788</v>
      </c>
      <c r="J89" s="0" t="n">
        <v>10870</v>
      </c>
      <c r="L89" s="12" t="n">
        <f aca="false">IFERROR(LOOKUP(IF(K89="",G89,K89),{0,1,10,50,100,250,500,1000,2500,5000},{0,1.18,1.126,1.0772,1.0477,0.9792,0.90086,0.816,0.7776,0.7296}),"")</f>
        <v>1.126</v>
      </c>
      <c r="M89" s="12" t="n">
        <f aca="false">IFERROR(IF(K89="",G89,K89)*L89,"")</f>
        <v>11.26</v>
      </c>
      <c r="N89" s="0" t="s">
        <v>473</v>
      </c>
      <c r="O89" s="13" t="s">
        <v>28</v>
      </c>
      <c r="R89" s="12" t="n">
        <f aca="false">IFERROR(LOOKUP(IF(Q89="",G89,Q89),{0,1,25,50,100,500,1000,5000},{0,0.80788,0.80788,0.75473,0.657997,0.553823,0.497484,0.383743}),"")</f>
        <v>0.80788</v>
      </c>
      <c r="S89" s="12" t="n">
        <f aca="false">IFERROR(IF(Q89="",G89,Q89)*R89,"")</f>
        <v>8.0788</v>
      </c>
      <c r="T89" s="0" t="s">
        <v>472</v>
      </c>
      <c r="U89" s="13" t="s">
        <v>28</v>
      </c>
      <c r="V89" s="0" t="n">
        <v>643</v>
      </c>
      <c r="X89" s="12" t="n">
        <f aca="false">IFERROR(LOOKUP(IF(W89="",G89,W89),{0,1,10,50,100,250,500,1000,2500,5000},{0,1.15,1.1,1.05,1.02,0.963,0.886,0.819,0.78,0.732}),"")</f>
        <v>1.1</v>
      </c>
      <c r="Y89" s="12" t="n">
        <f aca="false">IFERROR(IF(W89="",G89,W89)*X89,"")</f>
        <v>11</v>
      </c>
      <c r="Z89" s="0" t="s">
        <v>571</v>
      </c>
      <c r="AA89" s="13" t="s">
        <v>28</v>
      </c>
      <c r="AD89" s="12" t="n">
        <f aca="false">IFERROR(LOOKUP(IF(AC89="",G89,AC89),{0,1,10,50,100,250,500,1000,2500},{0,1.15,1.1,1.05,1.02,0.96,0.883,0.816,0.778}),"")</f>
        <v>1.1</v>
      </c>
      <c r="AE89" s="12" t="n">
        <f aca="false">IFERROR(IF(AC89="",G89,AC89)*AD89,"")</f>
        <v>11</v>
      </c>
      <c r="AF89" s="0" t="s">
        <v>474</v>
      </c>
      <c r="AG89" s="13" t="s">
        <v>28</v>
      </c>
      <c r="AH89" s="0" t="n">
        <v>200</v>
      </c>
      <c r="AJ89" s="12" t="n">
        <f aca="false">IFERROR(LOOKUP(IF(AI89="",G89,AI89),{0,1,5,75,250,500,1000},{0,1.050244,1.050244,0.844022,0.705832,0.654808,0.652682}),"")</f>
        <v>1.050244</v>
      </c>
      <c r="AK89" s="12" t="n">
        <f aca="false">IFERROR(IF(AI89="",G89,AI89)*AJ89,"")</f>
        <v>10.50244</v>
      </c>
      <c r="AL89" s="0" t="s">
        <v>475</v>
      </c>
      <c r="AM89" s="13" t="s">
        <v>28</v>
      </c>
    </row>
    <row r="90" customFormat="false" ht="15" hidden="false" customHeight="false" outlineLevel="0" collapsed="false">
      <c r="A90" s="0" t="s">
        <v>572</v>
      </c>
      <c r="B90" s="0" t="s">
        <v>573</v>
      </c>
      <c r="D90" s="0" t="s">
        <v>574</v>
      </c>
      <c r="E90" s="0" t="s">
        <v>575</v>
      </c>
      <c r="F90" s="0" t="s">
        <v>573</v>
      </c>
      <c r="G90" s="0" t="n">
        <f aca="false">BoardQty*1</f>
        <v>10</v>
      </c>
      <c r="H9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0.401</v>
      </c>
      <c r="I90" s="12" t="n">
        <f aca="false">IFERROR(G90*H90,"")</f>
        <v>4.01</v>
      </c>
      <c r="J90" s="0" t="n">
        <v>3785</v>
      </c>
      <c r="L90" s="12" t="n">
        <f aca="false">IFERROR(LOOKUP(IF(K90="",G90,K90),{0,1,10,25,100,250,500,1000,3000,6000,15000,30000},{0,0.57,0.401,0.3296,0.2636,0.19172,0.15578,0.11983,0.10471,0.09889,0.09016,0.08435}),"")</f>
        <v>0.401</v>
      </c>
      <c r="M90" s="12" t="n">
        <f aca="false">IFERROR(IF(K90="",G90,K90)*L90,"")</f>
        <v>4.01</v>
      </c>
      <c r="N90" s="0" t="s">
        <v>576</v>
      </c>
      <c r="O90" s="13" t="s">
        <v>28</v>
      </c>
      <c r="T90" s="0" t="s">
        <v>577</v>
      </c>
      <c r="U90" s="13" t="s">
        <v>28</v>
      </c>
      <c r="Z90" s="0" t="s">
        <v>578</v>
      </c>
      <c r="AA90" s="13" t="s">
        <v>28</v>
      </c>
    </row>
    <row r="91" customFormat="false" ht="15" hidden="false" customHeight="false" outlineLevel="0" collapsed="false">
      <c r="A91" s="0" t="s">
        <v>579</v>
      </c>
      <c r="B91" s="0" t="s">
        <v>580</v>
      </c>
      <c r="D91" s="0" t="s">
        <v>93</v>
      </c>
      <c r="E91" s="0" t="s">
        <v>581</v>
      </c>
      <c r="F91" s="0" t="s">
        <v>582</v>
      </c>
      <c r="G91" s="0" t="n">
        <f aca="false">BoardQty*4</f>
        <v>40</v>
      </c>
      <c r="H9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0.018</v>
      </c>
      <c r="I91" s="12" t="n">
        <f aca="false">IFERROR(G91*H91,"")</f>
        <v>0.72</v>
      </c>
      <c r="J91" s="0" t="n">
        <v>1390278</v>
      </c>
      <c r="L91" s="12" t="n">
        <f aca="false">IFERROR(LOOKUP(IF(K91="",G91,K91),{0,1,10,100,500,1000,4000,8000,12000},{0,0.1,0.033,0.0149,0.01062,0.00835,0.00607,0.00554,0.00528}),"")</f>
        <v>0.033</v>
      </c>
      <c r="M91" s="12" t="n">
        <f aca="false">IFERROR(IF(K91="",G91,K91)*L91,"")</f>
        <v>1.32</v>
      </c>
      <c r="N91" s="0" t="s">
        <v>583</v>
      </c>
      <c r="O91" s="13" t="s">
        <v>28</v>
      </c>
      <c r="R91" s="12" t="n">
        <f aca="false">IFERROR(LOOKUP(IF(Q91="",G91,Q91),{0,1,100,500,1000,2000},{0,0.0190277,0.0190277,0.0146694,0.0090355,0.0079725}),"")</f>
        <v>0.0190277</v>
      </c>
      <c r="S91" s="12" t="n">
        <f aca="false">IFERROR(IF(Q91="",G91,Q91)*R91,"")</f>
        <v>0.761108</v>
      </c>
      <c r="T91" s="0" t="s">
        <v>584</v>
      </c>
      <c r="U91" s="13" t="s">
        <v>28</v>
      </c>
      <c r="V91" s="0" t="n">
        <v>241983</v>
      </c>
      <c r="X91" s="12" t="n">
        <f aca="false">IFERROR(LOOKUP(IF(W91="",G91,W91),{0,1,10,100,500,1000,4000,24000,48000},{0,0.1,0.018,0.012,0.011,0.008,0.006,0.005,0.004}),"")</f>
        <v>0.018</v>
      </c>
      <c r="Y91" s="12" t="n">
        <f aca="false">IFERROR(IF(W91="",G91,W91)*X91,"")</f>
        <v>0.72</v>
      </c>
      <c r="Z91" s="0" t="s">
        <v>585</v>
      </c>
      <c r="AA91" s="13" t="s">
        <v>28</v>
      </c>
      <c r="AD91" s="12" t="n">
        <f aca="false">IFERROR(LOOKUP(IF(AC91="",G91,AC91),{0,1,25,50,100,250,500,1000},{0,0.1,0.018,0.015,0.012,0.012,0.011,0.008}),"")</f>
        <v>0.018</v>
      </c>
      <c r="AE91" s="12" t="n">
        <f aca="false">IFERROR(IF(AC91="",G91,AC91)*AD91,"")</f>
        <v>0.72</v>
      </c>
      <c r="AF91" s="0" t="s">
        <v>586</v>
      </c>
      <c r="AG91" s="13" t="s">
        <v>28</v>
      </c>
      <c r="AH91" s="0" t="n">
        <v>7250</v>
      </c>
      <c r="AJ91" s="12" t="n">
        <f aca="false">IFERROR(LOOKUP(IF(AI91="",G91,AI91),{0,1,25,125},{0,0.018071,0.018071,0.006378}),"")</f>
        <v>0.018071</v>
      </c>
      <c r="AK91" s="12" t="n">
        <f aca="false">IFERROR(IF(AI91="",G91,AI91)*AJ91,"")</f>
        <v>0.72284</v>
      </c>
      <c r="AL91" s="0" t="s">
        <v>587</v>
      </c>
      <c r="AM91" s="13" t="s">
        <v>28</v>
      </c>
    </row>
    <row r="92" customFormat="false" ht="15" hidden="false" customHeight="false" outlineLevel="0" collapsed="false">
      <c r="A92" s="0" t="s">
        <v>588</v>
      </c>
      <c r="B92" s="0" t="s">
        <v>589</v>
      </c>
      <c r="D92" s="0" t="s">
        <v>53</v>
      </c>
      <c r="E92" s="0" t="s">
        <v>54</v>
      </c>
      <c r="F92" s="0" t="s">
        <v>590</v>
      </c>
      <c r="G92" s="0" t="n">
        <f aca="false">BoardQty*1</f>
        <v>10</v>
      </c>
      <c r="H9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92" s="12" t="n">
        <f aca="false">IFERROR(G92*H92,"")</f>
        <v>0.05</v>
      </c>
      <c r="J92" s="0" t="n">
        <v>716124</v>
      </c>
      <c r="L92" s="12" t="n">
        <f aca="false">IFERROR(LOOKUP(IF(K92="",G92,K92),{0,1,10,100,1000,2500,5000,10000,25000,50000,125000},{0,0.1,0.015,0.006,0.00268,0.00233,0.00192,0.00167,0.00147,0.00135,0.00132}),"")</f>
        <v>0.015</v>
      </c>
      <c r="M92" s="12" t="n">
        <f aca="false">IFERROR(IF(K92="",G92,K92)*L92,"")</f>
        <v>0.15</v>
      </c>
      <c r="N92" s="0" t="s">
        <v>591</v>
      </c>
      <c r="O92" s="13" t="s">
        <v>28</v>
      </c>
      <c r="V92" s="0" t="n">
        <v>62691</v>
      </c>
      <c r="X92" s="12" t="n">
        <f aca="false">IFERROR(LOOKUP(IF(W92="",G92,W92),{0,1,10,100,1000,5000},{0,0.1,0.011,0.004,0.002,0.001}),"")</f>
        <v>0.011</v>
      </c>
      <c r="Y92" s="12" t="n">
        <f aca="false">IFERROR(IF(W92="",G92,W92)*X92,"")</f>
        <v>0.11</v>
      </c>
      <c r="Z92" s="0" t="s">
        <v>592</v>
      </c>
      <c r="AA92" s="13" t="s">
        <v>28</v>
      </c>
      <c r="AD92" s="12" t="n">
        <f aca="false">IFERROR(LOOKUP(IF(AC92="",G92,AC92),{0,1,5000,10000,15000},{0,0.005,0.005,0.003,0.002}),"")</f>
        <v>0.005</v>
      </c>
      <c r="AE92" s="12" t="n">
        <f aca="false">IFERROR(IF(AC92="",G92,AC92)*AD92,"")</f>
        <v>0.05</v>
      </c>
      <c r="AF92" s="0" t="s">
        <v>593</v>
      </c>
      <c r="AG92" s="13" t="s">
        <v>28</v>
      </c>
    </row>
    <row r="93" customFormat="false" ht="15" hidden="false" customHeight="false" outlineLevel="0" collapsed="false">
      <c r="A93" s="0" t="s">
        <v>594</v>
      </c>
      <c r="B93" s="0" t="s">
        <v>92</v>
      </c>
      <c r="D93" s="0" t="s">
        <v>93</v>
      </c>
      <c r="E93" s="0" t="s">
        <v>84</v>
      </c>
      <c r="F93" s="0" t="s">
        <v>94</v>
      </c>
      <c r="G93" s="0" t="n">
        <f aca="false">BoardQty*31</f>
        <v>310</v>
      </c>
      <c r="H9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0.011</v>
      </c>
      <c r="I93" s="12" t="n">
        <f aca="false">IFERROR(G93*H93,"")</f>
        <v>3.41</v>
      </c>
      <c r="J93" s="0" t="n">
        <v>11651872</v>
      </c>
      <c r="L93" s="12" t="n">
        <f aca="false">IFERROR(LOOKUP(IF(K93="",G93,K93),{0,1,10,100,500,1000,4000,8000,12000},{0,0.12,0.086,0.0384,0.02746,0.02157,0.01569,0.01432,0.01364}),"")</f>
        <v>0.0384</v>
      </c>
      <c r="M93" s="12" t="n">
        <f aca="false">IFERROR(IF(K93="",G93,K93)*L93,"")</f>
        <v>11.904</v>
      </c>
      <c r="N93" s="0" t="s">
        <v>95</v>
      </c>
      <c r="O93" s="13" t="s">
        <v>28</v>
      </c>
      <c r="T93" s="0" t="s">
        <v>96</v>
      </c>
      <c r="U93" s="13" t="s">
        <v>28</v>
      </c>
      <c r="V93" s="0" t="n">
        <v>849466</v>
      </c>
      <c r="X93" s="12" t="n">
        <f aca="false">IFERROR(LOOKUP(IF(W93="",G93,W93),{0,1,10,100,500,1000,4000,8000},{0,0.1,0.022,0.011,0.008,0.006,0.005,0.004}),"")</f>
        <v>0.011</v>
      </c>
      <c r="Y93" s="12" t="n">
        <f aca="false">IFERROR(IF(W93="",G93,W93)*X93,"")</f>
        <v>3.41</v>
      </c>
      <c r="Z93" s="0" t="s">
        <v>595</v>
      </c>
      <c r="AA93" s="13" t="s">
        <v>28</v>
      </c>
      <c r="AD93" s="12" t="n">
        <f aca="false">IFERROR(LOOKUP(IF(AC93="",G93,AC93),{0,1,25,50,100,250,500,1000},{0,0.1,0.017,0.015,0.012,0.011,0.01,0.008}),"")</f>
        <v>0.011</v>
      </c>
      <c r="AE93" s="12" t="n">
        <f aca="false">IFERROR(IF(AC93="",G93,AC93)*AD93,"")</f>
        <v>3.41</v>
      </c>
      <c r="AF93" s="0" t="s">
        <v>97</v>
      </c>
      <c r="AG93" s="13" t="s">
        <v>28</v>
      </c>
      <c r="AJ93" s="12" t="n">
        <f aca="false">IFERROR(LOOKUP(IF(AI93="",G93,AI93),{0,1,200,1000},{0,0.017008,0.017008,0.015945}),"")</f>
        <v>0.017008</v>
      </c>
      <c r="AK93" s="12" t="n">
        <f aca="false">IFERROR(IF(AI93="",G93,AI93)*AJ93,"")</f>
        <v>5.27248</v>
      </c>
      <c r="AL93" s="0" t="s">
        <v>98</v>
      </c>
      <c r="AM93" s="13" t="s">
        <v>28</v>
      </c>
    </row>
    <row r="94" customFormat="false" ht="15" hidden="false" customHeight="false" outlineLevel="0" collapsed="false">
      <c r="A94" s="0" t="s">
        <v>596</v>
      </c>
      <c r="B94" s="0" t="s">
        <v>597</v>
      </c>
      <c r="D94" s="0" t="s">
        <v>93</v>
      </c>
      <c r="E94" s="0" t="s">
        <v>84</v>
      </c>
      <c r="F94" s="0" t="s">
        <v>598</v>
      </c>
      <c r="G94" s="0" t="n">
        <f aca="false">BoardQty*4</f>
        <v>40</v>
      </c>
      <c r="H9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0.018071</v>
      </c>
      <c r="I94" s="12" t="n">
        <f aca="false">IFERROR(G94*H94,"")</f>
        <v>0.72284</v>
      </c>
      <c r="J94" s="0" t="n">
        <v>10308</v>
      </c>
      <c r="L94" s="12" t="n">
        <f aca="false">IFERROR(LOOKUP(IF(K94="",G94,K94),{0,1,10,100,500,1000,4000,8000,12000},{0,0.11,0.079,0.0354,0.02526,0.01984,0.01442,0.01317,0.01254}),"")</f>
        <v>0.079</v>
      </c>
      <c r="M94" s="12" t="n">
        <f aca="false">IFERROR(IF(K94="",G94,K94)*L94,"")</f>
        <v>3.16</v>
      </c>
      <c r="N94" s="0" t="s">
        <v>599</v>
      </c>
      <c r="O94" s="13" t="s">
        <v>28</v>
      </c>
      <c r="V94" s="0" t="n">
        <v>5557</v>
      </c>
      <c r="X94" s="12" t="n">
        <f aca="false">IFERROR(LOOKUP(IF(W94="",G94,W94),{0,1,10,100,500,1000,4000,8000,24000,48000},{0,0.1,0.031,0.021,0.018,0.014,0.012,0.011,0.009,0.007}),"")</f>
        <v>0.031</v>
      </c>
      <c r="Y94" s="12" t="n">
        <f aca="false">IFERROR(IF(W94="",G94,W94)*X94,"")</f>
        <v>1.24</v>
      </c>
      <c r="Z94" s="0" t="s">
        <v>600</v>
      </c>
      <c r="AA94" s="13" t="s">
        <v>28</v>
      </c>
      <c r="AH94" s="0" t="n">
        <v>2000</v>
      </c>
      <c r="AJ94" s="12" t="n">
        <f aca="false">IFERROR(LOOKUP(IF(AI94="",G94,AI94),{0,1,200,1000},{0,0.018071,0.018071,0.011693}),"")</f>
        <v>0.018071</v>
      </c>
      <c r="AK94" s="12" t="n">
        <f aca="false">IFERROR(IF(AI94="",G94,AI94)*AJ94,"")</f>
        <v>0.72284</v>
      </c>
      <c r="AL94" s="0" t="s">
        <v>601</v>
      </c>
      <c r="AM94" s="13" t="s">
        <v>28</v>
      </c>
    </row>
    <row r="95" customFormat="false" ht="15" hidden="false" customHeight="false" outlineLevel="0" collapsed="false">
      <c r="A95" s="0" t="s">
        <v>602</v>
      </c>
      <c r="B95" s="0" t="s">
        <v>603</v>
      </c>
      <c r="D95" s="0" t="s">
        <v>219</v>
      </c>
      <c r="E95" s="0" t="s">
        <v>604</v>
      </c>
      <c r="F95" s="0" t="s">
        <v>605</v>
      </c>
      <c r="G95" s="0" t="n">
        <f aca="false">BoardQty*18</f>
        <v>180</v>
      </c>
      <c r="H9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0.064</v>
      </c>
      <c r="I95" s="12" t="n">
        <f aca="false">IFERROR(G95*H95,"")</f>
        <v>11.52</v>
      </c>
      <c r="J95" s="0" t="n">
        <v>15708</v>
      </c>
      <c r="L95" s="12" t="n">
        <f aca="false">IFERROR(LOOKUP(IF(K95="",G95,K95),{0,1,10,25,100,250,500,1000,3000,6000,15000,30000,75000,150000},{0,0.23,0.208,0.1892,0.1363,0.08024,0.06662,0.04542,0.03749,0.03381,0.0294,0.02646,0.02352,0.0196}),"")</f>
        <v>0.1363</v>
      </c>
      <c r="M95" s="12" t="n">
        <f aca="false">IFERROR(IF(K95="",G95,K95)*L95,"")</f>
        <v>24.534</v>
      </c>
      <c r="N95" s="0" t="s">
        <v>606</v>
      </c>
      <c r="O95" s="13" t="s">
        <v>28</v>
      </c>
      <c r="V95" s="0" t="n">
        <v>6463</v>
      </c>
      <c r="X95" s="12" t="n">
        <f aca="false">IFERROR(LOOKUP(IF(W95="",G95,W95),{0,1,10,100,1000,3000,24000,45000,99000},{0,0.211,0.181,0.064,0.044,0.032,0.025,0.022,0.019}),"")</f>
        <v>0.064</v>
      </c>
      <c r="Y95" s="12" t="n">
        <f aca="false">IFERROR(IF(W95="",G95,W95)*X95,"")</f>
        <v>11.52</v>
      </c>
      <c r="Z95" s="0" t="s">
        <v>607</v>
      </c>
      <c r="AA95" s="13" t="s">
        <v>28</v>
      </c>
    </row>
    <row r="96" customFormat="false" ht="15" hidden="false" customHeight="false" outlineLevel="0" collapsed="false">
      <c r="A96" s="0" t="s">
        <v>608</v>
      </c>
      <c r="B96" s="0" t="s">
        <v>609</v>
      </c>
      <c r="D96" s="0" t="s">
        <v>93</v>
      </c>
      <c r="E96" s="0" t="s">
        <v>581</v>
      </c>
      <c r="F96" s="0" t="s">
        <v>610</v>
      </c>
      <c r="G96" s="0" t="n">
        <f aca="false">BoardQty*2</f>
        <v>20</v>
      </c>
      <c r="H9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0.02126</v>
      </c>
      <c r="I96" s="12" t="n">
        <f aca="false">IFERROR(G96*H96,"")</f>
        <v>0.4252</v>
      </c>
      <c r="J96" s="0" t="n">
        <v>64067</v>
      </c>
      <c r="L96" s="12" t="n">
        <f aca="false">IFERROR(LOOKUP(IF(K96="",G96,K96),{0,1,10,100,500,1000,4000,8000,12000},{0,0.88,0.666,0.4765,0.36888,0.31764,0.24948,0.24057,0.23701}),"")</f>
        <v>0.666</v>
      </c>
      <c r="M96" s="12" t="n">
        <f aca="false">IFERROR(IF(K96="",G96,K96)*L96,"")</f>
        <v>13.32</v>
      </c>
      <c r="N96" s="0" t="s">
        <v>611</v>
      </c>
      <c r="O96" s="13" t="s">
        <v>28</v>
      </c>
      <c r="R96" s="12" t="n">
        <f aca="false">IFERROR(LOOKUP(IF(Q96="",G96,Q96),{0,1,100,500,1000,2000,4000,20000,40000},{0,0.430515,0.430515,0.387995,0.293388,0.257246,0.220041,0.215789,0.211537}),"")</f>
        <v>0.430515</v>
      </c>
      <c r="S96" s="12" t="n">
        <f aca="false">IFERROR(IF(Q96="",G96,Q96)*R96,"")</f>
        <v>8.6103</v>
      </c>
      <c r="T96" s="0" t="s">
        <v>612</v>
      </c>
      <c r="U96" s="13" t="s">
        <v>28</v>
      </c>
      <c r="V96" s="0" t="n">
        <v>4243</v>
      </c>
      <c r="X96" s="12" t="n">
        <f aca="false">IFERROR(LOOKUP(IF(W96="",G96,W96),{0,1,10,100,500,1000,4000,8000,24000},{0,1.01,0.632,0.422,0.381,0.349,0.227,0.216,0.211}),"")</f>
        <v>0.632</v>
      </c>
      <c r="Y96" s="12" t="n">
        <f aca="false">IFERROR(IF(W96="",G96,W96)*X96,"")</f>
        <v>12.64</v>
      </c>
      <c r="Z96" s="0" t="s">
        <v>613</v>
      </c>
      <c r="AA96" s="13" t="s">
        <v>28</v>
      </c>
      <c r="AD96" s="12" t="n">
        <f aca="false">IFERROR(LOOKUP(IF(AC96="",G96,AC96),{0,1,25,50,100,250,500,1000},{0,1.01,0.631,0.526,0.421,0.401,0.38,0.348}),"")</f>
        <v>1.01</v>
      </c>
      <c r="AE96" s="12" t="n">
        <f aca="false">IFERROR(IF(AC96="",G96,AC96)*AD96,"")</f>
        <v>20.2</v>
      </c>
      <c r="AF96" s="0" t="s">
        <v>614</v>
      </c>
      <c r="AG96" s="13" t="s">
        <v>28</v>
      </c>
      <c r="AH96" s="0" t="n">
        <v>3800</v>
      </c>
      <c r="AJ96" s="12" t="n">
        <f aca="false">IFERROR(LOOKUP(IF(AI96="",G96,AI96),{0,1,50,500},{0,0.02126,0.02126,0.007441}),"")</f>
        <v>0.02126</v>
      </c>
      <c r="AK96" s="12" t="n">
        <f aca="false">IFERROR(IF(AI96="",G96,AI96)*AJ96,"")</f>
        <v>0.4252</v>
      </c>
      <c r="AL96" s="0" t="s">
        <v>615</v>
      </c>
      <c r="AM96" s="13" t="s">
        <v>28</v>
      </c>
    </row>
    <row r="97" customFormat="false" ht="15" hidden="false" customHeight="false" outlineLevel="0" collapsed="false">
      <c r="A97" s="0" t="s">
        <v>616</v>
      </c>
      <c r="B97" s="0" t="s">
        <v>617</v>
      </c>
      <c r="D97" s="0" t="s">
        <v>46</v>
      </c>
      <c r="E97" s="0" t="s">
        <v>47</v>
      </c>
      <c r="F97" s="0" t="s">
        <v>48</v>
      </c>
      <c r="G97" s="0" t="n">
        <f aca="false">BoardQty*1</f>
        <v>10</v>
      </c>
      <c r="H9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0.071221</v>
      </c>
      <c r="I97" s="12" t="n">
        <f aca="false">IFERROR(G97*H97,"")</f>
        <v>0.71221</v>
      </c>
      <c r="J97" s="0" t="n">
        <v>514296</v>
      </c>
      <c r="L97" s="12" t="n">
        <f aca="false">IFERROR(LOOKUP(IF(K97="",G97,K97),{0,1,10,25,100,250,500,1000,2500,5000,10000,25000,50000,125000},{0,0.29,0.211,0.1556,0.1111,0.07556,0.06666,0.05222,0.05111,0.0404,0.03636,0.03232,0.02929,0.02727}),"")</f>
        <v>0.211</v>
      </c>
      <c r="M97" s="12" t="n">
        <f aca="false">IFERROR(IF(K97="",G97,K97)*L97,"")</f>
        <v>2.11</v>
      </c>
      <c r="N97" s="0" t="s">
        <v>49</v>
      </c>
      <c r="O97" s="13" t="s">
        <v>28</v>
      </c>
      <c r="V97" s="0" t="n">
        <v>109197</v>
      </c>
      <c r="X97" s="12" t="n">
        <f aca="false">IFERROR(LOOKUP(IF(W97="",G97,W97),{0,1,10,100,1000,5000,10000,25000,50000,100000},{0,0.301,0.238,0.074,0.051,0.044,0.039,0.035,0.032,0.031}),"")</f>
        <v>0.238</v>
      </c>
      <c r="Y97" s="12" t="n">
        <f aca="false">IFERROR(IF(W97="",G97,W97)*X97,"")</f>
        <v>2.38</v>
      </c>
      <c r="Z97" s="0" t="s">
        <v>568</v>
      </c>
      <c r="AA97" s="13" t="s">
        <v>28</v>
      </c>
      <c r="AH97" s="0" t="n">
        <v>10300</v>
      </c>
      <c r="AJ97" s="12" t="n">
        <f aca="false">IFERROR(LOOKUP(IF(AI97="",G97,AI97),{0,1,100,1000},{0,0.071221,0.071221,0.048898}),"")</f>
        <v>0.071221</v>
      </c>
      <c r="AK97" s="12" t="n">
        <f aca="false">IFERROR(IF(AI97="",G97,AI97)*AJ97,"")</f>
        <v>0.71221</v>
      </c>
      <c r="AL97" s="0" t="s">
        <v>50</v>
      </c>
      <c r="AM97" s="13" t="s">
        <v>28</v>
      </c>
    </row>
    <row r="98" customFormat="false" ht="15" hidden="false" customHeight="false" outlineLevel="0" collapsed="false">
      <c r="A98" s="0" t="s">
        <v>618</v>
      </c>
      <c r="B98" s="0" t="s">
        <v>619</v>
      </c>
      <c r="D98" s="0" t="s">
        <v>620</v>
      </c>
      <c r="E98" s="0" t="s">
        <v>621</v>
      </c>
      <c r="F98" s="0" t="s">
        <v>622</v>
      </c>
      <c r="G98" s="0" t="n">
        <f aca="false">BoardQty*1</f>
        <v>10</v>
      </c>
      <c r="H9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1.349</v>
      </c>
      <c r="I98" s="12" t="n">
        <f aca="false">IFERROR(G98*H98,"")</f>
        <v>13.49</v>
      </c>
      <c r="J98" s="0" t="n">
        <v>1</v>
      </c>
      <c r="L98" s="12" t="n">
        <f aca="false">IFERROR(LOOKUP(IF(K98="",G98,K98),{0,1,10,100,500,1000,2500,5000,12500},{0,1.71,1.349,1.0118,0.66474,0.58653,0.54743,0.52788,0.50646}),"")</f>
        <v>1.349</v>
      </c>
      <c r="M98" s="12" t="n">
        <f aca="false">IFERROR(IF(K98="",G98,K98)*L98,"")</f>
        <v>13.49</v>
      </c>
      <c r="N98" s="0" t="s">
        <v>623</v>
      </c>
      <c r="O98" s="13" t="s">
        <v>28</v>
      </c>
      <c r="R98" s="12" t="n">
        <f aca="false">IFERROR(LOOKUP(IF(Q98="",G98,Q98),{0,1,1000},{0,2.2323,2.2323}),"")</f>
        <v>2.2323</v>
      </c>
      <c r="S98" s="12" t="n">
        <f aca="false">IFERROR(IF(Q98="",G98,Q98)*R98,"")</f>
        <v>22.323</v>
      </c>
      <c r="T98" s="0" t="s">
        <v>624</v>
      </c>
      <c r="U98" s="13" t="s">
        <v>28</v>
      </c>
      <c r="V98" s="0" t="n">
        <v>500</v>
      </c>
      <c r="X98" s="12" t="n">
        <f aca="false">IFERROR(LOOKUP(IF(W98="",G98,W98),{0,1,10,50,100,250,500,1000,2500,5000},{0,2.17,1.79,1.65,1.58,1.49,0.845,0.739,0.713,0.687}),"")</f>
        <v>1.79</v>
      </c>
      <c r="Y98" s="12" t="n">
        <f aca="false">IFERROR(IF(W98="",G98,W98)*X98,"")</f>
        <v>17.9</v>
      </c>
      <c r="Z98" s="0" t="s">
        <v>625</v>
      </c>
      <c r="AA98" s="13" t="s">
        <v>28</v>
      </c>
      <c r="AD98" s="12" t="n">
        <f aca="false">IFERROR(LOOKUP(IF(AC98="",G98,AC98),{0,1,1000},{0,1.48,1.48}),"")</f>
        <v>1.48</v>
      </c>
      <c r="AE98" s="12" t="n">
        <f aca="false">IFERROR(IF(AC98="",G98,AC98)*AD98,"")</f>
        <v>14.8</v>
      </c>
      <c r="AF98" s="0" t="s">
        <v>626</v>
      </c>
      <c r="AG98" s="13" t="s">
        <v>28</v>
      </c>
      <c r="AH98" s="0" t="n">
        <v>165</v>
      </c>
      <c r="AJ98" s="12" t="n">
        <f aca="false">IFERROR(LOOKUP(IF(AI98="",G98,AI98),{0,1,5,50},{0,1.949542,1.949542,1.494578}),"")</f>
        <v>1.949542</v>
      </c>
      <c r="AK98" s="12" t="n">
        <f aca="false">IFERROR(IF(AI98="",G98,AI98)*AJ98,"")</f>
        <v>19.49542</v>
      </c>
      <c r="AL98" s="0" t="s">
        <v>627</v>
      </c>
      <c r="AM98" s="13" t="s">
        <v>28</v>
      </c>
    </row>
    <row r="99" customFormat="false" ht="15" hidden="false" customHeight="false" outlineLevel="0" collapsed="false">
      <c r="A99" s="0" t="s">
        <v>628</v>
      </c>
      <c r="B99" s="0" t="s">
        <v>629</v>
      </c>
      <c r="D99" s="0" t="s">
        <v>53</v>
      </c>
      <c r="E99" s="0" t="s">
        <v>54</v>
      </c>
      <c r="F99" s="0" t="s">
        <v>400</v>
      </c>
      <c r="G99" s="0" t="n">
        <f aca="false">BoardQty*40</f>
        <v>400</v>
      </c>
      <c r="H9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0.004</v>
      </c>
      <c r="I99" s="12" t="n">
        <f aca="false">IFERROR(G99*H99,"")</f>
        <v>1.6</v>
      </c>
      <c r="J99" s="0" t="n">
        <v>21618005</v>
      </c>
      <c r="L99" s="12" t="n">
        <f aca="false">IFERROR(LOOKUP(IF(K99="",G99,K99),{0,1,10,100,1000,2500,5000,10000,25000,50000,125000},{0,0.1,0.015,0.006,0.00268,0.00233,0.00192,0.00167,0.00147,0.00135,0.00132}),"")</f>
        <v>0.006</v>
      </c>
      <c r="M99" s="12" t="n">
        <f aca="false">IFERROR(IF(K99="",G99,K99)*L99,"")</f>
        <v>2.4</v>
      </c>
      <c r="N99" s="0" t="s">
        <v>401</v>
      </c>
      <c r="O99" s="13" t="s">
        <v>28</v>
      </c>
      <c r="R99" s="12" t="n">
        <f aca="false">IFERROR(LOOKUP(IF(Q99="",G99,Q99),{0,1,100,500,1000,2500},{0,0.0083977,0.0083977,0.0062717,0.0049961,0.0041457}),"")</f>
        <v>0.0083977</v>
      </c>
      <c r="S99" s="12" t="n">
        <f aca="false">IFERROR(IF(Q99="",G99,Q99)*R99,"")</f>
        <v>3.35908</v>
      </c>
      <c r="T99" s="0" t="s">
        <v>402</v>
      </c>
      <c r="U99" s="13" t="s">
        <v>28</v>
      </c>
      <c r="V99" s="0" t="n">
        <v>4242599</v>
      </c>
      <c r="X99" s="12" t="n">
        <f aca="false">IFERROR(LOOKUP(IF(W99="",G99,W99),{0,1,10,100,1000,5000},{0,0.1,0.011,0.004,0.002,0.001}),"")</f>
        <v>0.004</v>
      </c>
      <c r="Y99" s="12" t="n">
        <f aca="false">IFERROR(IF(W99="",G99,W99)*X99,"")</f>
        <v>1.6</v>
      </c>
      <c r="Z99" s="0" t="s">
        <v>630</v>
      </c>
      <c r="AA99" s="13" t="s">
        <v>28</v>
      </c>
      <c r="AD99" s="12" t="n">
        <f aca="false">IFERROR(LOOKUP(IF(AC99="",G99,AC99),{0,1,10,25,100,250,1000},{0,0.08,0.014,0.01,0.006,0.004,0.003}),"")</f>
        <v>0.004</v>
      </c>
      <c r="AE99" s="12" t="n">
        <f aca="false">IFERROR(IF(AC99="",G99,AC99)*AD99,"")</f>
        <v>1.6</v>
      </c>
      <c r="AF99" s="0" t="s">
        <v>403</v>
      </c>
      <c r="AG99" s="13" t="s">
        <v>28</v>
      </c>
    </row>
    <row r="100" customFormat="false" ht="15" hidden="false" customHeight="false" outlineLevel="0" collapsed="false">
      <c r="A100" s="0" t="s">
        <v>631</v>
      </c>
      <c r="B100" s="0" t="s">
        <v>632</v>
      </c>
      <c r="D100" s="0" t="s">
        <v>633</v>
      </c>
      <c r="E100" s="0" t="s">
        <v>228</v>
      </c>
      <c r="F100" s="0" t="s">
        <v>634</v>
      </c>
      <c r="G100" s="0" t="n">
        <f aca="false">BoardQty*1</f>
        <v>10</v>
      </c>
      <c r="H10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0.224293</v>
      </c>
      <c r="I100" s="12" t="n">
        <f aca="false">IFERROR(G100*H100,"")</f>
        <v>2.24293</v>
      </c>
      <c r="J100" s="0" t="n">
        <v>2581</v>
      </c>
      <c r="L100" s="12" t="n">
        <f aca="false">IFERROR(LOOKUP(IF(K100="",G100,K100),{0,1,10,25,100,250,500,1000,2500},{0,0.59,0.459,0.3872,0.3153,0.26128,0.21622,0.16216,0.14463}),"")</f>
        <v>0.459</v>
      </c>
      <c r="M100" s="12" t="n">
        <f aca="false">IFERROR(IF(K100="",G100,K100)*L100,"")</f>
        <v>4.59</v>
      </c>
      <c r="N100" s="0" t="s">
        <v>635</v>
      </c>
      <c r="O100" s="13" t="s">
        <v>28</v>
      </c>
      <c r="R100" s="12" t="n">
        <f aca="false">IFERROR(LOOKUP(IF(Q100="",G100,Q100),{0,1,100,250,500,1000},{0,0.224293,0.224293,0.200907,0.177521,0.112678}),"")</f>
        <v>0.224293</v>
      </c>
      <c r="S100" s="12" t="n">
        <f aca="false">IFERROR(IF(Q100="",G100,Q100)*R100,"")</f>
        <v>2.24293</v>
      </c>
      <c r="T100" s="0" t="s">
        <v>636</v>
      </c>
      <c r="U100" s="13" t="s">
        <v>28</v>
      </c>
      <c r="V100" s="0" t="n">
        <v>2443</v>
      </c>
      <c r="X100" s="12" t="n">
        <f aca="false">IFERROR(LOOKUP(IF(W100="",G100,W100),{0,1,10,100,500,1000,2500,10000,25000,50000},{0,0.522,0.345,0.232,0.186,0.14,0.12,0.113,0.104,0.1}),"")</f>
        <v>0.345</v>
      </c>
      <c r="Y100" s="12" t="n">
        <f aca="false">IFERROR(IF(W100="",G100,W100)*X100,"")</f>
        <v>3.45</v>
      </c>
      <c r="Z100" s="0" t="s">
        <v>637</v>
      </c>
      <c r="AA100" s="13" t="s">
        <v>28</v>
      </c>
      <c r="AD100" s="12" t="n">
        <f aca="false">IFERROR(LOOKUP(IF(AC100="",G100,AC100),{0,1,2500},{0,0.336,0.336}),"")</f>
        <v>0.336</v>
      </c>
      <c r="AE100" s="12" t="n">
        <f aca="false">IFERROR(IF(AC100="",G100,AC100)*AD100,"")</f>
        <v>3.36</v>
      </c>
      <c r="AF100" s="0" t="s">
        <v>638</v>
      </c>
      <c r="AG100" s="13" t="s">
        <v>28</v>
      </c>
      <c r="AH100" s="0" t="n">
        <v>2800</v>
      </c>
      <c r="AJ100" s="12" t="n">
        <f aca="false">IFERROR(LOOKUP(IF(AI100="",G100,AI100),{0,1,50,100},{0,0.310396,0.310396,0.179647}),"")</f>
        <v>0.310396</v>
      </c>
      <c r="AK100" s="12" t="n">
        <f aca="false">IFERROR(IF(AI100="",G100,AI100)*AJ100,"")</f>
        <v>3.10396</v>
      </c>
      <c r="AL100" s="0" t="s">
        <v>639</v>
      </c>
      <c r="AM100" s="13" t="s">
        <v>28</v>
      </c>
    </row>
    <row r="102" customFormat="false" ht="15" hidden="false" customHeight="false" outlineLevel="0" collapsed="false">
      <c r="K102" s="0" t="str">
        <f aca="false" t="array" ref="K102:K102">IFERROR(CONCATENATE(TEXT(INDEX($K$7:$K$100,SMALL(IF($N$7:$N$100&lt;&gt;"",IF($K$7:$K$100&lt;&gt;"",ROW($K$7:$K$100)-MIN(ROW($K$7:$K$100))+1,""),""),ROW()-ROW(A$102)+1)),"##0"),","),"")</f>
        <v/>
      </c>
      <c r="L102" s="0" t="str">
        <f aca="false" t="array" ref="L102:L102">IFERROR(CONCATENATE((INDEX($N$7:$N$100,SMALL(IF($N$7:$N$100&lt;&gt;"",IF($K$7:$K$100&lt;&gt;"",ROW($K$7:$K$100)-MIN(ROW($K$7:$K$100))+1,""),""),ROW()-ROW(A$102)+1))),","),"")</f>
        <v/>
      </c>
      <c r="M102" s="0" t="str">
        <f aca="false" t="array" ref="M102:M102">IFERROR(CONCATENATE((INDEX($A$7:$A$100,SMALL(IF($N$7:$N$100&lt;&gt;"",IF($K$7:$K$100&lt;&gt;"",ROW($K$7:$K$100)-MIN(ROW($K$7:$K$100))+1,""),""),ROW()-ROW(A$102)+1))),),"")</f>
        <v/>
      </c>
      <c r="Q102" s="0" t="str">
        <f aca="false" t="array" ref="Q102:Q102">IFERROR(CONCATENATE((INDEX($T$7:$T$100,SMALL(IF($T$7:$T$100&lt;&gt;"",IF($Q$7:$Q$100&lt;&gt;"",ROW($Q$7:$Q$100)-MIN(ROW($Q$7:$Q$100))+1,""),""),ROW()-ROW(A$102)+1)))," "),"")</f>
        <v/>
      </c>
      <c r="R102" s="0" t="str">
        <f aca="false" t="array" ref="R102:R102">IFERROR(CONCATENATE(TEXT(INDEX($Q$7:$Q$100,SMALL(IF($T$7:$T$100&lt;&gt;"",IF($Q$7:$Q$100&lt;&gt;"",ROW($Q$7:$Q$100)-MIN(ROW($Q$7:$Q$100))+1,""),""),ROW()-ROW(A$102)+1)),"##0")," "),"")</f>
        <v/>
      </c>
      <c r="S102" s="0" t="str">
        <f aca="false" t="array" ref="S102:S102">IFERROR(CONCATENATE((INDEX($A$7:$A$100,SMALL(IF($T$7:$T$100&lt;&gt;"",IF($Q$7:$Q$100&lt;&gt;"",ROW($Q$7:$Q$100)-MIN(ROW($Q$7:$Q$100))+1,""),""),ROW()-ROW(A$102)+1))),),"")</f>
        <v/>
      </c>
      <c r="W102" s="0" t="str">
        <f aca="false" t="array" ref="W102:W102">IFERROR(CONCATENATE((INDEX($Z$7:$Z$100,SMALL(IF($Z$7:$Z$100&lt;&gt;"",IF($W$7:$W$100&lt;&gt;"",ROW($W$7:$W$100)-MIN(ROW($W$7:$W$100))+1,""),""),ROW()-ROW(A$102)+1)))," "),"")</f>
        <v/>
      </c>
      <c r="X102" s="0" t="str">
        <f aca="false" t="array" ref="X102:X102">IFERROR(CONCATENATE(TEXT(INDEX($W$7:$W$100,SMALL(IF($Z$7:$Z$100&lt;&gt;"",IF($W$7:$W$100&lt;&gt;"",ROW($W$7:$W$100)-MIN(ROW($W$7:$W$100))+1,""),""),ROW()-ROW(A$102)+1)),"##0")," "),"")</f>
        <v/>
      </c>
      <c r="Y102" s="0" t="str">
        <f aca="false" t="array" ref="Y102:Y102">IFERROR(CONCATENATE((INDEX($A$7:$A$100,SMALL(IF($Z$7:$Z$100&lt;&gt;"",IF($W$7:$W$100&lt;&gt;"",ROW($W$7:$W$100)-MIN(ROW($W$7:$W$100))+1,""),""),ROW()-ROW(A$102)+1))),),"")</f>
        <v/>
      </c>
      <c r="AC102" s="0" t="str">
        <f aca="false" t="array" ref="AC102:AC102">IFERROR(CONCATENATE((INDEX($AF$7:$AF$100,SMALL(IF($AF$7:$AF$100&lt;&gt;"",IF($AC$7:$AC$100&lt;&gt;"",ROW($AC$7:$AC$100)-MIN(ROW($AC$7:$AC$100))+1,""),""),ROW()-ROW(A$102)+1))),","),"")</f>
        <v/>
      </c>
      <c r="AD102" s="0" t="str">
        <f aca="false" t="array" ref="AD102:AD102">IFERROR(CONCATENATE(TEXT(INDEX($AC$7:$AC$100,SMALL(IF($AF$7:$AF$100&lt;&gt;"",IF($AC$7:$AC$100&lt;&gt;"",ROW($AC$7:$AC$100)-MIN(ROW($AC$7:$AC$100))+1,""),""),ROW()-ROW(A$102)+1)),"##0"),","),"")</f>
        <v/>
      </c>
      <c r="AE102" s="0" t="str">
        <f aca="false" t="array" ref="AE102:AE102">IFERROR(CONCATENATE((INDEX($A$7:$A$100,SMALL(IF($AF$7:$AF$100&lt;&gt;"",IF($AC$7:$AC$100&lt;&gt;"",ROW($AC$7:$AC$100)-MIN(ROW($AC$7:$AC$100))+1,""),""),ROW()-ROW(A$102)+1))),),"")</f>
        <v/>
      </c>
      <c r="AI102" s="0" t="str">
        <f aca="false" t="array" ref="AI102:AI102">IFERROR(CONCATENATE((INDEX($AL$7:$AL$100,SMALL(IF($AL$7:$AL$100&lt;&gt;"",IF($AI$7:$AI$100&lt;&gt;"",ROW($AI$7:$AI$100)-MIN(ROW($AI$7:$AI$100))+1,""),""),ROW()-ROW(A$102)+1)))," "),"")</f>
        <v/>
      </c>
      <c r="AJ102" s="0" t="str">
        <f aca="false" t="array" ref="AJ102:AJ102">IFERROR(CONCATENATE(TEXT(INDEX($AI$7:$AI$100,SMALL(IF($AL$7:$AL$100&lt;&gt;"",IF($AI$7:$AI$100&lt;&gt;"",ROW($AI$7:$AI$100)-MIN(ROW($AI$7:$AI$100))+1,""),""),ROW()-ROW(A$102)+1)),"##0")," "),"")</f>
        <v/>
      </c>
      <c r="AK102" s="0" t="str">
        <f aca="false" t="array" ref="AK102:AK102">IFERROR(CONCATENATE((INDEX($A$7:$A$100,SMALL(IF($AL$7:$AL$100&lt;&gt;"",IF($AI$7:$AI$100&lt;&gt;"",ROW($AI$7:$AI$100)-MIN(ROW($AI$7:$AI$100))+1,""),""),ROW()-ROW(A$102)+1))),),"")</f>
        <v/>
      </c>
    </row>
    <row r="103" customFormat="false" ht="15" hidden="false" customHeight="false" outlineLevel="0" collapsed="false">
      <c r="K103" s="0" t="str">
        <f aca="false" t="array" ref="K103:K103">IFERROR(CONCATENATE(TEXT(INDEX($K$7:$K$100,SMALL(IF($N$7:$N$100&lt;&gt;"",IF($K$7:$K$100&lt;&gt;"",ROW($K$7:$K$100)-MIN(ROW($K$7:$K$100))+1,""),""),ROW()-ROW(A$102)+1)),"##0"),","),"")</f>
        <v/>
      </c>
      <c r="L103" s="0" t="str">
        <f aca="false" t="array" ref="L103:L103">IFERROR(CONCATENATE((INDEX($N$7:$N$100,SMALL(IF($N$7:$N$100&lt;&gt;"",IF($K$7:$K$100&lt;&gt;"",ROW($K$7:$K$100)-MIN(ROW($K$7:$K$100))+1,""),""),ROW()-ROW(A$102)+1))),","),"")</f>
        <v/>
      </c>
      <c r="M103" s="0" t="str">
        <f aca="false" t="array" ref="M103:M103">IFERROR(CONCATENATE((INDEX($A$7:$A$100,SMALL(IF($N$7:$N$100&lt;&gt;"",IF($K$7:$K$100&lt;&gt;"",ROW($K$7:$K$100)-MIN(ROW($K$7:$K$100))+1,""),""),ROW()-ROW(A$102)+1))),),"")</f>
        <v/>
      </c>
      <c r="Q103" s="0" t="str">
        <f aca="false" t="array" ref="Q103:Q103">IFERROR(CONCATENATE((INDEX($T$7:$T$100,SMALL(IF($T$7:$T$100&lt;&gt;"",IF($Q$7:$Q$100&lt;&gt;"",ROW($Q$7:$Q$100)-MIN(ROW($Q$7:$Q$100))+1,""),""),ROW()-ROW(A$102)+1)))," "),"")</f>
        <v/>
      </c>
      <c r="R103" s="0" t="str">
        <f aca="false" t="array" ref="R103:R103">IFERROR(CONCATENATE(TEXT(INDEX($Q$7:$Q$100,SMALL(IF($T$7:$T$100&lt;&gt;"",IF($Q$7:$Q$100&lt;&gt;"",ROW($Q$7:$Q$100)-MIN(ROW($Q$7:$Q$100))+1,""),""),ROW()-ROW(A$102)+1)),"##0")," "),"")</f>
        <v/>
      </c>
      <c r="S103" s="0" t="str">
        <f aca="false" t="array" ref="S103:S103">IFERROR(CONCATENATE((INDEX($A$7:$A$100,SMALL(IF($T$7:$T$100&lt;&gt;"",IF($Q$7:$Q$100&lt;&gt;"",ROW($Q$7:$Q$100)-MIN(ROW($Q$7:$Q$100))+1,""),""),ROW()-ROW(A$102)+1))),),"")</f>
        <v/>
      </c>
      <c r="W103" s="0" t="str">
        <f aca="false" t="array" ref="W103:W103">IFERROR(CONCATENATE((INDEX($Z$7:$Z$100,SMALL(IF($Z$7:$Z$100&lt;&gt;"",IF($W$7:$W$100&lt;&gt;"",ROW($W$7:$W$100)-MIN(ROW($W$7:$W$100))+1,""),""),ROW()-ROW(A$102)+1)))," "),"")</f>
        <v/>
      </c>
      <c r="X103" s="0" t="str">
        <f aca="false" t="array" ref="X103:X103">IFERROR(CONCATENATE(TEXT(INDEX($W$7:$W$100,SMALL(IF($Z$7:$Z$100&lt;&gt;"",IF($W$7:$W$100&lt;&gt;"",ROW($W$7:$W$100)-MIN(ROW($W$7:$W$100))+1,""),""),ROW()-ROW(A$102)+1)),"##0")," "),"")</f>
        <v/>
      </c>
      <c r="Y103" s="0" t="str">
        <f aca="false" t="array" ref="Y103:Y103">IFERROR(CONCATENATE((INDEX($A$7:$A$100,SMALL(IF($Z$7:$Z$100&lt;&gt;"",IF($W$7:$W$100&lt;&gt;"",ROW($W$7:$W$100)-MIN(ROW($W$7:$W$100))+1,""),""),ROW()-ROW(A$102)+1))),),"")</f>
        <v/>
      </c>
      <c r="AC103" s="0" t="str">
        <f aca="false" t="array" ref="AC103:AC103">IFERROR(CONCATENATE((INDEX($AF$7:$AF$100,SMALL(IF($AF$7:$AF$100&lt;&gt;"",IF($AC$7:$AC$100&lt;&gt;"",ROW($AC$7:$AC$100)-MIN(ROW($AC$7:$AC$100))+1,""),""),ROW()-ROW(A$102)+1))),","),"")</f>
        <v/>
      </c>
      <c r="AD103" s="0" t="str">
        <f aca="false" t="array" ref="AD103:AD103">IFERROR(CONCATENATE(TEXT(INDEX($AC$7:$AC$100,SMALL(IF($AF$7:$AF$100&lt;&gt;"",IF($AC$7:$AC$100&lt;&gt;"",ROW($AC$7:$AC$100)-MIN(ROW($AC$7:$AC$100))+1,""),""),ROW()-ROW(A$102)+1)),"##0"),","),"")</f>
        <v/>
      </c>
      <c r="AE103" s="0" t="str">
        <f aca="false" t="array" ref="AE103:AE103">IFERROR(CONCATENATE((INDEX($A$7:$A$100,SMALL(IF($AF$7:$AF$100&lt;&gt;"",IF($AC$7:$AC$100&lt;&gt;"",ROW($AC$7:$AC$100)-MIN(ROW($AC$7:$AC$100))+1,""),""),ROW()-ROW(A$102)+1))),),"")</f>
        <v/>
      </c>
      <c r="AI103" s="0" t="str">
        <f aca="false" t="array" ref="AI103:AI103">IFERROR(CONCATENATE((INDEX($AL$7:$AL$100,SMALL(IF($AL$7:$AL$100&lt;&gt;"",IF($AI$7:$AI$100&lt;&gt;"",ROW($AI$7:$AI$100)-MIN(ROW($AI$7:$AI$100))+1,""),""),ROW()-ROW(A$102)+1)))," "),"")</f>
        <v/>
      </c>
      <c r="AJ103" s="0" t="str">
        <f aca="false" t="array" ref="AJ103:AJ103">IFERROR(CONCATENATE(TEXT(INDEX($AI$7:$AI$100,SMALL(IF($AL$7:$AL$100&lt;&gt;"",IF($AI$7:$AI$100&lt;&gt;"",ROW($AI$7:$AI$100)-MIN(ROW($AI$7:$AI$100))+1,""),""),ROW()-ROW(A$102)+1)),"##0")," "),"")</f>
        <v/>
      </c>
      <c r="AK103" s="0" t="str">
        <f aca="false" t="array" ref="AK103:AK103">IFERROR(CONCATENATE((INDEX($A$7:$A$100,SMALL(IF($AL$7:$AL$100&lt;&gt;"",IF($AI$7:$AI$100&lt;&gt;"",ROW($AI$7:$AI$100)-MIN(ROW($AI$7:$AI$100))+1,""),""),ROW()-ROW(A$102)+1))),),"")</f>
        <v/>
      </c>
    </row>
    <row r="104" customFormat="false" ht="15" hidden="false" customHeight="false" outlineLevel="0" collapsed="false">
      <c r="K104" s="0" t="str">
        <f aca="false" t="array" ref="K104:K104">IFERROR(CONCATENATE(TEXT(INDEX($K$7:$K$100,SMALL(IF($N$7:$N$100&lt;&gt;"",IF($K$7:$K$100&lt;&gt;"",ROW($K$7:$K$100)-MIN(ROW($K$7:$K$100))+1,""),""),ROW()-ROW(A$102)+1)),"##0"),","),"")</f>
        <v/>
      </c>
      <c r="L104" s="0" t="str">
        <f aca="false" t="array" ref="L104:L104">IFERROR(CONCATENATE((INDEX($N$7:$N$100,SMALL(IF($N$7:$N$100&lt;&gt;"",IF($K$7:$K$100&lt;&gt;"",ROW($K$7:$K$100)-MIN(ROW($K$7:$K$100))+1,""),""),ROW()-ROW(A$102)+1))),","),"")</f>
        <v/>
      </c>
      <c r="M104" s="0" t="str">
        <f aca="false" t="array" ref="M104:M104">IFERROR(CONCATENATE((INDEX($A$7:$A$100,SMALL(IF($N$7:$N$100&lt;&gt;"",IF($K$7:$K$100&lt;&gt;"",ROW($K$7:$K$100)-MIN(ROW($K$7:$K$100))+1,""),""),ROW()-ROW(A$102)+1))),),"")</f>
        <v/>
      </c>
      <c r="Q104" s="0" t="str">
        <f aca="false" t="array" ref="Q104:Q104">IFERROR(CONCATENATE((INDEX($T$7:$T$100,SMALL(IF($T$7:$T$100&lt;&gt;"",IF($Q$7:$Q$100&lt;&gt;"",ROW($Q$7:$Q$100)-MIN(ROW($Q$7:$Q$100))+1,""),""),ROW()-ROW(A$102)+1)))," "),"")</f>
        <v/>
      </c>
      <c r="R104" s="0" t="str">
        <f aca="false" t="array" ref="R104:R104">IFERROR(CONCATENATE(TEXT(INDEX($Q$7:$Q$100,SMALL(IF($T$7:$T$100&lt;&gt;"",IF($Q$7:$Q$100&lt;&gt;"",ROW($Q$7:$Q$100)-MIN(ROW($Q$7:$Q$100))+1,""),""),ROW()-ROW(A$102)+1)),"##0")," "),"")</f>
        <v/>
      </c>
      <c r="S104" s="0" t="str">
        <f aca="false" t="array" ref="S104:S104">IFERROR(CONCATENATE((INDEX($A$7:$A$100,SMALL(IF($T$7:$T$100&lt;&gt;"",IF($Q$7:$Q$100&lt;&gt;"",ROW($Q$7:$Q$100)-MIN(ROW($Q$7:$Q$100))+1,""),""),ROW()-ROW(A$102)+1))),),"")</f>
        <v/>
      </c>
      <c r="W104" s="0" t="str">
        <f aca="false" t="array" ref="W104:W104">IFERROR(CONCATENATE((INDEX($Z$7:$Z$100,SMALL(IF($Z$7:$Z$100&lt;&gt;"",IF($W$7:$W$100&lt;&gt;"",ROW($W$7:$W$100)-MIN(ROW($W$7:$W$100))+1,""),""),ROW()-ROW(A$102)+1)))," "),"")</f>
        <v/>
      </c>
      <c r="X104" s="0" t="str">
        <f aca="false" t="array" ref="X104:X104">IFERROR(CONCATENATE(TEXT(INDEX($W$7:$W$100,SMALL(IF($Z$7:$Z$100&lt;&gt;"",IF($W$7:$W$100&lt;&gt;"",ROW($W$7:$W$100)-MIN(ROW($W$7:$W$100))+1,""),""),ROW()-ROW(A$102)+1)),"##0")," "),"")</f>
        <v/>
      </c>
      <c r="Y104" s="0" t="str">
        <f aca="false" t="array" ref="Y104:Y104">IFERROR(CONCATENATE((INDEX($A$7:$A$100,SMALL(IF($Z$7:$Z$100&lt;&gt;"",IF($W$7:$W$100&lt;&gt;"",ROW($W$7:$W$100)-MIN(ROW($W$7:$W$100))+1,""),""),ROW()-ROW(A$102)+1))),),"")</f>
        <v/>
      </c>
      <c r="AC104" s="0" t="str">
        <f aca="false" t="array" ref="AC104:AC104">IFERROR(CONCATENATE((INDEX($AF$7:$AF$100,SMALL(IF($AF$7:$AF$100&lt;&gt;"",IF($AC$7:$AC$100&lt;&gt;"",ROW($AC$7:$AC$100)-MIN(ROW($AC$7:$AC$100))+1,""),""),ROW()-ROW(A$102)+1))),","),"")</f>
        <v/>
      </c>
      <c r="AD104" s="0" t="str">
        <f aca="false" t="array" ref="AD104:AD104">IFERROR(CONCATENATE(TEXT(INDEX($AC$7:$AC$100,SMALL(IF($AF$7:$AF$100&lt;&gt;"",IF($AC$7:$AC$100&lt;&gt;"",ROW($AC$7:$AC$100)-MIN(ROW($AC$7:$AC$100))+1,""),""),ROW()-ROW(A$102)+1)),"##0"),","),"")</f>
        <v/>
      </c>
      <c r="AE104" s="0" t="str">
        <f aca="false" t="array" ref="AE104:AE104">IFERROR(CONCATENATE((INDEX($A$7:$A$100,SMALL(IF($AF$7:$AF$100&lt;&gt;"",IF($AC$7:$AC$100&lt;&gt;"",ROW($AC$7:$AC$100)-MIN(ROW($AC$7:$AC$100))+1,""),""),ROW()-ROW(A$102)+1))),),"")</f>
        <v/>
      </c>
      <c r="AI104" s="0" t="str">
        <f aca="false" t="array" ref="AI104:AI104">IFERROR(CONCATENATE((INDEX($AL$7:$AL$100,SMALL(IF($AL$7:$AL$100&lt;&gt;"",IF($AI$7:$AI$100&lt;&gt;"",ROW($AI$7:$AI$100)-MIN(ROW($AI$7:$AI$100))+1,""),""),ROW()-ROW(A$102)+1)))," "),"")</f>
        <v/>
      </c>
      <c r="AJ104" s="0" t="str">
        <f aca="false" t="array" ref="AJ104:AJ104">IFERROR(CONCATENATE(TEXT(INDEX($AI$7:$AI$100,SMALL(IF($AL$7:$AL$100&lt;&gt;"",IF($AI$7:$AI$100&lt;&gt;"",ROW($AI$7:$AI$100)-MIN(ROW($AI$7:$AI$100))+1,""),""),ROW()-ROW(A$102)+1)),"##0")," "),"")</f>
        <v/>
      </c>
      <c r="AK104" s="0" t="str">
        <f aca="false" t="array" ref="AK104:AK104">IFERROR(CONCATENATE((INDEX($A$7:$A$100,SMALL(IF($AL$7:$AL$100&lt;&gt;"",IF($AI$7:$AI$100&lt;&gt;"",ROW($AI$7:$AI$100)-MIN(ROW($AI$7:$AI$100))+1,""),""),ROW()-ROW(A$102)+1))),),"")</f>
        <v/>
      </c>
    </row>
    <row r="105" customFormat="false" ht="15" hidden="false" customHeight="false" outlineLevel="0" collapsed="false">
      <c r="K105" s="0" t="str">
        <f aca="false" t="array" ref="K105:K105">IFERROR(CONCATENATE(TEXT(INDEX($K$7:$K$100,SMALL(IF($N$7:$N$100&lt;&gt;"",IF($K$7:$K$100&lt;&gt;"",ROW($K$7:$K$100)-MIN(ROW($K$7:$K$100))+1,""),""),ROW()-ROW(A$102)+1)),"##0"),","),"")</f>
        <v/>
      </c>
      <c r="L105" s="0" t="str">
        <f aca="false" t="array" ref="L105:L105">IFERROR(CONCATENATE((INDEX($N$7:$N$100,SMALL(IF($N$7:$N$100&lt;&gt;"",IF($K$7:$K$100&lt;&gt;"",ROW($K$7:$K$100)-MIN(ROW($K$7:$K$100))+1,""),""),ROW()-ROW(A$102)+1))),","),"")</f>
        <v/>
      </c>
      <c r="M105" s="0" t="str">
        <f aca="false" t="array" ref="M105:M105">IFERROR(CONCATENATE((INDEX($A$7:$A$100,SMALL(IF($N$7:$N$100&lt;&gt;"",IF($K$7:$K$100&lt;&gt;"",ROW($K$7:$K$100)-MIN(ROW($K$7:$K$100))+1,""),""),ROW()-ROW(A$102)+1))),),"")</f>
        <v/>
      </c>
      <c r="Q105" s="0" t="str">
        <f aca="false" t="array" ref="Q105:Q105">IFERROR(CONCATENATE((INDEX($T$7:$T$100,SMALL(IF($T$7:$T$100&lt;&gt;"",IF($Q$7:$Q$100&lt;&gt;"",ROW($Q$7:$Q$100)-MIN(ROW($Q$7:$Q$100))+1,""),""),ROW()-ROW(A$102)+1)))," "),"")</f>
        <v/>
      </c>
      <c r="R105" s="0" t="str">
        <f aca="false" t="array" ref="R105:R105">IFERROR(CONCATENATE(TEXT(INDEX($Q$7:$Q$100,SMALL(IF($T$7:$T$100&lt;&gt;"",IF($Q$7:$Q$100&lt;&gt;"",ROW($Q$7:$Q$100)-MIN(ROW($Q$7:$Q$100))+1,""),""),ROW()-ROW(A$102)+1)),"##0")," "),"")</f>
        <v/>
      </c>
      <c r="S105" s="0" t="str">
        <f aca="false" t="array" ref="S105:S105">IFERROR(CONCATENATE((INDEX($A$7:$A$100,SMALL(IF($T$7:$T$100&lt;&gt;"",IF($Q$7:$Q$100&lt;&gt;"",ROW($Q$7:$Q$100)-MIN(ROW($Q$7:$Q$100))+1,""),""),ROW()-ROW(A$102)+1))),),"")</f>
        <v/>
      </c>
      <c r="W105" s="0" t="str">
        <f aca="false" t="array" ref="W105:W105">IFERROR(CONCATENATE((INDEX($Z$7:$Z$100,SMALL(IF($Z$7:$Z$100&lt;&gt;"",IF($W$7:$W$100&lt;&gt;"",ROW($W$7:$W$100)-MIN(ROW($W$7:$W$100))+1,""),""),ROW()-ROW(A$102)+1)))," "),"")</f>
        <v/>
      </c>
      <c r="X105" s="0" t="str">
        <f aca="false" t="array" ref="X105:X105">IFERROR(CONCATENATE(TEXT(INDEX($W$7:$W$100,SMALL(IF($Z$7:$Z$100&lt;&gt;"",IF($W$7:$W$100&lt;&gt;"",ROW($W$7:$W$100)-MIN(ROW($W$7:$W$100))+1,""),""),ROW()-ROW(A$102)+1)),"##0")," "),"")</f>
        <v/>
      </c>
      <c r="Y105" s="0" t="str">
        <f aca="false" t="array" ref="Y105:Y105">IFERROR(CONCATENATE((INDEX($A$7:$A$100,SMALL(IF($Z$7:$Z$100&lt;&gt;"",IF($W$7:$W$100&lt;&gt;"",ROW($W$7:$W$100)-MIN(ROW($W$7:$W$100))+1,""),""),ROW()-ROW(A$102)+1))),),"")</f>
        <v/>
      </c>
      <c r="AC105" s="0" t="str">
        <f aca="false" t="array" ref="AC105:AC105">IFERROR(CONCATENATE((INDEX($AF$7:$AF$100,SMALL(IF($AF$7:$AF$100&lt;&gt;"",IF($AC$7:$AC$100&lt;&gt;"",ROW($AC$7:$AC$100)-MIN(ROW($AC$7:$AC$100))+1,""),""),ROW()-ROW(A$102)+1))),","),"")</f>
        <v/>
      </c>
      <c r="AD105" s="0" t="str">
        <f aca="false" t="array" ref="AD105:AD105">IFERROR(CONCATENATE(TEXT(INDEX($AC$7:$AC$100,SMALL(IF($AF$7:$AF$100&lt;&gt;"",IF($AC$7:$AC$100&lt;&gt;"",ROW($AC$7:$AC$100)-MIN(ROW($AC$7:$AC$100))+1,""),""),ROW()-ROW(A$102)+1)),"##0"),","),"")</f>
        <v/>
      </c>
      <c r="AE105" s="0" t="str">
        <f aca="false" t="array" ref="AE105:AE105">IFERROR(CONCATENATE((INDEX($A$7:$A$100,SMALL(IF($AF$7:$AF$100&lt;&gt;"",IF($AC$7:$AC$100&lt;&gt;"",ROW($AC$7:$AC$100)-MIN(ROW($AC$7:$AC$100))+1,""),""),ROW()-ROW(A$102)+1))),),"")</f>
        <v/>
      </c>
      <c r="AI105" s="0" t="str">
        <f aca="false" t="array" ref="AI105:AI105">IFERROR(CONCATENATE((INDEX($AL$7:$AL$100,SMALL(IF($AL$7:$AL$100&lt;&gt;"",IF($AI$7:$AI$100&lt;&gt;"",ROW($AI$7:$AI$100)-MIN(ROW($AI$7:$AI$100))+1,""),""),ROW()-ROW(A$102)+1)))," "),"")</f>
        <v/>
      </c>
      <c r="AJ105" s="0" t="str">
        <f aca="false" t="array" ref="AJ105:AJ105">IFERROR(CONCATENATE(TEXT(INDEX($AI$7:$AI$100,SMALL(IF($AL$7:$AL$100&lt;&gt;"",IF($AI$7:$AI$100&lt;&gt;"",ROW($AI$7:$AI$100)-MIN(ROW($AI$7:$AI$100))+1,""),""),ROW()-ROW(A$102)+1)),"##0")," "),"")</f>
        <v/>
      </c>
      <c r="AK105" s="0" t="str">
        <f aca="false" t="array" ref="AK105:AK105">IFERROR(CONCATENATE((INDEX($A$7:$A$100,SMALL(IF($AL$7:$AL$100&lt;&gt;"",IF($AI$7:$AI$100&lt;&gt;"",ROW($AI$7:$AI$100)-MIN(ROW($AI$7:$AI$100))+1,""),""),ROW()-ROW(A$102)+1))),),"")</f>
        <v/>
      </c>
    </row>
    <row r="106" customFormat="false" ht="15" hidden="false" customHeight="false" outlineLevel="0" collapsed="false">
      <c r="K106" s="0" t="str">
        <f aca="false" t="array" ref="K106:K106">IFERROR(CONCATENATE(TEXT(INDEX($K$7:$K$100,SMALL(IF($N$7:$N$100&lt;&gt;"",IF($K$7:$K$100&lt;&gt;"",ROW($K$7:$K$100)-MIN(ROW($K$7:$K$100))+1,""),""),ROW()-ROW(A$102)+1)),"##0"),","),"")</f>
        <v/>
      </c>
      <c r="L106" s="0" t="str">
        <f aca="false" t="array" ref="L106:L106">IFERROR(CONCATENATE((INDEX($N$7:$N$100,SMALL(IF($N$7:$N$100&lt;&gt;"",IF($K$7:$K$100&lt;&gt;"",ROW($K$7:$K$100)-MIN(ROW($K$7:$K$100))+1,""),""),ROW()-ROW(A$102)+1))),","),"")</f>
        <v/>
      </c>
      <c r="M106" s="0" t="str">
        <f aca="false" t="array" ref="M106:M106">IFERROR(CONCATENATE((INDEX($A$7:$A$100,SMALL(IF($N$7:$N$100&lt;&gt;"",IF($K$7:$K$100&lt;&gt;"",ROW($K$7:$K$100)-MIN(ROW($K$7:$K$100))+1,""),""),ROW()-ROW(A$102)+1))),),"")</f>
        <v/>
      </c>
      <c r="Q106" s="0" t="str">
        <f aca="false" t="array" ref="Q106:Q106">IFERROR(CONCATENATE((INDEX($T$7:$T$100,SMALL(IF($T$7:$T$100&lt;&gt;"",IF($Q$7:$Q$100&lt;&gt;"",ROW($Q$7:$Q$100)-MIN(ROW($Q$7:$Q$100))+1,""),""),ROW()-ROW(A$102)+1)))," "),"")</f>
        <v/>
      </c>
      <c r="R106" s="0" t="str">
        <f aca="false" t="array" ref="R106:R106">IFERROR(CONCATENATE(TEXT(INDEX($Q$7:$Q$100,SMALL(IF($T$7:$T$100&lt;&gt;"",IF($Q$7:$Q$100&lt;&gt;"",ROW($Q$7:$Q$100)-MIN(ROW($Q$7:$Q$100))+1,""),""),ROW()-ROW(A$102)+1)),"##0")," "),"")</f>
        <v/>
      </c>
      <c r="S106" s="0" t="str">
        <f aca="false" t="array" ref="S106:S106">IFERROR(CONCATENATE((INDEX($A$7:$A$100,SMALL(IF($T$7:$T$100&lt;&gt;"",IF($Q$7:$Q$100&lt;&gt;"",ROW($Q$7:$Q$100)-MIN(ROW($Q$7:$Q$100))+1,""),""),ROW()-ROW(A$102)+1))),),"")</f>
        <v/>
      </c>
      <c r="W106" s="0" t="str">
        <f aca="false" t="array" ref="W106:W106">IFERROR(CONCATENATE((INDEX($Z$7:$Z$100,SMALL(IF($Z$7:$Z$100&lt;&gt;"",IF($W$7:$W$100&lt;&gt;"",ROW($W$7:$W$100)-MIN(ROW($W$7:$W$100))+1,""),""),ROW()-ROW(A$102)+1)))," "),"")</f>
        <v/>
      </c>
      <c r="X106" s="0" t="str">
        <f aca="false" t="array" ref="X106:X106">IFERROR(CONCATENATE(TEXT(INDEX($W$7:$W$100,SMALL(IF($Z$7:$Z$100&lt;&gt;"",IF($W$7:$W$100&lt;&gt;"",ROW($W$7:$W$100)-MIN(ROW($W$7:$W$100))+1,""),""),ROW()-ROW(A$102)+1)),"##0")," "),"")</f>
        <v/>
      </c>
      <c r="Y106" s="0" t="str">
        <f aca="false" t="array" ref="Y106:Y106">IFERROR(CONCATENATE((INDEX($A$7:$A$100,SMALL(IF($Z$7:$Z$100&lt;&gt;"",IF($W$7:$W$100&lt;&gt;"",ROW($W$7:$W$100)-MIN(ROW($W$7:$W$100))+1,""),""),ROW()-ROW(A$102)+1))),),"")</f>
        <v/>
      </c>
      <c r="AC106" s="0" t="str">
        <f aca="false" t="array" ref="AC106:AC106">IFERROR(CONCATENATE((INDEX($AF$7:$AF$100,SMALL(IF($AF$7:$AF$100&lt;&gt;"",IF($AC$7:$AC$100&lt;&gt;"",ROW($AC$7:$AC$100)-MIN(ROW($AC$7:$AC$100))+1,""),""),ROW()-ROW(A$102)+1))),","),"")</f>
        <v/>
      </c>
      <c r="AD106" s="0" t="str">
        <f aca="false" t="array" ref="AD106:AD106">IFERROR(CONCATENATE(TEXT(INDEX($AC$7:$AC$100,SMALL(IF($AF$7:$AF$100&lt;&gt;"",IF($AC$7:$AC$100&lt;&gt;"",ROW($AC$7:$AC$100)-MIN(ROW($AC$7:$AC$100))+1,""),""),ROW()-ROW(A$102)+1)),"##0"),","),"")</f>
        <v/>
      </c>
      <c r="AE106" s="0" t="str">
        <f aca="false" t="array" ref="AE106:AE106">IFERROR(CONCATENATE((INDEX($A$7:$A$100,SMALL(IF($AF$7:$AF$100&lt;&gt;"",IF($AC$7:$AC$100&lt;&gt;"",ROW($AC$7:$AC$100)-MIN(ROW($AC$7:$AC$100))+1,""),""),ROW()-ROW(A$102)+1))),),"")</f>
        <v/>
      </c>
      <c r="AI106" s="0" t="str">
        <f aca="false" t="array" ref="AI106:AI106">IFERROR(CONCATENATE((INDEX($AL$7:$AL$100,SMALL(IF($AL$7:$AL$100&lt;&gt;"",IF($AI$7:$AI$100&lt;&gt;"",ROW($AI$7:$AI$100)-MIN(ROW($AI$7:$AI$100))+1,""),""),ROW()-ROW(A$102)+1)))," "),"")</f>
        <v/>
      </c>
      <c r="AJ106" s="0" t="str">
        <f aca="false" t="array" ref="AJ106:AJ106">IFERROR(CONCATENATE(TEXT(INDEX($AI$7:$AI$100,SMALL(IF($AL$7:$AL$100&lt;&gt;"",IF($AI$7:$AI$100&lt;&gt;"",ROW($AI$7:$AI$100)-MIN(ROW($AI$7:$AI$100))+1,""),""),ROW()-ROW(A$102)+1)),"##0")," "),"")</f>
        <v/>
      </c>
      <c r="AK106" s="0" t="str">
        <f aca="false" t="array" ref="AK106:AK106">IFERROR(CONCATENATE((INDEX($A$7:$A$100,SMALL(IF($AL$7:$AL$100&lt;&gt;"",IF($AI$7:$AI$100&lt;&gt;"",ROW($AI$7:$AI$100)-MIN(ROW($AI$7:$AI$100))+1,""),""),ROW()-ROW(A$102)+1))),),"")</f>
        <v/>
      </c>
    </row>
    <row r="107" customFormat="false" ht="15" hidden="false" customHeight="false" outlineLevel="0" collapsed="false">
      <c r="K107" s="0" t="str">
        <f aca="false" t="array" ref="K107:K107">IFERROR(CONCATENATE(TEXT(INDEX($K$7:$K$100,SMALL(IF($N$7:$N$100&lt;&gt;"",IF($K$7:$K$100&lt;&gt;"",ROW($K$7:$K$100)-MIN(ROW($K$7:$K$100))+1,""),""),ROW()-ROW(A$102)+1)),"##0"),","),"")</f>
        <v/>
      </c>
      <c r="L107" s="0" t="str">
        <f aca="false" t="array" ref="L107:L107">IFERROR(CONCATENATE((INDEX($N$7:$N$100,SMALL(IF($N$7:$N$100&lt;&gt;"",IF($K$7:$K$100&lt;&gt;"",ROW($K$7:$K$100)-MIN(ROW($K$7:$K$100))+1,""),""),ROW()-ROW(A$102)+1))),","),"")</f>
        <v/>
      </c>
      <c r="M107" s="0" t="str">
        <f aca="false" t="array" ref="M107:M107">IFERROR(CONCATENATE((INDEX($A$7:$A$100,SMALL(IF($N$7:$N$100&lt;&gt;"",IF($K$7:$K$100&lt;&gt;"",ROW($K$7:$K$100)-MIN(ROW($K$7:$K$100))+1,""),""),ROW()-ROW(A$102)+1))),),"")</f>
        <v/>
      </c>
      <c r="Q107" s="0" t="str">
        <f aca="false" t="array" ref="Q107:Q107">IFERROR(CONCATENATE((INDEX($T$7:$T$100,SMALL(IF($T$7:$T$100&lt;&gt;"",IF($Q$7:$Q$100&lt;&gt;"",ROW($Q$7:$Q$100)-MIN(ROW($Q$7:$Q$100))+1,""),""),ROW()-ROW(A$102)+1)))," "),"")</f>
        <v/>
      </c>
      <c r="R107" s="0" t="str">
        <f aca="false" t="array" ref="R107:R107">IFERROR(CONCATENATE(TEXT(INDEX($Q$7:$Q$100,SMALL(IF($T$7:$T$100&lt;&gt;"",IF($Q$7:$Q$100&lt;&gt;"",ROW($Q$7:$Q$100)-MIN(ROW($Q$7:$Q$100))+1,""),""),ROW()-ROW(A$102)+1)),"##0")," "),"")</f>
        <v/>
      </c>
      <c r="S107" s="0" t="str">
        <f aca="false" t="array" ref="S107:S107">IFERROR(CONCATENATE((INDEX($A$7:$A$100,SMALL(IF($T$7:$T$100&lt;&gt;"",IF($Q$7:$Q$100&lt;&gt;"",ROW($Q$7:$Q$100)-MIN(ROW($Q$7:$Q$100))+1,""),""),ROW()-ROW(A$102)+1))),),"")</f>
        <v/>
      </c>
      <c r="W107" s="0" t="str">
        <f aca="false" t="array" ref="W107:W107">IFERROR(CONCATENATE((INDEX($Z$7:$Z$100,SMALL(IF($Z$7:$Z$100&lt;&gt;"",IF($W$7:$W$100&lt;&gt;"",ROW($W$7:$W$100)-MIN(ROW($W$7:$W$100))+1,""),""),ROW()-ROW(A$102)+1)))," "),"")</f>
        <v/>
      </c>
      <c r="X107" s="0" t="str">
        <f aca="false" t="array" ref="X107:X107">IFERROR(CONCATENATE(TEXT(INDEX($W$7:$W$100,SMALL(IF($Z$7:$Z$100&lt;&gt;"",IF($W$7:$W$100&lt;&gt;"",ROW($W$7:$W$100)-MIN(ROW($W$7:$W$100))+1,""),""),ROW()-ROW(A$102)+1)),"##0")," "),"")</f>
        <v/>
      </c>
      <c r="Y107" s="0" t="str">
        <f aca="false" t="array" ref="Y107:Y107">IFERROR(CONCATENATE((INDEX($A$7:$A$100,SMALL(IF($Z$7:$Z$100&lt;&gt;"",IF($W$7:$W$100&lt;&gt;"",ROW($W$7:$W$100)-MIN(ROW($W$7:$W$100))+1,""),""),ROW()-ROW(A$102)+1))),),"")</f>
        <v/>
      </c>
      <c r="AC107" s="0" t="str">
        <f aca="false" t="array" ref="AC107:AC107">IFERROR(CONCATENATE((INDEX($AF$7:$AF$100,SMALL(IF($AF$7:$AF$100&lt;&gt;"",IF($AC$7:$AC$100&lt;&gt;"",ROW($AC$7:$AC$100)-MIN(ROW($AC$7:$AC$100))+1,""),""),ROW()-ROW(A$102)+1))),","),"")</f>
        <v/>
      </c>
      <c r="AD107" s="0" t="str">
        <f aca="false" t="array" ref="AD107:AD107">IFERROR(CONCATENATE(TEXT(INDEX($AC$7:$AC$100,SMALL(IF($AF$7:$AF$100&lt;&gt;"",IF($AC$7:$AC$100&lt;&gt;"",ROW($AC$7:$AC$100)-MIN(ROW($AC$7:$AC$100))+1,""),""),ROW()-ROW(A$102)+1)),"##0"),","),"")</f>
        <v/>
      </c>
      <c r="AE107" s="0" t="str">
        <f aca="false" t="array" ref="AE107:AE107">IFERROR(CONCATENATE((INDEX($A$7:$A$100,SMALL(IF($AF$7:$AF$100&lt;&gt;"",IF($AC$7:$AC$100&lt;&gt;"",ROW($AC$7:$AC$100)-MIN(ROW($AC$7:$AC$100))+1,""),""),ROW()-ROW(A$102)+1))),),"")</f>
        <v/>
      </c>
      <c r="AI107" s="0" t="str">
        <f aca="false" t="array" ref="AI107:AI107">IFERROR(CONCATENATE((INDEX($AL$7:$AL$100,SMALL(IF($AL$7:$AL$100&lt;&gt;"",IF($AI$7:$AI$100&lt;&gt;"",ROW($AI$7:$AI$100)-MIN(ROW($AI$7:$AI$100))+1,""),""),ROW()-ROW(A$102)+1)))," "),"")</f>
        <v/>
      </c>
      <c r="AJ107" s="0" t="str">
        <f aca="false" t="array" ref="AJ107:AJ107">IFERROR(CONCATENATE(TEXT(INDEX($AI$7:$AI$100,SMALL(IF($AL$7:$AL$100&lt;&gt;"",IF($AI$7:$AI$100&lt;&gt;"",ROW($AI$7:$AI$100)-MIN(ROW($AI$7:$AI$100))+1,""),""),ROW()-ROW(A$102)+1)),"##0")," "),"")</f>
        <v/>
      </c>
      <c r="AK107" s="0" t="str">
        <f aca="false" t="array" ref="AK107:AK107">IFERROR(CONCATENATE((INDEX($A$7:$A$100,SMALL(IF($AL$7:$AL$100&lt;&gt;"",IF($AI$7:$AI$100&lt;&gt;"",ROW($AI$7:$AI$100)-MIN(ROW($AI$7:$AI$100))+1,""),""),ROW()-ROW(A$102)+1))),),"")</f>
        <v/>
      </c>
    </row>
    <row r="108" customFormat="false" ht="15" hidden="false" customHeight="false" outlineLevel="0" collapsed="false">
      <c r="K108" s="0" t="str">
        <f aca="false" t="array" ref="K108:K108">IFERROR(CONCATENATE(TEXT(INDEX($K$7:$K$100,SMALL(IF($N$7:$N$100&lt;&gt;"",IF($K$7:$K$100&lt;&gt;"",ROW($K$7:$K$100)-MIN(ROW($K$7:$K$100))+1,""),""),ROW()-ROW(A$102)+1)),"##0"),","),"")</f>
        <v/>
      </c>
      <c r="L108" s="0" t="str">
        <f aca="false" t="array" ref="L108:L108">IFERROR(CONCATENATE((INDEX($N$7:$N$100,SMALL(IF($N$7:$N$100&lt;&gt;"",IF($K$7:$K$100&lt;&gt;"",ROW($K$7:$K$100)-MIN(ROW($K$7:$K$100))+1,""),""),ROW()-ROW(A$102)+1))),","),"")</f>
        <v/>
      </c>
      <c r="M108" s="0" t="str">
        <f aca="false" t="array" ref="M108:M108">IFERROR(CONCATENATE((INDEX($A$7:$A$100,SMALL(IF($N$7:$N$100&lt;&gt;"",IF($K$7:$K$100&lt;&gt;"",ROW($K$7:$K$100)-MIN(ROW($K$7:$K$100))+1,""),""),ROW()-ROW(A$102)+1))),),"")</f>
        <v/>
      </c>
      <c r="Q108" s="0" t="str">
        <f aca="false" t="array" ref="Q108:Q108">IFERROR(CONCATENATE((INDEX($T$7:$T$100,SMALL(IF($T$7:$T$100&lt;&gt;"",IF($Q$7:$Q$100&lt;&gt;"",ROW($Q$7:$Q$100)-MIN(ROW($Q$7:$Q$100))+1,""),""),ROW()-ROW(A$102)+1)))," "),"")</f>
        <v/>
      </c>
      <c r="R108" s="0" t="str">
        <f aca="false" t="array" ref="R108:R108">IFERROR(CONCATENATE(TEXT(INDEX($Q$7:$Q$100,SMALL(IF($T$7:$T$100&lt;&gt;"",IF($Q$7:$Q$100&lt;&gt;"",ROW($Q$7:$Q$100)-MIN(ROW($Q$7:$Q$100))+1,""),""),ROW()-ROW(A$102)+1)),"##0")," "),"")</f>
        <v/>
      </c>
      <c r="S108" s="0" t="str">
        <f aca="false" t="array" ref="S108:S108">IFERROR(CONCATENATE((INDEX($A$7:$A$100,SMALL(IF($T$7:$T$100&lt;&gt;"",IF($Q$7:$Q$100&lt;&gt;"",ROW($Q$7:$Q$100)-MIN(ROW($Q$7:$Q$100))+1,""),""),ROW()-ROW(A$102)+1))),),"")</f>
        <v/>
      </c>
      <c r="W108" s="0" t="str">
        <f aca="false" t="array" ref="W108:W108">IFERROR(CONCATENATE((INDEX($Z$7:$Z$100,SMALL(IF($Z$7:$Z$100&lt;&gt;"",IF($W$7:$W$100&lt;&gt;"",ROW($W$7:$W$100)-MIN(ROW($W$7:$W$100))+1,""),""),ROW()-ROW(A$102)+1)))," "),"")</f>
        <v/>
      </c>
      <c r="X108" s="0" t="str">
        <f aca="false" t="array" ref="X108:X108">IFERROR(CONCATENATE(TEXT(INDEX($W$7:$W$100,SMALL(IF($Z$7:$Z$100&lt;&gt;"",IF($W$7:$W$100&lt;&gt;"",ROW($W$7:$W$100)-MIN(ROW($W$7:$W$100))+1,""),""),ROW()-ROW(A$102)+1)),"##0")," "),"")</f>
        <v/>
      </c>
      <c r="Y108" s="0" t="str">
        <f aca="false" t="array" ref="Y108:Y108">IFERROR(CONCATENATE((INDEX($A$7:$A$100,SMALL(IF($Z$7:$Z$100&lt;&gt;"",IF($W$7:$W$100&lt;&gt;"",ROW($W$7:$W$100)-MIN(ROW($W$7:$W$100))+1,""),""),ROW()-ROW(A$102)+1))),),"")</f>
        <v/>
      </c>
      <c r="AC108" s="0" t="str">
        <f aca="false" t="array" ref="AC108:AC108">IFERROR(CONCATENATE((INDEX($AF$7:$AF$100,SMALL(IF($AF$7:$AF$100&lt;&gt;"",IF($AC$7:$AC$100&lt;&gt;"",ROW($AC$7:$AC$100)-MIN(ROW($AC$7:$AC$100))+1,""),""),ROW()-ROW(A$102)+1))),","),"")</f>
        <v/>
      </c>
      <c r="AD108" s="0" t="str">
        <f aca="false" t="array" ref="AD108:AD108">IFERROR(CONCATENATE(TEXT(INDEX($AC$7:$AC$100,SMALL(IF($AF$7:$AF$100&lt;&gt;"",IF($AC$7:$AC$100&lt;&gt;"",ROW($AC$7:$AC$100)-MIN(ROW($AC$7:$AC$100))+1,""),""),ROW()-ROW(A$102)+1)),"##0"),","),"")</f>
        <v/>
      </c>
      <c r="AE108" s="0" t="str">
        <f aca="false" t="array" ref="AE108:AE108">IFERROR(CONCATENATE((INDEX($A$7:$A$100,SMALL(IF($AF$7:$AF$100&lt;&gt;"",IF($AC$7:$AC$100&lt;&gt;"",ROW($AC$7:$AC$100)-MIN(ROW($AC$7:$AC$100))+1,""),""),ROW()-ROW(A$102)+1))),),"")</f>
        <v/>
      </c>
      <c r="AI108" s="0" t="str">
        <f aca="false" t="array" ref="AI108:AI108">IFERROR(CONCATENATE((INDEX($AL$7:$AL$100,SMALL(IF($AL$7:$AL$100&lt;&gt;"",IF($AI$7:$AI$100&lt;&gt;"",ROW($AI$7:$AI$100)-MIN(ROW($AI$7:$AI$100))+1,""),""),ROW()-ROW(A$102)+1)))," "),"")</f>
        <v/>
      </c>
      <c r="AJ108" s="0" t="str">
        <f aca="false" t="array" ref="AJ108:AJ108">IFERROR(CONCATENATE(TEXT(INDEX($AI$7:$AI$100,SMALL(IF($AL$7:$AL$100&lt;&gt;"",IF($AI$7:$AI$100&lt;&gt;"",ROW($AI$7:$AI$100)-MIN(ROW($AI$7:$AI$100))+1,""),""),ROW()-ROW(A$102)+1)),"##0")," "),"")</f>
        <v/>
      </c>
      <c r="AK108" s="0" t="str">
        <f aca="false" t="array" ref="AK108:AK108">IFERROR(CONCATENATE((INDEX($A$7:$A$100,SMALL(IF($AL$7:$AL$100&lt;&gt;"",IF($AI$7:$AI$100&lt;&gt;"",ROW($AI$7:$AI$100)-MIN(ROW($AI$7:$AI$100))+1,""),""),ROW()-ROW(A$102)+1))),),"")</f>
        <v/>
      </c>
    </row>
    <row r="109" customFormat="false" ht="15" hidden="false" customHeight="false" outlineLevel="0" collapsed="false">
      <c r="K109" s="0" t="str">
        <f aca="false" t="array" ref="K109:K109">IFERROR(CONCATENATE(TEXT(INDEX($K$7:$K$100,SMALL(IF($N$7:$N$100&lt;&gt;"",IF($K$7:$K$100&lt;&gt;"",ROW($K$7:$K$100)-MIN(ROW($K$7:$K$100))+1,""),""),ROW()-ROW(A$102)+1)),"##0"),","),"")</f>
        <v/>
      </c>
      <c r="L109" s="0" t="str">
        <f aca="false" t="array" ref="L109:L109">IFERROR(CONCATENATE((INDEX($N$7:$N$100,SMALL(IF($N$7:$N$100&lt;&gt;"",IF($K$7:$K$100&lt;&gt;"",ROW($K$7:$K$100)-MIN(ROW($K$7:$K$100))+1,""),""),ROW()-ROW(A$102)+1))),","),"")</f>
        <v/>
      </c>
      <c r="M109" s="0" t="str">
        <f aca="false" t="array" ref="M109:M109">IFERROR(CONCATENATE((INDEX($A$7:$A$100,SMALL(IF($N$7:$N$100&lt;&gt;"",IF($K$7:$K$100&lt;&gt;"",ROW($K$7:$K$100)-MIN(ROW($K$7:$K$100))+1,""),""),ROW()-ROW(A$102)+1))),),"")</f>
        <v/>
      </c>
      <c r="Q109" s="0" t="str">
        <f aca="false" t="array" ref="Q109:Q109">IFERROR(CONCATENATE((INDEX($T$7:$T$100,SMALL(IF($T$7:$T$100&lt;&gt;"",IF($Q$7:$Q$100&lt;&gt;"",ROW($Q$7:$Q$100)-MIN(ROW($Q$7:$Q$100))+1,""),""),ROW()-ROW(A$102)+1)))," "),"")</f>
        <v/>
      </c>
      <c r="R109" s="0" t="str">
        <f aca="false" t="array" ref="R109:R109">IFERROR(CONCATENATE(TEXT(INDEX($Q$7:$Q$100,SMALL(IF($T$7:$T$100&lt;&gt;"",IF($Q$7:$Q$100&lt;&gt;"",ROW($Q$7:$Q$100)-MIN(ROW($Q$7:$Q$100))+1,""),""),ROW()-ROW(A$102)+1)),"##0")," "),"")</f>
        <v/>
      </c>
      <c r="S109" s="0" t="str">
        <f aca="false" t="array" ref="S109:S109">IFERROR(CONCATENATE((INDEX($A$7:$A$100,SMALL(IF($T$7:$T$100&lt;&gt;"",IF($Q$7:$Q$100&lt;&gt;"",ROW($Q$7:$Q$100)-MIN(ROW($Q$7:$Q$100))+1,""),""),ROW()-ROW(A$102)+1))),),"")</f>
        <v/>
      </c>
      <c r="W109" s="0" t="str">
        <f aca="false" t="array" ref="W109:W109">IFERROR(CONCATENATE((INDEX($Z$7:$Z$100,SMALL(IF($Z$7:$Z$100&lt;&gt;"",IF($W$7:$W$100&lt;&gt;"",ROW($W$7:$W$100)-MIN(ROW($W$7:$W$100))+1,""),""),ROW()-ROW(A$102)+1)))," "),"")</f>
        <v/>
      </c>
      <c r="X109" s="0" t="str">
        <f aca="false" t="array" ref="X109:X109">IFERROR(CONCATENATE(TEXT(INDEX($W$7:$W$100,SMALL(IF($Z$7:$Z$100&lt;&gt;"",IF($W$7:$W$100&lt;&gt;"",ROW($W$7:$W$100)-MIN(ROW($W$7:$W$100))+1,""),""),ROW()-ROW(A$102)+1)),"##0")," "),"")</f>
        <v/>
      </c>
      <c r="Y109" s="0" t="str">
        <f aca="false" t="array" ref="Y109:Y109">IFERROR(CONCATENATE((INDEX($A$7:$A$100,SMALL(IF($Z$7:$Z$100&lt;&gt;"",IF($W$7:$W$100&lt;&gt;"",ROW($W$7:$W$100)-MIN(ROW($W$7:$W$100))+1,""),""),ROW()-ROW(A$102)+1))),),"")</f>
        <v/>
      </c>
      <c r="AC109" s="0" t="str">
        <f aca="false" t="array" ref="AC109:AC109">IFERROR(CONCATENATE((INDEX($AF$7:$AF$100,SMALL(IF($AF$7:$AF$100&lt;&gt;"",IF($AC$7:$AC$100&lt;&gt;"",ROW($AC$7:$AC$100)-MIN(ROW($AC$7:$AC$100))+1,""),""),ROW()-ROW(A$102)+1))),","),"")</f>
        <v/>
      </c>
      <c r="AD109" s="0" t="str">
        <f aca="false" t="array" ref="AD109:AD109">IFERROR(CONCATENATE(TEXT(INDEX($AC$7:$AC$100,SMALL(IF($AF$7:$AF$100&lt;&gt;"",IF($AC$7:$AC$100&lt;&gt;"",ROW($AC$7:$AC$100)-MIN(ROW($AC$7:$AC$100))+1,""),""),ROW()-ROW(A$102)+1)),"##0"),","),"")</f>
        <v/>
      </c>
      <c r="AE109" s="0" t="str">
        <f aca="false" t="array" ref="AE109:AE109">IFERROR(CONCATENATE((INDEX($A$7:$A$100,SMALL(IF($AF$7:$AF$100&lt;&gt;"",IF($AC$7:$AC$100&lt;&gt;"",ROW($AC$7:$AC$100)-MIN(ROW($AC$7:$AC$100))+1,""),""),ROW()-ROW(A$102)+1))),),"")</f>
        <v/>
      </c>
      <c r="AI109" s="0" t="str">
        <f aca="false" t="array" ref="AI109:AI109">IFERROR(CONCATENATE((INDEX($AL$7:$AL$100,SMALL(IF($AL$7:$AL$100&lt;&gt;"",IF($AI$7:$AI$100&lt;&gt;"",ROW($AI$7:$AI$100)-MIN(ROW($AI$7:$AI$100))+1,""),""),ROW()-ROW(A$102)+1)))," "),"")</f>
        <v/>
      </c>
      <c r="AJ109" s="0" t="str">
        <f aca="false" t="array" ref="AJ109:AJ109">IFERROR(CONCATENATE(TEXT(INDEX($AI$7:$AI$100,SMALL(IF($AL$7:$AL$100&lt;&gt;"",IF($AI$7:$AI$100&lt;&gt;"",ROW($AI$7:$AI$100)-MIN(ROW($AI$7:$AI$100))+1,""),""),ROW()-ROW(A$102)+1)),"##0")," "),"")</f>
        <v/>
      </c>
      <c r="AK109" s="0" t="str">
        <f aca="false" t="array" ref="AK109:AK109">IFERROR(CONCATENATE((INDEX($A$7:$A$100,SMALL(IF($AL$7:$AL$100&lt;&gt;"",IF($AI$7:$AI$100&lt;&gt;"",ROW($AI$7:$AI$100)-MIN(ROW($AI$7:$AI$100))+1,""),""),ROW()-ROW(A$102)+1))),),"")</f>
        <v/>
      </c>
    </row>
    <row r="110" customFormat="false" ht="15" hidden="false" customHeight="false" outlineLevel="0" collapsed="false">
      <c r="K110" s="0" t="str">
        <f aca="false" t="array" ref="K110:K110">IFERROR(CONCATENATE(TEXT(INDEX($K$7:$K$100,SMALL(IF($N$7:$N$100&lt;&gt;"",IF($K$7:$K$100&lt;&gt;"",ROW($K$7:$K$100)-MIN(ROW($K$7:$K$100))+1,""),""),ROW()-ROW(A$102)+1)),"##0"),","),"")</f>
        <v/>
      </c>
      <c r="L110" s="0" t="str">
        <f aca="false" t="array" ref="L110:L110">IFERROR(CONCATENATE((INDEX($N$7:$N$100,SMALL(IF($N$7:$N$100&lt;&gt;"",IF($K$7:$K$100&lt;&gt;"",ROW($K$7:$K$100)-MIN(ROW($K$7:$K$100))+1,""),""),ROW()-ROW(A$102)+1))),","),"")</f>
        <v/>
      </c>
      <c r="M110" s="0" t="str">
        <f aca="false" t="array" ref="M110:M110">IFERROR(CONCATENATE((INDEX($A$7:$A$100,SMALL(IF($N$7:$N$100&lt;&gt;"",IF($K$7:$K$100&lt;&gt;"",ROW($K$7:$K$100)-MIN(ROW($K$7:$K$100))+1,""),""),ROW()-ROW(A$102)+1))),),"")</f>
        <v/>
      </c>
      <c r="Q110" s="0" t="str">
        <f aca="false" t="array" ref="Q110:Q110">IFERROR(CONCATENATE((INDEX($T$7:$T$100,SMALL(IF($T$7:$T$100&lt;&gt;"",IF($Q$7:$Q$100&lt;&gt;"",ROW($Q$7:$Q$100)-MIN(ROW($Q$7:$Q$100))+1,""),""),ROW()-ROW(A$102)+1)))," "),"")</f>
        <v/>
      </c>
      <c r="R110" s="0" t="str">
        <f aca="false" t="array" ref="R110:R110">IFERROR(CONCATENATE(TEXT(INDEX($Q$7:$Q$100,SMALL(IF($T$7:$T$100&lt;&gt;"",IF($Q$7:$Q$100&lt;&gt;"",ROW($Q$7:$Q$100)-MIN(ROW($Q$7:$Q$100))+1,""),""),ROW()-ROW(A$102)+1)),"##0")," "),"")</f>
        <v/>
      </c>
      <c r="S110" s="0" t="str">
        <f aca="false" t="array" ref="S110:S110">IFERROR(CONCATENATE((INDEX($A$7:$A$100,SMALL(IF($T$7:$T$100&lt;&gt;"",IF($Q$7:$Q$100&lt;&gt;"",ROW($Q$7:$Q$100)-MIN(ROW($Q$7:$Q$100))+1,""),""),ROW()-ROW(A$102)+1))),),"")</f>
        <v/>
      </c>
      <c r="W110" s="0" t="str">
        <f aca="false" t="array" ref="W110:W110">IFERROR(CONCATENATE((INDEX($Z$7:$Z$100,SMALL(IF($Z$7:$Z$100&lt;&gt;"",IF($W$7:$W$100&lt;&gt;"",ROW($W$7:$W$100)-MIN(ROW($W$7:$W$100))+1,""),""),ROW()-ROW(A$102)+1)))," "),"")</f>
        <v/>
      </c>
      <c r="X110" s="0" t="str">
        <f aca="false" t="array" ref="X110:X110">IFERROR(CONCATENATE(TEXT(INDEX($W$7:$W$100,SMALL(IF($Z$7:$Z$100&lt;&gt;"",IF($W$7:$W$100&lt;&gt;"",ROW($W$7:$W$100)-MIN(ROW($W$7:$W$100))+1,""),""),ROW()-ROW(A$102)+1)),"##0")," "),"")</f>
        <v/>
      </c>
      <c r="Y110" s="0" t="str">
        <f aca="false" t="array" ref="Y110:Y110">IFERROR(CONCATENATE((INDEX($A$7:$A$100,SMALL(IF($Z$7:$Z$100&lt;&gt;"",IF($W$7:$W$100&lt;&gt;"",ROW($W$7:$W$100)-MIN(ROW($W$7:$W$100))+1,""),""),ROW()-ROW(A$102)+1))),),"")</f>
        <v/>
      </c>
      <c r="AC110" s="0" t="str">
        <f aca="false" t="array" ref="AC110:AC110">IFERROR(CONCATENATE((INDEX($AF$7:$AF$100,SMALL(IF($AF$7:$AF$100&lt;&gt;"",IF($AC$7:$AC$100&lt;&gt;"",ROW($AC$7:$AC$100)-MIN(ROW($AC$7:$AC$100))+1,""),""),ROW()-ROW(A$102)+1))),","),"")</f>
        <v/>
      </c>
      <c r="AD110" s="0" t="str">
        <f aca="false" t="array" ref="AD110:AD110">IFERROR(CONCATENATE(TEXT(INDEX($AC$7:$AC$100,SMALL(IF($AF$7:$AF$100&lt;&gt;"",IF($AC$7:$AC$100&lt;&gt;"",ROW($AC$7:$AC$100)-MIN(ROW($AC$7:$AC$100))+1,""),""),ROW()-ROW(A$102)+1)),"##0"),","),"")</f>
        <v/>
      </c>
      <c r="AE110" s="0" t="str">
        <f aca="false" t="array" ref="AE110:AE110">IFERROR(CONCATENATE((INDEX($A$7:$A$100,SMALL(IF($AF$7:$AF$100&lt;&gt;"",IF($AC$7:$AC$100&lt;&gt;"",ROW($AC$7:$AC$100)-MIN(ROW($AC$7:$AC$100))+1,""),""),ROW()-ROW(A$102)+1))),),"")</f>
        <v/>
      </c>
      <c r="AI110" s="0" t="str">
        <f aca="false" t="array" ref="AI110:AI110">IFERROR(CONCATENATE((INDEX($AL$7:$AL$100,SMALL(IF($AL$7:$AL$100&lt;&gt;"",IF($AI$7:$AI$100&lt;&gt;"",ROW($AI$7:$AI$100)-MIN(ROW($AI$7:$AI$100))+1,""),""),ROW()-ROW(A$102)+1)))," "),"")</f>
        <v/>
      </c>
      <c r="AJ110" s="0" t="str">
        <f aca="false" t="array" ref="AJ110:AJ110">IFERROR(CONCATENATE(TEXT(INDEX($AI$7:$AI$100,SMALL(IF($AL$7:$AL$100&lt;&gt;"",IF($AI$7:$AI$100&lt;&gt;"",ROW($AI$7:$AI$100)-MIN(ROW($AI$7:$AI$100))+1,""),""),ROW()-ROW(A$102)+1)),"##0")," "),"")</f>
        <v/>
      </c>
      <c r="AK110" s="0" t="str">
        <f aca="false" t="array" ref="AK110:AK110">IFERROR(CONCATENATE((INDEX($A$7:$A$100,SMALL(IF($AL$7:$AL$100&lt;&gt;"",IF($AI$7:$AI$100&lt;&gt;"",ROW($AI$7:$AI$100)-MIN(ROW($AI$7:$AI$100))+1,""),""),ROW()-ROW(A$102)+1))),),"")</f>
        <v/>
      </c>
    </row>
    <row r="111" customFormat="false" ht="15" hidden="false" customHeight="false" outlineLevel="0" collapsed="false">
      <c r="K111" s="0" t="str">
        <f aca="false" t="array" ref="K111:K111">IFERROR(CONCATENATE(TEXT(INDEX($K$7:$K$100,SMALL(IF($N$7:$N$100&lt;&gt;"",IF($K$7:$K$100&lt;&gt;"",ROW($K$7:$K$100)-MIN(ROW($K$7:$K$100))+1,""),""),ROW()-ROW(A$102)+1)),"##0"),","),"")</f>
        <v/>
      </c>
      <c r="L111" s="0" t="str">
        <f aca="false" t="array" ref="L111:L111">IFERROR(CONCATENATE((INDEX($N$7:$N$100,SMALL(IF($N$7:$N$100&lt;&gt;"",IF($K$7:$K$100&lt;&gt;"",ROW($K$7:$K$100)-MIN(ROW($K$7:$K$100))+1,""),""),ROW()-ROW(A$102)+1))),","),"")</f>
        <v/>
      </c>
      <c r="M111" s="0" t="str">
        <f aca="false" t="array" ref="M111:M111">IFERROR(CONCATENATE((INDEX($A$7:$A$100,SMALL(IF($N$7:$N$100&lt;&gt;"",IF($K$7:$K$100&lt;&gt;"",ROW($K$7:$K$100)-MIN(ROW($K$7:$K$100))+1,""),""),ROW()-ROW(A$102)+1))),),"")</f>
        <v/>
      </c>
      <c r="Q111" s="0" t="str">
        <f aca="false" t="array" ref="Q111:Q111">IFERROR(CONCATENATE((INDEX($T$7:$T$100,SMALL(IF($T$7:$T$100&lt;&gt;"",IF($Q$7:$Q$100&lt;&gt;"",ROW($Q$7:$Q$100)-MIN(ROW($Q$7:$Q$100))+1,""),""),ROW()-ROW(A$102)+1)))," "),"")</f>
        <v/>
      </c>
      <c r="R111" s="0" t="str">
        <f aca="false" t="array" ref="R111:R111">IFERROR(CONCATENATE(TEXT(INDEX($Q$7:$Q$100,SMALL(IF($T$7:$T$100&lt;&gt;"",IF($Q$7:$Q$100&lt;&gt;"",ROW($Q$7:$Q$100)-MIN(ROW($Q$7:$Q$100))+1,""),""),ROW()-ROW(A$102)+1)),"##0")," "),"")</f>
        <v/>
      </c>
      <c r="S111" s="0" t="str">
        <f aca="false" t="array" ref="S111:S111">IFERROR(CONCATENATE((INDEX($A$7:$A$100,SMALL(IF($T$7:$T$100&lt;&gt;"",IF($Q$7:$Q$100&lt;&gt;"",ROW($Q$7:$Q$100)-MIN(ROW($Q$7:$Q$100))+1,""),""),ROW()-ROW(A$102)+1))),),"")</f>
        <v/>
      </c>
      <c r="W111" s="0" t="str">
        <f aca="false" t="array" ref="W111:W111">IFERROR(CONCATENATE((INDEX($Z$7:$Z$100,SMALL(IF($Z$7:$Z$100&lt;&gt;"",IF($W$7:$W$100&lt;&gt;"",ROW($W$7:$W$100)-MIN(ROW($W$7:$W$100))+1,""),""),ROW()-ROW(A$102)+1)))," "),"")</f>
        <v/>
      </c>
      <c r="X111" s="0" t="str">
        <f aca="false" t="array" ref="X111:X111">IFERROR(CONCATENATE(TEXT(INDEX($W$7:$W$100,SMALL(IF($Z$7:$Z$100&lt;&gt;"",IF($W$7:$W$100&lt;&gt;"",ROW($W$7:$W$100)-MIN(ROW($W$7:$W$100))+1,""),""),ROW()-ROW(A$102)+1)),"##0")," "),"")</f>
        <v/>
      </c>
      <c r="Y111" s="0" t="str">
        <f aca="false" t="array" ref="Y111:Y111">IFERROR(CONCATENATE((INDEX($A$7:$A$100,SMALL(IF($Z$7:$Z$100&lt;&gt;"",IF($W$7:$W$100&lt;&gt;"",ROW($W$7:$W$100)-MIN(ROW($W$7:$W$100))+1,""),""),ROW()-ROW(A$102)+1))),),"")</f>
        <v/>
      </c>
      <c r="AC111" s="0" t="str">
        <f aca="false" t="array" ref="AC111:AC111">IFERROR(CONCATENATE((INDEX($AF$7:$AF$100,SMALL(IF($AF$7:$AF$100&lt;&gt;"",IF($AC$7:$AC$100&lt;&gt;"",ROW($AC$7:$AC$100)-MIN(ROW($AC$7:$AC$100))+1,""),""),ROW()-ROW(A$102)+1))),","),"")</f>
        <v/>
      </c>
      <c r="AD111" s="0" t="str">
        <f aca="false" t="array" ref="AD111:AD111">IFERROR(CONCATENATE(TEXT(INDEX($AC$7:$AC$100,SMALL(IF($AF$7:$AF$100&lt;&gt;"",IF($AC$7:$AC$100&lt;&gt;"",ROW($AC$7:$AC$100)-MIN(ROW($AC$7:$AC$100))+1,""),""),ROW()-ROW(A$102)+1)),"##0"),","),"")</f>
        <v/>
      </c>
      <c r="AE111" s="0" t="str">
        <f aca="false" t="array" ref="AE111:AE111">IFERROR(CONCATENATE((INDEX($A$7:$A$100,SMALL(IF($AF$7:$AF$100&lt;&gt;"",IF($AC$7:$AC$100&lt;&gt;"",ROW($AC$7:$AC$100)-MIN(ROW($AC$7:$AC$100))+1,""),""),ROW()-ROW(A$102)+1))),),"")</f>
        <v/>
      </c>
      <c r="AI111" s="0" t="str">
        <f aca="false" t="array" ref="AI111:AI111">IFERROR(CONCATENATE((INDEX($AL$7:$AL$100,SMALL(IF($AL$7:$AL$100&lt;&gt;"",IF($AI$7:$AI$100&lt;&gt;"",ROW($AI$7:$AI$100)-MIN(ROW($AI$7:$AI$100))+1,""),""),ROW()-ROW(A$102)+1)))," "),"")</f>
        <v/>
      </c>
      <c r="AJ111" s="0" t="str">
        <f aca="false" t="array" ref="AJ111:AJ111">IFERROR(CONCATENATE(TEXT(INDEX($AI$7:$AI$100,SMALL(IF($AL$7:$AL$100&lt;&gt;"",IF($AI$7:$AI$100&lt;&gt;"",ROW($AI$7:$AI$100)-MIN(ROW($AI$7:$AI$100))+1,""),""),ROW()-ROW(A$102)+1)),"##0")," "),"")</f>
        <v/>
      </c>
      <c r="AK111" s="0" t="str">
        <f aca="false" t="array" ref="AK111:AK111">IFERROR(CONCATENATE((INDEX($A$7:$A$100,SMALL(IF($AL$7:$AL$100&lt;&gt;"",IF($AI$7:$AI$100&lt;&gt;"",ROW($AI$7:$AI$100)-MIN(ROW($AI$7:$AI$100))+1,""),""),ROW()-ROW(A$102)+1))),),"")</f>
        <v/>
      </c>
    </row>
    <row r="112" customFormat="false" ht="15" hidden="false" customHeight="false" outlineLevel="0" collapsed="false">
      <c r="K112" s="0" t="str">
        <f aca="false" t="array" ref="K112:K112">IFERROR(CONCATENATE(TEXT(INDEX($K$7:$K$100,SMALL(IF($N$7:$N$100&lt;&gt;"",IF($K$7:$K$100&lt;&gt;"",ROW($K$7:$K$100)-MIN(ROW($K$7:$K$100))+1,""),""),ROW()-ROW(A$102)+1)),"##0"),","),"")</f>
        <v/>
      </c>
      <c r="L112" s="0" t="str">
        <f aca="false" t="array" ref="L112:L112">IFERROR(CONCATENATE((INDEX($N$7:$N$100,SMALL(IF($N$7:$N$100&lt;&gt;"",IF($K$7:$K$100&lt;&gt;"",ROW($K$7:$K$100)-MIN(ROW($K$7:$K$100))+1,""),""),ROW()-ROW(A$102)+1))),","),"")</f>
        <v/>
      </c>
      <c r="M112" s="0" t="str">
        <f aca="false" t="array" ref="M112:M112">IFERROR(CONCATENATE((INDEX($A$7:$A$100,SMALL(IF($N$7:$N$100&lt;&gt;"",IF($K$7:$K$100&lt;&gt;"",ROW($K$7:$K$100)-MIN(ROW($K$7:$K$100))+1,""),""),ROW()-ROW(A$102)+1))),),"")</f>
        <v/>
      </c>
      <c r="Q112" s="0" t="str">
        <f aca="false" t="array" ref="Q112:Q112">IFERROR(CONCATENATE((INDEX($T$7:$T$100,SMALL(IF($T$7:$T$100&lt;&gt;"",IF($Q$7:$Q$100&lt;&gt;"",ROW($Q$7:$Q$100)-MIN(ROW($Q$7:$Q$100))+1,""),""),ROW()-ROW(A$102)+1)))," "),"")</f>
        <v/>
      </c>
      <c r="R112" s="0" t="str">
        <f aca="false" t="array" ref="R112:R112">IFERROR(CONCATENATE(TEXT(INDEX($Q$7:$Q$100,SMALL(IF($T$7:$T$100&lt;&gt;"",IF($Q$7:$Q$100&lt;&gt;"",ROW($Q$7:$Q$100)-MIN(ROW($Q$7:$Q$100))+1,""),""),ROW()-ROW(A$102)+1)),"##0")," "),"")</f>
        <v/>
      </c>
      <c r="S112" s="0" t="str">
        <f aca="false" t="array" ref="S112:S112">IFERROR(CONCATENATE((INDEX($A$7:$A$100,SMALL(IF($T$7:$T$100&lt;&gt;"",IF($Q$7:$Q$100&lt;&gt;"",ROW($Q$7:$Q$100)-MIN(ROW($Q$7:$Q$100))+1,""),""),ROW()-ROW(A$102)+1))),),"")</f>
        <v/>
      </c>
      <c r="W112" s="0" t="str">
        <f aca="false" t="array" ref="W112:W112">IFERROR(CONCATENATE((INDEX($Z$7:$Z$100,SMALL(IF($Z$7:$Z$100&lt;&gt;"",IF($W$7:$W$100&lt;&gt;"",ROW($W$7:$W$100)-MIN(ROW($W$7:$W$100))+1,""),""),ROW()-ROW(A$102)+1)))," "),"")</f>
        <v/>
      </c>
      <c r="X112" s="0" t="str">
        <f aca="false" t="array" ref="X112:X112">IFERROR(CONCATENATE(TEXT(INDEX($W$7:$W$100,SMALL(IF($Z$7:$Z$100&lt;&gt;"",IF($W$7:$W$100&lt;&gt;"",ROW($W$7:$W$100)-MIN(ROW($W$7:$W$100))+1,""),""),ROW()-ROW(A$102)+1)),"##0")," "),"")</f>
        <v/>
      </c>
      <c r="Y112" s="0" t="str">
        <f aca="false" t="array" ref="Y112:Y112">IFERROR(CONCATENATE((INDEX($A$7:$A$100,SMALL(IF($Z$7:$Z$100&lt;&gt;"",IF($W$7:$W$100&lt;&gt;"",ROW($W$7:$W$100)-MIN(ROW($W$7:$W$100))+1,""),""),ROW()-ROW(A$102)+1))),),"")</f>
        <v/>
      </c>
      <c r="AC112" s="0" t="str">
        <f aca="false" t="array" ref="AC112:AC112">IFERROR(CONCATENATE((INDEX($AF$7:$AF$100,SMALL(IF($AF$7:$AF$100&lt;&gt;"",IF($AC$7:$AC$100&lt;&gt;"",ROW($AC$7:$AC$100)-MIN(ROW($AC$7:$AC$100))+1,""),""),ROW()-ROW(A$102)+1))),","),"")</f>
        <v/>
      </c>
      <c r="AD112" s="0" t="str">
        <f aca="false" t="array" ref="AD112:AD112">IFERROR(CONCATENATE(TEXT(INDEX($AC$7:$AC$100,SMALL(IF($AF$7:$AF$100&lt;&gt;"",IF($AC$7:$AC$100&lt;&gt;"",ROW($AC$7:$AC$100)-MIN(ROW($AC$7:$AC$100))+1,""),""),ROW()-ROW(A$102)+1)),"##0"),","),"")</f>
        <v/>
      </c>
      <c r="AE112" s="0" t="str">
        <f aca="false" t="array" ref="AE112:AE112">IFERROR(CONCATENATE((INDEX($A$7:$A$100,SMALL(IF($AF$7:$AF$100&lt;&gt;"",IF($AC$7:$AC$100&lt;&gt;"",ROW($AC$7:$AC$100)-MIN(ROW($AC$7:$AC$100))+1,""),""),ROW()-ROW(A$102)+1))),),"")</f>
        <v/>
      </c>
      <c r="AI112" s="0" t="str">
        <f aca="false" t="array" ref="AI112:AI112">IFERROR(CONCATENATE((INDEX($AL$7:$AL$100,SMALL(IF($AL$7:$AL$100&lt;&gt;"",IF($AI$7:$AI$100&lt;&gt;"",ROW($AI$7:$AI$100)-MIN(ROW($AI$7:$AI$100))+1,""),""),ROW()-ROW(A$102)+1)))," "),"")</f>
        <v/>
      </c>
      <c r="AJ112" s="0" t="str">
        <f aca="false" t="array" ref="AJ112:AJ112">IFERROR(CONCATENATE(TEXT(INDEX($AI$7:$AI$100,SMALL(IF($AL$7:$AL$100&lt;&gt;"",IF($AI$7:$AI$100&lt;&gt;"",ROW($AI$7:$AI$100)-MIN(ROW($AI$7:$AI$100))+1,""),""),ROW()-ROW(A$102)+1)),"##0")," "),"")</f>
        <v/>
      </c>
      <c r="AK112" s="0" t="str">
        <f aca="false" t="array" ref="AK112:AK112">IFERROR(CONCATENATE((INDEX($A$7:$A$100,SMALL(IF($AL$7:$AL$100&lt;&gt;"",IF($AI$7:$AI$100&lt;&gt;"",ROW($AI$7:$AI$100)-MIN(ROW($AI$7:$AI$100))+1,""),""),ROW()-ROW(A$102)+1))),),"")</f>
        <v/>
      </c>
    </row>
    <row r="113" customFormat="false" ht="15" hidden="false" customHeight="false" outlineLevel="0" collapsed="false">
      <c r="K113" s="0" t="str">
        <f aca="false" t="array" ref="K113:K113">IFERROR(CONCATENATE(TEXT(INDEX($K$7:$K$100,SMALL(IF($N$7:$N$100&lt;&gt;"",IF($K$7:$K$100&lt;&gt;"",ROW($K$7:$K$100)-MIN(ROW($K$7:$K$100))+1,""),""),ROW()-ROW(A$102)+1)),"##0"),","),"")</f>
        <v/>
      </c>
      <c r="L113" s="0" t="str">
        <f aca="false" t="array" ref="L113:L113">IFERROR(CONCATENATE((INDEX($N$7:$N$100,SMALL(IF($N$7:$N$100&lt;&gt;"",IF($K$7:$K$100&lt;&gt;"",ROW($K$7:$K$100)-MIN(ROW($K$7:$K$100))+1,""),""),ROW()-ROW(A$102)+1))),","),"")</f>
        <v/>
      </c>
      <c r="M113" s="0" t="str">
        <f aca="false" t="array" ref="M113:M113">IFERROR(CONCATENATE((INDEX($A$7:$A$100,SMALL(IF($N$7:$N$100&lt;&gt;"",IF($K$7:$K$100&lt;&gt;"",ROW($K$7:$K$100)-MIN(ROW($K$7:$K$100))+1,""),""),ROW()-ROW(A$102)+1))),),"")</f>
        <v/>
      </c>
      <c r="Q113" s="0" t="str">
        <f aca="false" t="array" ref="Q113:Q113">IFERROR(CONCATENATE((INDEX($T$7:$T$100,SMALL(IF($T$7:$T$100&lt;&gt;"",IF($Q$7:$Q$100&lt;&gt;"",ROW($Q$7:$Q$100)-MIN(ROW($Q$7:$Q$100))+1,""),""),ROW()-ROW(A$102)+1)))," "),"")</f>
        <v/>
      </c>
      <c r="R113" s="0" t="str">
        <f aca="false" t="array" ref="R113:R113">IFERROR(CONCATENATE(TEXT(INDEX($Q$7:$Q$100,SMALL(IF($T$7:$T$100&lt;&gt;"",IF($Q$7:$Q$100&lt;&gt;"",ROW($Q$7:$Q$100)-MIN(ROW($Q$7:$Q$100))+1,""),""),ROW()-ROW(A$102)+1)),"##0")," "),"")</f>
        <v/>
      </c>
      <c r="S113" s="0" t="str">
        <f aca="false" t="array" ref="S113:S113">IFERROR(CONCATENATE((INDEX($A$7:$A$100,SMALL(IF($T$7:$T$100&lt;&gt;"",IF($Q$7:$Q$100&lt;&gt;"",ROW($Q$7:$Q$100)-MIN(ROW($Q$7:$Q$100))+1,""),""),ROW()-ROW(A$102)+1))),),"")</f>
        <v/>
      </c>
      <c r="W113" s="0" t="str">
        <f aca="false" t="array" ref="W113:W113">IFERROR(CONCATENATE((INDEX($Z$7:$Z$100,SMALL(IF($Z$7:$Z$100&lt;&gt;"",IF($W$7:$W$100&lt;&gt;"",ROW($W$7:$W$100)-MIN(ROW($W$7:$W$100))+1,""),""),ROW()-ROW(A$102)+1)))," "),"")</f>
        <v/>
      </c>
      <c r="X113" s="0" t="str">
        <f aca="false" t="array" ref="X113:X113">IFERROR(CONCATENATE(TEXT(INDEX($W$7:$W$100,SMALL(IF($Z$7:$Z$100&lt;&gt;"",IF($W$7:$W$100&lt;&gt;"",ROW($W$7:$W$100)-MIN(ROW($W$7:$W$100))+1,""),""),ROW()-ROW(A$102)+1)),"##0")," "),"")</f>
        <v/>
      </c>
      <c r="Y113" s="0" t="str">
        <f aca="false" t="array" ref="Y113:Y113">IFERROR(CONCATENATE((INDEX($A$7:$A$100,SMALL(IF($Z$7:$Z$100&lt;&gt;"",IF($W$7:$W$100&lt;&gt;"",ROW($W$7:$W$100)-MIN(ROW($W$7:$W$100))+1,""),""),ROW()-ROW(A$102)+1))),),"")</f>
        <v/>
      </c>
      <c r="AC113" s="0" t="str">
        <f aca="false" t="array" ref="AC113:AC113">IFERROR(CONCATENATE((INDEX($AF$7:$AF$100,SMALL(IF($AF$7:$AF$100&lt;&gt;"",IF($AC$7:$AC$100&lt;&gt;"",ROW($AC$7:$AC$100)-MIN(ROW($AC$7:$AC$100))+1,""),""),ROW()-ROW(A$102)+1))),","),"")</f>
        <v/>
      </c>
      <c r="AD113" s="0" t="str">
        <f aca="false" t="array" ref="AD113:AD113">IFERROR(CONCATENATE(TEXT(INDEX($AC$7:$AC$100,SMALL(IF($AF$7:$AF$100&lt;&gt;"",IF($AC$7:$AC$100&lt;&gt;"",ROW($AC$7:$AC$100)-MIN(ROW($AC$7:$AC$100))+1,""),""),ROW()-ROW(A$102)+1)),"##0"),","),"")</f>
        <v/>
      </c>
      <c r="AE113" s="0" t="str">
        <f aca="false" t="array" ref="AE113:AE113">IFERROR(CONCATENATE((INDEX($A$7:$A$100,SMALL(IF($AF$7:$AF$100&lt;&gt;"",IF($AC$7:$AC$100&lt;&gt;"",ROW($AC$7:$AC$100)-MIN(ROW($AC$7:$AC$100))+1,""),""),ROW()-ROW(A$102)+1))),),"")</f>
        <v/>
      </c>
      <c r="AI113" s="0" t="str">
        <f aca="false" t="array" ref="AI113:AI113">IFERROR(CONCATENATE((INDEX($AL$7:$AL$100,SMALL(IF($AL$7:$AL$100&lt;&gt;"",IF($AI$7:$AI$100&lt;&gt;"",ROW($AI$7:$AI$100)-MIN(ROW($AI$7:$AI$100))+1,""),""),ROW()-ROW(A$102)+1)))," "),"")</f>
        <v/>
      </c>
      <c r="AJ113" s="0" t="str">
        <f aca="false" t="array" ref="AJ113:AJ113">IFERROR(CONCATENATE(TEXT(INDEX($AI$7:$AI$100,SMALL(IF($AL$7:$AL$100&lt;&gt;"",IF($AI$7:$AI$100&lt;&gt;"",ROW($AI$7:$AI$100)-MIN(ROW($AI$7:$AI$100))+1,""),""),ROW()-ROW(A$102)+1)),"##0")," "),"")</f>
        <v/>
      </c>
      <c r="AK113" s="0" t="str">
        <f aca="false" t="array" ref="AK113:AK113">IFERROR(CONCATENATE((INDEX($A$7:$A$100,SMALL(IF($AL$7:$AL$100&lt;&gt;"",IF($AI$7:$AI$100&lt;&gt;"",ROW($AI$7:$AI$100)-MIN(ROW($AI$7:$AI$100))+1,""),""),ROW()-ROW(A$102)+1))),),"")</f>
        <v/>
      </c>
    </row>
    <row r="114" customFormat="false" ht="15" hidden="false" customHeight="false" outlineLevel="0" collapsed="false">
      <c r="K114" s="0" t="str">
        <f aca="false" t="array" ref="K114:K114">IFERROR(CONCATENATE(TEXT(INDEX($K$7:$K$100,SMALL(IF($N$7:$N$100&lt;&gt;"",IF($K$7:$K$100&lt;&gt;"",ROW($K$7:$K$100)-MIN(ROW($K$7:$K$100))+1,""),""),ROW()-ROW(A$102)+1)),"##0"),","),"")</f>
        <v/>
      </c>
      <c r="L114" s="0" t="str">
        <f aca="false" t="array" ref="L114:L114">IFERROR(CONCATENATE((INDEX($N$7:$N$100,SMALL(IF($N$7:$N$100&lt;&gt;"",IF($K$7:$K$100&lt;&gt;"",ROW($K$7:$K$100)-MIN(ROW($K$7:$K$100))+1,""),""),ROW()-ROW(A$102)+1))),","),"")</f>
        <v/>
      </c>
      <c r="M114" s="0" t="str">
        <f aca="false" t="array" ref="M114:M114">IFERROR(CONCATENATE((INDEX($A$7:$A$100,SMALL(IF($N$7:$N$100&lt;&gt;"",IF($K$7:$K$100&lt;&gt;"",ROW($K$7:$K$100)-MIN(ROW($K$7:$K$100))+1,""),""),ROW()-ROW(A$102)+1))),),"")</f>
        <v/>
      </c>
      <c r="Q114" s="0" t="str">
        <f aca="false" t="array" ref="Q114:Q114">IFERROR(CONCATENATE((INDEX($T$7:$T$100,SMALL(IF($T$7:$T$100&lt;&gt;"",IF($Q$7:$Q$100&lt;&gt;"",ROW($Q$7:$Q$100)-MIN(ROW($Q$7:$Q$100))+1,""),""),ROW()-ROW(A$102)+1)))," "),"")</f>
        <v/>
      </c>
      <c r="R114" s="0" t="str">
        <f aca="false" t="array" ref="R114:R114">IFERROR(CONCATENATE(TEXT(INDEX($Q$7:$Q$100,SMALL(IF($T$7:$T$100&lt;&gt;"",IF($Q$7:$Q$100&lt;&gt;"",ROW($Q$7:$Q$100)-MIN(ROW($Q$7:$Q$100))+1,""),""),ROW()-ROW(A$102)+1)),"##0")," "),"")</f>
        <v/>
      </c>
      <c r="S114" s="0" t="str">
        <f aca="false" t="array" ref="S114:S114">IFERROR(CONCATENATE((INDEX($A$7:$A$100,SMALL(IF($T$7:$T$100&lt;&gt;"",IF($Q$7:$Q$100&lt;&gt;"",ROW($Q$7:$Q$100)-MIN(ROW($Q$7:$Q$100))+1,""),""),ROW()-ROW(A$102)+1))),),"")</f>
        <v/>
      </c>
      <c r="W114" s="0" t="str">
        <f aca="false" t="array" ref="W114:W114">IFERROR(CONCATENATE((INDEX($Z$7:$Z$100,SMALL(IF($Z$7:$Z$100&lt;&gt;"",IF($W$7:$W$100&lt;&gt;"",ROW($W$7:$W$100)-MIN(ROW($W$7:$W$100))+1,""),""),ROW()-ROW(A$102)+1)))," "),"")</f>
        <v/>
      </c>
      <c r="X114" s="0" t="str">
        <f aca="false" t="array" ref="X114:X114">IFERROR(CONCATENATE(TEXT(INDEX($W$7:$W$100,SMALL(IF($Z$7:$Z$100&lt;&gt;"",IF($W$7:$W$100&lt;&gt;"",ROW($W$7:$W$100)-MIN(ROW($W$7:$W$100))+1,""),""),ROW()-ROW(A$102)+1)),"##0")," "),"")</f>
        <v/>
      </c>
      <c r="Y114" s="0" t="str">
        <f aca="false" t="array" ref="Y114:Y114">IFERROR(CONCATENATE((INDEX($A$7:$A$100,SMALL(IF($Z$7:$Z$100&lt;&gt;"",IF($W$7:$W$100&lt;&gt;"",ROW($W$7:$W$100)-MIN(ROW($W$7:$W$100))+1,""),""),ROW()-ROW(A$102)+1))),),"")</f>
        <v/>
      </c>
      <c r="AC114" s="0" t="str">
        <f aca="false" t="array" ref="AC114:AC114">IFERROR(CONCATENATE((INDEX($AF$7:$AF$100,SMALL(IF($AF$7:$AF$100&lt;&gt;"",IF($AC$7:$AC$100&lt;&gt;"",ROW($AC$7:$AC$100)-MIN(ROW($AC$7:$AC$100))+1,""),""),ROW()-ROW(A$102)+1))),","),"")</f>
        <v/>
      </c>
      <c r="AD114" s="0" t="str">
        <f aca="false" t="array" ref="AD114:AD114">IFERROR(CONCATENATE(TEXT(INDEX($AC$7:$AC$100,SMALL(IF($AF$7:$AF$100&lt;&gt;"",IF($AC$7:$AC$100&lt;&gt;"",ROW($AC$7:$AC$100)-MIN(ROW($AC$7:$AC$100))+1,""),""),ROW()-ROW(A$102)+1)),"##0"),","),"")</f>
        <v/>
      </c>
      <c r="AE114" s="0" t="str">
        <f aca="false" t="array" ref="AE114:AE114">IFERROR(CONCATENATE((INDEX($A$7:$A$100,SMALL(IF($AF$7:$AF$100&lt;&gt;"",IF($AC$7:$AC$100&lt;&gt;"",ROW($AC$7:$AC$100)-MIN(ROW($AC$7:$AC$100))+1,""),""),ROW()-ROW(A$102)+1))),),"")</f>
        <v/>
      </c>
      <c r="AI114" s="0" t="str">
        <f aca="false" t="array" ref="AI114:AI114">IFERROR(CONCATENATE((INDEX($AL$7:$AL$100,SMALL(IF($AL$7:$AL$100&lt;&gt;"",IF($AI$7:$AI$100&lt;&gt;"",ROW($AI$7:$AI$100)-MIN(ROW($AI$7:$AI$100))+1,""),""),ROW()-ROW(A$102)+1)))," "),"")</f>
        <v/>
      </c>
      <c r="AJ114" s="0" t="str">
        <f aca="false" t="array" ref="AJ114:AJ114">IFERROR(CONCATENATE(TEXT(INDEX($AI$7:$AI$100,SMALL(IF($AL$7:$AL$100&lt;&gt;"",IF($AI$7:$AI$100&lt;&gt;"",ROW($AI$7:$AI$100)-MIN(ROW($AI$7:$AI$100))+1,""),""),ROW()-ROW(A$102)+1)),"##0")," "),"")</f>
        <v/>
      </c>
      <c r="AK114" s="0" t="str">
        <f aca="false" t="array" ref="AK114:AK114">IFERROR(CONCATENATE((INDEX($A$7:$A$100,SMALL(IF($AL$7:$AL$100&lt;&gt;"",IF($AI$7:$AI$100&lt;&gt;"",ROW($AI$7:$AI$100)-MIN(ROW($AI$7:$AI$100))+1,""),""),ROW()-ROW(A$102)+1))),),"")</f>
        <v/>
      </c>
    </row>
    <row r="115" customFormat="false" ht="15" hidden="false" customHeight="false" outlineLevel="0" collapsed="false">
      <c r="K115" s="0" t="str">
        <f aca="false" t="array" ref="K115:K115">IFERROR(CONCATENATE(TEXT(INDEX($K$7:$K$100,SMALL(IF($N$7:$N$100&lt;&gt;"",IF($K$7:$K$100&lt;&gt;"",ROW($K$7:$K$100)-MIN(ROW($K$7:$K$100))+1,""),""),ROW()-ROW(A$102)+1)),"##0"),","),"")</f>
        <v/>
      </c>
      <c r="L115" s="0" t="str">
        <f aca="false" t="array" ref="L115:L115">IFERROR(CONCATENATE((INDEX($N$7:$N$100,SMALL(IF($N$7:$N$100&lt;&gt;"",IF($K$7:$K$100&lt;&gt;"",ROW($K$7:$K$100)-MIN(ROW($K$7:$K$100))+1,""),""),ROW()-ROW(A$102)+1))),","),"")</f>
        <v/>
      </c>
      <c r="M115" s="0" t="str">
        <f aca="false" t="array" ref="M115:M115">IFERROR(CONCATENATE((INDEX($A$7:$A$100,SMALL(IF($N$7:$N$100&lt;&gt;"",IF($K$7:$K$100&lt;&gt;"",ROW($K$7:$K$100)-MIN(ROW($K$7:$K$100))+1,""),""),ROW()-ROW(A$102)+1))),),"")</f>
        <v/>
      </c>
      <c r="Q115" s="0" t="str">
        <f aca="false" t="array" ref="Q115:Q115">IFERROR(CONCATENATE((INDEX($T$7:$T$100,SMALL(IF($T$7:$T$100&lt;&gt;"",IF($Q$7:$Q$100&lt;&gt;"",ROW($Q$7:$Q$100)-MIN(ROW($Q$7:$Q$100))+1,""),""),ROW()-ROW(A$102)+1)))," "),"")</f>
        <v/>
      </c>
      <c r="R115" s="0" t="str">
        <f aca="false" t="array" ref="R115:R115">IFERROR(CONCATENATE(TEXT(INDEX($Q$7:$Q$100,SMALL(IF($T$7:$T$100&lt;&gt;"",IF($Q$7:$Q$100&lt;&gt;"",ROW($Q$7:$Q$100)-MIN(ROW($Q$7:$Q$100))+1,""),""),ROW()-ROW(A$102)+1)),"##0")," "),"")</f>
        <v/>
      </c>
      <c r="S115" s="0" t="str">
        <f aca="false" t="array" ref="S115:S115">IFERROR(CONCATENATE((INDEX($A$7:$A$100,SMALL(IF($T$7:$T$100&lt;&gt;"",IF($Q$7:$Q$100&lt;&gt;"",ROW($Q$7:$Q$100)-MIN(ROW($Q$7:$Q$100))+1,""),""),ROW()-ROW(A$102)+1))),),"")</f>
        <v/>
      </c>
      <c r="W115" s="0" t="str">
        <f aca="false" t="array" ref="W115:W115">IFERROR(CONCATENATE((INDEX($Z$7:$Z$100,SMALL(IF($Z$7:$Z$100&lt;&gt;"",IF($W$7:$W$100&lt;&gt;"",ROW($W$7:$W$100)-MIN(ROW($W$7:$W$100))+1,""),""),ROW()-ROW(A$102)+1)))," "),"")</f>
        <v/>
      </c>
      <c r="X115" s="0" t="str">
        <f aca="false" t="array" ref="X115:X115">IFERROR(CONCATENATE(TEXT(INDEX($W$7:$W$100,SMALL(IF($Z$7:$Z$100&lt;&gt;"",IF($W$7:$W$100&lt;&gt;"",ROW($W$7:$W$100)-MIN(ROW($W$7:$W$100))+1,""),""),ROW()-ROW(A$102)+1)),"##0")," "),"")</f>
        <v/>
      </c>
      <c r="Y115" s="0" t="str">
        <f aca="false" t="array" ref="Y115:Y115">IFERROR(CONCATENATE((INDEX($A$7:$A$100,SMALL(IF($Z$7:$Z$100&lt;&gt;"",IF($W$7:$W$100&lt;&gt;"",ROW($W$7:$W$100)-MIN(ROW($W$7:$W$100))+1,""),""),ROW()-ROW(A$102)+1))),),"")</f>
        <v/>
      </c>
      <c r="AC115" s="0" t="str">
        <f aca="false" t="array" ref="AC115:AC115">IFERROR(CONCATENATE((INDEX($AF$7:$AF$100,SMALL(IF($AF$7:$AF$100&lt;&gt;"",IF($AC$7:$AC$100&lt;&gt;"",ROW($AC$7:$AC$100)-MIN(ROW($AC$7:$AC$100))+1,""),""),ROW()-ROW(A$102)+1))),","),"")</f>
        <v/>
      </c>
      <c r="AD115" s="0" t="str">
        <f aca="false" t="array" ref="AD115:AD115">IFERROR(CONCATENATE(TEXT(INDEX($AC$7:$AC$100,SMALL(IF($AF$7:$AF$100&lt;&gt;"",IF($AC$7:$AC$100&lt;&gt;"",ROW($AC$7:$AC$100)-MIN(ROW($AC$7:$AC$100))+1,""),""),ROW()-ROW(A$102)+1)),"##0"),","),"")</f>
        <v/>
      </c>
      <c r="AE115" s="0" t="str">
        <f aca="false" t="array" ref="AE115:AE115">IFERROR(CONCATENATE((INDEX($A$7:$A$100,SMALL(IF($AF$7:$AF$100&lt;&gt;"",IF($AC$7:$AC$100&lt;&gt;"",ROW($AC$7:$AC$100)-MIN(ROW($AC$7:$AC$100))+1,""),""),ROW()-ROW(A$102)+1))),),"")</f>
        <v/>
      </c>
      <c r="AI115" s="0" t="str">
        <f aca="false" t="array" ref="AI115:AI115">IFERROR(CONCATENATE((INDEX($AL$7:$AL$100,SMALL(IF($AL$7:$AL$100&lt;&gt;"",IF($AI$7:$AI$100&lt;&gt;"",ROW($AI$7:$AI$100)-MIN(ROW($AI$7:$AI$100))+1,""),""),ROW()-ROW(A$102)+1)))," "),"")</f>
        <v/>
      </c>
      <c r="AJ115" s="0" t="str">
        <f aca="false" t="array" ref="AJ115:AJ115">IFERROR(CONCATENATE(TEXT(INDEX($AI$7:$AI$100,SMALL(IF($AL$7:$AL$100&lt;&gt;"",IF($AI$7:$AI$100&lt;&gt;"",ROW($AI$7:$AI$100)-MIN(ROW($AI$7:$AI$100))+1,""),""),ROW()-ROW(A$102)+1)),"##0")," "),"")</f>
        <v/>
      </c>
      <c r="AK115" s="0" t="str">
        <f aca="false" t="array" ref="AK115:AK115">IFERROR(CONCATENATE((INDEX($A$7:$A$100,SMALL(IF($AL$7:$AL$100&lt;&gt;"",IF($AI$7:$AI$100&lt;&gt;"",ROW($AI$7:$AI$100)-MIN(ROW($AI$7:$AI$100))+1,""),""),ROW()-ROW(A$102)+1))),),"")</f>
        <v/>
      </c>
    </row>
    <row r="116" customFormat="false" ht="15" hidden="false" customHeight="false" outlineLevel="0" collapsed="false">
      <c r="K116" s="0" t="str">
        <f aca="false" t="array" ref="K116:K116">IFERROR(CONCATENATE(TEXT(INDEX($K$7:$K$100,SMALL(IF($N$7:$N$100&lt;&gt;"",IF($K$7:$K$100&lt;&gt;"",ROW($K$7:$K$100)-MIN(ROW($K$7:$K$100))+1,""),""),ROW()-ROW(A$102)+1)),"##0"),","),"")</f>
        <v/>
      </c>
      <c r="L116" s="0" t="str">
        <f aca="false" t="array" ref="L116:L116">IFERROR(CONCATENATE((INDEX($N$7:$N$100,SMALL(IF($N$7:$N$100&lt;&gt;"",IF($K$7:$K$100&lt;&gt;"",ROW($K$7:$K$100)-MIN(ROW($K$7:$K$100))+1,""),""),ROW()-ROW(A$102)+1))),","),"")</f>
        <v/>
      </c>
      <c r="M116" s="0" t="str">
        <f aca="false" t="array" ref="M116:M116">IFERROR(CONCATENATE((INDEX($A$7:$A$100,SMALL(IF($N$7:$N$100&lt;&gt;"",IF($K$7:$K$100&lt;&gt;"",ROW($K$7:$K$100)-MIN(ROW($K$7:$K$100))+1,""),""),ROW()-ROW(A$102)+1))),),"")</f>
        <v/>
      </c>
      <c r="Q116" s="0" t="str">
        <f aca="false" t="array" ref="Q116:Q116">IFERROR(CONCATENATE((INDEX($T$7:$T$100,SMALL(IF($T$7:$T$100&lt;&gt;"",IF($Q$7:$Q$100&lt;&gt;"",ROW($Q$7:$Q$100)-MIN(ROW($Q$7:$Q$100))+1,""),""),ROW()-ROW(A$102)+1)))," "),"")</f>
        <v/>
      </c>
      <c r="R116" s="0" t="str">
        <f aca="false" t="array" ref="R116:R116">IFERROR(CONCATENATE(TEXT(INDEX($Q$7:$Q$100,SMALL(IF($T$7:$T$100&lt;&gt;"",IF($Q$7:$Q$100&lt;&gt;"",ROW($Q$7:$Q$100)-MIN(ROW($Q$7:$Q$100))+1,""),""),ROW()-ROW(A$102)+1)),"##0")," "),"")</f>
        <v/>
      </c>
      <c r="S116" s="0" t="str">
        <f aca="false" t="array" ref="S116:S116">IFERROR(CONCATENATE((INDEX($A$7:$A$100,SMALL(IF($T$7:$T$100&lt;&gt;"",IF($Q$7:$Q$100&lt;&gt;"",ROW($Q$7:$Q$100)-MIN(ROW($Q$7:$Q$100))+1,""),""),ROW()-ROW(A$102)+1))),),"")</f>
        <v/>
      </c>
      <c r="W116" s="0" t="str">
        <f aca="false" t="array" ref="W116:W116">IFERROR(CONCATENATE((INDEX($Z$7:$Z$100,SMALL(IF($Z$7:$Z$100&lt;&gt;"",IF($W$7:$W$100&lt;&gt;"",ROW($W$7:$W$100)-MIN(ROW($W$7:$W$100))+1,""),""),ROW()-ROW(A$102)+1)))," "),"")</f>
        <v/>
      </c>
      <c r="X116" s="0" t="str">
        <f aca="false" t="array" ref="X116:X116">IFERROR(CONCATENATE(TEXT(INDEX($W$7:$W$100,SMALL(IF($Z$7:$Z$100&lt;&gt;"",IF($W$7:$W$100&lt;&gt;"",ROW($W$7:$W$100)-MIN(ROW($W$7:$W$100))+1,""),""),ROW()-ROW(A$102)+1)),"##0")," "),"")</f>
        <v/>
      </c>
      <c r="Y116" s="0" t="str">
        <f aca="false" t="array" ref="Y116:Y116">IFERROR(CONCATENATE((INDEX($A$7:$A$100,SMALL(IF($Z$7:$Z$100&lt;&gt;"",IF($W$7:$W$100&lt;&gt;"",ROW($W$7:$W$100)-MIN(ROW($W$7:$W$100))+1,""),""),ROW()-ROW(A$102)+1))),),"")</f>
        <v/>
      </c>
      <c r="AC116" s="0" t="str">
        <f aca="false" t="array" ref="AC116:AC116">IFERROR(CONCATENATE((INDEX($AF$7:$AF$100,SMALL(IF($AF$7:$AF$100&lt;&gt;"",IF($AC$7:$AC$100&lt;&gt;"",ROW($AC$7:$AC$100)-MIN(ROW($AC$7:$AC$100))+1,""),""),ROW()-ROW(A$102)+1))),","),"")</f>
        <v/>
      </c>
      <c r="AD116" s="0" t="str">
        <f aca="false" t="array" ref="AD116:AD116">IFERROR(CONCATENATE(TEXT(INDEX($AC$7:$AC$100,SMALL(IF($AF$7:$AF$100&lt;&gt;"",IF($AC$7:$AC$100&lt;&gt;"",ROW($AC$7:$AC$100)-MIN(ROW($AC$7:$AC$100))+1,""),""),ROW()-ROW(A$102)+1)),"##0"),","),"")</f>
        <v/>
      </c>
      <c r="AE116" s="0" t="str">
        <f aca="false" t="array" ref="AE116:AE116">IFERROR(CONCATENATE((INDEX($A$7:$A$100,SMALL(IF($AF$7:$AF$100&lt;&gt;"",IF($AC$7:$AC$100&lt;&gt;"",ROW($AC$7:$AC$100)-MIN(ROW($AC$7:$AC$100))+1,""),""),ROW()-ROW(A$102)+1))),),"")</f>
        <v/>
      </c>
      <c r="AI116" s="0" t="str">
        <f aca="false" t="array" ref="AI116:AI116">IFERROR(CONCATENATE((INDEX($AL$7:$AL$100,SMALL(IF($AL$7:$AL$100&lt;&gt;"",IF($AI$7:$AI$100&lt;&gt;"",ROW($AI$7:$AI$100)-MIN(ROW($AI$7:$AI$100))+1,""),""),ROW()-ROW(A$102)+1)))," "),"")</f>
        <v/>
      </c>
      <c r="AJ116" s="0" t="str">
        <f aca="false" t="array" ref="AJ116:AJ116">IFERROR(CONCATENATE(TEXT(INDEX($AI$7:$AI$100,SMALL(IF($AL$7:$AL$100&lt;&gt;"",IF($AI$7:$AI$100&lt;&gt;"",ROW($AI$7:$AI$100)-MIN(ROW($AI$7:$AI$100))+1,""),""),ROW()-ROW(A$102)+1)),"##0")," "),"")</f>
        <v/>
      </c>
      <c r="AK116" s="0" t="str">
        <f aca="false" t="array" ref="AK116:AK116">IFERROR(CONCATENATE((INDEX($A$7:$A$100,SMALL(IF($AL$7:$AL$100&lt;&gt;"",IF($AI$7:$AI$100&lt;&gt;"",ROW($AI$7:$AI$100)-MIN(ROW($AI$7:$AI$100))+1,""),""),ROW()-ROW(A$102)+1))),),"")</f>
        <v/>
      </c>
    </row>
    <row r="117" customFormat="false" ht="15" hidden="false" customHeight="false" outlineLevel="0" collapsed="false">
      <c r="K117" s="0" t="str">
        <f aca="false" t="array" ref="K117:K117">IFERROR(CONCATENATE(TEXT(INDEX($K$7:$K$100,SMALL(IF($N$7:$N$100&lt;&gt;"",IF($K$7:$K$100&lt;&gt;"",ROW($K$7:$K$100)-MIN(ROW($K$7:$K$100))+1,""),""),ROW()-ROW(A$102)+1)),"##0"),","),"")</f>
        <v/>
      </c>
      <c r="L117" s="0" t="str">
        <f aca="false" t="array" ref="L117:L117">IFERROR(CONCATENATE((INDEX($N$7:$N$100,SMALL(IF($N$7:$N$100&lt;&gt;"",IF($K$7:$K$100&lt;&gt;"",ROW($K$7:$K$100)-MIN(ROW($K$7:$K$100))+1,""),""),ROW()-ROW(A$102)+1))),","),"")</f>
        <v/>
      </c>
      <c r="M117" s="0" t="str">
        <f aca="false" t="array" ref="M117:M117">IFERROR(CONCATENATE((INDEX($A$7:$A$100,SMALL(IF($N$7:$N$100&lt;&gt;"",IF($K$7:$K$100&lt;&gt;"",ROW($K$7:$K$100)-MIN(ROW($K$7:$K$100))+1,""),""),ROW()-ROW(A$102)+1))),),"")</f>
        <v/>
      </c>
      <c r="Q117" s="0" t="str">
        <f aca="false" t="array" ref="Q117:Q117">IFERROR(CONCATENATE((INDEX($T$7:$T$100,SMALL(IF($T$7:$T$100&lt;&gt;"",IF($Q$7:$Q$100&lt;&gt;"",ROW($Q$7:$Q$100)-MIN(ROW($Q$7:$Q$100))+1,""),""),ROW()-ROW(A$102)+1)))," "),"")</f>
        <v/>
      </c>
      <c r="R117" s="0" t="str">
        <f aca="false" t="array" ref="R117:R117">IFERROR(CONCATENATE(TEXT(INDEX($Q$7:$Q$100,SMALL(IF($T$7:$T$100&lt;&gt;"",IF($Q$7:$Q$100&lt;&gt;"",ROW($Q$7:$Q$100)-MIN(ROW($Q$7:$Q$100))+1,""),""),ROW()-ROW(A$102)+1)),"##0")," "),"")</f>
        <v/>
      </c>
      <c r="S117" s="0" t="str">
        <f aca="false" t="array" ref="S117:S117">IFERROR(CONCATENATE((INDEX($A$7:$A$100,SMALL(IF($T$7:$T$100&lt;&gt;"",IF($Q$7:$Q$100&lt;&gt;"",ROW($Q$7:$Q$100)-MIN(ROW($Q$7:$Q$100))+1,""),""),ROW()-ROW(A$102)+1))),),"")</f>
        <v/>
      </c>
      <c r="W117" s="0" t="str">
        <f aca="false" t="array" ref="W117:W117">IFERROR(CONCATENATE((INDEX($Z$7:$Z$100,SMALL(IF($Z$7:$Z$100&lt;&gt;"",IF($W$7:$W$100&lt;&gt;"",ROW($W$7:$W$100)-MIN(ROW($W$7:$W$100))+1,""),""),ROW()-ROW(A$102)+1)))," "),"")</f>
        <v/>
      </c>
      <c r="X117" s="0" t="str">
        <f aca="false" t="array" ref="X117:X117">IFERROR(CONCATENATE(TEXT(INDEX($W$7:$W$100,SMALL(IF($Z$7:$Z$100&lt;&gt;"",IF($W$7:$W$100&lt;&gt;"",ROW($W$7:$W$100)-MIN(ROW($W$7:$W$100))+1,""),""),ROW()-ROW(A$102)+1)),"##0")," "),"")</f>
        <v/>
      </c>
      <c r="Y117" s="0" t="str">
        <f aca="false" t="array" ref="Y117:Y117">IFERROR(CONCATENATE((INDEX($A$7:$A$100,SMALL(IF($Z$7:$Z$100&lt;&gt;"",IF($W$7:$W$100&lt;&gt;"",ROW($W$7:$W$100)-MIN(ROW($W$7:$W$100))+1,""),""),ROW()-ROW(A$102)+1))),),"")</f>
        <v/>
      </c>
      <c r="AC117" s="0" t="str">
        <f aca="false" t="array" ref="AC117:AC117">IFERROR(CONCATENATE((INDEX($AF$7:$AF$100,SMALL(IF($AF$7:$AF$100&lt;&gt;"",IF($AC$7:$AC$100&lt;&gt;"",ROW($AC$7:$AC$100)-MIN(ROW($AC$7:$AC$100))+1,""),""),ROW()-ROW(A$102)+1))),","),"")</f>
        <v/>
      </c>
      <c r="AD117" s="0" t="str">
        <f aca="false" t="array" ref="AD117:AD117">IFERROR(CONCATENATE(TEXT(INDEX($AC$7:$AC$100,SMALL(IF($AF$7:$AF$100&lt;&gt;"",IF($AC$7:$AC$100&lt;&gt;"",ROW($AC$7:$AC$100)-MIN(ROW($AC$7:$AC$100))+1,""),""),ROW()-ROW(A$102)+1)),"##0"),","),"")</f>
        <v/>
      </c>
      <c r="AE117" s="0" t="str">
        <f aca="false" t="array" ref="AE117:AE117">IFERROR(CONCATENATE((INDEX($A$7:$A$100,SMALL(IF($AF$7:$AF$100&lt;&gt;"",IF($AC$7:$AC$100&lt;&gt;"",ROW($AC$7:$AC$100)-MIN(ROW($AC$7:$AC$100))+1,""),""),ROW()-ROW(A$102)+1))),),"")</f>
        <v/>
      </c>
      <c r="AI117" s="0" t="str">
        <f aca="false" t="array" ref="AI117:AI117">IFERROR(CONCATENATE((INDEX($AL$7:$AL$100,SMALL(IF($AL$7:$AL$100&lt;&gt;"",IF($AI$7:$AI$100&lt;&gt;"",ROW($AI$7:$AI$100)-MIN(ROW($AI$7:$AI$100))+1,""),""),ROW()-ROW(A$102)+1)))," "),"")</f>
        <v/>
      </c>
      <c r="AJ117" s="0" t="str">
        <f aca="false" t="array" ref="AJ117:AJ117">IFERROR(CONCATENATE(TEXT(INDEX($AI$7:$AI$100,SMALL(IF($AL$7:$AL$100&lt;&gt;"",IF($AI$7:$AI$100&lt;&gt;"",ROW($AI$7:$AI$100)-MIN(ROW($AI$7:$AI$100))+1,""),""),ROW()-ROW(A$102)+1)),"##0")," "),"")</f>
        <v/>
      </c>
      <c r="AK117" s="0" t="str">
        <f aca="false" t="array" ref="AK117:AK117">IFERROR(CONCATENATE((INDEX($A$7:$A$100,SMALL(IF($AL$7:$AL$100&lt;&gt;"",IF($AI$7:$AI$100&lt;&gt;"",ROW($AI$7:$AI$100)-MIN(ROW($AI$7:$AI$100))+1,""),""),ROW()-ROW(A$102)+1))),),"")</f>
        <v/>
      </c>
    </row>
    <row r="118" customFormat="false" ht="15" hidden="false" customHeight="false" outlineLevel="0" collapsed="false">
      <c r="K118" s="0" t="str">
        <f aca="false" t="array" ref="K118:K118">IFERROR(CONCATENATE(TEXT(INDEX($K$7:$K$100,SMALL(IF($N$7:$N$100&lt;&gt;"",IF($K$7:$K$100&lt;&gt;"",ROW($K$7:$K$100)-MIN(ROW($K$7:$K$100))+1,""),""),ROW()-ROW(A$102)+1)),"##0"),","),"")</f>
        <v/>
      </c>
      <c r="L118" s="0" t="str">
        <f aca="false" t="array" ref="L118:L118">IFERROR(CONCATENATE((INDEX($N$7:$N$100,SMALL(IF($N$7:$N$100&lt;&gt;"",IF($K$7:$K$100&lt;&gt;"",ROW($K$7:$K$100)-MIN(ROW($K$7:$K$100))+1,""),""),ROW()-ROW(A$102)+1))),","),"")</f>
        <v/>
      </c>
      <c r="M118" s="0" t="str">
        <f aca="false" t="array" ref="M118:M118">IFERROR(CONCATENATE((INDEX($A$7:$A$100,SMALL(IF($N$7:$N$100&lt;&gt;"",IF($K$7:$K$100&lt;&gt;"",ROW($K$7:$K$100)-MIN(ROW($K$7:$K$100))+1,""),""),ROW()-ROW(A$102)+1))),),"")</f>
        <v/>
      </c>
      <c r="Q118" s="0" t="str">
        <f aca="false" t="array" ref="Q118:Q118">IFERROR(CONCATENATE((INDEX($T$7:$T$100,SMALL(IF($T$7:$T$100&lt;&gt;"",IF($Q$7:$Q$100&lt;&gt;"",ROW($Q$7:$Q$100)-MIN(ROW($Q$7:$Q$100))+1,""),""),ROW()-ROW(A$102)+1)))," "),"")</f>
        <v/>
      </c>
      <c r="R118" s="0" t="str">
        <f aca="false" t="array" ref="R118:R118">IFERROR(CONCATENATE(TEXT(INDEX($Q$7:$Q$100,SMALL(IF($T$7:$T$100&lt;&gt;"",IF($Q$7:$Q$100&lt;&gt;"",ROW($Q$7:$Q$100)-MIN(ROW($Q$7:$Q$100))+1,""),""),ROW()-ROW(A$102)+1)),"##0")," "),"")</f>
        <v/>
      </c>
      <c r="S118" s="0" t="str">
        <f aca="false" t="array" ref="S118:S118">IFERROR(CONCATENATE((INDEX($A$7:$A$100,SMALL(IF($T$7:$T$100&lt;&gt;"",IF($Q$7:$Q$100&lt;&gt;"",ROW($Q$7:$Q$100)-MIN(ROW($Q$7:$Q$100))+1,""),""),ROW()-ROW(A$102)+1))),),"")</f>
        <v/>
      </c>
      <c r="W118" s="0" t="str">
        <f aca="false" t="array" ref="W118:W118">IFERROR(CONCATENATE((INDEX($Z$7:$Z$100,SMALL(IF($Z$7:$Z$100&lt;&gt;"",IF($W$7:$W$100&lt;&gt;"",ROW($W$7:$W$100)-MIN(ROW($W$7:$W$100))+1,""),""),ROW()-ROW(A$102)+1)))," "),"")</f>
        <v/>
      </c>
      <c r="X118" s="0" t="str">
        <f aca="false" t="array" ref="X118:X118">IFERROR(CONCATENATE(TEXT(INDEX($W$7:$W$100,SMALL(IF($Z$7:$Z$100&lt;&gt;"",IF($W$7:$W$100&lt;&gt;"",ROW($W$7:$W$100)-MIN(ROW($W$7:$W$100))+1,""),""),ROW()-ROW(A$102)+1)),"##0")," "),"")</f>
        <v/>
      </c>
      <c r="Y118" s="0" t="str">
        <f aca="false" t="array" ref="Y118:Y118">IFERROR(CONCATENATE((INDEX($A$7:$A$100,SMALL(IF($Z$7:$Z$100&lt;&gt;"",IF($W$7:$W$100&lt;&gt;"",ROW($W$7:$W$100)-MIN(ROW($W$7:$W$100))+1,""),""),ROW()-ROW(A$102)+1))),),"")</f>
        <v/>
      </c>
      <c r="AC118" s="0" t="str">
        <f aca="false" t="array" ref="AC118:AC118">IFERROR(CONCATENATE((INDEX($AF$7:$AF$100,SMALL(IF($AF$7:$AF$100&lt;&gt;"",IF($AC$7:$AC$100&lt;&gt;"",ROW($AC$7:$AC$100)-MIN(ROW($AC$7:$AC$100))+1,""),""),ROW()-ROW(A$102)+1))),","),"")</f>
        <v/>
      </c>
      <c r="AD118" s="0" t="str">
        <f aca="false" t="array" ref="AD118:AD118">IFERROR(CONCATENATE(TEXT(INDEX($AC$7:$AC$100,SMALL(IF($AF$7:$AF$100&lt;&gt;"",IF($AC$7:$AC$100&lt;&gt;"",ROW($AC$7:$AC$100)-MIN(ROW($AC$7:$AC$100))+1,""),""),ROW()-ROW(A$102)+1)),"##0"),","),"")</f>
        <v/>
      </c>
      <c r="AE118" s="0" t="str">
        <f aca="false" t="array" ref="AE118:AE118">IFERROR(CONCATENATE((INDEX($A$7:$A$100,SMALL(IF($AF$7:$AF$100&lt;&gt;"",IF($AC$7:$AC$100&lt;&gt;"",ROW($AC$7:$AC$100)-MIN(ROW($AC$7:$AC$100))+1,""),""),ROW()-ROW(A$102)+1))),),"")</f>
        <v/>
      </c>
      <c r="AI118" s="0" t="str">
        <f aca="false" t="array" ref="AI118:AI118">IFERROR(CONCATENATE((INDEX($AL$7:$AL$100,SMALL(IF($AL$7:$AL$100&lt;&gt;"",IF($AI$7:$AI$100&lt;&gt;"",ROW($AI$7:$AI$100)-MIN(ROW($AI$7:$AI$100))+1,""),""),ROW()-ROW(A$102)+1)))," "),"")</f>
        <v/>
      </c>
      <c r="AJ118" s="0" t="str">
        <f aca="false" t="array" ref="AJ118:AJ118">IFERROR(CONCATENATE(TEXT(INDEX($AI$7:$AI$100,SMALL(IF($AL$7:$AL$100&lt;&gt;"",IF($AI$7:$AI$100&lt;&gt;"",ROW($AI$7:$AI$100)-MIN(ROW($AI$7:$AI$100))+1,""),""),ROW()-ROW(A$102)+1)),"##0")," "),"")</f>
        <v/>
      </c>
      <c r="AK118" s="0" t="str">
        <f aca="false" t="array" ref="AK118:AK118">IFERROR(CONCATENATE((INDEX($A$7:$A$100,SMALL(IF($AL$7:$AL$100&lt;&gt;"",IF($AI$7:$AI$100&lt;&gt;"",ROW($AI$7:$AI$100)-MIN(ROW($AI$7:$AI$100))+1,""),""),ROW()-ROW(A$102)+1))),),"")</f>
        <v/>
      </c>
    </row>
    <row r="119" customFormat="false" ht="15" hidden="false" customHeight="false" outlineLevel="0" collapsed="false">
      <c r="K119" s="0" t="str">
        <f aca="false" t="array" ref="K119:K119">IFERROR(CONCATENATE(TEXT(INDEX($K$7:$K$100,SMALL(IF($N$7:$N$100&lt;&gt;"",IF($K$7:$K$100&lt;&gt;"",ROW($K$7:$K$100)-MIN(ROW($K$7:$K$100))+1,""),""),ROW()-ROW(A$102)+1)),"##0"),","),"")</f>
        <v/>
      </c>
      <c r="L119" s="0" t="str">
        <f aca="false" t="array" ref="L119:L119">IFERROR(CONCATENATE((INDEX($N$7:$N$100,SMALL(IF($N$7:$N$100&lt;&gt;"",IF($K$7:$K$100&lt;&gt;"",ROW($K$7:$K$100)-MIN(ROW($K$7:$K$100))+1,""),""),ROW()-ROW(A$102)+1))),","),"")</f>
        <v/>
      </c>
      <c r="M119" s="0" t="str">
        <f aca="false" t="array" ref="M119:M119">IFERROR(CONCATENATE((INDEX($A$7:$A$100,SMALL(IF($N$7:$N$100&lt;&gt;"",IF($K$7:$K$100&lt;&gt;"",ROW($K$7:$K$100)-MIN(ROW($K$7:$K$100))+1,""),""),ROW()-ROW(A$102)+1))),),"")</f>
        <v/>
      </c>
      <c r="Q119" s="0" t="str">
        <f aca="false" t="array" ref="Q119:Q119">IFERROR(CONCATENATE((INDEX($T$7:$T$100,SMALL(IF($T$7:$T$100&lt;&gt;"",IF($Q$7:$Q$100&lt;&gt;"",ROW($Q$7:$Q$100)-MIN(ROW($Q$7:$Q$100))+1,""),""),ROW()-ROW(A$102)+1)))," "),"")</f>
        <v/>
      </c>
      <c r="R119" s="0" t="str">
        <f aca="false" t="array" ref="R119:R119">IFERROR(CONCATENATE(TEXT(INDEX($Q$7:$Q$100,SMALL(IF($T$7:$T$100&lt;&gt;"",IF($Q$7:$Q$100&lt;&gt;"",ROW($Q$7:$Q$100)-MIN(ROW($Q$7:$Q$100))+1,""),""),ROW()-ROW(A$102)+1)),"##0")," "),"")</f>
        <v/>
      </c>
      <c r="S119" s="0" t="str">
        <f aca="false" t="array" ref="S119:S119">IFERROR(CONCATENATE((INDEX($A$7:$A$100,SMALL(IF($T$7:$T$100&lt;&gt;"",IF($Q$7:$Q$100&lt;&gt;"",ROW($Q$7:$Q$100)-MIN(ROW($Q$7:$Q$100))+1,""),""),ROW()-ROW(A$102)+1))),),"")</f>
        <v/>
      </c>
      <c r="W119" s="0" t="str">
        <f aca="false" t="array" ref="W119:W119">IFERROR(CONCATENATE((INDEX($Z$7:$Z$100,SMALL(IF($Z$7:$Z$100&lt;&gt;"",IF($W$7:$W$100&lt;&gt;"",ROW($W$7:$W$100)-MIN(ROW($W$7:$W$100))+1,""),""),ROW()-ROW(A$102)+1)))," "),"")</f>
        <v/>
      </c>
      <c r="X119" s="0" t="str">
        <f aca="false" t="array" ref="X119:X119">IFERROR(CONCATENATE(TEXT(INDEX($W$7:$W$100,SMALL(IF($Z$7:$Z$100&lt;&gt;"",IF($W$7:$W$100&lt;&gt;"",ROW($W$7:$W$100)-MIN(ROW($W$7:$W$100))+1,""),""),ROW()-ROW(A$102)+1)),"##0")," "),"")</f>
        <v/>
      </c>
      <c r="Y119" s="0" t="str">
        <f aca="false" t="array" ref="Y119:Y119">IFERROR(CONCATENATE((INDEX($A$7:$A$100,SMALL(IF($Z$7:$Z$100&lt;&gt;"",IF($W$7:$W$100&lt;&gt;"",ROW($W$7:$W$100)-MIN(ROW($W$7:$W$100))+1,""),""),ROW()-ROW(A$102)+1))),),"")</f>
        <v/>
      </c>
      <c r="AC119" s="0" t="str">
        <f aca="false" t="array" ref="AC119:AC119">IFERROR(CONCATENATE((INDEX($AF$7:$AF$100,SMALL(IF($AF$7:$AF$100&lt;&gt;"",IF($AC$7:$AC$100&lt;&gt;"",ROW($AC$7:$AC$100)-MIN(ROW($AC$7:$AC$100))+1,""),""),ROW()-ROW(A$102)+1))),","),"")</f>
        <v/>
      </c>
      <c r="AD119" s="0" t="str">
        <f aca="false" t="array" ref="AD119:AD119">IFERROR(CONCATENATE(TEXT(INDEX($AC$7:$AC$100,SMALL(IF($AF$7:$AF$100&lt;&gt;"",IF($AC$7:$AC$100&lt;&gt;"",ROW($AC$7:$AC$100)-MIN(ROW($AC$7:$AC$100))+1,""),""),ROW()-ROW(A$102)+1)),"##0"),","),"")</f>
        <v/>
      </c>
      <c r="AE119" s="0" t="str">
        <f aca="false" t="array" ref="AE119:AE119">IFERROR(CONCATENATE((INDEX($A$7:$A$100,SMALL(IF($AF$7:$AF$100&lt;&gt;"",IF($AC$7:$AC$100&lt;&gt;"",ROW($AC$7:$AC$100)-MIN(ROW($AC$7:$AC$100))+1,""),""),ROW()-ROW(A$102)+1))),),"")</f>
        <v/>
      </c>
      <c r="AI119" s="0" t="str">
        <f aca="false" t="array" ref="AI119:AI119">IFERROR(CONCATENATE((INDEX($AL$7:$AL$100,SMALL(IF($AL$7:$AL$100&lt;&gt;"",IF($AI$7:$AI$100&lt;&gt;"",ROW($AI$7:$AI$100)-MIN(ROW($AI$7:$AI$100))+1,""),""),ROW()-ROW(A$102)+1)))," "),"")</f>
        <v/>
      </c>
      <c r="AJ119" s="0" t="str">
        <f aca="false" t="array" ref="AJ119:AJ119">IFERROR(CONCATENATE(TEXT(INDEX($AI$7:$AI$100,SMALL(IF($AL$7:$AL$100&lt;&gt;"",IF($AI$7:$AI$100&lt;&gt;"",ROW($AI$7:$AI$100)-MIN(ROW($AI$7:$AI$100))+1,""),""),ROW()-ROW(A$102)+1)),"##0")," "),"")</f>
        <v/>
      </c>
      <c r="AK119" s="0" t="str">
        <f aca="false" t="array" ref="AK119:AK119">IFERROR(CONCATENATE((INDEX($A$7:$A$100,SMALL(IF($AL$7:$AL$100&lt;&gt;"",IF($AI$7:$AI$100&lt;&gt;"",ROW($AI$7:$AI$100)-MIN(ROW($AI$7:$AI$100))+1,""),""),ROW()-ROW(A$102)+1))),),"")</f>
        <v/>
      </c>
    </row>
    <row r="120" customFormat="false" ht="15" hidden="false" customHeight="false" outlineLevel="0" collapsed="false">
      <c r="K120" s="0" t="str">
        <f aca="false" t="array" ref="K120:K120">IFERROR(CONCATENATE(TEXT(INDEX($K$7:$K$100,SMALL(IF($N$7:$N$100&lt;&gt;"",IF($K$7:$K$100&lt;&gt;"",ROW($K$7:$K$100)-MIN(ROW($K$7:$K$100))+1,""),""),ROW()-ROW(A$102)+1)),"##0"),","),"")</f>
        <v/>
      </c>
      <c r="L120" s="0" t="str">
        <f aca="false" t="array" ref="L120:L120">IFERROR(CONCATENATE((INDEX($N$7:$N$100,SMALL(IF($N$7:$N$100&lt;&gt;"",IF($K$7:$K$100&lt;&gt;"",ROW($K$7:$K$100)-MIN(ROW($K$7:$K$100))+1,""),""),ROW()-ROW(A$102)+1))),","),"")</f>
        <v/>
      </c>
      <c r="M120" s="0" t="str">
        <f aca="false" t="array" ref="M120:M120">IFERROR(CONCATENATE((INDEX($A$7:$A$100,SMALL(IF($N$7:$N$100&lt;&gt;"",IF($K$7:$K$100&lt;&gt;"",ROW($K$7:$K$100)-MIN(ROW($K$7:$K$100))+1,""),""),ROW()-ROW(A$102)+1))),),"")</f>
        <v/>
      </c>
      <c r="Q120" s="0" t="str">
        <f aca="false" t="array" ref="Q120:Q120">IFERROR(CONCATENATE((INDEX($T$7:$T$100,SMALL(IF($T$7:$T$100&lt;&gt;"",IF($Q$7:$Q$100&lt;&gt;"",ROW($Q$7:$Q$100)-MIN(ROW($Q$7:$Q$100))+1,""),""),ROW()-ROW(A$102)+1)))," "),"")</f>
        <v/>
      </c>
      <c r="R120" s="0" t="str">
        <f aca="false" t="array" ref="R120:R120">IFERROR(CONCATENATE(TEXT(INDEX($Q$7:$Q$100,SMALL(IF($T$7:$T$100&lt;&gt;"",IF($Q$7:$Q$100&lt;&gt;"",ROW($Q$7:$Q$100)-MIN(ROW($Q$7:$Q$100))+1,""),""),ROW()-ROW(A$102)+1)),"##0")," "),"")</f>
        <v/>
      </c>
      <c r="S120" s="0" t="str">
        <f aca="false" t="array" ref="S120:S120">IFERROR(CONCATENATE((INDEX($A$7:$A$100,SMALL(IF($T$7:$T$100&lt;&gt;"",IF($Q$7:$Q$100&lt;&gt;"",ROW($Q$7:$Q$100)-MIN(ROW($Q$7:$Q$100))+1,""),""),ROW()-ROW(A$102)+1))),),"")</f>
        <v/>
      </c>
      <c r="W120" s="0" t="str">
        <f aca="false" t="array" ref="W120:W120">IFERROR(CONCATENATE((INDEX($Z$7:$Z$100,SMALL(IF($Z$7:$Z$100&lt;&gt;"",IF($W$7:$W$100&lt;&gt;"",ROW($W$7:$W$100)-MIN(ROW($W$7:$W$100))+1,""),""),ROW()-ROW(A$102)+1)))," "),"")</f>
        <v/>
      </c>
      <c r="X120" s="0" t="str">
        <f aca="false" t="array" ref="X120:X120">IFERROR(CONCATENATE(TEXT(INDEX($W$7:$W$100,SMALL(IF($Z$7:$Z$100&lt;&gt;"",IF($W$7:$W$100&lt;&gt;"",ROW($W$7:$W$100)-MIN(ROW($W$7:$W$100))+1,""),""),ROW()-ROW(A$102)+1)),"##0")," "),"")</f>
        <v/>
      </c>
      <c r="Y120" s="0" t="str">
        <f aca="false" t="array" ref="Y120:Y120">IFERROR(CONCATENATE((INDEX($A$7:$A$100,SMALL(IF($Z$7:$Z$100&lt;&gt;"",IF($W$7:$W$100&lt;&gt;"",ROW($W$7:$W$100)-MIN(ROW($W$7:$W$100))+1,""),""),ROW()-ROW(A$102)+1))),),"")</f>
        <v/>
      </c>
      <c r="AC120" s="0" t="str">
        <f aca="false" t="array" ref="AC120:AC120">IFERROR(CONCATENATE((INDEX($AF$7:$AF$100,SMALL(IF($AF$7:$AF$100&lt;&gt;"",IF($AC$7:$AC$100&lt;&gt;"",ROW($AC$7:$AC$100)-MIN(ROW($AC$7:$AC$100))+1,""),""),ROW()-ROW(A$102)+1))),","),"")</f>
        <v/>
      </c>
      <c r="AD120" s="0" t="str">
        <f aca="false" t="array" ref="AD120:AD120">IFERROR(CONCATENATE(TEXT(INDEX($AC$7:$AC$100,SMALL(IF($AF$7:$AF$100&lt;&gt;"",IF($AC$7:$AC$100&lt;&gt;"",ROW($AC$7:$AC$100)-MIN(ROW($AC$7:$AC$100))+1,""),""),ROW()-ROW(A$102)+1)),"##0"),","),"")</f>
        <v/>
      </c>
      <c r="AE120" s="0" t="str">
        <f aca="false" t="array" ref="AE120:AE120">IFERROR(CONCATENATE((INDEX($A$7:$A$100,SMALL(IF($AF$7:$AF$100&lt;&gt;"",IF($AC$7:$AC$100&lt;&gt;"",ROW($AC$7:$AC$100)-MIN(ROW($AC$7:$AC$100))+1,""),""),ROW()-ROW(A$102)+1))),),"")</f>
        <v/>
      </c>
      <c r="AI120" s="0" t="str">
        <f aca="false" t="array" ref="AI120:AI120">IFERROR(CONCATENATE((INDEX($AL$7:$AL$100,SMALL(IF($AL$7:$AL$100&lt;&gt;"",IF($AI$7:$AI$100&lt;&gt;"",ROW($AI$7:$AI$100)-MIN(ROW($AI$7:$AI$100))+1,""),""),ROW()-ROW(A$102)+1)))," "),"")</f>
        <v/>
      </c>
      <c r="AJ120" s="0" t="str">
        <f aca="false" t="array" ref="AJ120:AJ120">IFERROR(CONCATENATE(TEXT(INDEX($AI$7:$AI$100,SMALL(IF($AL$7:$AL$100&lt;&gt;"",IF($AI$7:$AI$100&lt;&gt;"",ROW($AI$7:$AI$100)-MIN(ROW($AI$7:$AI$100))+1,""),""),ROW()-ROW(A$102)+1)),"##0")," "),"")</f>
        <v/>
      </c>
      <c r="AK120" s="0" t="str">
        <f aca="false" t="array" ref="AK120:AK120">IFERROR(CONCATENATE((INDEX($A$7:$A$100,SMALL(IF($AL$7:$AL$100&lt;&gt;"",IF($AI$7:$AI$100&lt;&gt;"",ROW($AI$7:$AI$100)-MIN(ROW($AI$7:$AI$100))+1,""),""),ROW()-ROW(A$102)+1))),),"")</f>
        <v/>
      </c>
    </row>
    <row r="121" customFormat="false" ht="15" hidden="false" customHeight="false" outlineLevel="0" collapsed="false">
      <c r="K121" s="0" t="str">
        <f aca="false" t="array" ref="K121:K121">IFERROR(CONCATENATE(TEXT(INDEX($K$7:$K$100,SMALL(IF($N$7:$N$100&lt;&gt;"",IF($K$7:$K$100&lt;&gt;"",ROW($K$7:$K$100)-MIN(ROW($K$7:$K$100))+1,""),""),ROW()-ROW(A$102)+1)),"##0"),","),"")</f>
        <v/>
      </c>
      <c r="L121" s="0" t="str">
        <f aca="false" t="array" ref="L121:L121">IFERROR(CONCATENATE((INDEX($N$7:$N$100,SMALL(IF($N$7:$N$100&lt;&gt;"",IF($K$7:$K$100&lt;&gt;"",ROW($K$7:$K$100)-MIN(ROW($K$7:$K$100))+1,""),""),ROW()-ROW(A$102)+1))),","),"")</f>
        <v/>
      </c>
      <c r="M121" s="0" t="str">
        <f aca="false" t="array" ref="M121:M121">IFERROR(CONCATENATE((INDEX($A$7:$A$100,SMALL(IF($N$7:$N$100&lt;&gt;"",IF($K$7:$K$100&lt;&gt;"",ROW($K$7:$K$100)-MIN(ROW($K$7:$K$100))+1,""),""),ROW()-ROW(A$102)+1))),),"")</f>
        <v/>
      </c>
      <c r="Q121" s="0" t="str">
        <f aca="false" t="array" ref="Q121:Q121">IFERROR(CONCATENATE((INDEX($T$7:$T$100,SMALL(IF($T$7:$T$100&lt;&gt;"",IF($Q$7:$Q$100&lt;&gt;"",ROW($Q$7:$Q$100)-MIN(ROW($Q$7:$Q$100))+1,""),""),ROW()-ROW(A$102)+1)))," "),"")</f>
        <v/>
      </c>
      <c r="R121" s="0" t="str">
        <f aca="false" t="array" ref="R121:R121">IFERROR(CONCATENATE(TEXT(INDEX($Q$7:$Q$100,SMALL(IF($T$7:$T$100&lt;&gt;"",IF($Q$7:$Q$100&lt;&gt;"",ROW($Q$7:$Q$100)-MIN(ROW($Q$7:$Q$100))+1,""),""),ROW()-ROW(A$102)+1)),"##0")," "),"")</f>
        <v/>
      </c>
      <c r="S121" s="0" t="str">
        <f aca="false" t="array" ref="S121:S121">IFERROR(CONCATENATE((INDEX($A$7:$A$100,SMALL(IF($T$7:$T$100&lt;&gt;"",IF($Q$7:$Q$100&lt;&gt;"",ROW($Q$7:$Q$100)-MIN(ROW($Q$7:$Q$100))+1,""),""),ROW()-ROW(A$102)+1))),),"")</f>
        <v/>
      </c>
      <c r="W121" s="0" t="str">
        <f aca="false" t="array" ref="W121:W121">IFERROR(CONCATENATE((INDEX($Z$7:$Z$100,SMALL(IF($Z$7:$Z$100&lt;&gt;"",IF($W$7:$W$100&lt;&gt;"",ROW($W$7:$W$100)-MIN(ROW($W$7:$W$100))+1,""),""),ROW()-ROW(A$102)+1)))," "),"")</f>
        <v/>
      </c>
      <c r="X121" s="0" t="str">
        <f aca="false" t="array" ref="X121:X121">IFERROR(CONCATENATE(TEXT(INDEX($W$7:$W$100,SMALL(IF($Z$7:$Z$100&lt;&gt;"",IF($W$7:$W$100&lt;&gt;"",ROW($W$7:$W$100)-MIN(ROW($W$7:$W$100))+1,""),""),ROW()-ROW(A$102)+1)),"##0")," "),"")</f>
        <v/>
      </c>
      <c r="Y121" s="0" t="str">
        <f aca="false" t="array" ref="Y121:Y121">IFERROR(CONCATENATE((INDEX($A$7:$A$100,SMALL(IF($Z$7:$Z$100&lt;&gt;"",IF($W$7:$W$100&lt;&gt;"",ROW($W$7:$W$100)-MIN(ROW($W$7:$W$100))+1,""),""),ROW()-ROW(A$102)+1))),),"")</f>
        <v/>
      </c>
      <c r="AC121" s="0" t="str">
        <f aca="false" t="array" ref="AC121:AC121">IFERROR(CONCATENATE((INDEX($AF$7:$AF$100,SMALL(IF($AF$7:$AF$100&lt;&gt;"",IF($AC$7:$AC$100&lt;&gt;"",ROW($AC$7:$AC$100)-MIN(ROW($AC$7:$AC$100))+1,""),""),ROW()-ROW(A$102)+1))),","),"")</f>
        <v/>
      </c>
      <c r="AD121" s="0" t="str">
        <f aca="false" t="array" ref="AD121:AD121">IFERROR(CONCATENATE(TEXT(INDEX($AC$7:$AC$100,SMALL(IF($AF$7:$AF$100&lt;&gt;"",IF($AC$7:$AC$100&lt;&gt;"",ROW($AC$7:$AC$100)-MIN(ROW($AC$7:$AC$100))+1,""),""),ROW()-ROW(A$102)+1)),"##0"),","),"")</f>
        <v/>
      </c>
      <c r="AE121" s="0" t="str">
        <f aca="false" t="array" ref="AE121:AE121">IFERROR(CONCATENATE((INDEX($A$7:$A$100,SMALL(IF($AF$7:$AF$100&lt;&gt;"",IF($AC$7:$AC$100&lt;&gt;"",ROW($AC$7:$AC$100)-MIN(ROW($AC$7:$AC$100))+1,""),""),ROW()-ROW(A$102)+1))),),"")</f>
        <v/>
      </c>
      <c r="AI121" s="0" t="str">
        <f aca="false" t="array" ref="AI121:AI121">IFERROR(CONCATENATE((INDEX($AL$7:$AL$100,SMALL(IF($AL$7:$AL$100&lt;&gt;"",IF($AI$7:$AI$100&lt;&gt;"",ROW($AI$7:$AI$100)-MIN(ROW($AI$7:$AI$100))+1,""),""),ROW()-ROW(A$102)+1)))," "),"")</f>
        <v/>
      </c>
      <c r="AJ121" s="0" t="str">
        <f aca="false" t="array" ref="AJ121:AJ121">IFERROR(CONCATENATE(TEXT(INDEX($AI$7:$AI$100,SMALL(IF($AL$7:$AL$100&lt;&gt;"",IF($AI$7:$AI$100&lt;&gt;"",ROW($AI$7:$AI$100)-MIN(ROW($AI$7:$AI$100))+1,""),""),ROW()-ROW(A$102)+1)),"##0")," "),"")</f>
        <v/>
      </c>
      <c r="AK121" s="0" t="str">
        <f aca="false" t="array" ref="AK121:AK121">IFERROR(CONCATENATE((INDEX($A$7:$A$100,SMALL(IF($AL$7:$AL$100&lt;&gt;"",IF($AI$7:$AI$100&lt;&gt;"",ROW($AI$7:$AI$100)-MIN(ROW($AI$7:$AI$100))+1,""),""),ROW()-ROW(A$102)+1))),),"")</f>
        <v/>
      </c>
    </row>
    <row r="122" customFormat="false" ht="15" hidden="false" customHeight="false" outlineLevel="0" collapsed="false">
      <c r="K122" s="0" t="str">
        <f aca="false" t="array" ref="K122:K122">IFERROR(CONCATENATE(TEXT(INDEX($K$7:$K$100,SMALL(IF($N$7:$N$100&lt;&gt;"",IF($K$7:$K$100&lt;&gt;"",ROW($K$7:$K$100)-MIN(ROW($K$7:$K$100))+1,""),""),ROW()-ROW(A$102)+1)),"##0"),","),"")</f>
        <v/>
      </c>
      <c r="L122" s="0" t="str">
        <f aca="false" t="array" ref="L122:L122">IFERROR(CONCATENATE((INDEX($N$7:$N$100,SMALL(IF($N$7:$N$100&lt;&gt;"",IF($K$7:$K$100&lt;&gt;"",ROW($K$7:$K$100)-MIN(ROW($K$7:$K$100))+1,""),""),ROW()-ROW(A$102)+1))),","),"")</f>
        <v/>
      </c>
      <c r="M122" s="0" t="str">
        <f aca="false" t="array" ref="M122:M122">IFERROR(CONCATENATE((INDEX($A$7:$A$100,SMALL(IF($N$7:$N$100&lt;&gt;"",IF($K$7:$K$100&lt;&gt;"",ROW($K$7:$K$100)-MIN(ROW($K$7:$K$100))+1,""),""),ROW()-ROW(A$102)+1))),),"")</f>
        <v/>
      </c>
      <c r="Q122" s="0" t="str">
        <f aca="false" t="array" ref="Q122:Q122">IFERROR(CONCATENATE((INDEX($T$7:$T$100,SMALL(IF($T$7:$T$100&lt;&gt;"",IF($Q$7:$Q$100&lt;&gt;"",ROW($Q$7:$Q$100)-MIN(ROW($Q$7:$Q$100))+1,""),""),ROW()-ROW(A$102)+1)))," "),"")</f>
        <v/>
      </c>
      <c r="R122" s="0" t="str">
        <f aca="false" t="array" ref="R122:R122">IFERROR(CONCATENATE(TEXT(INDEX($Q$7:$Q$100,SMALL(IF($T$7:$T$100&lt;&gt;"",IF($Q$7:$Q$100&lt;&gt;"",ROW($Q$7:$Q$100)-MIN(ROW($Q$7:$Q$100))+1,""),""),ROW()-ROW(A$102)+1)),"##0")," "),"")</f>
        <v/>
      </c>
      <c r="S122" s="0" t="str">
        <f aca="false" t="array" ref="S122:S122">IFERROR(CONCATENATE((INDEX($A$7:$A$100,SMALL(IF($T$7:$T$100&lt;&gt;"",IF($Q$7:$Q$100&lt;&gt;"",ROW($Q$7:$Q$100)-MIN(ROW($Q$7:$Q$100))+1,""),""),ROW()-ROW(A$102)+1))),),"")</f>
        <v/>
      </c>
      <c r="W122" s="0" t="str">
        <f aca="false" t="array" ref="W122:W122">IFERROR(CONCATENATE((INDEX($Z$7:$Z$100,SMALL(IF($Z$7:$Z$100&lt;&gt;"",IF($W$7:$W$100&lt;&gt;"",ROW($W$7:$W$100)-MIN(ROW($W$7:$W$100))+1,""),""),ROW()-ROW(A$102)+1)))," "),"")</f>
        <v/>
      </c>
      <c r="X122" s="0" t="str">
        <f aca="false" t="array" ref="X122:X122">IFERROR(CONCATENATE(TEXT(INDEX($W$7:$W$100,SMALL(IF($Z$7:$Z$100&lt;&gt;"",IF($W$7:$W$100&lt;&gt;"",ROW($W$7:$W$100)-MIN(ROW($W$7:$W$100))+1,""),""),ROW()-ROW(A$102)+1)),"##0")," "),"")</f>
        <v/>
      </c>
      <c r="Y122" s="0" t="str">
        <f aca="false" t="array" ref="Y122:Y122">IFERROR(CONCATENATE((INDEX($A$7:$A$100,SMALL(IF($Z$7:$Z$100&lt;&gt;"",IF($W$7:$W$100&lt;&gt;"",ROW($W$7:$W$100)-MIN(ROW($W$7:$W$100))+1,""),""),ROW()-ROW(A$102)+1))),),"")</f>
        <v/>
      </c>
      <c r="AC122" s="0" t="str">
        <f aca="false" t="array" ref="AC122:AC122">IFERROR(CONCATENATE((INDEX($AF$7:$AF$100,SMALL(IF($AF$7:$AF$100&lt;&gt;"",IF($AC$7:$AC$100&lt;&gt;"",ROW($AC$7:$AC$100)-MIN(ROW($AC$7:$AC$100))+1,""),""),ROW()-ROW(A$102)+1))),","),"")</f>
        <v/>
      </c>
      <c r="AD122" s="0" t="str">
        <f aca="false" t="array" ref="AD122:AD122">IFERROR(CONCATENATE(TEXT(INDEX($AC$7:$AC$100,SMALL(IF($AF$7:$AF$100&lt;&gt;"",IF($AC$7:$AC$100&lt;&gt;"",ROW($AC$7:$AC$100)-MIN(ROW($AC$7:$AC$100))+1,""),""),ROW()-ROW(A$102)+1)),"##0"),","),"")</f>
        <v/>
      </c>
      <c r="AE122" s="0" t="str">
        <f aca="false" t="array" ref="AE122:AE122">IFERROR(CONCATENATE((INDEX($A$7:$A$100,SMALL(IF($AF$7:$AF$100&lt;&gt;"",IF($AC$7:$AC$100&lt;&gt;"",ROW($AC$7:$AC$100)-MIN(ROW($AC$7:$AC$100))+1,""),""),ROW()-ROW(A$102)+1))),),"")</f>
        <v/>
      </c>
      <c r="AI122" s="0" t="str">
        <f aca="false" t="array" ref="AI122:AI122">IFERROR(CONCATENATE((INDEX($AL$7:$AL$100,SMALL(IF($AL$7:$AL$100&lt;&gt;"",IF($AI$7:$AI$100&lt;&gt;"",ROW($AI$7:$AI$100)-MIN(ROW($AI$7:$AI$100))+1,""),""),ROW()-ROW(A$102)+1)))," "),"")</f>
        <v/>
      </c>
      <c r="AJ122" s="0" t="str">
        <f aca="false" t="array" ref="AJ122:AJ122">IFERROR(CONCATENATE(TEXT(INDEX($AI$7:$AI$100,SMALL(IF($AL$7:$AL$100&lt;&gt;"",IF($AI$7:$AI$100&lt;&gt;"",ROW($AI$7:$AI$100)-MIN(ROW($AI$7:$AI$100))+1,""),""),ROW()-ROW(A$102)+1)),"##0")," "),"")</f>
        <v/>
      </c>
      <c r="AK122" s="0" t="str">
        <f aca="false" t="array" ref="AK122:AK122">IFERROR(CONCATENATE((INDEX($A$7:$A$100,SMALL(IF($AL$7:$AL$100&lt;&gt;"",IF($AI$7:$AI$100&lt;&gt;"",ROW($AI$7:$AI$100)-MIN(ROW($AI$7:$AI$100))+1,""),""),ROW()-ROW(A$102)+1))),),"")</f>
        <v/>
      </c>
    </row>
    <row r="123" customFormat="false" ht="15" hidden="false" customHeight="false" outlineLevel="0" collapsed="false">
      <c r="K123" s="0" t="str">
        <f aca="false" t="array" ref="K123:K123">IFERROR(CONCATENATE(TEXT(INDEX($K$7:$K$100,SMALL(IF($N$7:$N$100&lt;&gt;"",IF($K$7:$K$100&lt;&gt;"",ROW($K$7:$K$100)-MIN(ROW($K$7:$K$100))+1,""),""),ROW()-ROW(A$102)+1)),"##0"),","),"")</f>
        <v/>
      </c>
      <c r="L123" s="0" t="str">
        <f aca="false" t="array" ref="L123:L123">IFERROR(CONCATENATE((INDEX($N$7:$N$100,SMALL(IF($N$7:$N$100&lt;&gt;"",IF($K$7:$K$100&lt;&gt;"",ROW($K$7:$K$100)-MIN(ROW($K$7:$K$100))+1,""),""),ROW()-ROW(A$102)+1))),","),"")</f>
        <v/>
      </c>
      <c r="M123" s="0" t="str">
        <f aca="false" t="array" ref="M123:M123">IFERROR(CONCATENATE((INDEX($A$7:$A$100,SMALL(IF($N$7:$N$100&lt;&gt;"",IF($K$7:$K$100&lt;&gt;"",ROW($K$7:$K$100)-MIN(ROW($K$7:$K$100))+1,""),""),ROW()-ROW(A$102)+1))),),"")</f>
        <v/>
      </c>
      <c r="Q123" s="0" t="str">
        <f aca="false" t="array" ref="Q123:Q123">IFERROR(CONCATENATE((INDEX($T$7:$T$100,SMALL(IF($T$7:$T$100&lt;&gt;"",IF($Q$7:$Q$100&lt;&gt;"",ROW($Q$7:$Q$100)-MIN(ROW($Q$7:$Q$100))+1,""),""),ROW()-ROW(A$102)+1)))," "),"")</f>
        <v/>
      </c>
      <c r="R123" s="0" t="str">
        <f aca="false" t="array" ref="R123:R123">IFERROR(CONCATENATE(TEXT(INDEX($Q$7:$Q$100,SMALL(IF($T$7:$T$100&lt;&gt;"",IF($Q$7:$Q$100&lt;&gt;"",ROW($Q$7:$Q$100)-MIN(ROW($Q$7:$Q$100))+1,""),""),ROW()-ROW(A$102)+1)),"##0")," "),"")</f>
        <v/>
      </c>
      <c r="S123" s="0" t="str">
        <f aca="false" t="array" ref="S123:S123">IFERROR(CONCATENATE((INDEX($A$7:$A$100,SMALL(IF($T$7:$T$100&lt;&gt;"",IF($Q$7:$Q$100&lt;&gt;"",ROW($Q$7:$Q$100)-MIN(ROW($Q$7:$Q$100))+1,""),""),ROW()-ROW(A$102)+1))),),"")</f>
        <v/>
      </c>
      <c r="W123" s="0" t="str">
        <f aca="false" t="array" ref="W123:W123">IFERROR(CONCATENATE((INDEX($Z$7:$Z$100,SMALL(IF($Z$7:$Z$100&lt;&gt;"",IF($W$7:$W$100&lt;&gt;"",ROW($W$7:$W$100)-MIN(ROW($W$7:$W$100))+1,""),""),ROW()-ROW(A$102)+1)))," "),"")</f>
        <v/>
      </c>
      <c r="X123" s="0" t="str">
        <f aca="false" t="array" ref="X123:X123">IFERROR(CONCATENATE(TEXT(INDEX($W$7:$W$100,SMALL(IF($Z$7:$Z$100&lt;&gt;"",IF($W$7:$W$100&lt;&gt;"",ROW($W$7:$W$100)-MIN(ROW($W$7:$W$100))+1,""),""),ROW()-ROW(A$102)+1)),"##0")," "),"")</f>
        <v/>
      </c>
      <c r="Y123" s="0" t="str">
        <f aca="false" t="array" ref="Y123:Y123">IFERROR(CONCATENATE((INDEX($A$7:$A$100,SMALL(IF($Z$7:$Z$100&lt;&gt;"",IF($W$7:$W$100&lt;&gt;"",ROW($W$7:$W$100)-MIN(ROW($W$7:$W$100))+1,""),""),ROW()-ROW(A$102)+1))),),"")</f>
        <v/>
      </c>
      <c r="AC123" s="0" t="str">
        <f aca="false" t="array" ref="AC123:AC123">IFERROR(CONCATENATE((INDEX($AF$7:$AF$100,SMALL(IF($AF$7:$AF$100&lt;&gt;"",IF($AC$7:$AC$100&lt;&gt;"",ROW($AC$7:$AC$100)-MIN(ROW($AC$7:$AC$100))+1,""),""),ROW()-ROW(A$102)+1))),","),"")</f>
        <v/>
      </c>
      <c r="AD123" s="0" t="str">
        <f aca="false" t="array" ref="AD123:AD123">IFERROR(CONCATENATE(TEXT(INDEX($AC$7:$AC$100,SMALL(IF($AF$7:$AF$100&lt;&gt;"",IF($AC$7:$AC$100&lt;&gt;"",ROW($AC$7:$AC$100)-MIN(ROW($AC$7:$AC$100))+1,""),""),ROW()-ROW(A$102)+1)),"##0"),","),"")</f>
        <v/>
      </c>
      <c r="AE123" s="0" t="str">
        <f aca="false" t="array" ref="AE123:AE123">IFERROR(CONCATENATE((INDEX($A$7:$A$100,SMALL(IF($AF$7:$AF$100&lt;&gt;"",IF($AC$7:$AC$100&lt;&gt;"",ROW($AC$7:$AC$100)-MIN(ROW($AC$7:$AC$100))+1,""),""),ROW()-ROW(A$102)+1))),),"")</f>
        <v/>
      </c>
      <c r="AI123" s="0" t="str">
        <f aca="false" t="array" ref="AI123:AI123">IFERROR(CONCATENATE((INDEX($AL$7:$AL$100,SMALL(IF($AL$7:$AL$100&lt;&gt;"",IF($AI$7:$AI$100&lt;&gt;"",ROW($AI$7:$AI$100)-MIN(ROW($AI$7:$AI$100))+1,""),""),ROW()-ROW(A$102)+1)))," "),"")</f>
        <v/>
      </c>
      <c r="AJ123" s="0" t="str">
        <f aca="false" t="array" ref="AJ123:AJ123">IFERROR(CONCATENATE(TEXT(INDEX($AI$7:$AI$100,SMALL(IF($AL$7:$AL$100&lt;&gt;"",IF($AI$7:$AI$100&lt;&gt;"",ROW($AI$7:$AI$100)-MIN(ROW($AI$7:$AI$100))+1,""),""),ROW()-ROW(A$102)+1)),"##0")," "),"")</f>
        <v/>
      </c>
      <c r="AK123" s="0" t="str">
        <f aca="false" t="array" ref="AK123:AK123">IFERROR(CONCATENATE((INDEX($A$7:$A$100,SMALL(IF($AL$7:$AL$100&lt;&gt;"",IF($AI$7:$AI$100&lt;&gt;"",ROW($AI$7:$AI$100)-MIN(ROW($AI$7:$AI$100))+1,""),""),ROW()-ROW(A$102)+1))),),"")</f>
        <v/>
      </c>
    </row>
    <row r="124" customFormat="false" ht="15" hidden="false" customHeight="false" outlineLevel="0" collapsed="false">
      <c r="K124" s="0" t="str">
        <f aca="false" t="array" ref="K124:K124">IFERROR(CONCATENATE(TEXT(INDEX($K$7:$K$100,SMALL(IF($N$7:$N$100&lt;&gt;"",IF($K$7:$K$100&lt;&gt;"",ROW($K$7:$K$100)-MIN(ROW($K$7:$K$100))+1,""),""),ROW()-ROW(A$102)+1)),"##0"),","),"")</f>
        <v/>
      </c>
      <c r="L124" s="0" t="str">
        <f aca="false" t="array" ref="L124:L124">IFERROR(CONCATENATE((INDEX($N$7:$N$100,SMALL(IF($N$7:$N$100&lt;&gt;"",IF($K$7:$K$100&lt;&gt;"",ROW($K$7:$K$100)-MIN(ROW($K$7:$K$100))+1,""),""),ROW()-ROW(A$102)+1))),","),"")</f>
        <v/>
      </c>
      <c r="M124" s="0" t="str">
        <f aca="false" t="array" ref="M124:M124">IFERROR(CONCATENATE((INDEX($A$7:$A$100,SMALL(IF($N$7:$N$100&lt;&gt;"",IF($K$7:$K$100&lt;&gt;"",ROW($K$7:$K$100)-MIN(ROW($K$7:$K$100))+1,""),""),ROW()-ROW(A$102)+1))),),"")</f>
        <v/>
      </c>
      <c r="Q124" s="0" t="str">
        <f aca="false" t="array" ref="Q124:Q124">IFERROR(CONCATENATE((INDEX($T$7:$T$100,SMALL(IF($T$7:$T$100&lt;&gt;"",IF($Q$7:$Q$100&lt;&gt;"",ROW($Q$7:$Q$100)-MIN(ROW($Q$7:$Q$100))+1,""),""),ROW()-ROW(A$102)+1)))," "),"")</f>
        <v/>
      </c>
      <c r="R124" s="0" t="str">
        <f aca="false" t="array" ref="R124:R124">IFERROR(CONCATENATE(TEXT(INDEX($Q$7:$Q$100,SMALL(IF($T$7:$T$100&lt;&gt;"",IF($Q$7:$Q$100&lt;&gt;"",ROW($Q$7:$Q$100)-MIN(ROW($Q$7:$Q$100))+1,""),""),ROW()-ROW(A$102)+1)),"##0")," "),"")</f>
        <v/>
      </c>
      <c r="S124" s="0" t="str">
        <f aca="false" t="array" ref="S124:S124">IFERROR(CONCATENATE((INDEX($A$7:$A$100,SMALL(IF($T$7:$T$100&lt;&gt;"",IF($Q$7:$Q$100&lt;&gt;"",ROW($Q$7:$Q$100)-MIN(ROW($Q$7:$Q$100))+1,""),""),ROW()-ROW(A$102)+1))),),"")</f>
        <v/>
      </c>
      <c r="W124" s="0" t="str">
        <f aca="false" t="array" ref="W124:W124">IFERROR(CONCATENATE((INDEX($Z$7:$Z$100,SMALL(IF($Z$7:$Z$100&lt;&gt;"",IF($W$7:$W$100&lt;&gt;"",ROW($W$7:$W$100)-MIN(ROW($W$7:$W$100))+1,""),""),ROW()-ROW(A$102)+1)))," "),"")</f>
        <v/>
      </c>
      <c r="X124" s="0" t="str">
        <f aca="false" t="array" ref="X124:X124">IFERROR(CONCATENATE(TEXT(INDEX($W$7:$W$100,SMALL(IF($Z$7:$Z$100&lt;&gt;"",IF($W$7:$W$100&lt;&gt;"",ROW($W$7:$W$100)-MIN(ROW($W$7:$W$100))+1,""),""),ROW()-ROW(A$102)+1)),"##0")," "),"")</f>
        <v/>
      </c>
      <c r="Y124" s="0" t="str">
        <f aca="false" t="array" ref="Y124:Y124">IFERROR(CONCATENATE((INDEX($A$7:$A$100,SMALL(IF($Z$7:$Z$100&lt;&gt;"",IF($W$7:$W$100&lt;&gt;"",ROW($W$7:$W$100)-MIN(ROW($W$7:$W$100))+1,""),""),ROW()-ROW(A$102)+1))),),"")</f>
        <v/>
      </c>
      <c r="AC124" s="0" t="str">
        <f aca="false" t="array" ref="AC124:AC124">IFERROR(CONCATENATE((INDEX($AF$7:$AF$100,SMALL(IF($AF$7:$AF$100&lt;&gt;"",IF($AC$7:$AC$100&lt;&gt;"",ROW($AC$7:$AC$100)-MIN(ROW($AC$7:$AC$100))+1,""),""),ROW()-ROW(A$102)+1))),","),"")</f>
        <v/>
      </c>
      <c r="AD124" s="0" t="str">
        <f aca="false" t="array" ref="AD124:AD124">IFERROR(CONCATENATE(TEXT(INDEX($AC$7:$AC$100,SMALL(IF($AF$7:$AF$100&lt;&gt;"",IF($AC$7:$AC$100&lt;&gt;"",ROW($AC$7:$AC$100)-MIN(ROW($AC$7:$AC$100))+1,""),""),ROW()-ROW(A$102)+1)),"##0"),","),"")</f>
        <v/>
      </c>
      <c r="AE124" s="0" t="str">
        <f aca="false" t="array" ref="AE124:AE124">IFERROR(CONCATENATE((INDEX($A$7:$A$100,SMALL(IF($AF$7:$AF$100&lt;&gt;"",IF($AC$7:$AC$100&lt;&gt;"",ROW($AC$7:$AC$100)-MIN(ROW($AC$7:$AC$100))+1,""),""),ROW()-ROW(A$102)+1))),),"")</f>
        <v/>
      </c>
      <c r="AI124" s="0" t="str">
        <f aca="false" t="array" ref="AI124:AI124">IFERROR(CONCATENATE((INDEX($AL$7:$AL$100,SMALL(IF($AL$7:$AL$100&lt;&gt;"",IF($AI$7:$AI$100&lt;&gt;"",ROW($AI$7:$AI$100)-MIN(ROW($AI$7:$AI$100))+1,""),""),ROW()-ROW(A$102)+1)))," "),"")</f>
        <v/>
      </c>
      <c r="AJ124" s="0" t="str">
        <f aca="false" t="array" ref="AJ124:AJ124">IFERROR(CONCATENATE(TEXT(INDEX($AI$7:$AI$100,SMALL(IF($AL$7:$AL$100&lt;&gt;"",IF($AI$7:$AI$100&lt;&gt;"",ROW($AI$7:$AI$100)-MIN(ROW($AI$7:$AI$100))+1,""),""),ROW()-ROW(A$102)+1)),"##0")," "),"")</f>
        <v/>
      </c>
      <c r="AK124" s="0" t="str">
        <f aca="false" t="array" ref="AK124:AK124">IFERROR(CONCATENATE((INDEX($A$7:$A$100,SMALL(IF($AL$7:$AL$100&lt;&gt;"",IF($AI$7:$AI$100&lt;&gt;"",ROW($AI$7:$AI$100)-MIN(ROW($AI$7:$AI$100))+1,""),""),ROW()-ROW(A$102)+1))),),"")</f>
        <v/>
      </c>
    </row>
    <row r="125" customFormat="false" ht="15" hidden="false" customHeight="false" outlineLevel="0" collapsed="false">
      <c r="K125" s="0" t="str">
        <f aca="false" t="array" ref="K125:K125">IFERROR(CONCATENATE(TEXT(INDEX($K$7:$K$100,SMALL(IF($N$7:$N$100&lt;&gt;"",IF($K$7:$K$100&lt;&gt;"",ROW($K$7:$K$100)-MIN(ROW($K$7:$K$100))+1,""),""),ROW()-ROW(A$102)+1)),"##0"),","),"")</f>
        <v/>
      </c>
      <c r="L125" s="0" t="str">
        <f aca="false" t="array" ref="L125:L125">IFERROR(CONCATENATE((INDEX($N$7:$N$100,SMALL(IF($N$7:$N$100&lt;&gt;"",IF($K$7:$K$100&lt;&gt;"",ROW($K$7:$K$100)-MIN(ROW($K$7:$K$100))+1,""),""),ROW()-ROW(A$102)+1))),","),"")</f>
        <v/>
      </c>
      <c r="M125" s="0" t="str">
        <f aca="false" t="array" ref="M125:M125">IFERROR(CONCATENATE((INDEX($A$7:$A$100,SMALL(IF($N$7:$N$100&lt;&gt;"",IF($K$7:$K$100&lt;&gt;"",ROW($K$7:$K$100)-MIN(ROW($K$7:$K$100))+1,""),""),ROW()-ROW(A$102)+1))),),"")</f>
        <v/>
      </c>
      <c r="Q125" s="0" t="str">
        <f aca="false" t="array" ref="Q125:Q125">IFERROR(CONCATENATE((INDEX($T$7:$T$100,SMALL(IF($T$7:$T$100&lt;&gt;"",IF($Q$7:$Q$100&lt;&gt;"",ROW($Q$7:$Q$100)-MIN(ROW($Q$7:$Q$100))+1,""),""),ROW()-ROW(A$102)+1)))," "),"")</f>
        <v/>
      </c>
      <c r="R125" s="0" t="str">
        <f aca="false" t="array" ref="R125:R125">IFERROR(CONCATENATE(TEXT(INDEX($Q$7:$Q$100,SMALL(IF($T$7:$T$100&lt;&gt;"",IF($Q$7:$Q$100&lt;&gt;"",ROW($Q$7:$Q$100)-MIN(ROW($Q$7:$Q$100))+1,""),""),ROW()-ROW(A$102)+1)),"##0")," "),"")</f>
        <v/>
      </c>
      <c r="S125" s="0" t="str">
        <f aca="false" t="array" ref="S125:S125">IFERROR(CONCATENATE((INDEX($A$7:$A$100,SMALL(IF($T$7:$T$100&lt;&gt;"",IF($Q$7:$Q$100&lt;&gt;"",ROW($Q$7:$Q$100)-MIN(ROW($Q$7:$Q$100))+1,""),""),ROW()-ROW(A$102)+1))),),"")</f>
        <v/>
      </c>
      <c r="W125" s="0" t="str">
        <f aca="false" t="array" ref="W125:W125">IFERROR(CONCATENATE((INDEX($Z$7:$Z$100,SMALL(IF($Z$7:$Z$100&lt;&gt;"",IF($W$7:$W$100&lt;&gt;"",ROW($W$7:$W$100)-MIN(ROW($W$7:$W$100))+1,""),""),ROW()-ROW(A$102)+1)))," "),"")</f>
        <v/>
      </c>
      <c r="X125" s="0" t="str">
        <f aca="false" t="array" ref="X125:X125">IFERROR(CONCATENATE(TEXT(INDEX($W$7:$W$100,SMALL(IF($Z$7:$Z$100&lt;&gt;"",IF($W$7:$W$100&lt;&gt;"",ROW($W$7:$W$100)-MIN(ROW($W$7:$W$100))+1,""),""),ROW()-ROW(A$102)+1)),"##0")," "),"")</f>
        <v/>
      </c>
      <c r="Y125" s="0" t="str">
        <f aca="false" t="array" ref="Y125:Y125">IFERROR(CONCATENATE((INDEX($A$7:$A$100,SMALL(IF($Z$7:$Z$100&lt;&gt;"",IF($W$7:$W$100&lt;&gt;"",ROW($W$7:$W$100)-MIN(ROW($W$7:$W$100))+1,""),""),ROW()-ROW(A$102)+1))),),"")</f>
        <v/>
      </c>
      <c r="AC125" s="0" t="str">
        <f aca="false" t="array" ref="AC125:AC125">IFERROR(CONCATENATE((INDEX($AF$7:$AF$100,SMALL(IF($AF$7:$AF$100&lt;&gt;"",IF($AC$7:$AC$100&lt;&gt;"",ROW($AC$7:$AC$100)-MIN(ROW($AC$7:$AC$100))+1,""),""),ROW()-ROW(A$102)+1))),","),"")</f>
        <v/>
      </c>
      <c r="AD125" s="0" t="str">
        <f aca="false" t="array" ref="AD125:AD125">IFERROR(CONCATENATE(TEXT(INDEX($AC$7:$AC$100,SMALL(IF($AF$7:$AF$100&lt;&gt;"",IF($AC$7:$AC$100&lt;&gt;"",ROW($AC$7:$AC$100)-MIN(ROW($AC$7:$AC$100))+1,""),""),ROW()-ROW(A$102)+1)),"##0"),","),"")</f>
        <v/>
      </c>
      <c r="AE125" s="0" t="str">
        <f aca="false" t="array" ref="AE125:AE125">IFERROR(CONCATENATE((INDEX($A$7:$A$100,SMALL(IF($AF$7:$AF$100&lt;&gt;"",IF($AC$7:$AC$100&lt;&gt;"",ROW($AC$7:$AC$100)-MIN(ROW($AC$7:$AC$100))+1,""),""),ROW()-ROW(A$102)+1))),),"")</f>
        <v/>
      </c>
      <c r="AI125" s="0" t="str">
        <f aca="false" t="array" ref="AI125:AI125">IFERROR(CONCATENATE((INDEX($AL$7:$AL$100,SMALL(IF($AL$7:$AL$100&lt;&gt;"",IF($AI$7:$AI$100&lt;&gt;"",ROW($AI$7:$AI$100)-MIN(ROW($AI$7:$AI$100))+1,""),""),ROW()-ROW(A$102)+1)))," "),"")</f>
        <v/>
      </c>
      <c r="AJ125" s="0" t="str">
        <f aca="false" t="array" ref="AJ125:AJ125">IFERROR(CONCATENATE(TEXT(INDEX($AI$7:$AI$100,SMALL(IF($AL$7:$AL$100&lt;&gt;"",IF($AI$7:$AI$100&lt;&gt;"",ROW($AI$7:$AI$100)-MIN(ROW($AI$7:$AI$100))+1,""),""),ROW()-ROW(A$102)+1)),"##0")," "),"")</f>
        <v/>
      </c>
      <c r="AK125" s="0" t="str">
        <f aca="false" t="array" ref="AK125:AK125">IFERROR(CONCATENATE((INDEX($A$7:$A$100,SMALL(IF($AL$7:$AL$100&lt;&gt;"",IF($AI$7:$AI$100&lt;&gt;"",ROW($AI$7:$AI$100)-MIN(ROW($AI$7:$AI$100))+1,""),""),ROW()-ROW(A$102)+1))),),"")</f>
        <v/>
      </c>
    </row>
    <row r="126" customFormat="false" ht="15" hidden="false" customHeight="false" outlineLevel="0" collapsed="false">
      <c r="K126" s="0" t="str">
        <f aca="false" t="array" ref="K126:K126">IFERROR(CONCATENATE(TEXT(INDEX($K$7:$K$100,SMALL(IF($N$7:$N$100&lt;&gt;"",IF($K$7:$K$100&lt;&gt;"",ROW($K$7:$K$100)-MIN(ROW($K$7:$K$100))+1,""),""),ROW()-ROW(A$102)+1)),"##0"),","),"")</f>
        <v/>
      </c>
      <c r="L126" s="0" t="str">
        <f aca="false" t="array" ref="L126:L126">IFERROR(CONCATENATE((INDEX($N$7:$N$100,SMALL(IF($N$7:$N$100&lt;&gt;"",IF($K$7:$K$100&lt;&gt;"",ROW($K$7:$K$100)-MIN(ROW($K$7:$K$100))+1,""),""),ROW()-ROW(A$102)+1))),","),"")</f>
        <v/>
      </c>
      <c r="M126" s="0" t="str">
        <f aca="false" t="array" ref="M126:M126">IFERROR(CONCATENATE((INDEX($A$7:$A$100,SMALL(IF($N$7:$N$100&lt;&gt;"",IF($K$7:$K$100&lt;&gt;"",ROW($K$7:$K$100)-MIN(ROW($K$7:$K$100))+1,""),""),ROW()-ROW(A$102)+1))),),"")</f>
        <v/>
      </c>
      <c r="Q126" s="0" t="str">
        <f aca="false" t="array" ref="Q126:Q126">IFERROR(CONCATENATE((INDEX($T$7:$T$100,SMALL(IF($T$7:$T$100&lt;&gt;"",IF($Q$7:$Q$100&lt;&gt;"",ROW($Q$7:$Q$100)-MIN(ROW($Q$7:$Q$100))+1,""),""),ROW()-ROW(A$102)+1)))," "),"")</f>
        <v/>
      </c>
      <c r="R126" s="0" t="str">
        <f aca="false" t="array" ref="R126:R126">IFERROR(CONCATENATE(TEXT(INDEX($Q$7:$Q$100,SMALL(IF($T$7:$T$100&lt;&gt;"",IF($Q$7:$Q$100&lt;&gt;"",ROW($Q$7:$Q$100)-MIN(ROW($Q$7:$Q$100))+1,""),""),ROW()-ROW(A$102)+1)),"##0")," "),"")</f>
        <v/>
      </c>
      <c r="S126" s="0" t="str">
        <f aca="false" t="array" ref="S126:S126">IFERROR(CONCATENATE((INDEX($A$7:$A$100,SMALL(IF($T$7:$T$100&lt;&gt;"",IF($Q$7:$Q$100&lt;&gt;"",ROW($Q$7:$Q$100)-MIN(ROW($Q$7:$Q$100))+1,""),""),ROW()-ROW(A$102)+1))),),"")</f>
        <v/>
      </c>
      <c r="W126" s="0" t="str">
        <f aca="false" t="array" ref="W126:W126">IFERROR(CONCATENATE((INDEX($Z$7:$Z$100,SMALL(IF($Z$7:$Z$100&lt;&gt;"",IF($W$7:$W$100&lt;&gt;"",ROW($W$7:$W$100)-MIN(ROW($W$7:$W$100))+1,""),""),ROW()-ROW(A$102)+1)))," "),"")</f>
        <v/>
      </c>
      <c r="X126" s="0" t="str">
        <f aca="false" t="array" ref="X126:X126">IFERROR(CONCATENATE(TEXT(INDEX($W$7:$W$100,SMALL(IF($Z$7:$Z$100&lt;&gt;"",IF($W$7:$W$100&lt;&gt;"",ROW($W$7:$W$100)-MIN(ROW($W$7:$W$100))+1,""),""),ROW()-ROW(A$102)+1)),"##0")," "),"")</f>
        <v/>
      </c>
      <c r="Y126" s="0" t="str">
        <f aca="false" t="array" ref="Y126:Y126">IFERROR(CONCATENATE((INDEX($A$7:$A$100,SMALL(IF($Z$7:$Z$100&lt;&gt;"",IF($W$7:$W$100&lt;&gt;"",ROW($W$7:$W$100)-MIN(ROW($W$7:$W$100))+1,""),""),ROW()-ROW(A$102)+1))),),"")</f>
        <v/>
      </c>
      <c r="AC126" s="0" t="str">
        <f aca="false" t="array" ref="AC126:AC126">IFERROR(CONCATENATE((INDEX($AF$7:$AF$100,SMALL(IF($AF$7:$AF$100&lt;&gt;"",IF($AC$7:$AC$100&lt;&gt;"",ROW($AC$7:$AC$100)-MIN(ROW($AC$7:$AC$100))+1,""),""),ROW()-ROW(A$102)+1))),","),"")</f>
        <v/>
      </c>
      <c r="AD126" s="0" t="str">
        <f aca="false" t="array" ref="AD126:AD126">IFERROR(CONCATENATE(TEXT(INDEX($AC$7:$AC$100,SMALL(IF($AF$7:$AF$100&lt;&gt;"",IF($AC$7:$AC$100&lt;&gt;"",ROW($AC$7:$AC$100)-MIN(ROW($AC$7:$AC$100))+1,""),""),ROW()-ROW(A$102)+1)),"##0"),","),"")</f>
        <v/>
      </c>
      <c r="AE126" s="0" t="str">
        <f aca="false" t="array" ref="AE126:AE126">IFERROR(CONCATENATE((INDEX($A$7:$A$100,SMALL(IF($AF$7:$AF$100&lt;&gt;"",IF($AC$7:$AC$100&lt;&gt;"",ROW($AC$7:$AC$100)-MIN(ROW($AC$7:$AC$100))+1,""),""),ROW()-ROW(A$102)+1))),),"")</f>
        <v/>
      </c>
      <c r="AI126" s="0" t="str">
        <f aca="false" t="array" ref="AI126:AI126">IFERROR(CONCATENATE((INDEX($AL$7:$AL$100,SMALL(IF($AL$7:$AL$100&lt;&gt;"",IF($AI$7:$AI$100&lt;&gt;"",ROW($AI$7:$AI$100)-MIN(ROW($AI$7:$AI$100))+1,""),""),ROW()-ROW(A$102)+1)))," "),"")</f>
        <v/>
      </c>
      <c r="AJ126" s="0" t="str">
        <f aca="false" t="array" ref="AJ126:AJ126">IFERROR(CONCATENATE(TEXT(INDEX($AI$7:$AI$100,SMALL(IF($AL$7:$AL$100&lt;&gt;"",IF($AI$7:$AI$100&lt;&gt;"",ROW($AI$7:$AI$100)-MIN(ROW($AI$7:$AI$100))+1,""),""),ROW()-ROW(A$102)+1)),"##0")," "),"")</f>
        <v/>
      </c>
      <c r="AK126" s="0" t="str">
        <f aca="false" t="array" ref="AK126:AK126">IFERROR(CONCATENATE((INDEX($A$7:$A$100,SMALL(IF($AL$7:$AL$100&lt;&gt;"",IF($AI$7:$AI$100&lt;&gt;"",ROW($AI$7:$AI$100)-MIN(ROW($AI$7:$AI$100))+1,""),""),ROW()-ROW(A$102)+1))),),"")</f>
        <v/>
      </c>
    </row>
    <row r="127" customFormat="false" ht="15" hidden="false" customHeight="false" outlineLevel="0" collapsed="false">
      <c r="K127" s="0" t="str">
        <f aca="false" t="array" ref="K127:K127">IFERROR(CONCATENATE(TEXT(INDEX($K$7:$K$100,SMALL(IF($N$7:$N$100&lt;&gt;"",IF($K$7:$K$100&lt;&gt;"",ROW($K$7:$K$100)-MIN(ROW($K$7:$K$100))+1,""),""),ROW()-ROW(A$102)+1)),"##0"),","),"")</f>
        <v/>
      </c>
      <c r="L127" s="0" t="str">
        <f aca="false" t="array" ref="L127:L127">IFERROR(CONCATENATE((INDEX($N$7:$N$100,SMALL(IF($N$7:$N$100&lt;&gt;"",IF($K$7:$K$100&lt;&gt;"",ROW($K$7:$K$100)-MIN(ROW($K$7:$K$100))+1,""),""),ROW()-ROW(A$102)+1))),","),"")</f>
        <v/>
      </c>
      <c r="M127" s="0" t="str">
        <f aca="false" t="array" ref="M127:M127">IFERROR(CONCATENATE((INDEX($A$7:$A$100,SMALL(IF($N$7:$N$100&lt;&gt;"",IF($K$7:$K$100&lt;&gt;"",ROW($K$7:$K$100)-MIN(ROW($K$7:$K$100))+1,""),""),ROW()-ROW(A$102)+1))),),"")</f>
        <v/>
      </c>
      <c r="Q127" s="0" t="str">
        <f aca="false" t="array" ref="Q127:Q127">IFERROR(CONCATENATE((INDEX($T$7:$T$100,SMALL(IF($T$7:$T$100&lt;&gt;"",IF($Q$7:$Q$100&lt;&gt;"",ROW($Q$7:$Q$100)-MIN(ROW($Q$7:$Q$100))+1,""),""),ROW()-ROW(A$102)+1)))," "),"")</f>
        <v/>
      </c>
      <c r="R127" s="0" t="str">
        <f aca="false" t="array" ref="R127:R127">IFERROR(CONCATENATE(TEXT(INDEX($Q$7:$Q$100,SMALL(IF($T$7:$T$100&lt;&gt;"",IF($Q$7:$Q$100&lt;&gt;"",ROW($Q$7:$Q$100)-MIN(ROW($Q$7:$Q$100))+1,""),""),ROW()-ROW(A$102)+1)),"##0")," "),"")</f>
        <v/>
      </c>
      <c r="S127" s="0" t="str">
        <f aca="false" t="array" ref="S127:S127">IFERROR(CONCATENATE((INDEX($A$7:$A$100,SMALL(IF($T$7:$T$100&lt;&gt;"",IF($Q$7:$Q$100&lt;&gt;"",ROW($Q$7:$Q$100)-MIN(ROW($Q$7:$Q$100))+1,""),""),ROW()-ROW(A$102)+1))),),"")</f>
        <v/>
      </c>
      <c r="W127" s="0" t="str">
        <f aca="false" t="array" ref="W127:W127">IFERROR(CONCATENATE((INDEX($Z$7:$Z$100,SMALL(IF($Z$7:$Z$100&lt;&gt;"",IF($W$7:$W$100&lt;&gt;"",ROW($W$7:$W$100)-MIN(ROW($W$7:$W$100))+1,""),""),ROW()-ROW(A$102)+1)))," "),"")</f>
        <v/>
      </c>
      <c r="X127" s="0" t="str">
        <f aca="false" t="array" ref="X127:X127">IFERROR(CONCATENATE(TEXT(INDEX($W$7:$W$100,SMALL(IF($Z$7:$Z$100&lt;&gt;"",IF($W$7:$W$100&lt;&gt;"",ROW($W$7:$W$100)-MIN(ROW($W$7:$W$100))+1,""),""),ROW()-ROW(A$102)+1)),"##0")," "),"")</f>
        <v/>
      </c>
      <c r="Y127" s="0" t="str">
        <f aca="false" t="array" ref="Y127:Y127">IFERROR(CONCATENATE((INDEX($A$7:$A$100,SMALL(IF($Z$7:$Z$100&lt;&gt;"",IF($W$7:$W$100&lt;&gt;"",ROW($W$7:$W$100)-MIN(ROW($W$7:$W$100))+1,""),""),ROW()-ROW(A$102)+1))),),"")</f>
        <v/>
      </c>
      <c r="AC127" s="0" t="str">
        <f aca="false" t="array" ref="AC127:AC127">IFERROR(CONCATENATE((INDEX($AF$7:$AF$100,SMALL(IF($AF$7:$AF$100&lt;&gt;"",IF($AC$7:$AC$100&lt;&gt;"",ROW($AC$7:$AC$100)-MIN(ROW($AC$7:$AC$100))+1,""),""),ROW()-ROW(A$102)+1))),","),"")</f>
        <v/>
      </c>
      <c r="AD127" s="0" t="str">
        <f aca="false" t="array" ref="AD127:AD127">IFERROR(CONCATENATE(TEXT(INDEX($AC$7:$AC$100,SMALL(IF($AF$7:$AF$100&lt;&gt;"",IF($AC$7:$AC$100&lt;&gt;"",ROW($AC$7:$AC$100)-MIN(ROW($AC$7:$AC$100))+1,""),""),ROW()-ROW(A$102)+1)),"##0"),","),"")</f>
        <v/>
      </c>
      <c r="AE127" s="0" t="str">
        <f aca="false" t="array" ref="AE127:AE127">IFERROR(CONCATENATE((INDEX($A$7:$A$100,SMALL(IF($AF$7:$AF$100&lt;&gt;"",IF($AC$7:$AC$100&lt;&gt;"",ROW($AC$7:$AC$100)-MIN(ROW($AC$7:$AC$100))+1,""),""),ROW()-ROW(A$102)+1))),),"")</f>
        <v/>
      </c>
      <c r="AI127" s="0" t="str">
        <f aca="false" t="array" ref="AI127:AI127">IFERROR(CONCATENATE((INDEX($AL$7:$AL$100,SMALL(IF($AL$7:$AL$100&lt;&gt;"",IF($AI$7:$AI$100&lt;&gt;"",ROW($AI$7:$AI$100)-MIN(ROW($AI$7:$AI$100))+1,""),""),ROW()-ROW(A$102)+1)))," "),"")</f>
        <v/>
      </c>
      <c r="AJ127" s="0" t="str">
        <f aca="false" t="array" ref="AJ127:AJ127">IFERROR(CONCATENATE(TEXT(INDEX($AI$7:$AI$100,SMALL(IF($AL$7:$AL$100&lt;&gt;"",IF($AI$7:$AI$100&lt;&gt;"",ROW($AI$7:$AI$100)-MIN(ROW($AI$7:$AI$100))+1,""),""),ROW()-ROW(A$102)+1)),"##0")," "),"")</f>
        <v/>
      </c>
      <c r="AK127" s="0" t="str">
        <f aca="false" t="array" ref="AK127:AK127">IFERROR(CONCATENATE((INDEX($A$7:$A$100,SMALL(IF($AL$7:$AL$100&lt;&gt;"",IF($AI$7:$AI$100&lt;&gt;"",ROW($AI$7:$AI$100)-MIN(ROW($AI$7:$AI$100))+1,""),""),ROW()-ROW(A$102)+1))),),"")</f>
        <v/>
      </c>
    </row>
    <row r="128" customFormat="false" ht="15" hidden="false" customHeight="false" outlineLevel="0" collapsed="false">
      <c r="K128" s="0" t="str">
        <f aca="false" t="array" ref="K128:K128">IFERROR(CONCATENATE(TEXT(INDEX($K$7:$K$100,SMALL(IF($N$7:$N$100&lt;&gt;"",IF($K$7:$K$100&lt;&gt;"",ROW($K$7:$K$100)-MIN(ROW($K$7:$K$100))+1,""),""),ROW()-ROW(A$102)+1)),"##0"),","),"")</f>
        <v/>
      </c>
      <c r="L128" s="0" t="str">
        <f aca="false" t="array" ref="L128:L128">IFERROR(CONCATENATE((INDEX($N$7:$N$100,SMALL(IF($N$7:$N$100&lt;&gt;"",IF($K$7:$K$100&lt;&gt;"",ROW($K$7:$K$100)-MIN(ROW($K$7:$K$100))+1,""),""),ROW()-ROW(A$102)+1))),","),"")</f>
        <v/>
      </c>
      <c r="M128" s="0" t="str">
        <f aca="false" t="array" ref="M128:M128">IFERROR(CONCATENATE((INDEX($A$7:$A$100,SMALL(IF($N$7:$N$100&lt;&gt;"",IF($K$7:$K$100&lt;&gt;"",ROW($K$7:$K$100)-MIN(ROW($K$7:$K$100))+1,""),""),ROW()-ROW(A$102)+1))),),"")</f>
        <v/>
      </c>
      <c r="Q128" s="0" t="str">
        <f aca="false" t="array" ref="Q128:Q128">IFERROR(CONCATENATE((INDEX($T$7:$T$100,SMALL(IF($T$7:$T$100&lt;&gt;"",IF($Q$7:$Q$100&lt;&gt;"",ROW($Q$7:$Q$100)-MIN(ROW($Q$7:$Q$100))+1,""),""),ROW()-ROW(A$102)+1)))," "),"")</f>
        <v/>
      </c>
      <c r="R128" s="0" t="str">
        <f aca="false" t="array" ref="R128:R128">IFERROR(CONCATENATE(TEXT(INDEX($Q$7:$Q$100,SMALL(IF($T$7:$T$100&lt;&gt;"",IF($Q$7:$Q$100&lt;&gt;"",ROW($Q$7:$Q$100)-MIN(ROW($Q$7:$Q$100))+1,""),""),ROW()-ROW(A$102)+1)),"##0")," "),"")</f>
        <v/>
      </c>
      <c r="S128" s="0" t="str">
        <f aca="false" t="array" ref="S128:S128">IFERROR(CONCATENATE((INDEX($A$7:$A$100,SMALL(IF($T$7:$T$100&lt;&gt;"",IF($Q$7:$Q$100&lt;&gt;"",ROW($Q$7:$Q$100)-MIN(ROW($Q$7:$Q$100))+1,""),""),ROW()-ROW(A$102)+1))),),"")</f>
        <v/>
      </c>
      <c r="W128" s="0" t="str">
        <f aca="false" t="array" ref="W128:W128">IFERROR(CONCATENATE((INDEX($Z$7:$Z$100,SMALL(IF($Z$7:$Z$100&lt;&gt;"",IF($W$7:$W$100&lt;&gt;"",ROW($W$7:$W$100)-MIN(ROW($W$7:$W$100))+1,""),""),ROW()-ROW(A$102)+1)))," "),"")</f>
        <v/>
      </c>
      <c r="X128" s="0" t="str">
        <f aca="false" t="array" ref="X128:X128">IFERROR(CONCATENATE(TEXT(INDEX($W$7:$W$100,SMALL(IF($Z$7:$Z$100&lt;&gt;"",IF($W$7:$W$100&lt;&gt;"",ROW($W$7:$W$100)-MIN(ROW($W$7:$W$100))+1,""),""),ROW()-ROW(A$102)+1)),"##0")," "),"")</f>
        <v/>
      </c>
      <c r="Y128" s="0" t="str">
        <f aca="false" t="array" ref="Y128:Y128">IFERROR(CONCATENATE((INDEX($A$7:$A$100,SMALL(IF($Z$7:$Z$100&lt;&gt;"",IF($W$7:$W$100&lt;&gt;"",ROW($W$7:$W$100)-MIN(ROW($W$7:$W$100))+1,""),""),ROW()-ROW(A$102)+1))),),"")</f>
        <v/>
      </c>
      <c r="AC128" s="0" t="str">
        <f aca="false" t="array" ref="AC128:AC128">IFERROR(CONCATENATE((INDEX($AF$7:$AF$100,SMALL(IF($AF$7:$AF$100&lt;&gt;"",IF($AC$7:$AC$100&lt;&gt;"",ROW($AC$7:$AC$100)-MIN(ROW($AC$7:$AC$100))+1,""),""),ROW()-ROW(A$102)+1))),","),"")</f>
        <v/>
      </c>
      <c r="AD128" s="0" t="str">
        <f aca="false" t="array" ref="AD128:AD128">IFERROR(CONCATENATE(TEXT(INDEX($AC$7:$AC$100,SMALL(IF($AF$7:$AF$100&lt;&gt;"",IF($AC$7:$AC$100&lt;&gt;"",ROW($AC$7:$AC$100)-MIN(ROW($AC$7:$AC$100))+1,""),""),ROW()-ROW(A$102)+1)),"##0"),","),"")</f>
        <v/>
      </c>
      <c r="AE128" s="0" t="str">
        <f aca="false" t="array" ref="AE128:AE128">IFERROR(CONCATENATE((INDEX($A$7:$A$100,SMALL(IF($AF$7:$AF$100&lt;&gt;"",IF($AC$7:$AC$100&lt;&gt;"",ROW($AC$7:$AC$100)-MIN(ROW($AC$7:$AC$100))+1,""),""),ROW()-ROW(A$102)+1))),),"")</f>
        <v/>
      </c>
      <c r="AI128" s="0" t="str">
        <f aca="false" t="array" ref="AI128:AI128">IFERROR(CONCATENATE((INDEX($AL$7:$AL$100,SMALL(IF($AL$7:$AL$100&lt;&gt;"",IF($AI$7:$AI$100&lt;&gt;"",ROW($AI$7:$AI$100)-MIN(ROW($AI$7:$AI$100))+1,""),""),ROW()-ROW(A$102)+1)))," "),"")</f>
        <v/>
      </c>
      <c r="AJ128" s="0" t="str">
        <f aca="false" t="array" ref="AJ128:AJ128">IFERROR(CONCATENATE(TEXT(INDEX($AI$7:$AI$100,SMALL(IF($AL$7:$AL$100&lt;&gt;"",IF($AI$7:$AI$100&lt;&gt;"",ROW($AI$7:$AI$100)-MIN(ROW($AI$7:$AI$100))+1,""),""),ROW()-ROW(A$102)+1)),"##0")," "),"")</f>
        <v/>
      </c>
      <c r="AK128" s="0" t="str">
        <f aca="false" t="array" ref="AK128:AK128">IFERROR(CONCATENATE((INDEX($A$7:$A$100,SMALL(IF($AL$7:$AL$100&lt;&gt;"",IF($AI$7:$AI$100&lt;&gt;"",ROW($AI$7:$AI$100)-MIN(ROW($AI$7:$AI$100))+1,""),""),ROW()-ROW(A$102)+1))),),"")</f>
        <v/>
      </c>
    </row>
    <row r="129" customFormat="false" ht="15" hidden="false" customHeight="false" outlineLevel="0" collapsed="false">
      <c r="K129" s="0" t="str">
        <f aca="false" t="array" ref="K129:K129">IFERROR(CONCATENATE(TEXT(INDEX($K$7:$K$100,SMALL(IF($N$7:$N$100&lt;&gt;"",IF($K$7:$K$100&lt;&gt;"",ROW($K$7:$K$100)-MIN(ROW($K$7:$K$100))+1,""),""),ROW()-ROW(A$102)+1)),"##0"),","),"")</f>
        <v/>
      </c>
      <c r="L129" s="0" t="str">
        <f aca="false" t="array" ref="L129:L129">IFERROR(CONCATENATE((INDEX($N$7:$N$100,SMALL(IF($N$7:$N$100&lt;&gt;"",IF($K$7:$K$100&lt;&gt;"",ROW($K$7:$K$100)-MIN(ROW($K$7:$K$100))+1,""),""),ROW()-ROW(A$102)+1))),","),"")</f>
        <v/>
      </c>
      <c r="M129" s="0" t="str">
        <f aca="false" t="array" ref="M129:M129">IFERROR(CONCATENATE((INDEX($A$7:$A$100,SMALL(IF($N$7:$N$100&lt;&gt;"",IF($K$7:$K$100&lt;&gt;"",ROW($K$7:$K$100)-MIN(ROW($K$7:$K$100))+1,""),""),ROW()-ROW(A$102)+1))),),"")</f>
        <v/>
      </c>
      <c r="Q129" s="0" t="str">
        <f aca="false" t="array" ref="Q129:Q129">IFERROR(CONCATENATE((INDEX($T$7:$T$100,SMALL(IF($T$7:$T$100&lt;&gt;"",IF($Q$7:$Q$100&lt;&gt;"",ROW($Q$7:$Q$100)-MIN(ROW($Q$7:$Q$100))+1,""),""),ROW()-ROW(A$102)+1)))," "),"")</f>
        <v/>
      </c>
      <c r="R129" s="0" t="str">
        <f aca="false" t="array" ref="R129:R129">IFERROR(CONCATENATE(TEXT(INDEX($Q$7:$Q$100,SMALL(IF($T$7:$T$100&lt;&gt;"",IF($Q$7:$Q$100&lt;&gt;"",ROW($Q$7:$Q$100)-MIN(ROW($Q$7:$Q$100))+1,""),""),ROW()-ROW(A$102)+1)),"##0")," "),"")</f>
        <v/>
      </c>
      <c r="S129" s="0" t="str">
        <f aca="false" t="array" ref="S129:S129">IFERROR(CONCATENATE((INDEX($A$7:$A$100,SMALL(IF($T$7:$T$100&lt;&gt;"",IF($Q$7:$Q$100&lt;&gt;"",ROW($Q$7:$Q$100)-MIN(ROW($Q$7:$Q$100))+1,""),""),ROW()-ROW(A$102)+1))),),"")</f>
        <v/>
      </c>
      <c r="W129" s="0" t="str">
        <f aca="false" t="array" ref="W129:W129">IFERROR(CONCATENATE((INDEX($Z$7:$Z$100,SMALL(IF($Z$7:$Z$100&lt;&gt;"",IF($W$7:$W$100&lt;&gt;"",ROW($W$7:$W$100)-MIN(ROW($W$7:$W$100))+1,""),""),ROW()-ROW(A$102)+1)))," "),"")</f>
        <v/>
      </c>
      <c r="X129" s="0" t="str">
        <f aca="false" t="array" ref="X129:X129">IFERROR(CONCATENATE(TEXT(INDEX($W$7:$W$100,SMALL(IF($Z$7:$Z$100&lt;&gt;"",IF($W$7:$W$100&lt;&gt;"",ROW($W$7:$W$100)-MIN(ROW($W$7:$W$100))+1,""),""),ROW()-ROW(A$102)+1)),"##0")," "),"")</f>
        <v/>
      </c>
      <c r="Y129" s="0" t="str">
        <f aca="false" t="array" ref="Y129:Y129">IFERROR(CONCATENATE((INDEX($A$7:$A$100,SMALL(IF($Z$7:$Z$100&lt;&gt;"",IF($W$7:$W$100&lt;&gt;"",ROW($W$7:$W$100)-MIN(ROW($W$7:$W$100))+1,""),""),ROW()-ROW(A$102)+1))),),"")</f>
        <v/>
      </c>
      <c r="AC129" s="0" t="str">
        <f aca="false" t="array" ref="AC129:AC129">IFERROR(CONCATENATE((INDEX($AF$7:$AF$100,SMALL(IF($AF$7:$AF$100&lt;&gt;"",IF($AC$7:$AC$100&lt;&gt;"",ROW($AC$7:$AC$100)-MIN(ROW($AC$7:$AC$100))+1,""),""),ROW()-ROW(A$102)+1))),","),"")</f>
        <v/>
      </c>
      <c r="AD129" s="0" t="str">
        <f aca="false" t="array" ref="AD129:AD129">IFERROR(CONCATENATE(TEXT(INDEX($AC$7:$AC$100,SMALL(IF($AF$7:$AF$100&lt;&gt;"",IF($AC$7:$AC$100&lt;&gt;"",ROW($AC$7:$AC$100)-MIN(ROW($AC$7:$AC$100))+1,""),""),ROW()-ROW(A$102)+1)),"##0"),","),"")</f>
        <v/>
      </c>
      <c r="AE129" s="0" t="str">
        <f aca="false" t="array" ref="AE129:AE129">IFERROR(CONCATENATE((INDEX($A$7:$A$100,SMALL(IF($AF$7:$AF$100&lt;&gt;"",IF($AC$7:$AC$100&lt;&gt;"",ROW($AC$7:$AC$100)-MIN(ROW($AC$7:$AC$100))+1,""),""),ROW()-ROW(A$102)+1))),),"")</f>
        <v/>
      </c>
      <c r="AI129" s="0" t="str">
        <f aca="false" t="array" ref="AI129:AI129">IFERROR(CONCATENATE((INDEX($AL$7:$AL$100,SMALL(IF($AL$7:$AL$100&lt;&gt;"",IF($AI$7:$AI$100&lt;&gt;"",ROW($AI$7:$AI$100)-MIN(ROW($AI$7:$AI$100))+1,""),""),ROW()-ROW(A$102)+1)))," "),"")</f>
        <v/>
      </c>
      <c r="AJ129" s="0" t="str">
        <f aca="false" t="array" ref="AJ129:AJ129">IFERROR(CONCATENATE(TEXT(INDEX($AI$7:$AI$100,SMALL(IF($AL$7:$AL$100&lt;&gt;"",IF($AI$7:$AI$100&lt;&gt;"",ROW($AI$7:$AI$100)-MIN(ROW($AI$7:$AI$100))+1,""),""),ROW()-ROW(A$102)+1)),"##0")," "),"")</f>
        <v/>
      </c>
      <c r="AK129" s="0" t="str">
        <f aca="false" t="array" ref="AK129:AK129">IFERROR(CONCATENATE((INDEX($A$7:$A$100,SMALL(IF($AL$7:$AL$100&lt;&gt;"",IF($AI$7:$AI$100&lt;&gt;"",ROW($AI$7:$AI$100)-MIN(ROW($AI$7:$AI$100))+1,""),""),ROW()-ROW(A$102)+1))),),"")</f>
        <v/>
      </c>
    </row>
    <row r="130" customFormat="false" ht="15" hidden="false" customHeight="false" outlineLevel="0" collapsed="false">
      <c r="K130" s="0" t="str">
        <f aca="false" t="array" ref="K130:K130">IFERROR(CONCATENATE(TEXT(INDEX($K$7:$K$100,SMALL(IF($N$7:$N$100&lt;&gt;"",IF($K$7:$K$100&lt;&gt;"",ROW($K$7:$K$100)-MIN(ROW($K$7:$K$100))+1,""),""),ROW()-ROW(A$102)+1)),"##0"),","),"")</f>
        <v/>
      </c>
      <c r="L130" s="0" t="str">
        <f aca="false" t="array" ref="L130:L130">IFERROR(CONCATENATE((INDEX($N$7:$N$100,SMALL(IF($N$7:$N$100&lt;&gt;"",IF($K$7:$K$100&lt;&gt;"",ROW($K$7:$K$100)-MIN(ROW($K$7:$K$100))+1,""),""),ROW()-ROW(A$102)+1))),","),"")</f>
        <v/>
      </c>
      <c r="M130" s="0" t="str">
        <f aca="false" t="array" ref="M130:M130">IFERROR(CONCATENATE((INDEX($A$7:$A$100,SMALL(IF($N$7:$N$100&lt;&gt;"",IF($K$7:$K$100&lt;&gt;"",ROW($K$7:$K$100)-MIN(ROW($K$7:$K$100))+1,""),""),ROW()-ROW(A$102)+1))),),"")</f>
        <v/>
      </c>
      <c r="Q130" s="0" t="str">
        <f aca="false" t="array" ref="Q130:Q130">IFERROR(CONCATENATE((INDEX($T$7:$T$100,SMALL(IF($T$7:$T$100&lt;&gt;"",IF($Q$7:$Q$100&lt;&gt;"",ROW($Q$7:$Q$100)-MIN(ROW($Q$7:$Q$100))+1,""),""),ROW()-ROW(A$102)+1)))," "),"")</f>
        <v/>
      </c>
      <c r="R130" s="0" t="str">
        <f aca="false" t="array" ref="R130:R130">IFERROR(CONCATENATE(TEXT(INDEX($Q$7:$Q$100,SMALL(IF($T$7:$T$100&lt;&gt;"",IF($Q$7:$Q$100&lt;&gt;"",ROW($Q$7:$Q$100)-MIN(ROW($Q$7:$Q$100))+1,""),""),ROW()-ROW(A$102)+1)),"##0")," "),"")</f>
        <v/>
      </c>
      <c r="S130" s="0" t="str">
        <f aca="false" t="array" ref="S130:S130">IFERROR(CONCATENATE((INDEX($A$7:$A$100,SMALL(IF($T$7:$T$100&lt;&gt;"",IF($Q$7:$Q$100&lt;&gt;"",ROW($Q$7:$Q$100)-MIN(ROW($Q$7:$Q$100))+1,""),""),ROW()-ROW(A$102)+1))),),"")</f>
        <v/>
      </c>
      <c r="W130" s="0" t="str">
        <f aca="false" t="array" ref="W130:W130">IFERROR(CONCATENATE((INDEX($Z$7:$Z$100,SMALL(IF($Z$7:$Z$100&lt;&gt;"",IF($W$7:$W$100&lt;&gt;"",ROW($W$7:$W$100)-MIN(ROW($W$7:$W$100))+1,""),""),ROW()-ROW(A$102)+1)))," "),"")</f>
        <v/>
      </c>
      <c r="X130" s="0" t="str">
        <f aca="false" t="array" ref="X130:X130">IFERROR(CONCATENATE(TEXT(INDEX($W$7:$W$100,SMALL(IF($Z$7:$Z$100&lt;&gt;"",IF($W$7:$W$100&lt;&gt;"",ROW($W$7:$W$100)-MIN(ROW($W$7:$W$100))+1,""),""),ROW()-ROW(A$102)+1)),"##0")," "),"")</f>
        <v/>
      </c>
      <c r="Y130" s="0" t="str">
        <f aca="false" t="array" ref="Y130:Y130">IFERROR(CONCATENATE((INDEX($A$7:$A$100,SMALL(IF($Z$7:$Z$100&lt;&gt;"",IF($W$7:$W$100&lt;&gt;"",ROW($W$7:$W$100)-MIN(ROW($W$7:$W$100))+1,""),""),ROW()-ROW(A$102)+1))),),"")</f>
        <v/>
      </c>
      <c r="AC130" s="0" t="str">
        <f aca="false" t="array" ref="AC130:AC130">IFERROR(CONCATENATE((INDEX($AF$7:$AF$100,SMALL(IF($AF$7:$AF$100&lt;&gt;"",IF($AC$7:$AC$100&lt;&gt;"",ROW($AC$7:$AC$100)-MIN(ROW($AC$7:$AC$100))+1,""),""),ROW()-ROW(A$102)+1))),","),"")</f>
        <v/>
      </c>
      <c r="AD130" s="0" t="str">
        <f aca="false" t="array" ref="AD130:AD130">IFERROR(CONCATENATE(TEXT(INDEX($AC$7:$AC$100,SMALL(IF($AF$7:$AF$100&lt;&gt;"",IF($AC$7:$AC$100&lt;&gt;"",ROW($AC$7:$AC$100)-MIN(ROW($AC$7:$AC$100))+1,""),""),ROW()-ROW(A$102)+1)),"##0"),","),"")</f>
        <v/>
      </c>
      <c r="AE130" s="0" t="str">
        <f aca="false" t="array" ref="AE130:AE130">IFERROR(CONCATENATE((INDEX($A$7:$A$100,SMALL(IF($AF$7:$AF$100&lt;&gt;"",IF($AC$7:$AC$100&lt;&gt;"",ROW($AC$7:$AC$100)-MIN(ROW($AC$7:$AC$100))+1,""),""),ROW()-ROW(A$102)+1))),),"")</f>
        <v/>
      </c>
      <c r="AI130" s="0" t="str">
        <f aca="false" t="array" ref="AI130:AI130">IFERROR(CONCATENATE((INDEX($AL$7:$AL$100,SMALL(IF($AL$7:$AL$100&lt;&gt;"",IF($AI$7:$AI$100&lt;&gt;"",ROW($AI$7:$AI$100)-MIN(ROW($AI$7:$AI$100))+1,""),""),ROW()-ROW(A$102)+1)))," "),"")</f>
        <v/>
      </c>
      <c r="AJ130" s="0" t="str">
        <f aca="false" t="array" ref="AJ130:AJ130">IFERROR(CONCATENATE(TEXT(INDEX($AI$7:$AI$100,SMALL(IF($AL$7:$AL$100&lt;&gt;"",IF($AI$7:$AI$100&lt;&gt;"",ROW($AI$7:$AI$100)-MIN(ROW($AI$7:$AI$100))+1,""),""),ROW()-ROW(A$102)+1)),"##0")," "),"")</f>
        <v/>
      </c>
      <c r="AK130" s="0" t="str">
        <f aca="false" t="array" ref="AK130:AK130">IFERROR(CONCATENATE((INDEX($A$7:$A$100,SMALL(IF($AL$7:$AL$100&lt;&gt;"",IF($AI$7:$AI$100&lt;&gt;"",ROW($AI$7:$AI$100)-MIN(ROW($AI$7:$AI$100))+1,""),""),ROW()-ROW(A$102)+1))),),"")</f>
        <v/>
      </c>
    </row>
    <row r="131" customFormat="false" ht="15" hidden="false" customHeight="false" outlineLevel="0" collapsed="false">
      <c r="K131" s="0" t="str">
        <f aca="false" t="array" ref="K131:K131">IFERROR(CONCATENATE(TEXT(INDEX($K$7:$K$100,SMALL(IF($N$7:$N$100&lt;&gt;"",IF($K$7:$K$100&lt;&gt;"",ROW($K$7:$K$100)-MIN(ROW($K$7:$K$100))+1,""),""),ROW()-ROW(A$102)+1)),"##0"),","),"")</f>
        <v/>
      </c>
      <c r="L131" s="0" t="str">
        <f aca="false" t="array" ref="L131:L131">IFERROR(CONCATENATE((INDEX($N$7:$N$100,SMALL(IF($N$7:$N$100&lt;&gt;"",IF($K$7:$K$100&lt;&gt;"",ROW($K$7:$K$100)-MIN(ROW($K$7:$K$100))+1,""),""),ROW()-ROW(A$102)+1))),","),"")</f>
        <v/>
      </c>
      <c r="M131" s="0" t="str">
        <f aca="false" t="array" ref="M131:M131">IFERROR(CONCATENATE((INDEX($A$7:$A$100,SMALL(IF($N$7:$N$100&lt;&gt;"",IF($K$7:$K$100&lt;&gt;"",ROW($K$7:$K$100)-MIN(ROW($K$7:$K$100))+1,""),""),ROW()-ROW(A$102)+1))),),"")</f>
        <v/>
      </c>
      <c r="Q131" s="0" t="str">
        <f aca="false" t="array" ref="Q131:Q131">IFERROR(CONCATENATE((INDEX($T$7:$T$100,SMALL(IF($T$7:$T$100&lt;&gt;"",IF($Q$7:$Q$100&lt;&gt;"",ROW($Q$7:$Q$100)-MIN(ROW($Q$7:$Q$100))+1,""),""),ROW()-ROW(A$102)+1)))," "),"")</f>
        <v/>
      </c>
      <c r="R131" s="0" t="str">
        <f aca="false" t="array" ref="R131:R131">IFERROR(CONCATENATE(TEXT(INDEX($Q$7:$Q$100,SMALL(IF($T$7:$T$100&lt;&gt;"",IF($Q$7:$Q$100&lt;&gt;"",ROW($Q$7:$Q$100)-MIN(ROW($Q$7:$Q$100))+1,""),""),ROW()-ROW(A$102)+1)),"##0")," "),"")</f>
        <v/>
      </c>
      <c r="S131" s="0" t="str">
        <f aca="false" t="array" ref="S131:S131">IFERROR(CONCATENATE((INDEX($A$7:$A$100,SMALL(IF($T$7:$T$100&lt;&gt;"",IF($Q$7:$Q$100&lt;&gt;"",ROW($Q$7:$Q$100)-MIN(ROW($Q$7:$Q$100))+1,""),""),ROW()-ROW(A$102)+1))),),"")</f>
        <v/>
      </c>
      <c r="W131" s="0" t="str">
        <f aca="false" t="array" ref="W131:W131">IFERROR(CONCATENATE((INDEX($Z$7:$Z$100,SMALL(IF($Z$7:$Z$100&lt;&gt;"",IF($W$7:$W$100&lt;&gt;"",ROW($W$7:$W$100)-MIN(ROW($W$7:$W$100))+1,""),""),ROW()-ROW(A$102)+1)))," "),"")</f>
        <v/>
      </c>
      <c r="X131" s="0" t="str">
        <f aca="false" t="array" ref="X131:X131">IFERROR(CONCATENATE(TEXT(INDEX($W$7:$W$100,SMALL(IF($Z$7:$Z$100&lt;&gt;"",IF($W$7:$W$100&lt;&gt;"",ROW($W$7:$W$100)-MIN(ROW($W$7:$W$100))+1,""),""),ROW()-ROW(A$102)+1)),"##0")," "),"")</f>
        <v/>
      </c>
      <c r="Y131" s="0" t="str">
        <f aca="false" t="array" ref="Y131:Y131">IFERROR(CONCATENATE((INDEX($A$7:$A$100,SMALL(IF($Z$7:$Z$100&lt;&gt;"",IF($W$7:$W$100&lt;&gt;"",ROW($W$7:$W$100)-MIN(ROW($W$7:$W$100))+1,""),""),ROW()-ROW(A$102)+1))),),"")</f>
        <v/>
      </c>
      <c r="AC131" s="0" t="str">
        <f aca="false" t="array" ref="AC131:AC131">IFERROR(CONCATENATE((INDEX($AF$7:$AF$100,SMALL(IF($AF$7:$AF$100&lt;&gt;"",IF($AC$7:$AC$100&lt;&gt;"",ROW($AC$7:$AC$100)-MIN(ROW($AC$7:$AC$100))+1,""),""),ROW()-ROW(A$102)+1))),","),"")</f>
        <v/>
      </c>
      <c r="AD131" s="0" t="str">
        <f aca="false" t="array" ref="AD131:AD131">IFERROR(CONCATENATE(TEXT(INDEX($AC$7:$AC$100,SMALL(IF($AF$7:$AF$100&lt;&gt;"",IF($AC$7:$AC$100&lt;&gt;"",ROW($AC$7:$AC$100)-MIN(ROW($AC$7:$AC$100))+1,""),""),ROW()-ROW(A$102)+1)),"##0"),","),"")</f>
        <v/>
      </c>
      <c r="AE131" s="0" t="str">
        <f aca="false" t="array" ref="AE131:AE131">IFERROR(CONCATENATE((INDEX($A$7:$A$100,SMALL(IF($AF$7:$AF$100&lt;&gt;"",IF($AC$7:$AC$100&lt;&gt;"",ROW($AC$7:$AC$100)-MIN(ROW($AC$7:$AC$100))+1,""),""),ROW()-ROW(A$102)+1))),),"")</f>
        <v/>
      </c>
      <c r="AI131" s="0" t="str">
        <f aca="false" t="array" ref="AI131:AI131">IFERROR(CONCATENATE((INDEX($AL$7:$AL$100,SMALL(IF($AL$7:$AL$100&lt;&gt;"",IF($AI$7:$AI$100&lt;&gt;"",ROW($AI$7:$AI$100)-MIN(ROW($AI$7:$AI$100))+1,""),""),ROW()-ROW(A$102)+1)))," "),"")</f>
        <v/>
      </c>
      <c r="AJ131" s="0" t="str">
        <f aca="false" t="array" ref="AJ131:AJ131">IFERROR(CONCATENATE(TEXT(INDEX($AI$7:$AI$100,SMALL(IF($AL$7:$AL$100&lt;&gt;"",IF($AI$7:$AI$100&lt;&gt;"",ROW($AI$7:$AI$100)-MIN(ROW($AI$7:$AI$100))+1,""),""),ROW()-ROW(A$102)+1)),"##0")," "),"")</f>
        <v/>
      </c>
      <c r="AK131" s="0" t="str">
        <f aca="false" t="array" ref="AK131:AK131">IFERROR(CONCATENATE((INDEX($A$7:$A$100,SMALL(IF($AL$7:$AL$100&lt;&gt;"",IF($AI$7:$AI$100&lt;&gt;"",ROW($AI$7:$AI$100)-MIN(ROW($AI$7:$AI$100))+1,""),""),ROW()-ROW(A$102)+1))),),"")</f>
        <v/>
      </c>
    </row>
    <row r="132" customFormat="false" ht="15" hidden="false" customHeight="false" outlineLevel="0" collapsed="false">
      <c r="K132" s="0" t="str">
        <f aca="false" t="array" ref="K132:K132">IFERROR(CONCATENATE(TEXT(INDEX($K$7:$K$100,SMALL(IF($N$7:$N$100&lt;&gt;"",IF($K$7:$K$100&lt;&gt;"",ROW($K$7:$K$100)-MIN(ROW($K$7:$K$100))+1,""),""),ROW()-ROW(A$102)+1)),"##0"),","),"")</f>
        <v/>
      </c>
      <c r="L132" s="0" t="str">
        <f aca="false" t="array" ref="L132:L132">IFERROR(CONCATENATE((INDEX($N$7:$N$100,SMALL(IF($N$7:$N$100&lt;&gt;"",IF($K$7:$K$100&lt;&gt;"",ROW($K$7:$K$100)-MIN(ROW($K$7:$K$100))+1,""),""),ROW()-ROW(A$102)+1))),","),"")</f>
        <v/>
      </c>
      <c r="M132" s="0" t="str">
        <f aca="false" t="array" ref="M132:M132">IFERROR(CONCATENATE((INDEX($A$7:$A$100,SMALL(IF($N$7:$N$100&lt;&gt;"",IF($K$7:$K$100&lt;&gt;"",ROW($K$7:$K$100)-MIN(ROW($K$7:$K$100))+1,""),""),ROW()-ROW(A$102)+1))),),"")</f>
        <v/>
      </c>
      <c r="Q132" s="0" t="str">
        <f aca="false" t="array" ref="Q132:Q132">IFERROR(CONCATENATE((INDEX($T$7:$T$100,SMALL(IF($T$7:$T$100&lt;&gt;"",IF($Q$7:$Q$100&lt;&gt;"",ROW($Q$7:$Q$100)-MIN(ROW($Q$7:$Q$100))+1,""),""),ROW()-ROW(A$102)+1)))," "),"")</f>
        <v/>
      </c>
      <c r="R132" s="0" t="str">
        <f aca="false" t="array" ref="R132:R132">IFERROR(CONCATENATE(TEXT(INDEX($Q$7:$Q$100,SMALL(IF($T$7:$T$100&lt;&gt;"",IF($Q$7:$Q$100&lt;&gt;"",ROW($Q$7:$Q$100)-MIN(ROW($Q$7:$Q$100))+1,""),""),ROW()-ROW(A$102)+1)),"##0")," "),"")</f>
        <v/>
      </c>
      <c r="S132" s="0" t="str">
        <f aca="false" t="array" ref="S132:S132">IFERROR(CONCATENATE((INDEX($A$7:$A$100,SMALL(IF($T$7:$T$100&lt;&gt;"",IF($Q$7:$Q$100&lt;&gt;"",ROW($Q$7:$Q$100)-MIN(ROW($Q$7:$Q$100))+1,""),""),ROW()-ROW(A$102)+1))),),"")</f>
        <v/>
      </c>
      <c r="W132" s="0" t="str">
        <f aca="false" t="array" ref="W132:W132">IFERROR(CONCATENATE((INDEX($Z$7:$Z$100,SMALL(IF($Z$7:$Z$100&lt;&gt;"",IF($W$7:$W$100&lt;&gt;"",ROW($W$7:$W$100)-MIN(ROW($W$7:$W$100))+1,""),""),ROW()-ROW(A$102)+1)))," "),"")</f>
        <v/>
      </c>
      <c r="X132" s="0" t="str">
        <f aca="false" t="array" ref="X132:X132">IFERROR(CONCATENATE(TEXT(INDEX($W$7:$W$100,SMALL(IF($Z$7:$Z$100&lt;&gt;"",IF($W$7:$W$100&lt;&gt;"",ROW($W$7:$W$100)-MIN(ROW($W$7:$W$100))+1,""),""),ROW()-ROW(A$102)+1)),"##0")," "),"")</f>
        <v/>
      </c>
      <c r="Y132" s="0" t="str">
        <f aca="false" t="array" ref="Y132:Y132">IFERROR(CONCATENATE((INDEX($A$7:$A$100,SMALL(IF($Z$7:$Z$100&lt;&gt;"",IF($W$7:$W$100&lt;&gt;"",ROW($W$7:$W$100)-MIN(ROW($W$7:$W$100))+1,""),""),ROW()-ROW(A$102)+1))),),"")</f>
        <v/>
      </c>
      <c r="AC132" s="0" t="str">
        <f aca="false" t="array" ref="AC132:AC132">IFERROR(CONCATENATE((INDEX($AF$7:$AF$100,SMALL(IF($AF$7:$AF$100&lt;&gt;"",IF($AC$7:$AC$100&lt;&gt;"",ROW($AC$7:$AC$100)-MIN(ROW($AC$7:$AC$100))+1,""),""),ROW()-ROW(A$102)+1))),","),"")</f>
        <v/>
      </c>
      <c r="AD132" s="0" t="str">
        <f aca="false" t="array" ref="AD132:AD132">IFERROR(CONCATENATE(TEXT(INDEX($AC$7:$AC$100,SMALL(IF($AF$7:$AF$100&lt;&gt;"",IF($AC$7:$AC$100&lt;&gt;"",ROW($AC$7:$AC$100)-MIN(ROW($AC$7:$AC$100))+1,""),""),ROW()-ROW(A$102)+1)),"##0"),","),"")</f>
        <v/>
      </c>
      <c r="AE132" s="0" t="str">
        <f aca="false" t="array" ref="AE132:AE132">IFERROR(CONCATENATE((INDEX($A$7:$A$100,SMALL(IF($AF$7:$AF$100&lt;&gt;"",IF($AC$7:$AC$100&lt;&gt;"",ROW($AC$7:$AC$100)-MIN(ROW($AC$7:$AC$100))+1,""),""),ROW()-ROW(A$102)+1))),),"")</f>
        <v/>
      </c>
      <c r="AI132" s="0" t="str">
        <f aca="false" t="array" ref="AI132:AI132">IFERROR(CONCATENATE((INDEX($AL$7:$AL$100,SMALL(IF($AL$7:$AL$100&lt;&gt;"",IF($AI$7:$AI$100&lt;&gt;"",ROW($AI$7:$AI$100)-MIN(ROW($AI$7:$AI$100))+1,""),""),ROW()-ROW(A$102)+1)))," "),"")</f>
        <v/>
      </c>
      <c r="AJ132" s="0" t="str">
        <f aca="false" t="array" ref="AJ132:AJ132">IFERROR(CONCATENATE(TEXT(INDEX($AI$7:$AI$100,SMALL(IF($AL$7:$AL$100&lt;&gt;"",IF($AI$7:$AI$100&lt;&gt;"",ROW($AI$7:$AI$100)-MIN(ROW($AI$7:$AI$100))+1,""),""),ROW()-ROW(A$102)+1)),"##0")," "),"")</f>
        <v/>
      </c>
      <c r="AK132" s="0" t="str">
        <f aca="false" t="array" ref="AK132:AK132">IFERROR(CONCATENATE((INDEX($A$7:$A$100,SMALL(IF($AL$7:$AL$100&lt;&gt;"",IF($AI$7:$AI$100&lt;&gt;"",ROW($AI$7:$AI$100)-MIN(ROW($AI$7:$AI$100))+1,""),""),ROW()-ROW(A$102)+1))),),"")</f>
        <v/>
      </c>
    </row>
    <row r="133" customFormat="false" ht="15" hidden="false" customHeight="false" outlineLevel="0" collapsed="false">
      <c r="K133" s="0" t="str">
        <f aca="false" t="array" ref="K133:K133">IFERROR(CONCATENATE(TEXT(INDEX($K$7:$K$100,SMALL(IF($N$7:$N$100&lt;&gt;"",IF($K$7:$K$100&lt;&gt;"",ROW($K$7:$K$100)-MIN(ROW($K$7:$K$100))+1,""),""),ROW()-ROW(A$102)+1)),"##0"),","),"")</f>
        <v/>
      </c>
      <c r="L133" s="0" t="str">
        <f aca="false" t="array" ref="L133:L133">IFERROR(CONCATENATE((INDEX($N$7:$N$100,SMALL(IF($N$7:$N$100&lt;&gt;"",IF($K$7:$K$100&lt;&gt;"",ROW($K$7:$K$100)-MIN(ROW($K$7:$K$100))+1,""),""),ROW()-ROW(A$102)+1))),","),"")</f>
        <v/>
      </c>
      <c r="M133" s="0" t="str">
        <f aca="false" t="array" ref="M133:M133">IFERROR(CONCATENATE((INDEX($A$7:$A$100,SMALL(IF($N$7:$N$100&lt;&gt;"",IF($K$7:$K$100&lt;&gt;"",ROW($K$7:$K$100)-MIN(ROW($K$7:$K$100))+1,""),""),ROW()-ROW(A$102)+1))),),"")</f>
        <v/>
      </c>
      <c r="Q133" s="0" t="str">
        <f aca="false" t="array" ref="Q133:Q133">IFERROR(CONCATENATE((INDEX($T$7:$T$100,SMALL(IF($T$7:$T$100&lt;&gt;"",IF($Q$7:$Q$100&lt;&gt;"",ROW($Q$7:$Q$100)-MIN(ROW($Q$7:$Q$100))+1,""),""),ROW()-ROW(A$102)+1)))," "),"")</f>
        <v/>
      </c>
      <c r="R133" s="0" t="str">
        <f aca="false" t="array" ref="R133:R133">IFERROR(CONCATENATE(TEXT(INDEX($Q$7:$Q$100,SMALL(IF($T$7:$T$100&lt;&gt;"",IF($Q$7:$Q$100&lt;&gt;"",ROW($Q$7:$Q$100)-MIN(ROW($Q$7:$Q$100))+1,""),""),ROW()-ROW(A$102)+1)),"##0")," "),"")</f>
        <v/>
      </c>
      <c r="S133" s="0" t="str">
        <f aca="false" t="array" ref="S133:S133">IFERROR(CONCATENATE((INDEX($A$7:$A$100,SMALL(IF($T$7:$T$100&lt;&gt;"",IF($Q$7:$Q$100&lt;&gt;"",ROW($Q$7:$Q$100)-MIN(ROW($Q$7:$Q$100))+1,""),""),ROW()-ROW(A$102)+1))),),"")</f>
        <v/>
      </c>
      <c r="W133" s="0" t="str">
        <f aca="false" t="array" ref="W133:W133">IFERROR(CONCATENATE((INDEX($Z$7:$Z$100,SMALL(IF($Z$7:$Z$100&lt;&gt;"",IF($W$7:$W$100&lt;&gt;"",ROW($W$7:$W$100)-MIN(ROW($W$7:$W$100))+1,""),""),ROW()-ROW(A$102)+1)))," "),"")</f>
        <v/>
      </c>
      <c r="X133" s="0" t="str">
        <f aca="false" t="array" ref="X133:X133">IFERROR(CONCATENATE(TEXT(INDEX($W$7:$W$100,SMALL(IF($Z$7:$Z$100&lt;&gt;"",IF($W$7:$W$100&lt;&gt;"",ROW($W$7:$W$100)-MIN(ROW($W$7:$W$100))+1,""),""),ROW()-ROW(A$102)+1)),"##0")," "),"")</f>
        <v/>
      </c>
      <c r="Y133" s="0" t="str">
        <f aca="false" t="array" ref="Y133:Y133">IFERROR(CONCATENATE((INDEX($A$7:$A$100,SMALL(IF($Z$7:$Z$100&lt;&gt;"",IF($W$7:$W$100&lt;&gt;"",ROW($W$7:$W$100)-MIN(ROW($W$7:$W$100))+1,""),""),ROW()-ROW(A$102)+1))),),"")</f>
        <v/>
      </c>
      <c r="AC133" s="0" t="str">
        <f aca="false" t="array" ref="AC133:AC133">IFERROR(CONCATENATE((INDEX($AF$7:$AF$100,SMALL(IF($AF$7:$AF$100&lt;&gt;"",IF($AC$7:$AC$100&lt;&gt;"",ROW($AC$7:$AC$100)-MIN(ROW($AC$7:$AC$100))+1,""),""),ROW()-ROW(A$102)+1))),","),"")</f>
        <v/>
      </c>
      <c r="AD133" s="0" t="str">
        <f aca="false" t="array" ref="AD133:AD133">IFERROR(CONCATENATE(TEXT(INDEX($AC$7:$AC$100,SMALL(IF($AF$7:$AF$100&lt;&gt;"",IF($AC$7:$AC$100&lt;&gt;"",ROW($AC$7:$AC$100)-MIN(ROW($AC$7:$AC$100))+1,""),""),ROW()-ROW(A$102)+1)),"##0"),","),"")</f>
        <v/>
      </c>
      <c r="AE133" s="0" t="str">
        <f aca="false" t="array" ref="AE133:AE133">IFERROR(CONCATENATE((INDEX($A$7:$A$100,SMALL(IF($AF$7:$AF$100&lt;&gt;"",IF($AC$7:$AC$100&lt;&gt;"",ROW($AC$7:$AC$100)-MIN(ROW($AC$7:$AC$100))+1,""),""),ROW()-ROW(A$102)+1))),),"")</f>
        <v/>
      </c>
      <c r="AI133" s="0" t="str">
        <f aca="false" t="array" ref="AI133:AI133">IFERROR(CONCATENATE((INDEX($AL$7:$AL$100,SMALL(IF($AL$7:$AL$100&lt;&gt;"",IF($AI$7:$AI$100&lt;&gt;"",ROW($AI$7:$AI$100)-MIN(ROW($AI$7:$AI$100))+1,""),""),ROW()-ROW(A$102)+1)))," "),"")</f>
        <v/>
      </c>
      <c r="AJ133" s="0" t="str">
        <f aca="false" t="array" ref="AJ133:AJ133">IFERROR(CONCATENATE(TEXT(INDEX($AI$7:$AI$100,SMALL(IF($AL$7:$AL$100&lt;&gt;"",IF($AI$7:$AI$100&lt;&gt;"",ROW($AI$7:$AI$100)-MIN(ROW($AI$7:$AI$100))+1,""),""),ROW()-ROW(A$102)+1)),"##0")," "),"")</f>
        <v/>
      </c>
      <c r="AK133" s="0" t="str">
        <f aca="false" t="array" ref="AK133:AK133">IFERROR(CONCATENATE((INDEX($A$7:$A$100,SMALL(IF($AL$7:$AL$100&lt;&gt;"",IF($AI$7:$AI$100&lt;&gt;"",ROW($AI$7:$AI$100)-MIN(ROW($AI$7:$AI$100))+1,""),""),ROW()-ROW(A$102)+1))),),"")</f>
        <v/>
      </c>
    </row>
    <row r="134" customFormat="false" ht="15" hidden="false" customHeight="false" outlineLevel="0" collapsed="false">
      <c r="K134" s="0" t="str">
        <f aca="false" t="array" ref="K134:K134">IFERROR(CONCATENATE(TEXT(INDEX($K$7:$K$100,SMALL(IF($N$7:$N$100&lt;&gt;"",IF($K$7:$K$100&lt;&gt;"",ROW($K$7:$K$100)-MIN(ROW($K$7:$K$100))+1,""),""),ROW()-ROW(A$102)+1)),"##0"),","),"")</f>
        <v/>
      </c>
      <c r="L134" s="0" t="str">
        <f aca="false" t="array" ref="L134:L134">IFERROR(CONCATENATE((INDEX($N$7:$N$100,SMALL(IF($N$7:$N$100&lt;&gt;"",IF($K$7:$K$100&lt;&gt;"",ROW($K$7:$K$100)-MIN(ROW($K$7:$K$100))+1,""),""),ROW()-ROW(A$102)+1))),","),"")</f>
        <v/>
      </c>
      <c r="M134" s="0" t="str">
        <f aca="false" t="array" ref="M134:M134">IFERROR(CONCATENATE((INDEX($A$7:$A$100,SMALL(IF($N$7:$N$100&lt;&gt;"",IF($K$7:$K$100&lt;&gt;"",ROW($K$7:$K$100)-MIN(ROW($K$7:$K$100))+1,""),""),ROW()-ROW(A$102)+1))),),"")</f>
        <v/>
      </c>
      <c r="Q134" s="0" t="str">
        <f aca="false" t="array" ref="Q134:Q134">IFERROR(CONCATENATE((INDEX($T$7:$T$100,SMALL(IF($T$7:$T$100&lt;&gt;"",IF($Q$7:$Q$100&lt;&gt;"",ROW($Q$7:$Q$100)-MIN(ROW($Q$7:$Q$100))+1,""),""),ROW()-ROW(A$102)+1)))," "),"")</f>
        <v/>
      </c>
      <c r="R134" s="0" t="str">
        <f aca="false" t="array" ref="R134:R134">IFERROR(CONCATENATE(TEXT(INDEX($Q$7:$Q$100,SMALL(IF($T$7:$T$100&lt;&gt;"",IF($Q$7:$Q$100&lt;&gt;"",ROW($Q$7:$Q$100)-MIN(ROW($Q$7:$Q$100))+1,""),""),ROW()-ROW(A$102)+1)),"##0")," "),"")</f>
        <v/>
      </c>
      <c r="S134" s="0" t="str">
        <f aca="false" t="array" ref="S134:S134">IFERROR(CONCATENATE((INDEX($A$7:$A$100,SMALL(IF($T$7:$T$100&lt;&gt;"",IF($Q$7:$Q$100&lt;&gt;"",ROW($Q$7:$Q$100)-MIN(ROW($Q$7:$Q$100))+1,""),""),ROW()-ROW(A$102)+1))),),"")</f>
        <v/>
      </c>
      <c r="W134" s="0" t="str">
        <f aca="false" t="array" ref="W134:W134">IFERROR(CONCATENATE((INDEX($Z$7:$Z$100,SMALL(IF($Z$7:$Z$100&lt;&gt;"",IF($W$7:$W$100&lt;&gt;"",ROW($W$7:$W$100)-MIN(ROW($W$7:$W$100))+1,""),""),ROW()-ROW(A$102)+1)))," "),"")</f>
        <v/>
      </c>
      <c r="X134" s="0" t="str">
        <f aca="false" t="array" ref="X134:X134">IFERROR(CONCATENATE(TEXT(INDEX($W$7:$W$100,SMALL(IF($Z$7:$Z$100&lt;&gt;"",IF($W$7:$W$100&lt;&gt;"",ROW($W$7:$W$100)-MIN(ROW($W$7:$W$100))+1,""),""),ROW()-ROW(A$102)+1)),"##0")," "),"")</f>
        <v/>
      </c>
      <c r="Y134" s="0" t="str">
        <f aca="false" t="array" ref="Y134:Y134">IFERROR(CONCATENATE((INDEX($A$7:$A$100,SMALL(IF($Z$7:$Z$100&lt;&gt;"",IF($W$7:$W$100&lt;&gt;"",ROW($W$7:$W$100)-MIN(ROW($W$7:$W$100))+1,""),""),ROW()-ROW(A$102)+1))),),"")</f>
        <v/>
      </c>
      <c r="AC134" s="0" t="str">
        <f aca="false" t="array" ref="AC134:AC134">IFERROR(CONCATENATE((INDEX($AF$7:$AF$100,SMALL(IF($AF$7:$AF$100&lt;&gt;"",IF($AC$7:$AC$100&lt;&gt;"",ROW($AC$7:$AC$100)-MIN(ROW($AC$7:$AC$100))+1,""),""),ROW()-ROW(A$102)+1))),","),"")</f>
        <v/>
      </c>
      <c r="AD134" s="0" t="str">
        <f aca="false" t="array" ref="AD134:AD134">IFERROR(CONCATENATE(TEXT(INDEX($AC$7:$AC$100,SMALL(IF($AF$7:$AF$100&lt;&gt;"",IF($AC$7:$AC$100&lt;&gt;"",ROW($AC$7:$AC$100)-MIN(ROW($AC$7:$AC$100))+1,""),""),ROW()-ROW(A$102)+1)),"##0"),","),"")</f>
        <v/>
      </c>
      <c r="AE134" s="0" t="str">
        <f aca="false" t="array" ref="AE134:AE134">IFERROR(CONCATENATE((INDEX($A$7:$A$100,SMALL(IF($AF$7:$AF$100&lt;&gt;"",IF($AC$7:$AC$100&lt;&gt;"",ROW($AC$7:$AC$100)-MIN(ROW($AC$7:$AC$100))+1,""),""),ROW()-ROW(A$102)+1))),),"")</f>
        <v/>
      </c>
      <c r="AI134" s="0" t="str">
        <f aca="false" t="array" ref="AI134:AI134">IFERROR(CONCATENATE((INDEX($AL$7:$AL$100,SMALL(IF($AL$7:$AL$100&lt;&gt;"",IF($AI$7:$AI$100&lt;&gt;"",ROW($AI$7:$AI$100)-MIN(ROW($AI$7:$AI$100))+1,""),""),ROW()-ROW(A$102)+1)))," "),"")</f>
        <v/>
      </c>
      <c r="AJ134" s="0" t="str">
        <f aca="false" t="array" ref="AJ134:AJ134">IFERROR(CONCATENATE(TEXT(INDEX($AI$7:$AI$100,SMALL(IF($AL$7:$AL$100&lt;&gt;"",IF($AI$7:$AI$100&lt;&gt;"",ROW($AI$7:$AI$100)-MIN(ROW($AI$7:$AI$100))+1,""),""),ROW()-ROW(A$102)+1)),"##0")," "),"")</f>
        <v/>
      </c>
      <c r="AK134" s="0" t="str">
        <f aca="false" t="array" ref="AK134:AK134">IFERROR(CONCATENATE((INDEX($A$7:$A$100,SMALL(IF($AL$7:$AL$100&lt;&gt;"",IF($AI$7:$AI$100&lt;&gt;"",ROW($AI$7:$AI$100)-MIN(ROW($AI$7:$AI$100))+1,""),""),ROW()-ROW(A$102)+1))),),"")</f>
        <v/>
      </c>
    </row>
    <row r="135" customFormat="false" ht="15" hidden="false" customHeight="false" outlineLevel="0" collapsed="false">
      <c r="K135" s="0" t="str">
        <f aca="false" t="array" ref="K135:K135">IFERROR(CONCATENATE(TEXT(INDEX($K$7:$K$100,SMALL(IF($N$7:$N$100&lt;&gt;"",IF($K$7:$K$100&lt;&gt;"",ROW($K$7:$K$100)-MIN(ROW($K$7:$K$100))+1,""),""),ROW()-ROW(A$102)+1)),"##0"),","),"")</f>
        <v/>
      </c>
      <c r="L135" s="0" t="str">
        <f aca="false" t="array" ref="L135:L135">IFERROR(CONCATENATE((INDEX($N$7:$N$100,SMALL(IF($N$7:$N$100&lt;&gt;"",IF($K$7:$K$100&lt;&gt;"",ROW($K$7:$K$100)-MIN(ROW($K$7:$K$100))+1,""),""),ROW()-ROW(A$102)+1))),","),"")</f>
        <v/>
      </c>
      <c r="M135" s="0" t="str">
        <f aca="false" t="array" ref="M135:M135">IFERROR(CONCATENATE((INDEX($A$7:$A$100,SMALL(IF($N$7:$N$100&lt;&gt;"",IF($K$7:$K$100&lt;&gt;"",ROW($K$7:$K$100)-MIN(ROW($K$7:$K$100))+1,""),""),ROW()-ROW(A$102)+1))),),"")</f>
        <v/>
      </c>
      <c r="Q135" s="0" t="str">
        <f aca="false" t="array" ref="Q135:Q135">IFERROR(CONCATENATE((INDEX($T$7:$T$100,SMALL(IF($T$7:$T$100&lt;&gt;"",IF($Q$7:$Q$100&lt;&gt;"",ROW($Q$7:$Q$100)-MIN(ROW($Q$7:$Q$100))+1,""),""),ROW()-ROW(A$102)+1)))," "),"")</f>
        <v/>
      </c>
      <c r="R135" s="0" t="str">
        <f aca="false" t="array" ref="R135:R135">IFERROR(CONCATENATE(TEXT(INDEX($Q$7:$Q$100,SMALL(IF($T$7:$T$100&lt;&gt;"",IF($Q$7:$Q$100&lt;&gt;"",ROW($Q$7:$Q$100)-MIN(ROW($Q$7:$Q$100))+1,""),""),ROW()-ROW(A$102)+1)),"##0")," "),"")</f>
        <v/>
      </c>
      <c r="S135" s="0" t="str">
        <f aca="false" t="array" ref="S135:S135">IFERROR(CONCATENATE((INDEX($A$7:$A$100,SMALL(IF($T$7:$T$100&lt;&gt;"",IF($Q$7:$Q$100&lt;&gt;"",ROW($Q$7:$Q$100)-MIN(ROW($Q$7:$Q$100))+1,""),""),ROW()-ROW(A$102)+1))),),"")</f>
        <v/>
      </c>
      <c r="W135" s="0" t="str">
        <f aca="false" t="array" ref="W135:W135">IFERROR(CONCATENATE((INDEX($Z$7:$Z$100,SMALL(IF($Z$7:$Z$100&lt;&gt;"",IF($W$7:$W$100&lt;&gt;"",ROW($W$7:$W$100)-MIN(ROW($W$7:$W$100))+1,""),""),ROW()-ROW(A$102)+1)))," "),"")</f>
        <v/>
      </c>
      <c r="X135" s="0" t="str">
        <f aca="false" t="array" ref="X135:X135">IFERROR(CONCATENATE(TEXT(INDEX($W$7:$W$100,SMALL(IF($Z$7:$Z$100&lt;&gt;"",IF($W$7:$W$100&lt;&gt;"",ROW($W$7:$W$100)-MIN(ROW($W$7:$W$100))+1,""),""),ROW()-ROW(A$102)+1)),"##0")," "),"")</f>
        <v/>
      </c>
      <c r="Y135" s="0" t="str">
        <f aca="false" t="array" ref="Y135:Y135">IFERROR(CONCATENATE((INDEX($A$7:$A$100,SMALL(IF($Z$7:$Z$100&lt;&gt;"",IF($W$7:$W$100&lt;&gt;"",ROW($W$7:$W$100)-MIN(ROW($W$7:$W$100))+1,""),""),ROW()-ROW(A$102)+1))),),"")</f>
        <v/>
      </c>
      <c r="AC135" s="0" t="str">
        <f aca="false" t="array" ref="AC135:AC135">IFERROR(CONCATENATE((INDEX($AF$7:$AF$100,SMALL(IF($AF$7:$AF$100&lt;&gt;"",IF($AC$7:$AC$100&lt;&gt;"",ROW($AC$7:$AC$100)-MIN(ROW($AC$7:$AC$100))+1,""),""),ROW()-ROW(A$102)+1))),","),"")</f>
        <v/>
      </c>
      <c r="AD135" s="0" t="str">
        <f aca="false" t="array" ref="AD135:AD135">IFERROR(CONCATENATE(TEXT(INDEX($AC$7:$AC$100,SMALL(IF($AF$7:$AF$100&lt;&gt;"",IF($AC$7:$AC$100&lt;&gt;"",ROW($AC$7:$AC$100)-MIN(ROW($AC$7:$AC$100))+1,""),""),ROW()-ROW(A$102)+1)),"##0"),","),"")</f>
        <v/>
      </c>
      <c r="AE135" s="0" t="str">
        <f aca="false" t="array" ref="AE135:AE135">IFERROR(CONCATENATE((INDEX($A$7:$A$100,SMALL(IF($AF$7:$AF$100&lt;&gt;"",IF($AC$7:$AC$100&lt;&gt;"",ROW($AC$7:$AC$100)-MIN(ROW($AC$7:$AC$100))+1,""),""),ROW()-ROW(A$102)+1))),),"")</f>
        <v/>
      </c>
      <c r="AI135" s="0" t="str">
        <f aca="false" t="array" ref="AI135:AI135">IFERROR(CONCATENATE((INDEX($AL$7:$AL$100,SMALL(IF($AL$7:$AL$100&lt;&gt;"",IF($AI$7:$AI$100&lt;&gt;"",ROW($AI$7:$AI$100)-MIN(ROW($AI$7:$AI$100))+1,""),""),ROW()-ROW(A$102)+1)))," "),"")</f>
        <v/>
      </c>
      <c r="AJ135" s="0" t="str">
        <f aca="false" t="array" ref="AJ135:AJ135">IFERROR(CONCATENATE(TEXT(INDEX($AI$7:$AI$100,SMALL(IF($AL$7:$AL$100&lt;&gt;"",IF($AI$7:$AI$100&lt;&gt;"",ROW($AI$7:$AI$100)-MIN(ROW($AI$7:$AI$100))+1,""),""),ROW()-ROW(A$102)+1)),"##0")," "),"")</f>
        <v/>
      </c>
      <c r="AK135" s="0" t="str">
        <f aca="false" t="array" ref="AK135:AK135">IFERROR(CONCATENATE((INDEX($A$7:$A$100,SMALL(IF($AL$7:$AL$100&lt;&gt;"",IF($AI$7:$AI$100&lt;&gt;"",ROW($AI$7:$AI$100)-MIN(ROW($AI$7:$AI$100))+1,""),""),ROW()-ROW(A$102)+1))),),"")</f>
        <v/>
      </c>
    </row>
    <row r="136" customFormat="false" ht="15" hidden="false" customHeight="false" outlineLevel="0" collapsed="false">
      <c r="K136" s="0" t="str">
        <f aca="false" t="array" ref="K136:K136">IFERROR(CONCATENATE(TEXT(INDEX($K$7:$K$100,SMALL(IF($N$7:$N$100&lt;&gt;"",IF($K$7:$K$100&lt;&gt;"",ROW($K$7:$K$100)-MIN(ROW($K$7:$K$100))+1,""),""),ROW()-ROW(A$102)+1)),"##0"),","),"")</f>
        <v/>
      </c>
      <c r="L136" s="0" t="str">
        <f aca="false" t="array" ref="L136:L136">IFERROR(CONCATENATE((INDEX($N$7:$N$100,SMALL(IF($N$7:$N$100&lt;&gt;"",IF($K$7:$K$100&lt;&gt;"",ROW($K$7:$K$100)-MIN(ROW($K$7:$K$100))+1,""),""),ROW()-ROW(A$102)+1))),","),"")</f>
        <v/>
      </c>
      <c r="M136" s="0" t="str">
        <f aca="false" t="array" ref="M136:M136">IFERROR(CONCATENATE((INDEX($A$7:$A$100,SMALL(IF($N$7:$N$100&lt;&gt;"",IF($K$7:$K$100&lt;&gt;"",ROW($K$7:$K$100)-MIN(ROW($K$7:$K$100))+1,""),""),ROW()-ROW(A$102)+1))),),"")</f>
        <v/>
      </c>
      <c r="Q136" s="0" t="str">
        <f aca="false" t="array" ref="Q136:Q136">IFERROR(CONCATENATE((INDEX($T$7:$T$100,SMALL(IF($T$7:$T$100&lt;&gt;"",IF($Q$7:$Q$100&lt;&gt;"",ROW($Q$7:$Q$100)-MIN(ROW($Q$7:$Q$100))+1,""),""),ROW()-ROW(A$102)+1)))," "),"")</f>
        <v/>
      </c>
      <c r="R136" s="0" t="str">
        <f aca="false" t="array" ref="R136:R136">IFERROR(CONCATENATE(TEXT(INDEX($Q$7:$Q$100,SMALL(IF($T$7:$T$100&lt;&gt;"",IF($Q$7:$Q$100&lt;&gt;"",ROW($Q$7:$Q$100)-MIN(ROW($Q$7:$Q$100))+1,""),""),ROW()-ROW(A$102)+1)),"##0")," "),"")</f>
        <v/>
      </c>
      <c r="S136" s="0" t="str">
        <f aca="false" t="array" ref="S136:S136">IFERROR(CONCATENATE((INDEX($A$7:$A$100,SMALL(IF($T$7:$T$100&lt;&gt;"",IF($Q$7:$Q$100&lt;&gt;"",ROW($Q$7:$Q$100)-MIN(ROW($Q$7:$Q$100))+1,""),""),ROW()-ROW(A$102)+1))),),"")</f>
        <v/>
      </c>
      <c r="W136" s="0" t="str">
        <f aca="false" t="array" ref="W136:W136">IFERROR(CONCATENATE((INDEX($Z$7:$Z$100,SMALL(IF($Z$7:$Z$100&lt;&gt;"",IF($W$7:$W$100&lt;&gt;"",ROW($W$7:$W$100)-MIN(ROW($W$7:$W$100))+1,""),""),ROW()-ROW(A$102)+1)))," "),"")</f>
        <v/>
      </c>
      <c r="X136" s="0" t="str">
        <f aca="false" t="array" ref="X136:X136">IFERROR(CONCATENATE(TEXT(INDEX($W$7:$W$100,SMALL(IF($Z$7:$Z$100&lt;&gt;"",IF($W$7:$W$100&lt;&gt;"",ROW($W$7:$W$100)-MIN(ROW($W$7:$W$100))+1,""),""),ROW()-ROW(A$102)+1)),"##0")," "),"")</f>
        <v/>
      </c>
      <c r="Y136" s="0" t="str">
        <f aca="false" t="array" ref="Y136:Y136">IFERROR(CONCATENATE((INDEX($A$7:$A$100,SMALL(IF($Z$7:$Z$100&lt;&gt;"",IF($W$7:$W$100&lt;&gt;"",ROW($W$7:$W$100)-MIN(ROW($W$7:$W$100))+1,""),""),ROW()-ROW(A$102)+1))),),"")</f>
        <v/>
      </c>
      <c r="AC136" s="0" t="str">
        <f aca="false" t="array" ref="AC136:AC136">IFERROR(CONCATENATE((INDEX($AF$7:$AF$100,SMALL(IF($AF$7:$AF$100&lt;&gt;"",IF($AC$7:$AC$100&lt;&gt;"",ROW($AC$7:$AC$100)-MIN(ROW($AC$7:$AC$100))+1,""),""),ROW()-ROW(A$102)+1))),","),"")</f>
        <v/>
      </c>
      <c r="AD136" s="0" t="str">
        <f aca="false" t="array" ref="AD136:AD136">IFERROR(CONCATENATE(TEXT(INDEX($AC$7:$AC$100,SMALL(IF($AF$7:$AF$100&lt;&gt;"",IF($AC$7:$AC$100&lt;&gt;"",ROW($AC$7:$AC$100)-MIN(ROW($AC$7:$AC$100))+1,""),""),ROW()-ROW(A$102)+1)),"##0"),","),"")</f>
        <v/>
      </c>
      <c r="AE136" s="0" t="str">
        <f aca="false" t="array" ref="AE136:AE136">IFERROR(CONCATENATE((INDEX($A$7:$A$100,SMALL(IF($AF$7:$AF$100&lt;&gt;"",IF($AC$7:$AC$100&lt;&gt;"",ROW($AC$7:$AC$100)-MIN(ROW($AC$7:$AC$100))+1,""),""),ROW()-ROW(A$102)+1))),),"")</f>
        <v/>
      </c>
      <c r="AI136" s="0" t="str">
        <f aca="false" t="array" ref="AI136:AI136">IFERROR(CONCATENATE((INDEX($AL$7:$AL$100,SMALL(IF($AL$7:$AL$100&lt;&gt;"",IF($AI$7:$AI$100&lt;&gt;"",ROW($AI$7:$AI$100)-MIN(ROW($AI$7:$AI$100))+1,""),""),ROW()-ROW(A$102)+1)))," "),"")</f>
        <v/>
      </c>
      <c r="AJ136" s="0" t="str">
        <f aca="false" t="array" ref="AJ136:AJ136">IFERROR(CONCATENATE(TEXT(INDEX($AI$7:$AI$100,SMALL(IF($AL$7:$AL$100&lt;&gt;"",IF($AI$7:$AI$100&lt;&gt;"",ROW($AI$7:$AI$100)-MIN(ROW($AI$7:$AI$100))+1,""),""),ROW()-ROW(A$102)+1)),"##0")," "),"")</f>
        <v/>
      </c>
      <c r="AK136" s="0" t="str">
        <f aca="false" t="array" ref="AK136:AK136">IFERROR(CONCATENATE((INDEX($A$7:$A$100,SMALL(IF($AL$7:$AL$100&lt;&gt;"",IF($AI$7:$AI$100&lt;&gt;"",ROW($AI$7:$AI$100)-MIN(ROW($AI$7:$AI$100))+1,""),""),ROW()-ROW(A$102)+1))),),"")</f>
        <v/>
      </c>
    </row>
    <row r="137" customFormat="false" ht="15" hidden="false" customHeight="false" outlineLevel="0" collapsed="false">
      <c r="K137" s="0" t="str">
        <f aca="false" t="array" ref="K137:K137">IFERROR(CONCATENATE(TEXT(INDEX($K$7:$K$100,SMALL(IF($N$7:$N$100&lt;&gt;"",IF($K$7:$K$100&lt;&gt;"",ROW($K$7:$K$100)-MIN(ROW($K$7:$K$100))+1,""),""),ROW()-ROW(A$102)+1)),"##0"),","),"")</f>
        <v/>
      </c>
      <c r="L137" s="0" t="str">
        <f aca="false" t="array" ref="L137:L137">IFERROR(CONCATENATE((INDEX($N$7:$N$100,SMALL(IF($N$7:$N$100&lt;&gt;"",IF($K$7:$K$100&lt;&gt;"",ROW($K$7:$K$100)-MIN(ROW($K$7:$K$100))+1,""),""),ROW()-ROW(A$102)+1))),","),"")</f>
        <v/>
      </c>
      <c r="M137" s="0" t="str">
        <f aca="false" t="array" ref="M137:M137">IFERROR(CONCATENATE((INDEX($A$7:$A$100,SMALL(IF($N$7:$N$100&lt;&gt;"",IF($K$7:$K$100&lt;&gt;"",ROW($K$7:$K$100)-MIN(ROW($K$7:$K$100))+1,""),""),ROW()-ROW(A$102)+1))),),"")</f>
        <v/>
      </c>
      <c r="Q137" s="0" t="str">
        <f aca="false" t="array" ref="Q137:Q137">IFERROR(CONCATENATE((INDEX($T$7:$T$100,SMALL(IF($T$7:$T$100&lt;&gt;"",IF($Q$7:$Q$100&lt;&gt;"",ROW($Q$7:$Q$100)-MIN(ROW($Q$7:$Q$100))+1,""),""),ROW()-ROW(A$102)+1)))," "),"")</f>
        <v/>
      </c>
      <c r="R137" s="0" t="str">
        <f aca="false" t="array" ref="R137:R137">IFERROR(CONCATENATE(TEXT(INDEX($Q$7:$Q$100,SMALL(IF($T$7:$T$100&lt;&gt;"",IF($Q$7:$Q$100&lt;&gt;"",ROW($Q$7:$Q$100)-MIN(ROW($Q$7:$Q$100))+1,""),""),ROW()-ROW(A$102)+1)),"##0")," "),"")</f>
        <v/>
      </c>
      <c r="S137" s="0" t="str">
        <f aca="false" t="array" ref="S137:S137">IFERROR(CONCATENATE((INDEX($A$7:$A$100,SMALL(IF($T$7:$T$100&lt;&gt;"",IF($Q$7:$Q$100&lt;&gt;"",ROW($Q$7:$Q$100)-MIN(ROW($Q$7:$Q$100))+1,""),""),ROW()-ROW(A$102)+1))),),"")</f>
        <v/>
      </c>
      <c r="W137" s="0" t="str">
        <f aca="false" t="array" ref="W137:W137">IFERROR(CONCATENATE((INDEX($Z$7:$Z$100,SMALL(IF($Z$7:$Z$100&lt;&gt;"",IF($W$7:$W$100&lt;&gt;"",ROW($W$7:$W$100)-MIN(ROW($W$7:$W$100))+1,""),""),ROW()-ROW(A$102)+1)))," "),"")</f>
        <v/>
      </c>
      <c r="X137" s="0" t="str">
        <f aca="false" t="array" ref="X137:X137">IFERROR(CONCATENATE(TEXT(INDEX($W$7:$W$100,SMALL(IF($Z$7:$Z$100&lt;&gt;"",IF($W$7:$W$100&lt;&gt;"",ROW($W$7:$W$100)-MIN(ROW($W$7:$W$100))+1,""),""),ROW()-ROW(A$102)+1)),"##0")," "),"")</f>
        <v/>
      </c>
      <c r="Y137" s="0" t="str">
        <f aca="false" t="array" ref="Y137:Y137">IFERROR(CONCATENATE((INDEX($A$7:$A$100,SMALL(IF($Z$7:$Z$100&lt;&gt;"",IF($W$7:$W$100&lt;&gt;"",ROW($W$7:$W$100)-MIN(ROW($W$7:$W$100))+1,""),""),ROW()-ROW(A$102)+1))),),"")</f>
        <v/>
      </c>
      <c r="AC137" s="0" t="str">
        <f aca="false" t="array" ref="AC137:AC137">IFERROR(CONCATENATE((INDEX($AF$7:$AF$100,SMALL(IF($AF$7:$AF$100&lt;&gt;"",IF($AC$7:$AC$100&lt;&gt;"",ROW($AC$7:$AC$100)-MIN(ROW($AC$7:$AC$100))+1,""),""),ROW()-ROW(A$102)+1))),","),"")</f>
        <v/>
      </c>
      <c r="AD137" s="0" t="str">
        <f aca="false" t="array" ref="AD137:AD137">IFERROR(CONCATENATE(TEXT(INDEX($AC$7:$AC$100,SMALL(IF($AF$7:$AF$100&lt;&gt;"",IF($AC$7:$AC$100&lt;&gt;"",ROW($AC$7:$AC$100)-MIN(ROW($AC$7:$AC$100))+1,""),""),ROW()-ROW(A$102)+1)),"##0"),","),"")</f>
        <v/>
      </c>
      <c r="AE137" s="0" t="str">
        <f aca="false" t="array" ref="AE137:AE137">IFERROR(CONCATENATE((INDEX($A$7:$A$100,SMALL(IF($AF$7:$AF$100&lt;&gt;"",IF($AC$7:$AC$100&lt;&gt;"",ROW($AC$7:$AC$100)-MIN(ROW($AC$7:$AC$100))+1,""),""),ROW()-ROW(A$102)+1))),),"")</f>
        <v/>
      </c>
      <c r="AI137" s="0" t="str">
        <f aca="false" t="array" ref="AI137:AI137">IFERROR(CONCATENATE((INDEX($AL$7:$AL$100,SMALL(IF($AL$7:$AL$100&lt;&gt;"",IF($AI$7:$AI$100&lt;&gt;"",ROW($AI$7:$AI$100)-MIN(ROW($AI$7:$AI$100))+1,""),""),ROW()-ROW(A$102)+1)))," "),"")</f>
        <v/>
      </c>
      <c r="AJ137" s="0" t="str">
        <f aca="false" t="array" ref="AJ137:AJ137">IFERROR(CONCATENATE(TEXT(INDEX($AI$7:$AI$100,SMALL(IF($AL$7:$AL$100&lt;&gt;"",IF($AI$7:$AI$100&lt;&gt;"",ROW($AI$7:$AI$100)-MIN(ROW($AI$7:$AI$100))+1,""),""),ROW()-ROW(A$102)+1)),"##0")," "),"")</f>
        <v/>
      </c>
      <c r="AK137" s="0" t="str">
        <f aca="false" t="array" ref="AK137:AK137">IFERROR(CONCATENATE((INDEX($A$7:$A$100,SMALL(IF($AL$7:$AL$100&lt;&gt;"",IF($AI$7:$AI$100&lt;&gt;"",ROW($AI$7:$AI$100)-MIN(ROW($AI$7:$AI$100))+1,""),""),ROW()-ROW(A$102)+1))),),"")</f>
        <v/>
      </c>
    </row>
    <row r="138" customFormat="false" ht="15" hidden="false" customHeight="false" outlineLevel="0" collapsed="false">
      <c r="K138" s="0" t="str">
        <f aca="false" t="array" ref="K138:K138">IFERROR(CONCATENATE(TEXT(INDEX($K$7:$K$100,SMALL(IF($N$7:$N$100&lt;&gt;"",IF($K$7:$K$100&lt;&gt;"",ROW($K$7:$K$100)-MIN(ROW($K$7:$K$100))+1,""),""),ROW()-ROW(A$102)+1)),"##0"),","),"")</f>
        <v/>
      </c>
      <c r="L138" s="0" t="str">
        <f aca="false" t="array" ref="L138:L138">IFERROR(CONCATENATE((INDEX($N$7:$N$100,SMALL(IF($N$7:$N$100&lt;&gt;"",IF($K$7:$K$100&lt;&gt;"",ROW($K$7:$K$100)-MIN(ROW($K$7:$K$100))+1,""),""),ROW()-ROW(A$102)+1))),","),"")</f>
        <v/>
      </c>
      <c r="M138" s="0" t="str">
        <f aca="false" t="array" ref="M138:M138">IFERROR(CONCATENATE((INDEX($A$7:$A$100,SMALL(IF($N$7:$N$100&lt;&gt;"",IF($K$7:$K$100&lt;&gt;"",ROW($K$7:$K$100)-MIN(ROW($K$7:$K$100))+1,""),""),ROW()-ROW(A$102)+1))),),"")</f>
        <v/>
      </c>
      <c r="Q138" s="0" t="str">
        <f aca="false" t="array" ref="Q138:Q138">IFERROR(CONCATENATE((INDEX($T$7:$T$100,SMALL(IF($T$7:$T$100&lt;&gt;"",IF($Q$7:$Q$100&lt;&gt;"",ROW($Q$7:$Q$100)-MIN(ROW($Q$7:$Q$100))+1,""),""),ROW()-ROW(A$102)+1)))," "),"")</f>
        <v/>
      </c>
      <c r="R138" s="0" t="str">
        <f aca="false" t="array" ref="R138:R138">IFERROR(CONCATENATE(TEXT(INDEX($Q$7:$Q$100,SMALL(IF($T$7:$T$100&lt;&gt;"",IF($Q$7:$Q$100&lt;&gt;"",ROW($Q$7:$Q$100)-MIN(ROW($Q$7:$Q$100))+1,""),""),ROW()-ROW(A$102)+1)),"##0")," "),"")</f>
        <v/>
      </c>
      <c r="S138" s="0" t="str">
        <f aca="false" t="array" ref="S138:S138">IFERROR(CONCATENATE((INDEX($A$7:$A$100,SMALL(IF($T$7:$T$100&lt;&gt;"",IF($Q$7:$Q$100&lt;&gt;"",ROW($Q$7:$Q$100)-MIN(ROW($Q$7:$Q$100))+1,""),""),ROW()-ROW(A$102)+1))),),"")</f>
        <v/>
      </c>
      <c r="W138" s="0" t="str">
        <f aca="false" t="array" ref="W138:W138">IFERROR(CONCATENATE((INDEX($Z$7:$Z$100,SMALL(IF($Z$7:$Z$100&lt;&gt;"",IF($W$7:$W$100&lt;&gt;"",ROW($W$7:$W$100)-MIN(ROW($W$7:$W$100))+1,""),""),ROW()-ROW(A$102)+1)))," "),"")</f>
        <v/>
      </c>
      <c r="X138" s="0" t="str">
        <f aca="false" t="array" ref="X138:X138">IFERROR(CONCATENATE(TEXT(INDEX($W$7:$W$100,SMALL(IF($Z$7:$Z$100&lt;&gt;"",IF($W$7:$W$100&lt;&gt;"",ROW($W$7:$W$100)-MIN(ROW($W$7:$W$100))+1,""),""),ROW()-ROW(A$102)+1)),"##0")," "),"")</f>
        <v/>
      </c>
      <c r="Y138" s="0" t="str">
        <f aca="false" t="array" ref="Y138:Y138">IFERROR(CONCATENATE((INDEX($A$7:$A$100,SMALL(IF($Z$7:$Z$100&lt;&gt;"",IF($W$7:$W$100&lt;&gt;"",ROW($W$7:$W$100)-MIN(ROW($W$7:$W$100))+1,""),""),ROW()-ROW(A$102)+1))),),"")</f>
        <v/>
      </c>
      <c r="AC138" s="0" t="str">
        <f aca="false" t="array" ref="AC138:AC138">IFERROR(CONCATENATE((INDEX($AF$7:$AF$100,SMALL(IF($AF$7:$AF$100&lt;&gt;"",IF($AC$7:$AC$100&lt;&gt;"",ROW($AC$7:$AC$100)-MIN(ROW($AC$7:$AC$100))+1,""),""),ROW()-ROW(A$102)+1))),","),"")</f>
        <v/>
      </c>
      <c r="AD138" s="0" t="str">
        <f aca="false" t="array" ref="AD138:AD138">IFERROR(CONCATENATE(TEXT(INDEX($AC$7:$AC$100,SMALL(IF($AF$7:$AF$100&lt;&gt;"",IF($AC$7:$AC$100&lt;&gt;"",ROW($AC$7:$AC$100)-MIN(ROW($AC$7:$AC$100))+1,""),""),ROW()-ROW(A$102)+1)),"##0"),","),"")</f>
        <v/>
      </c>
      <c r="AE138" s="0" t="str">
        <f aca="false" t="array" ref="AE138:AE138">IFERROR(CONCATENATE((INDEX($A$7:$A$100,SMALL(IF($AF$7:$AF$100&lt;&gt;"",IF($AC$7:$AC$100&lt;&gt;"",ROW($AC$7:$AC$100)-MIN(ROW($AC$7:$AC$100))+1,""),""),ROW()-ROW(A$102)+1))),),"")</f>
        <v/>
      </c>
      <c r="AI138" s="0" t="str">
        <f aca="false" t="array" ref="AI138:AI138">IFERROR(CONCATENATE((INDEX($AL$7:$AL$100,SMALL(IF($AL$7:$AL$100&lt;&gt;"",IF($AI$7:$AI$100&lt;&gt;"",ROW($AI$7:$AI$100)-MIN(ROW($AI$7:$AI$100))+1,""),""),ROW()-ROW(A$102)+1)))," "),"")</f>
        <v/>
      </c>
      <c r="AJ138" s="0" t="str">
        <f aca="false" t="array" ref="AJ138:AJ138">IFERROR(CONCATENATE(TEXT(INDEX($AI$7:$AI$100,SMALL(IF($AL$7:$AL$100&lt;&gt;"",IF($AI$7:$AI$100&lt;&gt;"",ROW($AI$7:$AI$100)-MIN(ROW($AI$7:$AI$100))+1,""),""),ROW()-ROW(A$102)+1)),"##0")," "),"")</f>
        <v/>
      </c>
      <c r="AK138" s="0" t="str">
        <f aca="false" t="array" ref="AK138:AK138">IFERROR(CONCATENATE((INDEX($A$7:$A$100,SMALL(IF($AL$7:$AL$100&lt;&gt;"",IF($AI$7:$AI$100&lt;&gt;"",ROW($AI$7:$AI$100)-MIN(ROW($AI$7:$AI$100))+1,""),""),ROW()-ROW(A$102)+1))),),"")</f>
        <v/>
      </c>
    </row>
    <row r="139" customFormat="false" ht="15" hidden="false" customHeight="false" outlineLevel="0" collapsed="false">
      <c r="K139" s="0" t="str">
        <f aca="false" t="array" ref="K139:K139">IFERROR(CONCATENATE(TEXT(INDEX($K$7:$K$100,SMALL(IF($N$7:$N$100&lt;&gt;"",IF($K$7:$K$100&lt;&gt;"",ROW($K$7:$K$100)-MIN(ROW($K$7:$K$100))+1,""),""),ROW()-ROW(A$102)+1)),"##0"),","),"")</f>
        <v/>
      </c>
      <c r="L139" s="0" t="str">
        <f aca="false" t="array" ref="L139:L139">IFERROR(CONCATENATE((INDEX($N$7:$N$100,SMALL(IF($N$7:$N$100&lt;&gt;"",IF($K$7:$K$100&lt;&gt;"",ROW($K$7:$K$100)-MIN(ROW($K$7:$K$100))+1,""),""),ROW()-ROW(A$102)+1))),","),"")</f>
        <v/>
      </c>
      <c r="M139" s="0" t="str">
        <f aca="false" t="array" ref="M139:M139">IFERROR(CONCATENATE((INDEX($A$7:$A$100,SMALL(IF($N$7:$N$100&lt;&gt;"",IF($K$7:$K$100&lt;&gt;"",ROW($K$7:$K$100)-MIN(ROW($K$7:$K$100))+1,""),""),ROW()-ROW(A$102)+1))),),"")</f>
        <v/>
      </c>
      <c r="Q139" s="0" t="str">
        <f aca="false" t="array" ref="Q139:Q139">IFERROR(CONCATENATE((INDEX($T$7:$T$100,SMALL(IF($T$7:$T$100&lt;&gt;"",IF($Q$7:$Q$100&lt;&gt;"",ROW($Q$7:$Q$100)-MIN(ROW($Q$7:$Q$100))+1,""),""),ROW()-ROW(A$102)+1)))," "),"")</f>
        <v/>
      </c>
      <c r="R139" s="0" t="str">
        <f aca="false" t="array" ref="R139:R139">IFERROR(CONCATENATE(TEXT(INDEX($Q$7:$Q$100,SMALL(IF($T$7:$T$100&lt;&gt;"",IF($Q$7:$Q$100&lt;&gt;"",ROW($Q$7:$Q$100)-MIN(ROW($Q$7:$Q$100))+1,""),""),ROW()-ROW(A$102)+1)),"##0")," "),"")</f>
        <v/>
      </c>
      <c r="S139" s="0" t="str">
        <f aca="false" t="array" ref="S139:S139">IFERROR(CONCATENATE((INDEX($A$7:$A$100,SMALL(IF($T$7:$T$100&lt;&gt;"",IF($Q$7:$Q$100&lt;&gt;"",ROW($Q$7:$Q$100)-MIN(ROW($Q$7:$Q$100))+1,""),""),ROW()-ROW(A$102)+1))),),"")</f>
        <v/>
      </c>
      <c r="W139" s="0" t="str">
        <f aca="false" t="array" ref="W139:W139">IFERROR(CONCATENATE((INDEX($Z$7:$Z$100,SMALL(IF($Z$7:$Z$100&lt;&gt;"",IF($W$7:$W$100&lt;&gt;"",ROW($W$7:$W$100)-MIN(ROW($W$7:$W$100))+1,""),""),ROW()-ROW(A$102)+1)))," "),"")</f>
        <v/>
      </c>
      <c r="X139" s="0" t="str">
        <f aca="false" t="array" ref="X139:X139">IFERROR(CONCATENATE(TEXT(INDEX($W$7:$W$100,SMALL(IF($Z$7:$Z$100&lt;&gt;"",IF($W$7:$W$100&lt;&gt;"",ROW($W$7:$W$100)-MIN(ROW($W$7:$W$100))+1,""),""),ROW()-ROW(A$102)+1)),"##0")," "),"")</f>
        <v/>
      </c>
      <c r="Y139" s="0" t="str">
        <f aca="false" t="array" ref="Y139:Y139">IFERROR(CONCATENATE((INDEX($A$7:$A$100,SMALL(IF($Z$7:$Z$100&lt;&gt;"",IF($W$7:$W$100&lt;&gt;"",ROW($W$7:$W$100)-MIN(ROW($W$7:$W$100))+1,""),""),ROW()-ROW(A$102)+1))),),"")</f>
        <v/>
      </c>
      <c r="AC139" s="0" t="str">
        <f aca="false" t="array" ref="AC139:AC139">IFERROR(CONCATENATE((INDEX($AF$7:$AF$100,SMALL(IF($AF$7:$AF$100&lt;&gt;"",IF($AC$7:$AC$100&lt;&gt;"",ROW($AC$7:$AC$100)-MIN(ROW($AC$7:$AC$100))+1,""),""),ROW()-ROW(A$102)+1))),","),"")</f>
        <v/>
      </c>
      <c r="AD139" s="0" t="str">
        <f aca="false" t="array" ref="AD139:AD139">IFERROR(CONCATENATE(TEXT(INDEX($AC$7:$AC$100,SMALL(IF($AF$7:$AF$100&lt;&gt;"",IF($AC$7:$AC$100&lt;&gt;"",ROW($AC$7:$AC$100)-MIN(ROW($AC$7:$AC$100))+1,""),""),ROW()-ROW(A$102)+1)),"##0"),","),"")</f>
        <v/>
      </c>
      <c r="AE139" s="0" t="str">
        <f aca="false" t="array" ref="AE139:AE139">IFERROR(CONCATENATE((INDEX($A$7:$A$100,SMALL(IF($AF$7:$AF$100&lt;&gt;"",IF($AC$7:$AC$100&lt;&gt;"",ROW($AC$7:$AC$100)-MIN(ROW($AC$7:$AC$100))+1,""),""),ROW()-ROW(A$102)+1))),),"")</f>
        <v/>
      </c>
      <c r="AI139" s="0" t="str">
        <f aca="false" t="array" ref="AI139:AI139">IFERROR(CONCATENATE((INDEX($AL$7:$AL$100,SMALL(IF($AL$7:$AL$100&lt;&gt;"",IF($AI$7:$AI$100&lt;&gt;"",ROW($AI$7:$AI$100)-MIN(ROW($AI$7:$AI$100))+1,""),""),ROW()-ROW(A$102)+1)))," "),"")</f>
        <v/>
      </c>
      <c r="AJ139" s="0" t="str">
        <f aca="false" t="array" ref="AJ139:AJ139">IFERROR(CONCATENATE(TEXT(INDEX($AI$7:$AI$100,SMALL(IF($AL$7:$AL$100&lt;&gt;"",IF($AI$7:$AI$100&lt;&gt;"",ROW($AI$7:$AI$100)-MIN(ROW($AI$7:$AI$100))+1,""),""),ROW()-ROW(A$102)+1)),"##0")," "),"")</f>
        <v/>
      </c>
      <c r="AK139" s="0" t="str">
        <f aca="false" t="array" ref="AK139:AK139">IFERROR(CONCATENATE((INDEX($A$7:$A$100,SMALL(IF($AL$7:$AL$100&lt;&gt;"",IF($AI$7:$AI$100&lt;&gt;"",ROW($AI$7:$AI$100)-MIN(ROW($AI$7:$AI$100))+1,""),""),ROW()-ROW(A$102)+1))),),"")</f>
        <v/>
      </c>
    </row>
    <row r="140" customFormat="false" ht="15" hidden="false" customHeight="false" outlineLevel="0" collapsed="false">
      <c r="K140" s="0" t="str">
        <f aca="false" t="array" ref="K140:K140">IFERROR(CONCATENATE(TEXT(INDEX($K$7:$K$100,SMALL(IF($N$7:$N$100&lt;&gt;"",IF($K$7:$K$100&lt;&gt;"",ROW($K$7:$K$100)-MIN(ROW($K$7:$K$100))+1,""),""),ROW()-ROW(A$102)+1)),"##0"),","),"")</f>
        <v/>
      </c>
      <c r="L140" s="0" t="str">
        <f aca="false" t="array" ref="L140:L140">IFERROR(CONCATENATE((INDEX($N$7:$N$100,SMALL(IF($N$7:$N$100&lt;&gt;"",IF($K$7:$K$100&lt;&gt;"",ROW($K$7:$K$100)-MIN(ROW($K$7:$K$100))+1,""),""),ROW()-ROW(A$102)+1))),","),"")</f>
        <v/>
      </c>
      <c r="M140" s="0" t="str">
        <f aca="false" t="array" ref="M140:M140">IFERROR(CONCATENATE((INDEX($A$7:$A$100,SMALL(IF($N$7:$N$100&lt;&gt;"",IF($K$7:$K$100&lt;&gt;"",ROW($K$7:$K$100)-MIN(ROW($K$7:$K$100))+1,""),""),ROW()-ROW(A$102)+1))),),"")</f>
        <v/>
      </c>
      <c r="Q140" s="0" t="str">
        <f aca="false" t="array" ref="Q140:Q140">IFERROR(CONCATENATE((INDEX($T$7:$T$100,SMALL(IF($T$7:$T$100&lt;&gt;"",IF($Q$7:$Q$100&lt;&gt;"",ROW($Q$7:$Q$100)-MIN(ROW($Q$7:$Q$100))+1,""),""),ROW()-ROW(A$102)+1)))," "),"")</f>
        <v/>
      </c>
      <c r="R140" s="0" t="str">
        <f aca="false" t="array" ref="R140:R140">IFERROR(CONCATENATE(TEXT(INDEX($Q$7:$Q$100,SMALL(IF($T$7:$T$100&lt;&gt;"",IF($Q$7:$Q$100&lt;&gt;"",ROW($Q$7:$Q$100)-MIN(ROW($Q$7:$Q$100))+1,""),""),ROW()-ROW(A$102)+1)),"##0")," "),"")</f>
        <v/>
      </c>
      <c r="S140" s="0" t="str">
        <f aca="false" t="array" ref="S140:S140">IFERROR(CONCATENATE((INDEX($A$7:$A$100,SMALL(IF($T$7:$T$100&lt;&gt;"",IF($Q$7:$Q$100&lt;&gt;"",ROW($Q$7:$Q$100)-MIN(ROW($Q$7:$Q$100))+1,""),""),ROW()-ROW(A$102)+1))),),"")</f>
        <v/>
      </c>
      <c r="W140" s="0" t="str">
        <f aca="false" t="array" ref="W140:W140">IFERROR(CONCATENATE((INDEX($Z$7:$Z$100,SMALL(IF($Z$7:$Z$100&lt;&gt;"",IF($W$7:$W$100&lt;&gt;"",ROW($W$7:$W$100)-MIN(ROW($W$7:$W$100))+1,""),""),ROW()-ROW(A$102)+1)))," "),"")</f>
        <v/>
      </c>
      <c r="X140" s="0" t="str">
        <f aca="false" t="array" ref="X140:X140">IFERROR(CONCATENATE(TEXT(INDEX($W$7:$W$100,SMALL(IF($Z$7:$Z$100&lt;&gt;"",IF($W$7:$W$100&lt;&gt;"",ROW($W$7:$W$100)-MIN(ROW($W$7:$W$100))+1,""),""),ROW()-ROW(A$102)+1)),"##0")," "),"")</f>
        <v/>
      </c>
      <c r="Y140" s="0" t="str">
        <f aca="false" t="array" ref="Y140:Y140">IFERROR(CONCATENATE((INDEX($A$7:$A$100,SMALL(IF($Z$7:$Z$100&lt;&gt;"",IF($W$7:$W$100&lt;&gt;"",ROW($W$7:$W$100)-MIN(ROW($W$7:$W$100))+1,""),""),ROW()-ROW(A$102)+1))),),"")</f>
        <v/>
      </c>
      <c r="AC140" s="0" t="str">
        <f aca="false" t="array" ref="AC140:AC140">IFERROR(CONCATENATE((INDEX($AF$7:$AF$100,SMALL(IF($AF$7:$AF$100&lt;&gt;"",IF($AC$7:$AC$100&lt;&gt;"",ROW($AC$7:$AC$100)-MIN(ROW($AC$7:$AC$100))+1,""),""),ROW()-ROW(A$102)+1))),","),"")</f>
        <v/>
      </c>
      <c r="AD140" s="0" t="str">
        <f aca="false" t="array" ref="AD140:AD140">IFERROR(CONCATENATE(TEXT(INDEX($AC$7:$AC$100,SMALL(IF($AF$7:$AF$100&lt;&gt;"",IF($AC$7:$AC$100&lt;&gt;"",ROW($AC$7:$AC$100)-MIN(ROW($AC$7:$AC$100))+1,""),""),ROW()-ROW(A$102)+1)),"##0"),","),"")</f>
        <v/>
      </c>
      <c r="AE140" s="0" t="str">
        <f aca="false" t="array" ref="AE140:AE140">IFERROR(CONCATENATE((INDEX($A$7:$A$100,SMALL(IF($AF$7:$AF$100&lt;&gt;"",IF($AC$7:$AC$100&lt;&gt;"",ROW($AC$7:$AC$100)-MIN(ROW($AC$7:$AC$100))+1,""),""),ROW()-ROW(A$102)+1))),),"")</f>
        <v/>
      </c>
      <c r="AI140" s="0" t="str">
        <f aca="false" t="array" ref="AI140:AI140">IFERROR(CONCATENATE((INDEX($AL$7:$AL$100,SMALL(IF($AL$7:$AL$100&lt;&gt;"",IF($AI$7:$AI$100&lt;&gt;"",ROW($AI$7:$AI$100)-MIN(ROW($AI$7:$AI$100))+1,""),""),ROW()-ROW(A$102)+1)))," "),"")</f>
        <v/>
      </c>
      <c r="AJ140" s="0" t="str">
        <f aca="false" t="array" ref="AJ140:AJ140">IFERROR(CONCATENATE(TEXT(INDEX($AI$7:$AI$100,SMALL(IF($AL$7:$AL$100&lt;&gt;"",IF($AI$7:$AI$100&lt;&gt;"",ROW($AI$7:$AI$100)-MIN(ROW($AI$7:$AI$100))+1,""),""),ROW()-ROW(A$102)+1)),"##0")," "),"")</f>
        <v/>
      </c>
      <c r="AK140" s="0" t="str">
        <f aca="false" t="array" ref="AK140:AK140">IFERROR(CONCATENATE((INDEX($A$7:$A$100,SMALL(IF($AL$7:$AL$100&lt;&gt;"",IF($AI$7:$AI$100&lt;&gt;"",ROW($AI$7:$AI$100)-MIN(ROW($AI$7:$AI$100))+1,""),""),ROW()-ROW(A$102)+1))),),"")</f>
        <v/>
      </c>
    </row>
    <row r="141" customFormat="false" ht="15" hidden="false" customHeight="false" outlineLevel="0" collapsed="false">
      <c r="K141" s="0" t="str">
        <f aca="false" t="array" ref="K141:K141">IFERROR(CONCATENATE(TEXT(INDEX($K$7:$K$100,SMALL(IF($N$7:$N$100&lt;&gt;"",IF($K$7:$K$100&lt;&gt;"",ROW($K$7:$K$100)-MIN(ROW($K$7:$K$100))+1,""),""),ROW()-ROW(A$102)+1)),"##0"),","),"")</f>
        <v/>
      </c>
      <c r="L141" s="0" t="str">
        <f aca="false" t="array" ref="L141:L141">IFERROR(CONCATENATE((INDEX($N$7:$N$100,SMALL(IF($N$7:$N$100&lt;&gt;"",IF($K$7:$K$100&lt;&gt;"",ROW($K$7:$K$100)-MIN(ROW($K$7:$K$100))+1,""),""),ROW()-ROW(A$102)+1))),","),"")</f>
        <v/>
      </c>
      <c r="M141" s="0" t="str">
        <f aca="false" t="array" ref="M141:M141">IFERROR(CONCATENATE((INDEX($A$7:$A$100,SMALL(IF($N$7:$N$100&lt;&gt;"",IF($K$7:$K$100&lt;&gt;"",ROW($K$7:$K$100)-MIN(ROW($K$7:$K$100))+1,""),""),ROW()-ROW(A$102)+1))),),"")</f>
        <v/>
      </c>
      <c r="Q141" s="0" t="str">
        <f aca="false" t="array" ref="Q141:Q141">IFERROR(CONCATENATE((INDEX($T$7:$T$100,SMALL(IF($T$7:$T$100&lt;&gt;"",IF($Q$7:$Q$100&lt;&gt;"",ROW($Q$7:$Q$100)-MIN(ROW($Q$7:$Q$100))+1,""),""),ROW()-ROW(A$102)+1)))," "),"")</f>
        <v/>
      </c>
      <c r="R141" s="0" t="str">
        <f aca="false" t="array" ref="R141:R141">IFERROR(CONCATENATE(TEXT(INDEX($Q$7:$Q$100,SMALL(IF($T$7:$T$100&lt;&gt;"",IF($Q$7:$Q$100&lt;&gt;"",ROW($Q$7:$Q$100)-MIN(ROW($Q$7:$Q$100))+1,""),""),ROW()-ROW(A$102)+1)),"##0")," "),"")</f>
        <v/>
      </c>
      <c r="S141" s="0" t="str">
        <f aca="false" t="array" ref="S141:S141">IFERROR(CONCATENATE((INDEX($A$7:$A$100,SMALL(IF($T$7:$T$100&lt;&gt;"",IF($Q$7:$Q$100&lt;&gt;"",ROW($Q$7:$Q$100)-MIN(ROW($Q$7:$Q$100))+1,""),""),ROW()-ROW(A$102)+1))),),"")</f>
        <v/>
      </c>
      <c r="W141" s="0" t="str">
        <f aca="false" t="array" ref="W141:W141">IFERROR(CONCATENATE((INDEX($Z$7:$Z$100,SMALL(IF($Z$7:$Z$100&lt;&gt;"",IF($W$7:$W$100&lt;&gt;"",ROW($W$7:$W$100)-MIN(ROW($W$7:$W$100))+1,""),""),ROW()-ROW(A$102)+1)))," "),"")</f>
        <v/>
      </c>
      <c r="X141" s="0" t="str">
        <f aca="false" t="array" ref="X141:X141">IFERROR(CONCATENATE(TEXT(INDEX($W$7:$W$100,SMALL(IF($Z$7:$Z$100&lt;&gt;"",IF($W$7:$W$100&lt;&gt;"",ROW($W$7:$W$100)-MIN(ROW($W$7:$W$100))+1,""),""),ROW()-ROW(A$102)+1)),"##0")," "),"")</f>
        <v/>
      </c>
      <c r="Y141" s="0" t="str">
        <f aca="false" t="array" ref="Y141:Y141">IFERROR(CONCATENATE((INDEX($A$7:$A$100,SMALL(IF($Z$7:$Z$100&lt;&gt;"",IF($W$7:$W$100&lt;&gt;"",ROW($W$7:$W$100)-MIN(ROW($W$7:$W$100))+1,""),""),ROW()-ROW(A$102)+1))),),"")</f>
        <v/>
      </c>
      <c r="AC141" s="0" t="str">
        <f aca="false" t="array" ref="AC141:AC141">IFERROR(CONCATENATE((INDEX($AF$7:$AF$100,SMALL(IF($AF$7:$AF$100&lt;&gt;"",IF($AC$7:$AC$100&lt;&gt;"",ROW($AC$7:$AC$100)-MIN(ROW($AC$7:$AC$100))+1,""),""),ROW()-ROW(A$102)+1))),","),"")</f>
        <v/>
      </c>
      <c r="AD141" s="0" t="str">
        <f aca="false" t="array" ref="AD141:AD141">IFERROR(CONCATENATE(TEXT(INDEX($AC$7:$AC$100,SMALL(IF($AF$7:$AF$100&lt;&gt;"",IF($AC$7:$AC$100&lt;&gt;"",ROW($AC$7:$AC$100)-MIN(ROW($AC$7:$AC$100))+1,""),""),ROW()-ROW(A$102)+1)),"##0"),","),"")</f>
        <v/>
      </c>
      <c r="AE141" s="0" t="str">
        <f aca="false" t="array" ref="AE141:AE141">IFERROR(CONCATENATE((INDEX($A$7:$A$100,SMALL(IF($AF$7:$AF$100&lt;&gt;"",IF($AC$7:$AC$100&lt;&gt;"",ROW($AC$7:$AC$100)-MIN(ROW($AC$7:$AC$100))+1,""),""),ROW()-ROW(A$102)+1))),),"")</f>
        <v/>
      </c>
      <c r="AI141" s="0" t="str">
        <f aca="false" t="array" ref="AI141:AI141">IFERROR(CONCATENATE((INDEX($AL$7:$AL$100,SMALL(IF($AL$7:$AL$100&lt;&gt;"",IF($AI$7:$AI$100&lt;&gt;"",ROW($AI$7:$AI$100)-MIN(ROW($AI$7:$AI$100))+1,""),""),ROW()-ROW(A$102)+1)))," "),"")</f>
        <v/>
      </c>
      <c r="AJ141" s="0" t="str">
        <f aca="false" t="array" ref="AJ141:AJ141">IFERROR(CONCATENATE(TEXT(INDEX($AI$7:$AI$100,SMALL(IF($AL$7:$AL$100&lt;&gt;"",IF($AI$7:$AI$100&lt;&gt;"",ROW($AI$7:$AI$100)-MIN(ROW($AI$7:$AI$100))+1,""),""),ROW()-ROW(A$102)+1)),"##0")," "),"")</f>
        <v/>
      </c>
      <c r="AK141" s="0" t="str">
        <f aca="false" t="array" ref="AK141:AK141">IFERROR(CONCATENATE((INDEX($A$7:$A$100,SMALL(IF($AL$7:$AL$100&lt;&gt;"",IF($AI$7:$AI$100&lt;&gt;"",ROW($AI$7:$AI$100)-MIN(ROW($AI$7:$AI$100))+1,""),""),ROW()-ROW(A$102)+1))),),"")</f>
        <v/>
      </c>
    </row>
    <row r="142" customFormat="false" ht="15" hidden="false" customHeight="false" outlineLevel="0" collapsed="false">
      <c r="K142" s="0" t="str">
        <f aca="false" t="array" ref="K142:K142">IFERROR(CONCATENATE(TEXT(INDEX($K$7:$K$100,SMALL(IF($N$7:$N$100&lt;&gt;"",IF($K$7:$K$100&lt;&gt;"",ROW($K$7:$K$100)-MIN(ROW($K$7:$K$100))+1,""),""),ROW()-ROW(A$102)+1)),"##0"),","),"")</f>
        <v/>
      </c>
      <c r="L142" s="0" t="str">
        <f aca="false" t="array" ref="L142:L142">IFERROR(CONCATENATE((INDEX($N$7:$N$100,SMALL(IF($N$7:$N$100&lt;&gt;"",IF($K$7:$K$100&lt;&gt;"",ROW($K$7:$K$100)-MIN(ROW($K$7:$K$100))+1,""),""),ROW()-ROW(A$102)+1))),","),"")</f>
        <v/>
      </c>
      <c r="M142" s="0" t="str">
        <f aca="false" t="array" ref="M142:M142">IFERROR(CONCATENATE((INDEX($A$7:$A$100,SMALL(IF($N$7:$N$100&lt;&gt;"",IF($K$7:$K$100&lt;&gt;"",ROW($K$7:$K$100)-MIN(ROW($K$7:$K$100))+1,""),""),ROW()-ROW(A$102)+1))),),"")</f>
        <v/>
      </c>
      <c r="Q142" s="0" t="str">
        <f aca="false" t="array" ref="Q142:Q142">IFERROR(CONCATENATE((INDEX($T$7:$T$100,SMALL(IF($T$7:$T$100&lt;&gt;"",IF($Q$7:$Q$100&lt;&gt;"",ROW($Q$7:$Q$100)-MIN(ROW($Q$7:$Q$100))+1,""),""),ROW()-ROW(A$102)+1)))," "),"")</f>
        <v/>
      </c>
      <c r="R142" s="0" t="str">
        <f aca="false" t="array" ref="R142:R142">IFERROR(CONCATENATE(TEXT(INDEX($Q$7:$Q$100,SMALL(IF($T$7:$T$100&lt;&gt;"",IF($Q$7:$Q$100&lt;&gt;"",ROW($Q$7:$Q$100)-MIN(ROW($Q$7:$Q$100))+1,""),""),ROW()-ROW(A$102)+1)),"##0")," "),"")</f>
        <v/>
      </c>
      <c r="S142" s="0" t="str">
        <f aca="false" t="array" ref="S142:S142">IFERROR(CONCATENATE((INDEX($A$7:$A$100,SMALL(IF($T$7:$T$100&lt;&gt;"",IF($Q$7:$Q$100&lt;&gt;"",ROW($Q$7:$Q$100)-MIN(ROW($Q$7:$Q$100))+1,""),""),ROW()-ROW(A$102)+1))),),"")</f>
        <v/>
      </c>
      <c r="W142" s="0" t="str">
        <f aca="false" t="array" ref="W142:W142">IFERROR(CONCATENATE((INDEX($Z$7:$Z$100,SMALL(IF($Z$7:$Z$100&lt;&gt;"",IF($W$7:$W$100&lt;&gt;"",ROW($W$7:$W$100)-MIN(ROW($W$7:$W$100))+1,""),""),ROW()-ROW(A$102)+1)))," "),"")</f>
        <v/>
      </c>
      <c r="X142" s="0" t="str">
        <f aca="false" t="array" ref="X142:X142">IFERROR(CONCATENATE(TEXT(INDEX($W$7:$W$100,SMALL(IF($Z$7:$Z$100&lt;&gt;"",IF($W$7:$W$100&lt;&gt;"",ROW($W$7:$W$100)-MIN(ROW($W$7:$W$100))+1,""),""),ROW()-ROW(A$102)+1)),"##0")," "),"")</f>
        <v/>
      </c>
      <c r="Y142" s="0" t="str">
        <f aca="false" t="array" ref="Y142:Y142">IFERROR(CONCATENATE((INDEX($A$7:$A$100,SMALL(IF($Z$7:$Z$100&lt;&gt;"",IF($W$7:$W$100&lt;&gt;"",ROW($W$7:$W$100)-MIN(ROW($W$7:$W$100))+1,""),""),ROW()-ROW(A$102)+1))),),"")</f>
        <v/>
      </c>
      <c r="AC142" s="0" t="str">
        <f aca="false" t="array" ref="AC142:AC142">IFERROR(CONCATENATE((INDEX($AF$7:$AF$100,SMALL(IF($AF$7:$AF$100&lt;&gt;"",IF($AC$7:$AC$100&lt;&gt;"",ROW($AC$7:$AC$100)-MIN(ROW($AC$7:$AC$100))+1,""),""),ROW()-ROW(A$102)+1))),","),"")</f>
        <v/>
      </c>
      <c r="AD142" s="0" t="str">
        <f aca="false" t="array" ref="AD142:AD142">IFERROR(CONCATENATE(TEXT(INDEX($AC$7:$AC$100,SMALL(IF($AF$7:$AF$100&lt;&gt;"",IF($AC$7:$AC$100&lt;&gt;"",ROW($AC$7:$AC$100)-MIN(ROW($AC$7:$AC$100))+1,""),""),ROW()-ROW(A$102)+1)),"##0"),","),"")</f>
        <v/>
      </c>
      <c r="AE142" s="0" t="str">
        <f aca="false" t="array" ref="AE142:AE142">IFERROR(CONCATENATE((INDEX($A$7:$A$100,SMALL(IF($AF$7:$AF$100&lt;&gt;"",IF($AC$7:$AC$100&lt;&gt;"",ROW($AC$7:$AC$100)-MIN(ROW($AC$7:$AC$100))+1,""),""),ROW()-ROW(A$102)+1))),),"")</f>
        <v/>
      </c>
      <c r="AI142" s="0" t="str">
        <f aca="false" t="array" ref="AI142:AI142">IFERROR(CONCATENATE((INDEX($AL$7:$AL$100,SMALL(IF($AL$7:$AL$100&lt;&gt;"",IF($AI$7:$AI$100&lt;&gt;"",ROW($AI$7:$AI$100)-MIN(ROW($AI$7:$AI$100))+1,""),""),ROW()-ROW(A$102)+1)))," "),"")</f>
        <v/>
      </c>
      <c r="AJ142" s="0" t="str">
        <f aca="false" t="array" ref="AJ142:AJ142">IFERROR(CONCATENATE(TEXT(INDEX($AI$7:$AI$100,SMALL(IF($AL$7:$AL$100&lt;&gt;"",IF($AI$7:$AI$100&lt;&gt;"",ROW($AI$7:$AI$100)-MIN(ROW($AI$7:$AI$100))+1,""),""),ROW()-ROW(A$102)+1)),"##0")," "),"")</f>
        <v/>
      </c>
      <c r="AK142" s="0" t="str">
        <f aca="false" t="array" ref="AK142:AK142">IFERROR(CONCATENATE((INDEX($A$7:$A$100,SMALL(IF($AL$7:$AL$100&lt;&gt;"",IF($AI$7:$AI$100&lt;&gt;"",ROW($AI$7:$AI$100)-MIN(ROW($AI$7:$AI$100))+1,""),""),ROW()-ROW(A$102)+1))),),"")</f>
        <v/>
      </c>
    </row>
    <row r="143" customFormat="false" ht="15" hidden="false" customHeight="false" outlineLevel="0" collapsed="false">
      <c r="K143" s="0" t="str">
        <f aca="false" t="array" ref="K143:K143">IFERROR(CONCATENATE(TEXT(INDEX($K$7:$K$100,SMALL(IF($N$7:$N$100&lt;&gt;"",IF($K$7:$K$100&lt;&gt;"",ROW($K$7:$K$100)-MIN(ROW($K$7:$K$100))+1,""),""),ROW()-ROW(A$102)+1)),"##0"),","),"")</f>
        <v/>
      </c>
      <c r="L143" s="0" t="str">
        <f aca="false" t="array" ref="L143:L143">IFERROR(CONCATENATE((INDEX($N$7:$N$100,SMALL(IF($N$7:$N$100&lt;&gt;"",IF($K$7:$K$100&lt;&gt;"",ROW($K$7:$K$100)-MIN(ROW($K$7:$K$100))+1,""),""),ROW()-ROW(A$102)+1))),","),"")</f>
        <v/>
      </c>
      <c r="M143" s="0" t="str">
        <f aca="false" t="array" ref="M143:M143">IFERROR(CONCATENATE((INDEX($A$7:$A$100,SMALL(IF($N$7:$N$100&lt;&gt;"",IF($K$7:$K$100&lt;&gt;"",ROW($K$7:$K$100)-MIN(ROW($K$7:$K$100))+1,""),""),ROW()-ROW(A$102)+1))),),"")</f>
        <v/>
      </c>
      <c r="Q143" s="0" t="str">
        <f aca="false" t="array" ref="Q143:Q143">IFERROR(CONCATENATE((INDEX($T$7:$T$100,SMALL(IF($T$7:$T$100&lt;&gt;"",IF($Q$7:$Q$100&lt;&gt;"",ROW($Q$7:$Q$100)-MIN(ROW($Q$7:$Q$100))+1,""),""),ROW()-ROW(A$102)+1)))," "),"")</f>
        <v/>
      </c>
      <c r="R143" s="0" t="str">
        <f aca="false" t="array" ref="R143:R143">IFERROR(CONCATENATE(TEXT(INDEX($Q$7:$Q$100,SMALL(IF($T$7:$T$100&lt;&gt;"",IF($Q$7:$Q$100&lt;&gt;"",ROW($Q$7:$Q$100)-MIN(ROW($Q$7:$Q$100))+1,""),""),ROW()-ROW(A$102)+1)),"##0")," "),"")</f>
        <v/>
      </c>
      <c r="S143" s="0" t="str">
        <f aca="false" t="array" ref="S143:S143">IFERROR(CONCATENATE((INDEX($A$7:$A$100,SMALL(IF($T$7:$T$100&lt;&gt;"",IF($Q$7:$Q$100&lt;&gt;"",ROW($Q$7:$Q$100)-MIN(ROW($Q$7:$Q$100))+1,""),""),ROW()-ROW(A$102)+1))),),"")</f>
        <v/>
      </c>
      <c r="W143" s="0" t="str">
        <f aca="false" t="array" ref="W143:W143">IFERROR(CONCATENATE((INDEX($Z$7:$Z$100,SMALL(IF($Z$7:$Z$100&lt;&gt;"",IF($W$7:$W$100&lt;&gt;"",ROW($W$7:$W$100)-MIN(ROW($W$7:$W$100))+1,""),""),ROW()-ROW(A$102)+1)))," "),"")</f>
        <v/>
      </c>
      <c r="X143" s="0" t="str">
        <f aca="false" t="array" ref="X143:X143">IFERROR(CONCATENATE(TEXT(INDEX($W$7:$W$100,SMALL(IF($Z$7:$Z$100&lt;&gt;"",IF($W$7:$W$100&lt;&gt;"",ROW($W$7:$W$100)-MIN(ROW($W$7:$W$100))+1,""),""),ROW()-ROW(A$102)+1)),"##0")," "),"")</f>
        <v/>
      </c>
      <c r="Y143" s="0" t="str">
        <f aca="false" t="array" ref="Y143:Y143">IFERROR(CONCATENATE((INDEX($A$7:$A$100,SMALL(IF($Z$7:$Z$100&lt;&gt;"",IF($W$7:$W$100&lt;&gt;"",ROW($W$7:$W$100)-MIN(ROW($W$7:$W$100))+1,""),""),ROW()-ROW(A$102)+1))),),"")</f>
        <v/>
      </c>
      <c r="AC143" s="0" t="str">
        <f aca="false" t="array" ref="AC143:AC143">IFERROR(CONCATENATE((INDEX($AF$7:$AF$100,SMALL(IF($AF$7:$AF$100&lt;&gt;"",IF($AC$7:$AC$100&lt;&gt;"",ROW($AC$7:$AC$100)-MIN(ROW($AC$7:$AC$100))+1,""),""),ROW()-ROW(A$102)+1))),","),"")</f>
        <v/>
      </c>
      <c r="AD143" s="0" t="str">
        <f aca="false" t="array" ref="AD143:AD143">IFERROR(CONCATENATE(TEXT(INDEX($AC$7:$AC$100,SMALL(IF($AF$7:$AF$100&lt;&gt;"",IF($AC$7:$AC$100&lt;&gt;"",ROW($AC$7:$AC$100)-MIN(ROW($AC$7:$AC$100))+1,""),""),ROW()-ROW(A$102)+1)),"##0"),","),"")</f>
        <v/>
      </c>
      <c r="AE143" s="0" t="str">
        <f aca="false" t="array" ref="AE143:AE143">IFERROR(CONCATENATE((INDEX($A$7:$A$100,SMALL(IF($AF$7:$AF$100&lt;&gt;"",IF($AC$7:$AC$100&lt;&gt;"",ROW($AC$7:$AC$100)-MIN(ROW($AC$7:$AC$100))+1,""),""),ROW()-ROW(A$102)+1))),),"")</f>
        <v/>
      </c>
      <c r="AI143" s="0" t="str">
        <f aca="false" t="array" ref="AI143:AI143">IFERROR(CONCATENATE((INDEX($AL$7:$AL$100,SMALL(IF($AL$7:$AL$100&lt;&gt;"",IF($AI$7:$AI$100&lt;&gt;"",ROW($AI$7:$AI$100)-MIN(ROW($AI$7:$AI$100))+1,""),""),ROW()-ROW(A$102)+1)))," "),"")</f>
        <v/>
      </c>
      <c r="AJ143" s="0" t="str">
        <f aca="false" t="array" ref="AJ143:AJ143">IFERROR(CONCATENATE(TEXT(INDEX($AI$7:$AI$100,SMALL(IF($AL$7:$AL$100&lt;&gt;"",IF($AI$7:$AI$100&lt;&gt;"",ROW($AI$7:$AI$100)-MIN(ROW($AI$7:$AI$100))+1,""),""),ROW()-ROW(A$102)+1)),"##0")," "),"")</f>
        <v/>
      </c>
      <c r="AK143" s="0" t="str">
        <f aca="false" t="array" ref="AK143:AK143">IFERROR(CONCATENATE((INDEX($A$7:$A$100,SMALL(IF($AL$7:$AL$100&lt;&gt;"",IF($AI$7:$AI$100&lt;&gt;"",ROW($AI$7:$AI$100)-MIN(ROW($AI$7:$AI$100))+1,""),""),ROW()-ROW(A$102)+1))),),"")</f>
        <v/>
      </c>
    </row>
    <row r="144" customFormat="false" ht="15" hidden="false" customHeight="false" outlineLevel="0" collapsed="false">
      <c r="K144" s="0" t="str">
        <f aca="false" t="array" ref="K144:K144">IFERROR(CONCATENATE(TEXT(INDEX($K$7:$K$100,SMALL(IF($N$7:$N$100&lt;&gt;"",IF($K$7:$K$100&lt;&gt;"",ROW($K$7:$K$100)-MIN(ROW($K$7:$K$100))+1,""),""),ROW()-ROW(A$102)+1)),"##0"),","),"")</f>
        <v/>
      </c>
      <c r="L144" s="0" t="str">
        <f aca="false" t="array" ref="L144:L144">IFERROR(CONCATENATE((INDEX($N$7:$N$100,SMALL(IF($N$7:$N$100&lt;&gt;"",IF($K$7:$K$100&lt;&gt;"",ROW($K$7:$K$100)-MIN(ROW($K$7:$K$100))+1,""),""),ROW()-ROW(A$102)+1))),","),"")</f>
        <v/>
      </c>
      <c r="M144" s="0" t="str">
        <f aca="false" t="array" ref="M144:M144">IFERROR(CONCATENATE((INDEX($A$7:$A$100,SMALL(IF($N$7:$N$100&lt;&gt;"",IF($K$7:$K$100&lt;&gt;"",ROW($K$7:$K$100)-MIN(ROW($K$7:$K$100))+1,""),""),ROW()-ROW(A$102)+1))),),"")</f>
        <v/>
      </c>
      <c r="Q144" s="0" t="str">
        <f aca="false" t="array" ref="Q144:Q144">IFERROR(CONCATENATE((INDEX($T$7:$T$100,SMALL(IF($T$7:$T$100&lt;&gt;"",IF($Q$7:$Q$100&lt;&gt;"",ROW($Q$7:$Q$100)-MIN(ROW($Q$7:$Q$100))+1,""),""),ROW()-ROW(A$102)+1)))," "),"")</f>
        <v/>
      </c>
      <c r="R144" s="0" t="str">
        <f aca="false" t="array" ref="R144:R144">IFERROR(CONCATENATE(TEXT(INDEX($Q$7:$Q$100,SMALL(IF($T$7:$T$100&lt;&gt;"",IF($Q$7:$Q$100&lt;&gt;"",ROW($Q$7:$Q$100)-MIN(ROW($Q$7:$Q$100))+1,""),""),ROW()-ROW(A$102)+1)),"##0")," "),"")</f>
        <v/>
      </c>
      <c r="S144" s="0" t="str">
        <f aca="false" t="array" ref="S144:S144">IFERROR(CONCATENATE((INDEX($A$7:$A$100,SMALL(IF($T$7:$T$100&lt;&gt;"",IF($Q$7:$Q$100&lt;&gt;"",ROW($Q$7:$Q$100)-MIN(ROW($Q$7:$Q$100))+1,""),""),ROW()-ROW(A$102)+1))),),"")</f>
        <v/>
      </c>
      <c r="W144" s="0" t="str">
        <f aca="false" t="array" ref="W144:W144">IFERROR(CONCATENATE((INDEX($Z$7:$Z$100,SMALL(IF($Z$7:$Z$100&lt;&gt;"",IF($W$7:$W$100&lt;&gt;"",ROW($W$7:$W$100)-MIN(ROW($W$7:$W$100))+1,""),""),ROW()-ROW(A$102)+1)))," "),"")</f>
        <v/>
      </c>
      <c r="X144" s="0" t="str">
        <f aca="false" t="array" ref="X144:X144">IFERROR(CONCATENATE(TEXT(INDEX($W$7:$W$100,SMALL(IF($Z$7:$Z$100&lt;&gt;"",IF($W$7:$W$100&lt;&gt;"",ROW($W$7:$W$100)-MIN(ROW($W$7:$W$100))+1,""),""),ROW()-ROW(A$102)+1)),"##0")," "),"")</f>
        <v/>
      </c>
      <c r="Y144" s="0" t="str">
        <f aca="false" t="array" ref="Y144:Y144">IFERROR(CONCATENATE((INDEX($A$7:$A$100,SMALL(IF($Z$7:$Z$100&lt;&gt;"",IF($W$7:$W$100&lt;&gt;"",ROW($W$7:$W$100)-MIN(ROW($W$7:$W$100))+1,""),""),ROW()-ROW(A$102)+1))),),"")</f>
        <v/>
      </c>
      <c r="AC144" s="0" t="str">
        <f aca="false" t="array" ref="AC144:AC144">IFERROR(CONCATENATE((INDEX($AF$7:$AF$100,SMALL(IF($AF$7:$AF$100&lt;&gt;"",IF($AC$7:$AC$100&lt;&gt;"",ROW($AC$7:$AC$100)-MIN(ROW($AC$7:$AC$100))+1,""),""),ROW()-ROW(A$102)+1))),","),"")</f>
        <v/>
      </c>
      <c r="AD144" s="0" t="str">
        <f aca="false" t="array" ref="AD144:AD144">IFERROR(CONCATENATE(TEXT(INDEX($AC$7:$AC$100,SMALL(IF($AF$7:$AF$100&lt;&gt;"",IF($AC$7:$AC$100&lt;&gt;"",ROW($AC$7:$AC$100)-MIN(ROW($AC$7:$AC$100))+1,""),""),ROW()-ROW(A$102)+1)),"##0"),","),"")</f>
        <v/>
      </c>
      <c r="AE144" s="0" t="str">
        <f aca="false" t="array" ref="AE144:AE144">IFERROR(CONCATENATE((INDEX($A$7:$A$100,SMALL(IF($AF$7:$AF$100&lt;&gt;"",IF($AC$7:$AC$100&lt;&gt;"",ROW($AC$7:$AC$100)-MIN(ROW($AC$7:$AC$100))+1,""),""),ROW()-ROW(A$102)+1))),),"")</f>
        <v/>
      </c>
      <c r="AI144" s="0" t="str">
        <f aca="false" t="array" ref="AI144:AI144">IFERROR(CONCATENATE((INDEX($AL$7:$AL$100,SMALL(IF($AL$7:$AL$100&lt;&gt;"",IF($AI$7:$AI$100&lt;&gt;"",ROW($AI$7:$AI$100)-MIN(ROW($AI$7:$AI$100))+1,""),""),ROW()-ROW(A$102)+1)))," "),"")</f>
        <v/>
      </c>
      <c r="AJ144" s="0" t="str">
        <f aca="false" t="array" ref="AJ144:AJ144">IFERROR(CONCATENATE(TEXT(INDEX($AI$7:$AI$100,SMALL(IF($AL$7:$AL$100&lt;&gt;"",IF($AI$7:$AI$100&lt;&gt;"",ROW($AI$7:$AI$100)-MIN(ROW($AI$7:$AI$100))+1,""),""),ROW()-ROW(A$102)+1)),"##0")," "),"")</f>
        <v/>
      </c>
      <c r="AK144" s="0" t="str">
        <f aca="false" t="array" ref="AK144:AK144">IFERROR(CONCATENATE((INDEX($A$7:$A$100,SMALL(IF($AL$7:$AL$100&lt;&gt;"",IF($AI$7:$AI$100&lt;&gt;"",ROW($AI$7:$AI$100)-MIN(ROW($AI$7:$AI$100))+1,""),""),ROW()-ROW(A$102)+1))),),"")</f>
        <v/>
      </c>
    </row>
    <row r="145" customFormat="false" ht="15" hidden="false" customHeight="false" outlineLevel="0" collapsed="false">
      <c r="K145" s="0" t="str">
        <f aca="false" t="array" ref="K145:K145">IFERROR(CONCATENATE(TEXT(INDEX($K$7:$K$100,SMALL(IF($N$7:$N$100&lt;&gt;"",IF($K$7:$K$100&lt;&gt;"",ROW($K$7:$K$100)-MIN(ROW($K$7:$K$100))+1,""),""),ROW()-ROW(A$102)+1)),"##0"),","),"")</f>
        <v/>
      </c>
      <c r="L145" s="0" t="str">
        <f aca="false" t="array" ref="L145:L145">IFERROR(CONCATENATE((INDEX($N$7:$N$100,SMALL(IF($N$7:$N$100&lt;&gt;"",IF($K$7:$K$100&lt;&gt;"",ROW($K$7:$K$100)-MIN(ROW($K$7:$K$100))+1,""),""),ROW()-ROW(A$102)+1))),","),"")</f>
        <v/>
      </c>
      <c r="M145" s="0" t="str">
        <f aca="false" t="array" ref="M145:M145">IFERROR(CONCATENATE((INDEX($A$7:$A$100,SMALL(IF($N$7:$N$100&lt;&gt;"",IF($K$7:$K$100&lt;&gt;"",ROW($K$7:$K$100)-MIN(ROW($K$7:$K$100))+1,""),""),ROW()-ROW(A$102)+1))),),"")</f>
        <v/>
      </c>
      <c r="Q145" s="0" t="str">
        <f aca="false" t="array" ref="Q145:Q145">IFERROR(CONCATENATE((INDEX($T$7:$T$100,SMALL(IF($T$7:$T$100&lt;&gt;"",IF($Q$7:$Q$100&lt;&gt;"",ROW($Q$7:$Q$100)-MIN(ROW($Q$7:$Q$100))+1,""),""),ROW()-ROW(A$102)+1)))," "),"")</f>
        <v/>
      </c>
      <c r="R145" s="0" t="str">
        <f aca="false" t="array" ref="R145:R145">IFERROR(CONCATENATE(TEXT(INDEX($Q$7:$Q$100,SMALL(IF($T$7:$T$100&lt;&gt;"",IF($Q$7:$Q$100&lt;&gt;"",ROW($Q$7:$Q$100)-MIN(ROW($Q$7:$Q$100))+1,""),""),ROW()-ROW(A$102)+1)),"##0")," "),"")</f>
        <v/>
      </c>
      <c r="S145" s="0" t="str">
        <f aca="false" t="array" ref="S145:S145">IFERROR(CONCATENATE((INDEX($A$7:$A$100,SMALL(IF($T$7:$T$100&lt;&gt;"",IF($Q$7:$Q$100&lt;&gt;"",ROW($Q$7:$Q$100)-MIN(ROW($Q$7:$Q$100))+1,""),""),ROW()-ROW(A$102)+1))),),"")</f>
        <v/>
      </c>
      <c r="W145" s="0" t="str">
        <f aca="false" t="array" ref="W145:W145">IFERROR(CONCATENATE((INDEX($Z$7:$Z$100,SMALL(IF($Z$7:$Z$100&lt;&gt;"",IF($W$7:$W$100&lt;&gt;"",ROW($W$7:$W$100)-MIN(ROW($W$7:$W$100))+1,""),""),ROW()-ROW(A$102)+1)))," "),"")</f>
        <v/>
      </c>
      <c r="X145" s="0" t="str">
        <f aca="false" t="array" ref="X145:X145">IFERROR(CONCATENATE(TEXT(INDEX($W$7:$W$100,SMALL(IF($Z$7:$Z$100&lt;&gt;"",IF($W$7:$W$100&lt;&gt;"",ROW($W$7:$W$100)-MIN(ROW($W$7:$W$100))+1,""),""),ROW()-ROW(A$102)+1)),"##0")," "),"")</f>
        <v/>
      </c>
      <c r="Y145" s="0" t="str">
        <f aca="false" t="array" ref="Y145:Y145">IFERROR(CONCATENATE((INDEX($A$7:$A$100,SMALL(IF($Z$7:$Z$100&lt;&gt;"",IF($W$7:$W$100&lt;&gt;"",ROW($W$7:$W$100)-MIN(ROW($W$7:$W$100))+1,""),""),ROW()-ROW(A$102)+1))),),"")</f>
        <v/>
      </c>
      <c r="AC145" s="0" t="str">
        <f aca="false" t="array" ref="AC145:AC145">IFERROR(CONCATENATE((INDEX($AF$7:$AF$100,SMALL(IF($AF$7:$AF$100&lt;&gt;"",IF($AC$7:$AC$100&lt;&gt;"",ROW($AC$7:$AC$100)-MIN(ROW($AC$7:$AC$100))+1,""),""),ROW()-ROW(A$102)+1))),","),"")</f>
        <v/>
      </c>
      <c r="AD145" s="0" t="str">
        <f aca="false" t="array" ref="AD145:AD145">IFERROR(CONCATENATE(TEXT(INDEX($AC$7:$AC$100,SMALL(IF($AF$7:$AF$100&lt;&gt;"",IF($AC$7:$AC$100&lt;&gt;"",ROW($AC$7:$AC$100)-MIN(ROW($AC$7:$AC$100))+1,""),""),ROW()-ROW(A$102)+1)),"##0"),","),"")</f>
        <v/>
      </c>
      <c r="AE145" s="0" t="str">
        <f aca="false" t="array" ref="AE145:AE145">IFERROR(CONCATENATE((INDEX($A$7:$A$100,SMALL(IF($AF$7:$AF$100&lt;&gt;"",IF($AC$7:$AC$100&lt;&gt;"",ROW($AC$7:$AC$100)-MIN(ROW($AC$7:$AC$100))+1,""),""),ROW()-ROW(A$102)+1))),),"")</f>
        <v/>
      </c>
      <c r="AI145" s="0" t="str">
        <f aca="false" t="array" ref="AI145:AI145">IFERROR(CONCATENATE((INDEX($AL$7:$AL$100,SMALL(IF($AL$7:$AL$100&lt;&gt;"",IF($AI$7:$AI$100&lt;&gt;"",ROW($AI$7:$AI$100)-MIN(ROW($AI$7:$AI$100))+1,""),""),ROW()-ROW(A$102)+1)))," "),"")</f>
        <v/>
      </c>
      <c r="AJ145" s="0" t="str">
        <f aca="false" t="array" ref="AJ145:AJ145">IFERROR(CONCATENATE(TEXT(INDEX($AI$7:$AI$100,SMALL(IF($AL$7:$AL$100&lt;&gt;"",IF($AI$7:$AI$100&lt;&gt;"",ROW($AI$7:$AI$100)-MIN(ROW($AI$7:$AI$100))+1,""),""),ROW()-ROW(A$102)+1)),"##0")," "),"")</f>
        <v/>
      </c>
      <c r="AK145" s="0" t="str">
        <f aca="false" t="array" ref="AK145:AK145">IFERROR(CONCATENATE((INDEX($A$7:$A$100,SMALL(IF($AL$7:$AL$100&lt;&gt;"",IF($AI$7:$AI$100&lt;&gt;"",ROW($AI$7:$AI$100)-MIN(ROW($AI$7:$AI$100))+1,""),""),ROW()-ROW(A$102)+1))),),"")</f>
        <v/>
      </c>
    </row>
    <row r="146" customFormat="false" ht="15" hidden="false" customHeight="false" outlineLevel="0" collapsed="false">
      <c r="K146" s="0" t="str">
        <f aca="false" t="array" ref="K146:K146">IFERROR(CONCATENATE(TEXT(INDEX($K$7:$K$100,SMALL(IF($N$7:$N$100&lt;&gt;"",IF($K$7:$K$100&lt;&gt;"",ROW($K$7:$K$100)-MIN(ROW($K$7:$K$100))+1,""),""),ROW()-ROW(A$102)+1)),"##0"),","),"")</f>
        <v/>
      </c>
      <c r="L146" s="0" t="str">
        <f aca="false" t="array" ref="L146:L146">IFERROR(CONCATENATE((INDEX($N$7:$N$100,SMALL(IF($N$7:$N$100&lt;&gt;"",IF($K$7:$K$100&lt;&gt;"",ROW($K$7:$K$100)-MIN(ROW($K$7:$K$100))+1,""),""),ROW()-ROW(A$102)+1))),","),"")</f>
        <v/>
      </c>
      <c r="M146" s="0" t="str">
        <f aca="false" t="array" ref="M146:M146">IFERROR(CONCATENATE((INDEX($A$7:$A$100,SMALL(IF($N$7:$N$100&lt;&gt;"",IF($K$7:$K$100&lt;&gt;"",ROW($K$7:$K$100)-MIN(ROW($K$7:$K$100))+1,""),""),ROW()-ROW(A$102)+1))),),"")</f>
        <v/>
      </c>
      <c r="Q146" s="0" t="str">
        <f aca="false" t="array" ref="Q146:Q146">IFERROR(CONCATENATE((INDEX($T$7:$T$100,SMALL(IF($T$7:$T$100&lt;&gt;"",IF($Q$7:$Q$100&lt;&gt;"",ROW($Q$7:$Q$100)-MIN(ROW($Q$7:$Q$100))+1,""),""),ROW()-ROW(A$102)+1)))," "),"")</f>
        <v/>
      </c>
      <c r="R146" s="0" t="str">
        <f aca="false" t="array" ref="R146:R146">IFERROR(CONCATENATE(TEXT(INDEX($Q$7:$Q$100,SMALL(IF($T$7:$T$100&lt;&gt;"",IF($Q$7:$Q$100&lt;&gt;"",ROW($Q$7:$Q$100)-MIN(ROW($Q$7:$Q$100))+1,""),""),ROW()-ROW(A$102)+1)),"##0")," "),"")</f>
        <v/>
      </c>
      <c r="S146" s="0" t="str">
        <f aca="false" t="array" ref="S146:S146">IFERROR(CONCATENATE((INDEX($A$7:$A$100,SMALL(IF($T$7:$T$100&lt;&gt;"",IF($Q$7:$Q$100&lt;&gt;"",ROW($Q$7:$Q$100)-MIN(ROW($Q$7:$Q$100))+1,""),""),ROW()-ROW(A$102)+1))),),"")</f>
        <v/>
      </c>
      <c r="W146" s="0" t="str">
        <f aca="false" t="array" ref="W146:W146">IFERROR(CONCATENATE((INDEX($Z$7:$Z$100,SMALL(IF($Z$7:$Z$100&lt;&gt;"",IF($W$7:$W$100&lt;&gt;"",ROW($W$7:$W$100)-MIN(ROW($W$7:$W$100))+1,""),""),ROW()-ROW(A$102)+1)))," "),"")</f>
        <v/>
      </c>
      <c r="X146" s="0" t="str">
        <f aca="false" t="array" ref="X146:X146">IFERROR(CONCATENATE(TEXT(INDEX($W$7:$W$100,SMALL(IF($Z$7:$Z$100&lt;&gt;"",IF($W$7:$W$100&lt;&gt;"",ROW($W$7:$W$100)-MIN(ROW($W$7:$W$100))+1,""),""),ROW()-ROW(A$102)+1)),"##0")," "),"")</f>
        <v/>
      </c>
      <c r="Y146" s="0" t="str">
        <f aca="false" t="array" ref="Y146:Y146">IFERROR(CONCATENATE((INDEX($A$7:$A$100,SMALL(IF($Z$7:$Z$100&lt;&gt;"",IF($W$7:$W$100&lt;&gt;"",ROW($W$7:$W$100)-MIN(ROW($W$7:$W$100))+1,""),""),ROW()-ROW(A$102)+1))),),"")</f>
        <v/>
      </c>
      <c r="AC146" s="0" t="str">
        <f aca="false" t="array" ref="AC146:AC146">IFERROR(CONCATENATE((INDEX($AF$7:$AF$100,SMALL(IF($AF$7:$AF$100&lt;&gt;"",IF($AC$7:$AC$100&lt;&gt;"",ROW($AC$7:$AC$100)-MIN(ROW($AC$7:$AC$100))+1,""),""),ROW()-ROW(A$102)+1))),","),"")</f>
        <v/>
      </c>
      <c r="AD146" s="0" t="str">
        <f aca="false" t="array" ref="AD146:AD146">IFERROR(CONCATENATE(TEXT(INDEX($AC$7:$AC$100,SMALL(IF($AF$7:$AF$100&lt;&gt;"",IF($AC$7:$AC$100&lt;&gt;"",ROW($AC$7:$AC$100)-MIN(ROW($AC$7:$AC$100))+1,""),""),ROW()-ROW(A$102)+1)),"##0"),","),"")</f>
        <v/>
      </c>
      <c r="AE146" s="0" t="str">
        <f aca="false" t="array" ref="AE146:AE146">IFERROR(CONCATENATE((INDEX($A$7:$A$100,SMALL(IF($AF$7:$AF$100&lt;&gt;"",IF($AC$7:$AC$100&lt;&gt;"",ROW($AC$7:$AC$100)-MIN(ROW($AC$7:$AC$100))+1,""),""),ROW()-ROW(A$102)+1))),),"")</f>
        <v/>
      </c>
      <c r="AI146" s="0" t="str">
        <f aca="false" t="array" ref="AI146:AI146">IFERROR(CONCATENATE((INDEX($AL$7:$AL$100,SMALL(IF($AL$7:$AL$100&lt;&gt;"",IF($AI$7:$AI$100&lt;&gt;"",ROW($AI$7:$AI$100)-MIN(ROW($AI$7:$AI$100))+1,""),""),ROW()-ROW(A$102)+1)))," "),"")</f>
        <v/>
      </c>
      <c r="AJ146" s="0" t="str">
        <f aca="false" t="array" ref="AJ146:AJ146">IFERROR(CONCATENATE(TEXT(INDEX($AI$7:$AI$100,SMALL(IF($AL$7:$AL$100&lt;&gt;"",IF($AI$7:$AI$100&lt;&gt;"",ROW($AI$7:$AI$100)-MIN(ROW($AI$7:$AI$100))+1,""),""),ROW()-ROW(A$102)+1)),"##0")," "),"")</f>
        <v/>
      </c>
      <c r="AK146" s="0" t="str">
        <f aca="false" t="array" ref="AK146:AK146">IFERROR(CONCATENATE((INDEX($A$7:$A$100,SMALL(IF($AL$7:$AL$100&lt;&gt;"",IF($AI$7:$AI$100&lt;&gt;"",ROW($AI$7:$AI$100)-MIN(ROW($AI$7:$AI$100))+1,""),""),ROW()-ROW(A$102)+1))),),"")</f>
        <v/>
      </c>
    </row>
    <row r="147" customFormat="false" ht="15" hidden="false" customHeight="false" outlineLevel="0" collapsed="false">
      <c r="K147" s="0" t="str">
        <f aca="false" t="array" ref="K147:K147">IFERROR(CONCATENATE(TEXT(INDEX($K$7:$K$100,SMALL(IF($N$7:$N$100&lt;&gt;"",IF($K$7:$K$100&lt;&gt;"",ROW($K$7:$K$100)-MIN(ROW($K$7:$K$100))+1,""),""),ROW()-ROW(A$102)+1)),"##0"),","),"")</f>
        <v/>
      </c>
      <c r="L147" s="0" t="str">
        <f aca="false" t="array" ref="L147:L147">IFERROR(CONCATENATE((INDEX($N$7:$N$100,SMALL(IF($N$7:$N$100&lt;&gt;"",IF($K$7:$K$100&lt;&gt;"",ROW($K$7:$K$100)-MIN(ROW($K$7:$K$100))+1,""),""),ROW()-ROW(A$102)+1))),","),"")</f>
        <v/>
      </c>
      <c r="M147" s="0" t="str">
        <f aca="false" t="array" ref="M147:M147">IFERROR(CONCATENATE((INDEX($A$7:$A$100,SMALL(IF($N$7:$N$100&lt;&gt;"",IF($K$7:$K$100&lt;&gt;"",ROW($K$7:$K$100)-MIN(ROW($K$7:$K$100))+1,""),""),ROW()-ROW(A$102)+1))),),"")</f>
        <v/>
      </c>
      <c r="Q147" s="0" t="str">
        <f aca="false" t="array" ref="Q147:Q147">IFERROR(CONCATENATE((INDEX($T$7:$T$100,SMALL(IF($T$7:$T$100&lt;&gt;"",IF($Q$7:$Q$100&lt;&gt;"",ROW($Q$7:$Q$100)-MIN(ROW($Q$7:$Q$100))+1,""),""),ROW()-ROW(A$102)+1)))," "),"")</f>
        <v/>
      </c>
      <c r="R147" s="0" t="str">
        <f aca="false" t="array" ref="R147:R147">IFERROR(CONCATENATE(TEXT(INDEX($Q$7:$Q$100,SMALL(IF($T$7:$T$100&lt;&gt;"",IF($Q$7:$Q$100&lt;&gt;"",ROW($Q$7:$Q$100)-MIN(ROW($Q$7:$Q$100))+1,""),""),ROW()-ROW(A$102)+1)),"##0")," "),"")</f>
        <v/>
      </c>
      <c r="S147" s="0" t="str">
        <f aca="false" t="array" ref="S147:S147">IFERROR(CONCATENATE((INDEX($A$7:$A$100,SMALL(IF($T$7:$T$100&lt;&gt;"",IF($Q$7:$Q$100&lt;&gt;"",ROW($Q$7:$Q$100)-MIN(ROW($Q$7:$Q$100))+1,""),""),ROW()-ROW(A$102)+1))),),"")</f>
        <v/>
      </c>
      <c r="W147" s="0" t="str">
        <f aca="false" t="array" ref="W147:W147">IFERROR(CONCATENATE((INDEX($Z$7:$Z$100,SMALL(IF($Z$7:$Z$100&lt;&gt;"",IF($W$7:$W$100&lt;&gt;"",ROW($W$7:$W$100)-MIN(ROW($W$7:$W$100))+1,""),""),ROW()-ROW(A$102)+1)))," "),"")</f>
        <v/>
      </c>
      <c r="X147" s="0" t="str">
        <f aca="false" t="array" ref="X147:X147">IFERROR(CONCATENATE(TEXT(INDEX($W$7:$W$100,SMALL(IF($Z$7:$Z$100&lt;&gt;"",IF($W$7:$W$100&lt;&gt;"",ROW($W$7:$W$100)-MIN(ROW($W$7:$W$100))+1,""),""),ROW()-ROW(A$102)+1)),"##0")," "),"")</f>
        <v/>
      </c>
      <c r="Y147" s="0" t="str">
        <f aca="false" t="array" ref="Y147:Y147">IFERROR(CONCATENATE((INDEX($A$7:$A$100,SMALL(IF($Z$7:$Z$100&lt;&gt;"",IF($W$7:$W$100&lt;&gt;"",ROW($W$7:$W$100)-MIN(ROW($W$7:$W$100))+1,""),""),ROW()-ROW(A$102)+1))),),"")</f>
        <v/>
      </c>
      <c r="AC147" s="0" t="str">
        <f aca="false" t="array" ref="AC147:AC147">IFERROR(CONCATENATE((INDEX($AF$7:$AF$100,SMALL(IF($AF$7:$AF$100&lt;&gt;"",IF($AC$7:$AC$100&lt;&gt;"",ROW($AC$7:$AC$100)-MIN(ROW($AC$7:$AC$100))+1,""),""),ROW()-ROW(A$102)+1))),","),"")</f>
        <v/>
      </c>
      <c r="AD147" s="0" t="str">
        <f aca="false" t="array" ref="AD147:AD147">IFERROR(CONCATENATE(TEXT(INDEX($AC$7:$AC$100,SMALL(IF($AF$7:$AF$100&lt;&gt;"",IF($AC$7:$AC$100&lt;&gt;"",ROW($AC$7:$AC$100)-MIN(ROW($AC$7:$AC$100))+1,""),""),ROW()-ROW(A$102)+1)),"##0"),","),"")</f>
        <v/>
      </c>
      <c r="AE147" s="0" t="str">
        <f aca="false" t="array" ref="AE147:AE147">IFERROR(CONCATENATE((INDEX($A$7:$A$100,SMALL(IF($AF$7:$AF$100&lt;&gt;"",IF($AC$7:$AC$100&lt;&gt;"",ROW($AC$7:$AC$100)-MIN(ROW($AC$7:$AC$100))+1,""),""),ROW()-ROW(A$102)+1))),),"")</f>
        <v/>
      </c>
      <c r="AI147" s="0" t="str">
        <f aca="false" t="array" ref="AI147:AI147">IFERROR(CONCATENATE((INDEX($AL$7:$AL$100,SMALL(IF($AL$7:$AL$100&lt;&gt;"",IF($AI$7:$AI$100&lt;&gt;"",ROW($AI$7:$AI$100)-MIN(ROW($AI$7:$AI$100))+1,""),""),ROW()-ROW(A$102)+1)))," "),"")</f>
        <v/>
      </c>
      <c r="AJ147" s="0" t="str">
        <f aca="false" t="array" ref="AJ147:AJ147">IFERROR(CONCATENATE(TEXT(INDEX($AI$7:$AI$100,SMALL(IF($AL$7:$AL$100&lt;&gt;"",IF($AI$7:$AI$100&lt;&gt;"",ROW($AI$7:$AI$100)-MIN(ROW($AI$7:$AI$100))+1,""),""),ROW()-ROW(A$102)+1)),"##0")," "),"")</f>
        <v/>
      </c>
      <c r="AK147" s="0" t="str">
        <f aca="false" t="array" ref="AK147:AK147">IFERROR(CONCATENATE((INDEX($A$7:$A$100,SMALL(IF($AL$7:$AL$100&lt;&gt;"",IF($AI$7:$AI$100&lt;&gt;"",ROW($AI$7:$AI$100)-MIN(ROW($AI$7:$AI$100))+1,""),""),ROW()-ROW(A$102)+1))),),"")</f>
        <v/>
      </c>
    </row>
    <row r="148" customFormat="false" ht="15" hidden="false" customHeight="false" outlineLevel="0" collapsed="false">
      <c r="K148" s="0" t="str">
        <f aca="false" t="array" ref="K148:K148">IFERROR(CONCATENATE(TEXT(INDEX($K$7:$K$100,SMALL(IF($N$7:$N$100&lt;&gt;"",IF($K$7:$K$100&lt;&gt;"",ROW($K$7:$K$100)-MIN(ROW($K$7:$K$100))+1,""),""),ROW()-ROW(A$102)+1)),"##0"),","),"")</f>
        <v/>
      </c>
      <c r="L148" s="0" t="str">
        <f aca="false" t="array" ref="L148:L148">IFERROR(CONCATENATE((INDEX($N$7:$N$100,SMALL(IF($N$7:$N$100&lt;&gt;"",IF($K$7:$K$100&lt;&gt;"",ROW($K$7:$K$100)-MIN(ROW($K$7:$K$100))+1,""),""),ROW()-ROW(A$102)+1))),","),"")</f>
        <v/>
      </c>
      <c r="M148" s="0" t="str">
        <f aca="false" t="array" ref="M148:M148">IFERROR(CONCATENATE((INDEX($A$7:$A$100,SMALL(IF($N$7:$N$100&lt;&gt;"",IF($K$7:$K$100&lt;&gt;"",ROW($K$7:$K$100)-MIN(ROW($K$7:$K$100))+1,""),""),ROW()-ROW(A$102)+1))),),"")</f>
        <v/>
      </c>
      <c r="Q148" s="0" t="str">
        <f aca="false" t="array" ref="Q148:Q148">IFERROR(CONCATENATE((INDEX($T$7:$T$100,SMALL(IF($T$7:$T$100&lt;&gt;"",IF($Q$7:$Q$100&lt;&gt;"",ROW($Q$7:$Q$100)-MIN(ROW($Q$7:$Q$100))+1,""),""),ROW()-ROW(A$102)+1)))," "),"")</f>
        <v/>
      </c>
      <c r="R148" s="0" t="str">
        <f aca="false" t="array" ref="R148:R148">IFERROR(CONCATENATE(TEXT(INDEX($Q$7:$Q$100,SMALL(IF($T$7:$T$100&lt;&gt;"",IF($Q$7:$Q$100&lt;&gt;"",ROW($Q$7:$Q$100)-MIN(ROW($Q$7:$Q$100))+1,""),""),ROW()-ROW(A$102)+1)),"##0")," "),"")</f>
        <v/>
      </c>
      <c r="S148" s="0" t="str">
        <f aca="false" t="array" ref="S148:S148">IFERROR(CONCATENATE((INDEX($A$7:$A$100,SMALL(IF($T$7:$T$100&lt;&gt;"",IF($Q$7:$Q$100&lt;&gt;"",ROW($Q$7:$Q$100)-MIN(ROW($Q$7:$Q$100))+1,""),""),ROW()-ROW(A$102)+1))),),"")</f>
        <v/>
      </c>
      <c r="W148" s="0" t="str">
        <f aca="false" t="array" ref="W148:W148">IFERROR(CONCATENATE((INDEX($Z$7:$Z$100,SMALL(IF($Z$7:$Z$100&lt;&gt;"",IF($W$7:$W$100&lt;&gt;"",ROW($W$7:$W$100)-MIN(ROW($W$7:$W$100))+1,""),""),ROW()-ROW(A$102)+1)))," "),"")</f>
        <v/>
      </c>
      <c r="X148" s="0" t="str">
        <f aca="false" t="array" ref="X148:X148">IFERROR(CONCATENATE(TEXT(INDEX($W$7:$W$100,SMALL(IF($Z$7:$Z$100&lt;&gt;"",IF($W$7:$W$100&lt;&gt;"",ROW($W$7:$W$100)-MIN(ROW($W$7:$W$100))+1,""),""),ROW()-ROW(A$102)+1)),"##0")," "),"")</f>
        <v/>
      </c>
      <c r="Y148" s="0" t="str">
        <f aca="false" t="array" ref="Y148:Y148">IFERROR(CONCATENATE((INDEX($A$7:$A$100,SMALL(IF($Z$7:$Z$100&lt;&gt;"",IF($W$7:$W$100&lt;&gt;"",ROW($W$7:$W$100)-MIN(ROW($W$7:$W$100))+1,""),""),ROW()-ROW(A$102)+1))),),"")</f>
        <v/>
      </c>
      <c r="AC148" s="0" t="str">
        <f aca="false" t="array" ref="AC148:AC148">IFERROR(CONCATENATE((INDEX($AF$7:$AF$100,SMALL(IF($AF$7:$AF$100&lt;&gt;"",IF($AC$7:$AC$100&lt;&gt;"",ROW($AC$7:$AC$100)-MIN(ROW($AC$7:$AC$100))+1,""),""),ROW()-ROW(A$102)+1))),","),"")</f>
        <v/>
      </c>
      <c r="AD148" s="0" t="str">
        <f aca="false" t="array" ref="AD148:AD148">IFERROR(CONCATENATE(TEXT(INDEX($AC$7:$AC$100,SMALL(IF($AF$7:$AF$100&lt;&gt;"",IF($AC$7:$AC$100&lt;&gt;"",ROW($AC$7:$AC$100)-MIN(ROW($AC$7:$AC$100))+1,""),""),ROW()-ROW(A$102)+1)),"##0"),","),"")</f>
        <v/>
      </c>
      <c r="AE148" s="0" t="str">
        <f aca="false" t="array" ref="AE148:AE148">IFERROR(CONCATENATE((INDEX($A$7:$A$100,SMALL(IF($AF$7:$AF$100&lt;&gt;"",IF($AC$7:$AC$100&lt;&gt;"",ROW($AC$7:$AC$100)-MIN(ROW($AC$7:$AC$100))+1,""),""),ROW()-ROW(A$102)+1))),),"")</f>
        <v/>
      </c>
      <c r="AI148" s="0" t="str">
        <f aca="false" t="array" ref="AI148:AI148">IFERROR(CONCATENATE((INDEX($AL$7:$AL$100,SMALL(IF($AL$7:$AL$100&lt;&gt;"",IF($AI$7:$AI$100&lt;&gt;"",ROW($AI$7:$AI$100)-MIN(ROW($AI$7:$AI$100))+1,""),""),ROW()-ROW(A$102)+1)))," "),"")</f>
        <v/>
      </c>
      <c r="AJ148" s="0" t="str">
        <f aca="false" t="array" ref="AJ148:AJ148">IFERROR(CONCATENATE(TEXT(INDEX($AI$7:$AI$100,SMALL(IF($AL$7:$AL$100&lt;&gt;"",IF($AI$7:$AI$100&lt;&gt;"",ROW($AI$7:$AI$100)-MIN(ROW($AI$7:$AI$100))+1,""),""),ROW()-ROW(A$102)+1)),"##0")," "),"")</f>
        <v/>
      </c>
      <c r="AK148" s="0" t="str">
        <f aca="false" t="array" ref="AK148:AK148">IFERROR(CONCATENATE((INDEX($A$7:$A$100,SMALL(IF($AL$7:$AL$100&lt;&gt;"",IF($AI$7:$AI$100&lt;&gt;"",ROW($AI$7:$AI$100)-MIN(ROW($AI$7:$AI$100))+1,""),""),ROW()-ROW(A$102)+1))),),"")</f>
        <v/>
      </c>
    </row>
    <row r="149" customFormat="false" ht="15" hidden="false" customHeight="false" outlineLevel="0" collapsed="false">
      <c r="K149" s="0" t="str">
        <f aca="false" t="array" ref="K149:K149">IFERROR(CONCATENATE(TEXT(INDEX($K$7:$K$100,SMALL(IF($N$7:$N$100&lt;&gt;"",IF($K$7:$K$100&lt;&gt;"",ROW($K$7:$K$100)-MIN(ROW($K$7:$K$100))+1,""),""),ROW()-ROW(A$102)+1)),"##0"),","),"")</f>
        <v/>
      </c>
      <c r="L149" s="0" t="str">
        <f aca="false" t="array" ref="L149:L149">IFERROR(CONCATENATE((INDEX($N$7:$N$100,SMALL(IF($N$7:$N$100&lt;&gt;"",IF($K$7:$K$100&lt;&gt;"",ROW($K$7:$K$100)-MIN(ROW($K$7:$K$100))+1,""),""),ROW()-ROW(A$102)+1))),","),"")</f>
        <v/>
      </c>
      <c r="M149" s="0" t="str">
        <f aca="false" t="array" ref="M149:M149">IFERROR(CONCATENATE((INDEX($A$7:$A$100,SMALL(IF($N$7:$N$100&lt;&gt;"",IF($K$7:$K$100&lt;&gt;"",ROW($K$7:$K$100)-MIN(ROW($K$7:$K$100))+1,""),""),ROW()-ROW(A$102)+1))),),"")</f>
        <v/>
      </c>
      <c r="Q149" s="0" t="str">
        <f aca="false" t="array" ref="Q149:Q149">IFERROR(CONCATENATE((INDEX($T$7:$T$100,SMALL(IF($T$7:$T$100&lt;&gt;"",IF($Q$7:$Q$100&lt;&gt;"",ROW($Q$7:$Q$100)-MIN(ROW($Q$7:$Q$100))+1,""),""),ROW()-ROW(A$102)+1)))," "),"")</f>
        <v/>
      </c>
      <c r="R149" s="0" t="str">
        <f aca="false" t="array" ref="R149:R149">IFERROR(CONCATENATE(TEXT(INDEX($Q$7:$Q$100,SMALL(IF($T$7:$T$100&lt;&gt;"",IF($Q$7:$Q$100&lt;&gt;"",ROW($Q$7:$Q$100)-MIN(ROW($Q$7:$Q$100))+1,""),""),ROW()-ROW(A$102)+1)),"##0")," "),"")</f>
        <v/>
      </c>
      <c r="S149" s="0" t="str">
        <f aca="false" t="array" ref="S149:S149">IFERROR(CONCATENATE((INDEX($A$7:$A$100,SMALL(IF($T$7:$T$100&lt;&gt;"",IF($Q$7:$Q$100&lt;&gt;"",ROW($Q$7:$Q$100)-MIN(ROW($Q$7:$Q$100))+1,""),""),ROW()-ROW(A$102)+1))),),"")</f>
        <v/>
      </c>
      <c r="W149" s="0" t="str">
        <f aca="false" t="array" ref="W149:W149">IFERROR(CONCATENATE((INDEX($Z$7:$Z$100,SMALL(IF($Z$7:$Z$100&lt;&gt;"",IF($W$7:$W$100&lt;&gt;"",ROW($W$7:$W$100)-MIN(ROW($W$7:$W$100))+1,""),""),ROW()-ROW(A$102)+1)))," "),"")</f>
        <v/>
      </c>
      <c r="X149" s="0" t="str">
        <f aca="false" t="array" ref="X149:X149">IFERROR(CONCATENATE(TEXT(INDEX($W$7:$W$100,SMALL(IF($Z$7:$Z$100&lt;&gt;"",IF($W$7:$W$100&lt;&gt;"",ROW($W$7:$W$100)-MIN(ROW($W$7:$W$100))+1,""),""),ROW()-ROW(A$102)+1)),"##0")," "),"")</f>
        <v/>
      </c>
      <c r="Y149" s="0" t="str">
        <f aca="false" t="array" ref="Y149:Y149">IFERROR(CONCATENATE((INDEX($A$7:$A$100,SMALL(IF($Z$7:$Z$100&lt;&gt;"",IF($W$7:$W$100&lt;&gt;"",ROW($W$7:$W$100)-MIN(ROW($W$7:$W$100))+1,""),""),ROW()-ROW(A$102)+1))),),"")</f>
        <v/>
      </c>
      <c r="AC149" s="0" t="str">
        <f aca="false" t="array" ref="AC149:AC149">IFERROR(CONCATENATE((INDEX($AF$7:$AF$100,SMALL(IF($AF$7:$AF$100&lt;&gt;"",IF($AC$7:$AC$100&lt;&gt;"",ROW($AC$7:$AC$100)-MIN(ROW($AC$7:$AC$100))+1,""),""),ROW()-ROW(A$102)+1))),","),"")</f>
        <v/>
      </c>
      <c r="AD149" s="0" t="str">
        <f aca="false" t="array" ref="AD149:AD149">IFERROR(CONCATENATE(TEXT(INDEX($AC$7:$AC$100,SMALL(IF($AF$7:$AF$100&lt;&gt;"",IF($AC$7:$AC$100&lt;&gt;"",ROW($AC$7:$AC$100)-MIN(ROW($AC$7:$AC$100))+1,""),""),ROW()-ROW(A$102)+1)),"##0"),","),"")</f>
        <v/>
      </c>
      <c r="AE149" s="0" t="str">
        <f aca="false" t="array" ref="AE149:AE149">IFERROR(CONCATENATE((INDEX($A$7:$A$100,SMALL(IF($AF$7:$AF$100&lt;&gt;"",IF($AC$7:$AC$100&lt;&gt;"",ROW($AC$7:$AC$100)-MIN(ROW($AC$7:$AC$100))+1,""),""),ROW()-ROW(A$102)+1))),),"")</f>
        <v/>
      </c>
      <c r="AI149" s="0" t="str">
        <f aca="false" t="array" ref="AI149:AI149">IFERROR(CONCATENATE((INDEX($AL$7:$AL$100,SMALL(IF($AL$7:$AL$100&lt;&gt;"",IF($AI$7:$AI$100&lt;&gt;"",ROW($AI$7:$AI$100)-MIN(ROW($AI$7:$AI$100))+1,""),""),ROW()-ROW(A$102)+1)))," "),"")</f>
        <v/>
      </c>
      <c r="AJ149" s="0" t="str">
        <f aca="false" t="array" ref="AJ149:AJ149">IFERROR(CONCATENATE(TEXT(INDEX($AI$7:$AI$100,SMALL(IF($AL$7:$AL$100&lt;&gt;"",IF($AI$7:$AI$100&lt;&gt;"",ROW($AI$7:$AI$100)-MIN(ROW($AI$7:$AI$100))+1,""),""),ROW()-ROW(A$102)+1)),"##0")," "),"")</f>
        <v/>
      </c>
      <c r="AK149" s="0" t="str">
        <f aca="false" t="array" ref="AK149:AK149">IFERROR(CONCATENATE((INDEX($A$7:$A$100,SMALL(IF($AL$7:$AL$100&lt;&gt;"",IF($AI$7:$AI$100&lt;&gt;"",ROW($AI$7:$AI$100)-MIN(ROW($AI$7:$AI$100))+1,""),""),ROW()-ROW(A$102)+1))),),"")</f>
        <v/>
      </c>
    </row>
    <row r="150" customFormat="false" ht="15" hidden="false" customHeight="false" outlineLevel="0" collapsed="false">
      <c r="K150" s="0" t="str">
        <f aca="false" t="array" ref="K150:K150">IFERROR(CONCATENATE(TEXT(INDEX($K$7:$K$100,SMALL(IF($N$7:$N$100&lt;&gt;"",IF($K$7:$K$100&lt;&gt;"",ROW($K$7:$K$100)-MIN(ROW($K$7:$K$100))+1,""),""),ROW()-ROW(A$102)+1)),"##0"),","),"")</f>
        <v/>
      </c>
      <c r="L150" s="0" t="str">
        <f aca="false" t="array" ref="L150:L150">IFERROR(CONCATENATE((INDEX($N$7:$N$100,SMALL(IF($N$7:$N$100&lt;&gt;"",IF($K$7:$K$100&lt;&gt;"",ROW($K$7:$K$100)-MIN(ROW($K$7:$K$100))+1,""),""),ROW()-ROW(A$102)+1))),","),"")</f>
        <v/>
      </c>
      <c r="M150" s="0" t="str">
        <f aca="false" t="array" ref="M150:M150">IFERROR(CONCATENATE((INDEX($A$7:$A$100,SMALL(IF($N$7:$N$100&lt;&gt;"",IF($K$7:$K$100&lt;&gt;"",ROW($K$7:$K$100)-MIN(ROW($K$7:$K$100))+1,""),""),ROW()-ROW(A$102)+1))),),"")</f>
        <v/>
      </c>
      <c r="Q150" s="0" t="str">
        <f aca="false" t="array" ref="Q150:Q150">IFERROR(CONCATENATE((INDEX($T$7:$T$100,SMALL(IF($T$7:$T$100&lt;&gt;"",IF($Q$7:$Q$100&lt;&gt;"",ROW($Q$7:$Q$100)-MIN(ROW($Q$7:$Q$100))+1,""),""),ROW()-ROW(A$102)+1)))," "),"")</f>
        <v/>
      </c>
      <c r="R150" s="0" t="str">
        <f aca="false" t="array" ref="R150:R150">IFERROR(CONCATENATE(TEXT(INDEX($Q$7:$Q$100,SMALL(IF($T$7:$T$100&lt;&gt;"",IF($Q$7:$Q$100&lt;&gt;"",ROW($Q$7:$Q$100)-MIN(ROW($Q$7:$Q$100))+1,""),""),ROW()-ROW(A$102)+1)),"##0")," "),"")</f>
        <v/>
      </c>
      <c r="S150" s="0" t="str">
        <f aca="false" t="array" ref="S150:S150">IFERROR(CONCATENATE((INDEX($A$7:$A$100,SMALL(IF($T$7:$T$100&lt;&gt;"",IF($Q$7:$Q$100&lt;&gt;"",ROW($Q$7:$Q$100)-MIN(ROW($Q$7:$Q$100))+1,""),""),ROW()-ROW(A$102)+1))),),"")</f>
        <v/>
      </c>
      <c r="W150" s="0" t="str">
        <f aca="false" t="array" ref="W150:W150">IFERROR(CONCATENATE((INDEX($Z$7:$Z$100,SMALL(IF($Z$7:$Z$100&lt;&gt;"",IF($W$7:$W$100&lt;&gt;"",ROW($W$7:$W$100)-MIN(ROW($W$7:$W$100))+1,""),""),ROW()-ROW(A$102)+1)))," "),"")</f>
        <v/>
      </c>
      <c r="X150" s="0" t="str">
        <f aca="false" t="array" ref="X150:X150">IFERROR(CONCATENATE(TEXT(INDEX($W$7:$W$100,SMALL(IF($Z$7:$Z$100&lt;&gt;"",IF($W$7:$W$100&lt;&gt;"",ROW($W$7:$W$100)-MIN(ROW($W$7:$W$100))+1,""),""),ROW()-ROW(A$102)+1)),"##0")," "),"")</f>
        <v/>
      </c>
      <c r="Y150" s="0" t="str">
        <f aca="false" t="array" ref="Y150:Y150">IFERROR(CONCATENATE((INDEX($A$7:$A$100,SMALL(IF($Z$7:$Z$100&lt;&gt;"",IF($W$7:$W$100&lt;&gt;"",ROW($W$7:$W$100)-MIN(ROW($W$7:$W$100))+1,""),""),ROW()-ROW(A$102)+1))),),"")</f>
        <v/>
      </c>
      <c r="AC150" s="0" t="str">
        <f aca="false" t="array" ref="AC150:AC150">IFERROR(CONCATENATE((INDEX($AF$7:$AF$100,SMALL(IF($AF$7:$AF$100&lt;&gt;"",IF($AC$7:$AC$100&lt;&gt;"",ROW($AC$7:$AC$100)-MIN(ROW($AC$7:$AC$100))+1,""),""),ROW()-ROW(A$102)+1))),","),"")</f>
        <v/>
      </c>
      <c r="AD150" s="0" t="str">
        <f aca="false" t="array" ref="AD150:AD150">IFERROR(CONCATENATE(TEXT(INDEX($AC$7:$AC$100,SMALL(IF($AF$7:$AF$100&lt;&gt;"",IF($AC$7:$AC$100&lt;&gt;"",ROW($AC$7:$AC$100)-MIN(ROW($AC$7:$AC$100))+1,""),""),ROW()-ROW(A$102)+1)),"##0"),","),"")</f>
        <v/>
      </c>
      <c r="AE150" s="0" t="str">
        <f aca="false" t="array" ref="AE150:AE150">IFERROR(CONCATENATE((INDEX($A$7:$A$100,SMALL(IF($AF$7:$AF$100&lt;&gt;"",IF($AC$7:$AC$100&lt;&gt;"",ROW($AC$7:$AC$100)-MIN(ROW($AC$7:$AC$100))+1,""),""),ROW()-ROW(A$102)+1))),),"")</f>
        <v/>
      </c>
      <c r="AI150" s="0" t="str">
        <f aca="false" t="array" ref="AI150:AI150">IFERROR(CONCATENATE((INDEX($AL$7:$AL$100,SMALL(IF($AL$7:$AL$100&lt;&gt;"",IF($AI$7:$AI$100&lt;&gt;"",ROW($AI$7:$AI$100)-MIN(ROW($AI$7:$AI$100))+1,""),""),ROW()-ROW(A$102)+1)))," "),"")</f>
        <v/>
      </c>
      <c r="AJ150" s="0" t="str">
        <f aca="false" t="array" ref="AJ150:AJ150">IFERROR(CONCATENATE(TEXT(INDEX($AI$7:$AI$100,SMALL(IF($AL$7:$AL$100&lt;&gt;"",IF($AI$7:$AI$100&lt;&gt;"",ROW($AI$7:$AI$100)-MIN(ROW($AI$7:$AI$100))+1,""),""),ROW()-ROW(A$102)+1)),"##0")," "),"")</f>
        <v/>
      </c>
      <c r="AK150" s="0" t="str">
        <f aca="false" t="array" ref="AK150:AK150">IFERROR(CONCATENATE((INDEX($A$7:$A$100,SMALL(IF($AL$7:$AL$100&lt;&gt;"",IF($AI$7:$AI$100&lt;&gt;"",ROW($AI$7:$AI$100)-MIN(ROW($AI$7:$AI$100))+1,""),""),ROW()-ROW(A$102)+1))),),"")</f>
        <v/>
      </c>
    </row>
    <row r="151" customFormat="false" ht="15" hidden="false" customHeight="false" outlineLevel="0" collapsed="false">
      <c r="K151" s="0" t="str">
        <f aca="false" t="array" ref="K151:K151">IFERROR(CONCATENATE(TEXT(INDEX($K$7:$K$100,SMALL(IF($N$7:$N$100&lt;&gt;"",IF($K$7:$K$100&lt;&gt;"",ROW($K$7:$K$100)-MIN(ROW($K$7:$K$100))+1,""),""),ROW()-ROW(A$102)+1)),"##0"),","),"")</f>
        <v/>
      </c>
      <c r="L151" s="0" t="str">
        <f aca="false" t="array" ref="L151:L151">IFERROR(CONCATENATE((INDEX($N$7:$N$100,SMALL(IF($N$7:$N$100&lt;&gt;"",IF($K$7:$K$100&lt;&gt;"",ROW($K$7:$K$100)-MIN(ROW($K$7:$K$100))+1,""),""),ROW()-ROW(A$102)+1))),","),"")</f>
        <v/>
      </c>
      <c r="M151" s="0" t="str">
        <f aca="false" t="array" ref="M151:M151">IFERROR(CONCATENATE((INDEX($A$7:$A$100,SMALL(IF($N$7:$N$100&lt;&gt;"",IF($K$7:$K$100&lt;&gt;"",ROW($K$7:$K$100)-MIN(ROW($K$7:$K$100))+1,""),""),ROW()-ROW(A$102)+1))),),"")</f>
        <v/>
      </c>
      <c r="Q151" s="0" t="str">
        <f aca="false" t="array" ref="Q151:Q151">IFERROR(CONCATENATE((INDEX($T$7:$T$100,SMALL(IF($T$7:$T$100&lt;&gt;"",IF($Q$7:$Q$100&lt;&gt;"",ROW($Q$7:$Q$100)-MIN(ROW($Q$7:$Q$100))+1,""),""),ROW()-ROW(A$102)+1)))," "),"")</f>
        <v/>
      </c>
      <c r="R151" s="0" t="str">
        <f aca="false" t="array" ref="R151:R151">IFERROR(CONCATENATE(TEXT(INDEX($Q$7:$Q$100,SMALL(IF($T$7:$T$100&lt;&gt;"",IF($Q$7:$Q$100&lt;&gt;"",ROW($Q$7:$Q$100)-MIN(ROW($Q$7:$Q$100))+1,""),""),ROW()-ROW(A$102)+1)),"##0")," "),"")</f>
        <v/>
      </c>
      <c r="S151" s="0" t="str">
        <f aca="false" t="array" ref="S151:S151">IFERROR(CONCATENATE((INDEX($A$7:$A$100,SMALL(IF($T$7:$T$100&lt;&gt;"",IF($Q$7:$Q$100&lt;&gt;"",ROW($Q$7:$Q$100)-MIN(ROW($Q$7:$Q$100))+1,""),""),ROW()-ROW(A$102)+1))),),"")</f>
        <v/>
      </c>
      <c r="W151" s="0" t="str">
        <f aca="false" t="array" ref="W151:W151">IFERROR(CONCATENATE((INDEX($Z$7:$Z$100,SMALL(IF($Z$7:$Z$100&lt;&gt;"",IF($W$7:$W$100&lt;&gt;"",ROW($W$7:$W$100)-MIN(ROW($W$7:$W$100))+1,""),""),ROW()-ROW(A$102)+1)))," "),"")</f>
        <v/>
      </c>
      <c r="X151" s="0" t="str">
        <f aca="false" t="array" ref="X151:X151">IFERROR(CONCATENATE(TEXT(INDEX($W$7:$W$100,SMALL(IF($Z$7:$Z$100&lt;&gt;"",IF($W$7:$W$100&lt;&gt;"",ROW($W$7:$W$100)-MIN(ROW($W$7:$W$100))+1,""),""),ROW()-ROW(A$102)+1)),"##0")," "),"")</f>
        <v/>
      </c>
      <c r="Y151" s="0" t="str">
        <f aca="false" t="array" ref="Y151:Y151">IFERROR(CONCATENATE((INDEX($A$7:$A$100,SMALL(IF($Z$7:$Z$100&lt;&gt;"",IF($W$7:$W$100&lt;&gt;"",ROW($W$7:$W$100)-MIN(ROW($W$7:$W$100))+1,""),""),ROW()-ROW(A$102)+1))),),"")</f>
        <v/>
      </c>
      <c r="AC151" s="0" t="str">
        <f aca="false" t="array" ref="AC151:AC151">IFERROR(CONCATENATE((INDEX($AF$7:$AF$100,SMALL(IF($AF$7:$AF$100&lt;&gt;"",IF($AC$7:$AC$100&lt;&gt;"",ROW($AC$7:$AC$100)-MIN(ROW($AC$7:$AC$100))+1,""),""),ROW()-ROW(A$102)+1))),","),"")</f>
        <v/>
      </c>
      <c r="AD151" s="0" t="str">
        <f aca="false" t="array" ref="AD151:AD151">IFERROR(CONCATENATE(TEXT(INDEX($AC$7:$AC$100,SMALL(IF($AF$7:$AF$100&lt;&gt;"",IF($AC$7:$AC$100&lt;&gt;"",ROW($AC$7:$AC$100)-MIN(ROW($AC$7:$AC$100))+1,""),""),ROW()-ROW(A$102)+1)),"##0"),","),"")</f>
        <v/>
      </c>
      <c r="AE151" s="0" t="str">
        <f aca="false" t="array" ref="AE151:AE151">IFERROR(CONCATENATE((INDEX($A$7:$A$100,SMALL(IF($AF$7:$AF$100&lt;&gt;"",IF($AC$7:$AC$100&lt;&gt;"",ROW($AC$7:$AC$100)-MIN(ROW($AC$7:$AC$100))+1,""),""),ROW()-ROW(A$102)+1))),),"")</f>
        <v/>
      </c>
      <c r="AI151" s="0" t="str">
        <f aca="false" t="array" ref="AI151:AI151">IFERROR(CONCATENATE((INDEX($AL$7:$AL$100,SMALL(IF($AL$7:$AL$100&lt;&gt;"",IF($AI$7:$AI$100&lt;&gt;"",ROW($AI$7:$AI$100)-MIN(ROW($AI$7:$AI$100))+1,""),""),ROW()-ROW(A$102)+1)))," "),"")</f>
        <v/>
      </c>
      <c r="AJ151" s="0" t="str">
        <f aca="false" t="array" ref="AJ151:AJ151">IFERROR(CONCATENATE(TEXT(INDEX($AI$7:$AI$100,SMALL(IF($AL$7:$AL$100&lt;&gt;"",IF($AI$7:$AI$100&lt;&gt;"",ROW($AI$7:$AI$100)-MIN(ROW($AI$7:$AI$100))+1,""),""),ROW()-ROW(A$102)+1)),"##0")," "),"")</f>
        <v/>
      </c>
      <c r="AK151" s="0" t="str">
        <f aca="false" t="array" ref="AK151:AK151">IFERROR(CONCATENATE((INDEX($A$7:$A$100,SMALL(IF($AL$7:$AL$100&lt;&gt;"",IF($AI$7:$AI$100&lt;&gt;"",ROW($AI$7:$AI$100)-MIN(ROW($AI$7:$AI$100))+1,""),""),ROW()-ROW(A$102)+1))),),"")</f>
        <v/>
      </c>
    </row>
    <row r="152" customFormat="false" ht="15" hidden="false" customHeight="false" outlineLevel="0" collapsed="false">
      <c r="K152" s="0" t="str">
        <f aca="false" t="array" ref="K152:K152">IFERROR(CONCATENATE(TEXT(INDEX($K$7:$K$100,SMALL(IF($N$7:$N$100&lt;&gt;"",IF($K$7:$K$100&lt;&gt;"",ROW($K$7:$K$100)-MIN(ROW($K$7:$K$100))+1,""),""),ROW()-ROW(A$102)+1)),"##0"),","),"")</f>
        <v/>
      </c>
      <c r="L152" s="0" t="str">
        <f aca="false" t="array" ref="L152:L152">IFERROR(CONCATENATE((INDEX($N$7:$N$100,SMALL(IF($N$7:$N$100&lt;&gt;"",IF($K$7:$K$100&lt;&gt;"",ROW($K$7:$K$100)-MIN(ROW($K$7:$K$100))+1,""),""),ROW()-ROW(A$102)+1))),","),"")</f>
        <v/>
      </c>
      <c r="M152" s="0" t="str">
        <f aca="false" t="array" ref="M152:M152">IFERROR(CONCATENATE((INDEX($A$7:$A$100,SMALL(IF($N$7:$N$100&lt;&gt;"",IF($K$7:$K$100&lt;&gt;"",ROW($K$7:$K$100)-MIN(ROW($K$7:$K$100))+1,""),""),ROW()-ROW(A$102)+1))),),"")</f>
        <v/>
      </c>
      <c r="Q152" s="0" t="str">
        <f aca="false" t="array" ref="Q152:Q152">IFERROR(CONCATENATE((INDEX($T$7:$T$100,SMALL(IF($T$7:$T$100&lt;&gt;"",IF($Q$7:$Q$100&lt;&gt;"",ROW($Q$7:$Q$100)-MIN(ROW($Q$7:$Q$100))+1,""),""),ROW()-ROW(A$102)+1)))," "),"")</f>
        <v/>
      </c>
      <c r="R152" s="0" t="str">
        <f aca="false" t="array" ref="R152:R152">IFERROR(CONCATENATE(TEXT(INDEX($Q$7:$Q$100,SMALL(IF($T$7:$T$100&lt;&gt;"",IF($Q$7:$Q$100&lt;&gt;"",ROW($Q$7:$Q$100)-MIN(ROW($Q$7:$Q$100))+1,""),""),ROW()-ROW(A$102)+1)),"##0")," "),"")</f>
        <v/>
      </c>
      <c r="S152" s="0" t="str">
        <f aca="false" t="array" ref="S152:S152">IFERROR(CONCATENATE((INDEX($A$7:$A$100,SMALL(IF($T$7:$T$100&lt;&gt;"",IF($Q$7:$Q$100&lt;&gt;"",ROW($Q$7:$Q$100)-MIN(ROW($Q$7:$Q$100))+1,""),""),ROW()-ROW(A$102)+1))),),"")</f>
        <v/>
      </c>
      <c r="W152" s="0" t="str">
        <f aca="false" t="array" ref="W152:W152">IFERROR(CONCATENATE((INDEX($Z$7:$Z$100,SMALL(IF($Z$7:$Z$100&lt;&gt;"",IF($W$7:$W$100&lt;&gt;"",ROW($W$7:$W$100)-MIN(ROW($W$7:$W$100))+1,""),""),ROW()-ROW(A$102)+1)))," "),"")</f>
        <v/>
      </c>
      <c r="X152" s="0" t="str">
        <f aca="false" t="array" ref="X152:X152">IFERROR(CONCATENATE(TEXT(INDEX($W$7:$W$100,SMALL(IF($Z$7:$Z$100&lt;&gt;"",IF($W$7:$W$100&lt;&gt;"",ROW($W$7:$W$100)-MIN(ROW($W$7:$W$100))+1,""),""),ROW()-ROW(A$102)+1)),"##0")," "),"")</f>
        <v/>
      </c>
      <c r="Y152" s="0" t="str">
        <f aca="false" t="array" ref="Y152:Y152">IFERROR(CONCATENATE((INDEX($A$7:$A$100,SMALL(IF($Z$7:$Z$100&lt;&gt;"",IF($W$7:$W$100&lt;&gt;"",ROW($W$7:$W$100)-MIN(ROW($W$7:$W$100))+1,""),""),ROW()-ROW(A$102)+1))),),"")</f>
        <v/>
      </c>
      <c r="AC152" s="0" t="str">
        <f aca="false" t="array" ref="AC152:AC152">IFERROR(CONCATENATE((INDEX($AF$7:$AF$100,SMALL(IF($AF$7:$AF$100&lt;&gt;"",IF($AC$7:$AC$100&lt;&gt;"",ROW($AC$7:$AC$100)-MIN(ROW($AC$7:$AC$100))+1,""),""),ROW()-ROW(A$102)+1))),","),"")</f>
        <v/>
      </c>
      <c r="AD152" s="0" t="str">
        <f aca="false" t="array" ref="AD152:AD152">IFERROR(CONCATENATE(TEXT(INDEX($AC$7:$AC$100,SMALL(IF($AF$7:$AF$100&lt;&gt;"",IF($AC$7:$AC$100&lt;&gt;"",ROW($AC$7:$AC$100)-MIN(ROW($AC$7:$AC$100))+1,""),""),ROW()-ROW(A$102)+1)),"##0"),","),"")</f>
        <v/>
      </c>
      <c r="AE152" s="0" t="str">
        <f aca="false" t="array" ref="AE152:AE152">IFERROR(CONCATENATE((INDEX($A$7:$A$100,SMALL(IF($AF$7:$AF$100&lt;&gt;"",IF($AC$7:$AC$100&lt;&gt;"",ROW($AC$7:$AC$100)-MIN(ROW($AC$7:$AC$100))+1,""),""),ROW()-ROW(A$102)+1))),),"")</f>
        <v/>
      </c>
      <c r="AI152" s="0" t="str">
        <f aca="false" t="array" ref="AI152:AI152">IFERROR(CONCATENATE((INDEX($AL$7:$AL$100,SMALL(IF($AL$7:$AL$100&lt;&gt;"",IF($AI$7:$AI$100&lt;&gt;"",ROW($AI$7:$AI$100)-MIN(ROW($AI$7:$AI$100))+1,""),""),ROW()-ROW(A$102)+1)))," "),"")</f>
        <v/>
      </c>
      <c r="AJ152" s="0" t="str">
        <f aca="false" t="array" ref="AJ152:AJ152">IFERROR(CONCATENATE(TEXT(INDEX($AI$7:$AI$100,SMALL(IF($AL$7:$AL$100&lt;&gt;"",IF($AI$7:$AI$100&lt;&gt;"",ROW($AI$7:$AI$100)-MIN(ROW($AI$7:$AI$100))+1,""),""),ROW()-ROW(A$102)+1)),"##0")," "),"")</f>
        <v/>
      </c>
      <c r="AK152" s="0" t="str">
        <f aca="false" t="array" ref="AK152:AK152">IFERROR(CONCATENATE((INDEX($A$7:$A$100,SMALL(IF($AL$7:$AL$100&lt;&gt;"",IF($AI$7:$AI$100&lt;&gt;"",ROW($AI$7:$AI$100)-MIN(ROW($AI$7:$AI$100))+1,""),""),ROW()-ROW(A$102)+1))),),"")</f>
        <v/>
      </c>
    </row>
    <row r="153" customFormat="false" ht="15" hidden="false" customHeight="false" outlineLevel="0" collapsed="false">
      <c r="K153" s="0" t="str">
        <f aca="false" t="array" ref="K153:K153">IFERROR(CONCATENATE(TEXT(INDEX($K$7:$K$100,SMALL(IF($N$7:$N$100&lt;&gt;"",IF($K$7:$K$100&lt;&gt;"",ROW($K$7:$K$100)-MIN(ROW($K$7:$K$100))+1,""),""),ROW()-ROW(A$102)+1)),"##0"),","),"")</f>
        <v/>
      </c>
      <c r="L153" s="0" t="str">
        <f aca="false" t="array" ref="L153:L153">IFERROR(CONCATENATE((INDEX($N$7:$N$100,SMALL(IF($N$7:$N$100&lt;&gt;"",IF($K$7:$K$100&lt;&gt;"",ROW($K$7:$K$100)-MIN(ROW($K$7:$K$100))+1,""),""),ROW()-ROW(A$102)+1))),","),"")</f>
        <v/>
      </c>
      <c r="M153" s="0" t="str">
        <f aca="false" t="array" ref="M153:M153">IFERROR(CONCATENATE((INDEX($A$7:$A$100,SMALL(IF($N$7:$N$100&lt;&gt;"",IF($K$7:$K$100&lt;&gt;"",ROW($K$7:$K$100)-MIN(ROW($K$7:$K$100))+1,""),""),ROW()-ROW(A$102)+1))),),"")</f>
        <v/>
      </c>
      <c r="Q153" s="0" t="str">
        <f aca="false" t="array" ref="Q153:Q153">IFERROR(CONCATENATE((INDEX($T$7:$T$100,SMALL(IF($T$7:$T$100&lt;&gt;"",IF($Q$7:$Q$100&lt;&gt;"",ROW($Q$7:$Q$100)-MIN(ROW($Q$7:$Q$100))+1,""),""),ROW()-ROW(A$102)+1)))," "),"")</f>
        <v/>
      </c>
      <c r="R153" s="0" t="str">
        <f aca="false" t="array" ref="R153:R153">IFERROR(CONCATENATE(TEXT(INDEX($Q$7:$Q$100,SMALL(IF($T$7:$T$100&lt;&gt;"",IF($Q$7:$Q$100&lt;&gt;"",ROW($Q$7:$Q$100)-MIN(ROW($Q$7:$Q$100))+1,""),""),ROW()-ROW(A$102)+1)),"##0")," "),"")</f>
        <v/>
      </c>
      <c r="S153" s="0" t="str">
        <f aca="false" t="array" ref="S153:S153">IFERROR(CONCATENATE((INDEX($A$7:$A$100,SMALL(IF($T$7:$T$100&lt;&gt;"",IF($Q$7:$Q$100&lt;&gt;"",ROW($Q$7:$Q$100)-MIN(ROW($Q$7:$Q$100))+1,""),""),ROW()-ROW(A$102)+1))),),"")</f>
        <v/>
      </c>
      <c r="W153" s="0" t="str">
        <f aca="false" t="array" ref="W153:W153">IFERROR(CONCATENATE((INDEX($Z$7:$Z$100,SMALL(IF($Z$7:$Z$100&lt;&gt;"",IF($W$7:$W$100&lt;&gt;"",ROW($W$7:$W$100)-MIN(ROW($W$7:$W$100))+1,""),""),ROW()-ROW(A$102)+1)))," "),"")</f>
        <v/>
      </c>
      <c r="X153" s="0" t="str">
        <f aca="false" t="array" ref="X153:X153">IFERROR(CONCATENATE(TEXT(INDEX($W$7:$W$100,SMALL(IF($Z$7:$Z$100&lt;&gt;"",IF($W$7:$W$100&lt;&gt;"",ROW($W$7:$W$100)-MIN(ROW($W$7:$W$100))+1,""),""),ROW()-ROW(A$102)+1)),"##0")," "),"")</f>
        <v/>
      </c>
      <c r="Y153" s="0" t="str">
        <f aca="false" t="array" ref="Y153:Y153">IFERROR(CONCATENATE((INDEX($A$7:$A$100,SMALL(IF($Z$7:$Z$100&lt;&gt;"",IF($W$7:$W$100&lt;&gt;"",ROW($W$7:$W$100)-MIN(ROW($W$7:$W$100))+1,""),""),ROW()-ROW(A$102)+1))),),"")</f>
        <v/>
      </c>
      <c r="AC153" s="0" t="str">
        <f aca="false" t="array" ref="AC153:AC153">IFERROR(CONCATENATE((INDEX($AF$7:$AF$100,SMALL(IF($AF$7:$AF$100&lt;&gt;"",IF($AC$7:$AC$100&lt;&gt;"",ROW($AC$7:$AC$100)-MIN(ROW($AC$7:$AC$100))+1,""),""),ROW()-ROW(A$102)+1))),","),"")</f>
        <v/>
      </c>
      <c r="AD153" s="0" t="str">
        <f aca="false" t="array" ref="AD153:AD153">IFERROR(CONCATENATE(TEXT(INDEX($AC$7:$AC$100,SMALL(IF($AF$7:$AF$100&lt;&gt;"",IF($AC$7:$AC$100&lt;&gt;"",ROW($AC$7:$AC$100)-MIN(ROW($AC$7:$AC$100))+1,""),""),ROW()-ROW(A$102)+1)),"##0"),","),"")</f>
        <v/>
      </c>
      <c r="AE153" s="0" t="str">
        <f aca="false" t="array" ref="AE153:AE153">IFERROR(CONCATENATE((INDEX($A$7:$A$100,SMALL(IF($AF$7:$AF$100&lt;&gt;"",IF($AC$7:$AC$100&lt;&gt;"",ROW($AC$7:$AC$100)-MIN(ROW($AC$7:$AC$100))+1,""),""),ROW()-ROW(A$102)+1))),),"")</f>
        <v/>
      </c>
      <c r="AI153" s="0" t="str">
        <f aca="false" t="array" ref="AI153:AI153">IFERROR(CONCATENATE((INDEX($AL$7:$AL$100,SMALL(IF($AL$7:$AL$100&lt;&gt;"",IF($AI$7:$AI$100&lt;&gt;"",ROW($AI$7:$AI$100)-MIN(ROW($AI$7:$AI$100))+1,""),""),ROW()-ROW(A$102)+1)))," "),"")</f>
        <v/>
      </c>
      <c r="AJ153" s="0" t="str">
        <f aca="false" t="array" ref="AJ153:AJ153">IFERROR(CONCATENATE(TEXT(INDEX($AI$7:$AI$100,SMALL(IF($AL$7:$AL$100&lt;&gt;"",IF($AI$7:$AI$100&lt;&gt;"",ROW($AI$7:$AI$100)-MIN(ROW($AI$7:$AI$100))+1,""),""),ROW()-ROW(A$102)+1)),"##0")," "),"")</f>
        <v/>
      </c>
      <c r="AK153" s="0" t="str">
        <f aca="false" t="array" ref="AK153:AK153">IFERROR(CONCATENATE((INDEX($A$7:$A$100,SMALL(IF($AL$7:$AL$100&lt;&gt;"",IF($AI$7:$AI$100&lt;&gt;"",ROW($AI$7:$AI$100)-MIN(ROW($AI$7:$AI$100))+1,""),""),ROW()-ROW(A$102)+1))),),"")</f>
        <v/>
      </c>
    </row>
    <row r="154" customFormat="false" ht="15" hidden="false" customHeight="false" outlineLevel="0" collapsed="false">
      <c r="K154" s="0" t="str">
        <f aca="false" t="array" ref="K154:K154">IFERROR(CONCATENATE(TEXT(INDEX($K$7:$K$100,SMALL(IF($N$7:$N$100&lt;&gt;"",IF($K$7:$K$100&lt;&gt;"",ROW($K$7:$K$100)-MIN(ROW($K$7:$K$100))+1,""),""),ROW()-ROW(A$102)+1)),"##0"),","),"")</f>
        <v/>
      </c>
      <c r="L154" s="0" t="str">
        <f aca="false" t="array" ref="L154:L154">IFERROR(CONCATENATE((INDEX($N$7:$N$100,SMALL(IF($N$7:$N$100&lt;&gt;"",IF($K$7:$K$100&lt;&gt;"",ROW($K$7:$K$100)-MIN(ROW($K$7:$K$100))+1,""),""),ROW()-ROW(A$102)+1))),","),"")</f>
        <v/>
      </c>
      <c r="M154" s="0" t="str">
        <f aca="false" t="array" ref="M154:M154">IFERROR(CONCATENATE((INDEX($A$7:$A$100,SMALL(IF($N$7:$N$100&lt;&gt;"",IF($K$7:$K$100&lt;&gt;"",ROW($K$7:$K$100)-MIN(ROW($K$7:$K$100))+1,""),""),ROW()-ROW(A$102)+1))),),"")</f>
        <v/>
      </c>
      <c r="Q154" s="0" t="str">
        <f aca="false" t="array" ref="Q154:Q154">IFERROR(CONCATENATE((INDEX($T$7:$T$100,SMALL(IF($T$7:$T$100&lt;&gt;"",IF($Q$7:$Q$100&lt;&gt;"",ROW($Q$7:$Q$100)-MIN(ROW($Q$7:$Q$100))+1,""),""),ROW()-ROW(A$102)+1)))," "),"")</f>
        <v/>
      </c>
      <c r="R154" s="0" t="str">
        <f aca="false" t="array" ref="R154:R154">IFERROR(CONCATENATE(TEXT(INDEX($Q$7:$Q$100,SMALL(IF($T$7:$T$100&lt;&gt;"",IF($Q$7:$Q$100&lt;&gt;"",ROW($Q$7:$Q$100)-MIN(ROW($Q$7:$Q$100))+1,""),""),ROW()-ROW(A$102)+1)),"##0")," "),"")</f>
        <v/>
      </c>
      <c r="S154" s="0" t="str">
        <f aca="false" t="array" ref="S154:S154">IFERROR(CONCATENATE((INDEX($A$7:$A$100,SMALL(IF($T$7:$T$100&lt;&gt;"",IF($Q$7:$Q$100&lt;&gt;"",ROW($Q$7:$Q$100)-MIN(ROW($Q$7:$Q$100))+1,""),""),ROW()-ROW(A$102)+1))),),"")</f>
        <v/>
      </c>
      <c r="W154" s="0" t="str">
        <f aca="false" t="array" ref="W154:W154">IFERROR(CONCATENATE((INDEX($Z$7:$Z$100,SMALL(IF($Z$7:$Z$100&lt;&gt;"",IF($W$7:$W$100&lt;&gt;"",ROW($W$7:$W$100)-MIN(ROW($W$7:$W$100))+1,""),""),ROW()-ROW(A$102)+1)))," "),"")</f>
        <v/>
      </c>
      <c r="X154" s="0" t="str">
        <f aca="false" t="array" ref="X154:X154">IFERROR(CONCATENATE(TEXT(INDEX($W$7:$W$100,SMALL(IF($Z$7:$Z$100&lt;&gt;"",IF($W$7:$W$100&lt;&gt;"",ROW($W$7:$W$100)-MIN(ROW($W$7:$W$100))+1,""),""),ROW()-ROW(A$102)+1)),"##0")," "),"")</f>
        <v/>
      </c>
      <c r="Y154" s="0" t="str">
        <f aca="false" t="array" ref="Y154:Y154">IFERROR(CONCATENATE((INDEX($A$7:$A$100,SMALL(IF($Z$7:$Z$100&lt;&gt;"",IF($W$7:$W$100&lt;&gt;"",ROW($W$7:$W$100)-MIN(ROW($W$7:$W$100))+1,""),""),ROW()-ROW(A$102)+1))),),"")</f>
        <v/>
      </c>
      <c r="AC154" s="0" t="str">
        <f aca="false" t="array" ref="AC154:AC154">IFERROR(CONCATENATE((INDEX($AF$7:$AF$100,SMALL(IF($AF$7:$AF$100&lt;&gt;"",IF($AC$7:$AC$100&lt;&gt;"",ROW($AC$7:$AC$100)-MIN(ROW($AC$7:$AC$100))+1,""),""),ROW()-ROW(A$102)+1))),","),"")</f>
        <v/>
      </c>
      <c r="AD154" s="0" t="str">
        <f aca="false" t="array" ref="AD154:AD154">IFERROR(CONCATENATE(TEXT(INDEX($AC$7:$AC$100,SMALL(IF($AF$7:$AF$100&lt;&gt;"",IF($AC$7:$AC$100&lt;&gt;"",ROW($AC$7:$AC$100)-MIN(ROW($AC$7:$AC$100))+1,""),""),ROW()-ROW(A$102)+1)),"##0"),","),"")</f>
        <v/>
      </c>
      <c r="AE154" s="0" t="str">
        <f aca="false" t="array" ref="AE154:AE154">IFERROR(CONCATENATE((INDEX($A$7:$A$100,SMALL(IF($AF$7:$AF$100&lt;&gt;"",IF($AC$7:$AC$100&lt;&gt;"",ROW($AC$7:$AC$100)-MIN(ROW($AC$7:$AC$100))+1,""),""),ROW()-ROW(A$102)+1))),),"")</f>
        <v/>
      </c>
      <c r="AI154" s="0" t="str">
        <f aca="false" t="array" ref="AI154:AI154">IFERROR(CONCATENATE((INDEX($AL$7:$AL$100,SMALL(IF($AL$7:$AL$100&lt;&gt;"",IF($AI$7:$AI$100&lt;&gt;"",ROW($AI$7:$AI$100)-MIN(ROW($AI$7:$AI$100))+1,""),""),ROW()-ROW(A$102)+1)))," "),"")</f>
        <v/>
      </c>
      <c r="AJ154" s="0" t="str">
        <f aca="false" t="array" ref="AJ154:AJ154">IFERROR(CONCATENATE(TEXT(INDEX($AI$7:$AI$100,SMALL(IF($AL$7:$AL$100&lt;&gt;"",IF($AI$7:$AI$100&lt;&gt;"",ROW($AI$7:$AI$100)-MIN(ROW($AI$7:$AI$100))+1,""),""),ROW()-ROW(A$102)+1)),"##0")," "),"")</f>
        <v/>
      </c>
      <c r="AK154" s="0" t="str">
        <f aca="false" t="array" ref="AK154:AK154">IFERROR(CONCATENATE((INDEX($A$7:$A$100,SMALL(IF($AL$7:$AL$100&lt;&gt;"",IF($AI$7:$AI$100&lt;&gt;"",ROW($AI$7:$AI$100)-MIN(ROW($AI$7:$AI$100))+1,""),""),ROW()-ROW(A$102)+1))),),"")</f>
        <v/>
      </c>
    </row>
    <row r="155" customFormat="false" ht="15" hidden="false" customHeight="false" outlineLevel="0" collapsed="false">
      <c r="K155" s="0" t="str">
        <f aca="false" t="array" ref="K155:K155">IFERROR(CONCATENATE(TEXT(INDEX($K$7:$K$100,SMALL(IF($N$7:$N$100&lt;&gt;"",IF($K$7:$K$100&lt;&gt;"",ROW($K$7:$K$100)-MIN(ROW($K$7:$K$100))+1,""),""),ROW()-ROW(A$102)+1)),"##0"),","),"")</f>
        <v/>
      </c>
      <c r="L155" s="0" t="str">
        <f aca="false" t="array" ref="L155:L155">IFERROR(CONCATENATE((INDEX($N$7:$N$100,SMALL(IF($N$7:$N$100&lt;&gt;"",IF($K$7:$K$100&lt;&gt;"",ROW($K$7:$K$100)-MIN(ROW($K$7:$K$100))+1,""),""),ROW()-ROW(A$102)+1))),","),"")</f>
        <v/>
      </c>
      <c r="M155" s="0" t="str">
        <f aca="false" t="array" ref="M155:M155">IFERROR(CONCATENATE((INDEX($A$7:$A$100,SMALL(IF($N$7:$N$100&lt;&gt;"",IF($K$7:$K$100&lt;&gt;"",ROW($K$7:$K$100)-MIN(ROW($K$7:$K$100))+1,""),""),ROW()-ROW(A$102)+1))),),"")</f>
        <v/>
      </c>
      <c r="Q155" s="0" t="str">
        <f aca="false" t="array" ref="Q155:Q155">IFERROR(CONCATENATE((INDEX($T$7:$T$100,SMALL(IF($T$7:$T$100&lt;&gt;"",IF($Q$7:$Q$100&lt;&gt;"",ROW($Q$7:$Q$100)-MIN(ROW($Q$7:$Q$100))+1,""),""),ROW()-ROW(A$102)+1)))," "),"")</f>
        <v/>
      </c>
      <c r="R155" s="0" t="str">
        <f aca="false" t="array" ref="R155:R155">IFERROR(CONCATENATE(TEXT(INDEX($Q$7:$Q$100,SMALL(IF($T$7:$T$100&lt;&gt;"",IF($Q$7:$Q$100&lt;&gt;"",ROW($Q$7:$Q$100)-MIN(ROW($Q$7:$Q$100))+1,""),""),ROW()-ROW(A$102)+1)),"##0")," "),"")</f>
        <v/>
      </c>
      <c r="S155" s="0" t="str">
        <f aca="false" t="array" ref="S155:S155">IFERROR(CONCATENATE((INDEX($A$7:$A$100,SMALL(IF($T$7:$T$100&lt;&gt;"",IF($Q$7:$Q$100&lt;&gt;"",ROW($Q$7:$Q$100)-MIN(ROW($Q$7:$Q$100))+1,""),""),ROW()-ROW(A$102)+1))),),"")</f>
        <v/>
      </c>
      <c r="W155" s="0" t="str">
        <f aca="false" t="array" ref="W155:W155">IFERROR(CONCATENATE((INDEX($Z$7:$Z$100,SMALL(IF($Z$7:$Z$100&lt;&gt;"",IF($W$7:$W$100&lt;&gt;"",ROW($W$7:$W$100)-MIN(ROW($W$7:$W$100))+1,""),""),ROW()-ROW(A$102)+1)))," "),"")</f>
        <v/>
      </c>
      <c r="X155" s="0" t="str">
        <f aca="false" t="array" ref="X155:X155">IFERROR(CONCATENATE(TEXT(INDEX($W$7:$W$100,SMALL(IF($Z$7:$Z$100&lt;&gt;"",IF($W$7:$W$100&lt;&gt;"",ROW($W$7:$W$100)-MIN(ROW($W$7:$W$100))+1,""),""),ROW()-ROW(A$102)+1)),"##0")," "),"")</f>
        <v/>
      </c>
      <c r="Y155" s="0" t="str">
        <f aca="false" t="array" ref="Y155:Y155">IFERROR(CONCATENATE((INDEX($A$7:$A$100,SMALL(IF($Z$7:$Z$100&lt;&gt;"",IF($W$7:$W$100&lt;&gt;"",ROW($W$7:$W$100)-MIN(ROW($W$7:$W$100))+1,""),""),ROW()-ROW(A$102)+1))),),"")</f>
        <v/>
      </c>
      <c r="AC155" s="0" t="str">
        <f aca="false" t="array" ref="AC155:AC155">IFERROR(CONCATENATE((INDEX($AF$7:$AF$100,SMALL(IF($AF$7:$AF$100&lt;&gt;"",IF($AC$7:$AC$100&lt;&gt;"",ROW($AC$7:$AC$100)-MIN(ROW($AC$7:$AC$100))+1,""),""),ROW()-ROW(A$102)+1))),","),"")</f>
        <v/>
      </c>
      <c r="AD155" s="0" t="str">
        <f aca="false" t="array" ref="AD155:AD155">IFERROR(CONCATENATE(TEXT(INDEX($AC$7:$AC$100,SMALL(IF($AF$7:$AF$100&lt;&gt;"",IF($AC$7:$AC$100&lt;&gt;"",ROW($AC$7:$AC$100)-MIN(ROW($AC$7:$AC$100))+1,""),""),ROW()-ROW(A$102)+1)),"##0"),","),"")</f>
        <v/>
      </c>
      <c r="AE155" s="0" t="str">
        <f aca="false" t="array" ref="AE155:AE155">IFERROR(CONCATENATE((INDEX($A$7:$A$100,SMALL(IF($AF$7:$AF$100&lt;&gt;"",IF($AC$7:$AC$100&lt;&gt;"",ROW($AC$7:$AC$100)-MIN(ROW($AC$7:$AC$100))+1,""),""),ROW()-ROW(A$102)+1))),),"")</f>
        <v/>
      </c>
      <c r="AI155" s="0" t="str">
        <f aca="false" t="array" ref="AI155:AI155">IFERROR(CONCATENATE((INDEX($AL$7:$AL$100,SMALL(IF($AL$7:$AL$100&lt;&gt;"",IF($AI$7:$AI$100&lt;&gt;"",ROW($AI$7:$AI$100)-MIN(ROW($AI$7:$AI$100))+1,""),""),ROW()-ROW(A$102)+1)))," "),"")</f>
        <v/>
      </c>
      <c r="AJ155" s="0" t="str">
        <f aca="false" t="array" ref="AJ155:AJ155">IFERROR(CONCATENATE(TEXT(INDEX($AI$7:$AI$100,SMALL(IF($AL$7:$AL$100&lt;&gt;"",IF($AI$7:$AI$100&lt;&gt;"",ROW($AI$7:$AI$100)-MIN(ROW($AI$7:$AI$100))+1,""),""),ROW()-ROW(A$102)+1)),"##0")," "),"")</f>
        <v/>
      </c>
      <c r="AK155" s="0" t="str">
        <f aca="false" t="array" ref="AK155:AK155">IFERROR(CONCATENATE((INDEX($A$7:$A$100,SMALL(IF($AL$7:$AL$100&lt;&gt;"",IF($AI$7:$AI$100&lt;&gt;"",ROW($AI$7:$AI$100)-MIN(ROW($AI$7:$AI$100))+1,""),""),ROW()-ROW(A$102)+1))),),"")</f>
        <v/>
      </c>
    </row>
    <row r="156" customFormat="false" ht="15" hidden="false" customHeight="false" outlineLevel="0" collapsed="false">
      <c r="K156" s="0" t="str">
        <f aca="false" t="array" ref="K156:K156">IFERROR(CONCATENATE(TEXT(INDEX($K$7:$K$100,SMALL(IF($N$7:$N$100&lt;&gt;"",IF($K$7:$K$100&lt;&gt;"",ROW($K$7:$K$100)-MIN(ROW($K$7:$K$100))+1,""),""),ROW()-ROW(A$102)+1)),"##0"),","),"")</f>
        <v/>
      </c>
      <c r="L156" s="0" t="str">
        <f aca="false" t="array" ref="L156:L156">IFERROR(CONCATENATE((INDEX($N$7:$N$100,SMALL(IF($N$7:$N$100&lt;&gt;"",IF($K$7:$K$100&lt;&gt;"",ROW($K$7:$K$100)-MIN(ROW($K$7:$K$100))+1,""),""),ROW()-ROW(A$102)+1))),","),"")</f>
        <v/>
      </c>
      <c r="M156" s="0" t="str">
        <f aca="false" t="array" ref="M156:M156">IFERROR(CONCATENATE((INDEX($A$7:$A$100,SMALL(IF($N$7:$N$100&lt;&gt;"",IF($K$7:$K$100&lt;&gt;"",ROW($K$7:$K$100)-MIN(ROW($K$7:$K$100))+1,""),""),ROW()-ROW(A$102)+1))),),"")</f>
        <v/>
      </c>
      <c r="Q156" s="0" t="str">
        <f aca="false" t="array" ref="Q156:Q156">IFERROR(CONCATENATE((INDEX($T$7:$T$100,SMALL(IF($T$7:$T$100&lt;&gt;"",IF($Q$7:$Q$100&lt;&gt;"",ROW($Q$7:$Q$100)-MIN(ROW($Q$7:$Q$100))+1,""),""),ROW()-ROW(A$102)+1)))," "),"")</f>
        <v/>
      </c>
      <c r="R156" s="0" t="str">
        <f aca="false" t="array" ref="R156:R156">IFERROR(CONCATENATE(TEXT(INDEX($Q$7:$Q$100,SMALL(IF($T$7:$T$100&lt;&gt;"",IF($Q$7:$Q$100&lt;&gt;"",ROW($Q$7:$Q$100)-MIN(ROW($Q$7:$Q$100))+1,""),""),ROW()-ROW(A$102)+1)),"##0")," "),"")</f>
        <v/>
      </c>
      <c r="S156" s="0" t="str">
        <f aca="false" t="array" ref="S156:S156">IFERROR(CONCATENATE((INDEX($A$7:$A$100,SMALL(IF($T$7:$T$100&lt;&gt;"",IF($Q$7:$Q$100&lt;&gt;"",ROW($Q$7:$Q$100)-MIN(ROW($Q$7:$Q$100))+1,""),""),ROW()-ROW(A$102)+1))),),"")</f>
        <v/>
      </c>
      <c r="W156" s="0" t="str">
        <f aca="false" t="array" ref="W156:W156">IFERROR(CONCATENATE((INDEX($Z$7:$Z$100,SMALL(IF($Z$7:$Z$100&lt;&gt;"",IF($W$7:$W$100&lt;&gt;"",ROW($W$7:$W$100)-MIN(ROW($W$7:$W$100))+1,""),""),ROW()-ROW(A$102)+1)))," "),"")</f>
        <v/>
      </c>
      <c r="X156" s="0" t="str">
        <f aca="false" t="array" ref="X156:X156">IFERROR(CONCATENATE(TEXT(INDEX($W$7:$W$100,SMALL(IF($Z$7:$Z$100&lt;&gt;"",IF($W$7:$W$100&lt;&gt;"",ROW($W$7:$W$100)-MIN(ROW($W$7:$W$100))+1,""),""),ROW()-ROW(A$102)+1)),"##0")," "),"")</f>
        <v/>
      </c>
      <c r="Y156" s="0" t="str">
        <f aca="false" t="array" ref="Y156:Y156">IFERROR(CONCATENATE((INDEX($A$7:$A$100,SMALL(IF($Z$7:$Z$100&lt;&gt;"",IF($W$7:$W$100&lt;&gt;"",ROW($W$7:$W$100)-MIN(ROW($W$7:$W$100))+1,""),""),ROW()-ROW(A$102)+1))),),"")</f>
        <v/>
      </c>
      <c r="AC156" s="0" t="str">
        <f aca="false" t="array" ref="AC156:AC156">IFERROR(CONCATENATE((INDEX($AF$7:$AF$100,SMALL(IF($AF$7:$AF$100&lt;&gt;"",IF($AC$7:$AC$100&lt;&gt;"",ROW($AC$7:$AC$100)-MIN(ROW($AC$7:$AC$100))+1,""),""),ROW()-ROW(A$102)+1))),","),"")</f>
        <v/>
      </c>
      <c r="AD156" s="0" t="str">
        <f aca="false" t="array" ref="AD156:AD156">IFERROR(CONCATENATE(TEXT(INDEX($AC$7:$AC$100,SMALL(IF($AF$7:$AF$100&lt;&gt;"",IF($AC$7:$AC$100&lt;&gt;"",ROW($AC$7:$AC$100)-MIN(ROW($AC$7:$AC$100))+1,""),""),ROW()-ROW(A$102)+1)),"##0"),","),"")</f>
        <v/>
      </c>
      <c r="AE156" s="0" t="str">
        <f aca="false" t="array" ref="AE156:AE156">IFERROR(CONCATENATE((INDEX($A$7:$A$100,SMALL(IF($AF$7:$AF$100&lt;&gt;"",IF($AC$7:$AC$100&lt;&gt;"",ROW($AC$7:$AC$100)-MIN(ROW($AC$7:$AC$100))+1,""),""),ROW()-ROW(A$102)+1))),),"")</f>
        <v/>
      </c>
      <c r="AI156" s="0" t="str">
        <f aca="false" t="array" ref="AI156:AI156">IFERROR(CONCATENATE((INDEX($AL$7:$AL$100,SMALL(IF($AL$7:$AL$100&lt;&gt;"",IF($AI$7:$AI$100&lt;&gt;"",ROW($AI$7:$AI$100)-MIN(ROW($AI$7:$AI$100))+1,""),""),ROW()-ROW(A$102)+1)))," "),"")</f>
        <v/>
      </c>
      <c r="AJ156" s="0" t="str">
        <f aca="false" t="array" ref="AJ156:AJ156">IFERROR(CONCATENATE(TEXT(INDEX($AI$7:$AI$100,SMALL(IF($AL$7:$AL$100&lt;&gt;"",IF($AI$7:$AI$100&lt;&gt;"",ROW($AI$7:$AI$100)-MIN(ROW($AI$7:$AI$100))+1,""),""),ROW()-ROW(A$102)+1)),"##0")," "),"")</f>
        <v/>
      </c>
      <c r="AK156" s="0" t="str">
        <f aca="false" t="array" ref="AK156:AK156">IFERROR(CONCATENATE((INDEX($A$7:$A$100,SMALL(IF($AL$7:$AL$100&lt;&gt;"",IF($AI$7:$AI$100&lt;&gt;"",ROW($AI$7:$AI$100)-MIN(ROW($AI$7:$AI$100))+1,""),""),ROW()-ROW(A$102)+1))),),"")</f>
        <v/>
      </c>
    </row>
    <row r="157" customFormat="false" ht="15" hidden="false" customHeight="false" outlineLevel="0" collapsed="false">
      <c r="K157" s="0" t="str">
        <f aca="false" t="array" ref="K157:K157">IFERROR(CONCATENATE(TEXT(INDEX($K$7:$K$100,SMALL(IF($N$7:$N$100&lt;&gt;"",IF($K$7:$K$100&lt;&gt;"",ROW($K$7:$K$100)-MIN(ROW($K$7:$K$100))+1,""),""),ROW()-ROW(A$102)+1)),"##0"),","),"")</f>
        <v/>
      </c>
      <c r="L157" s="0" t="str">
        <f aca="false" t="array" ref="L157:L157">IFERROR(CONCATENATE((INDEX($N$7:$N$100,SMALL(IF($N$7:$N$100&lt;&gt;"",IF($K$7:$K$100&lt;&gt;"",ROW($K$7:$K$100)-MIN(ROW($K$7:$K$100))+1,""),""),ROW()-ROW(A$102)+1))),","),"")</f>
        <v/>
      </c>
      <c r="M157" s="0" t="str">
        <f aca="false" t="array" ref="M157:M157">IFERROR(CONCATENATE((INDEX($A$7:$A$100,SMALL(IF($N$7:$N$100&lt;&gt;"",IF($K$7:$K$100&lt;&gt;"",ROW($K$7:$K$100)-MIN(ROW($K$7:$K$100))+1,""),""),ROW()-ROW(A$102)+1))),),"")</f>
        <v/>
      </c>
      <c r="Q157" s="0" t="str">
        <f aca="false" t="array" ref="Q157:Q157">IFERROR(CONCATENATE((INDEX($T$7:$T$100,SMALL(IF($T$7:$T$100&lt;&gt;"",IF($Q$7:$Q$100&lt;&gt;"",ROW($Q$7:$Q$100)-MIN(ROW($Q$7:$Q$100))+1,""),""),ROW()-ROW(A$102)+1)))," "),"")</f>
        <v/>
      </c>
      <c r="R157" s="0" t="str">
        <f aca="false" t="array" ref="R157:R157">IFERROR(CONCATENATE(TEXT(INDEX($Q$7:$Q$100,SMALL(IF($T$7:$T$100&lt;&gt;"",IF($Q$7:$Q$100&lt;&gt;"",ROW($Q$7:$Q$100)-MIN(ROW($Q$7:$Q$100))+1,""),""),ROW()-ROW(A$102)+1)),"##0")," "),"")</f>
        <v/>
      </c>
      <c r="S157" s="0" t="str">
        <f aca="false" t="array" ref="S157:S157">IFERROR(CONCATENATE((INDEX($A$7:$A$100,SMALL(IF($T$7:$T$100&lt;&gt;"",IF($Q$7:$Q$100&lt;&gt;"",ROW($Q$7:$Q$100)-MIN(ROW($Q$7:$Q$100))+1,""),""),ROW()-ROW(A$102)+1))),),"")</f>
        <v/>
      </c>
      <c r="W157" s="0" t="str">
        <f aca="false" t="array" ref="W157:W157">IFERROR(CONCATENATE((INDEX($Z$7:$Z$100,SMALL(IF($Z$7:$Z$100&lt;&gt;"",IF($W$7:$W$100&lt;&gt;"",ROW($W$7:$W$100)-MIN(ROW($W$7:$W$100))+1,""),""),ROW()-ROW(A$102)+1)))," "),"")</f>
        <v/>
      </c>
      <c r="X157" s="0" t="str">
        <f aca="false" t="array" ref="X157:X157">IFERROR(CONCATENATE(TEXT(INDEX($W$7:$W$100,SMALL(IF($Z$7:$Z$100&lt;&gt;"",IF($W$7:$W$100&lt;&gt;"",ROW($W$7:$W$100)-MIN(ROW($W$7:$W$100))+1,""),""),ROW()-ROW(A$102)+1)),"##0")," "),"")</f>
        <v/>
      </c>
      <c r="Y157" s="0" t="str">
        <f aca="false" t="array" ref="Y157:Y157">IFERROR(CONCATENATE((INDEX($A$7:$A$100,SMALL(IF($Z$7:$Z$100&lt;&gt;"",IF($W$7:$W$100&lt;&gt;"",ROW($W$7:$W$100)-MIN(ROW($W$7:$W$100))+1,""),""),ROW()-ROW(A$102)+1))),),"")</f>
        <v/>
      </c>
      <c r="AC157" s="0" t="str">
        <f aca="false" t="array" ref="AC157:AC157">IFERROR(CONCATENATE((INDEX($AF$7:$AF$100,SMALL(IF($AF$7:$AF$100&lt;&gt;"",IF($AC$7:$AC$100&lt;&gt;"",ROW($AC$7:$AC$100)-MIN(ROW($AC$7:$AC$100))+1,""),""),ROW()-ROW(A$102)+1))),","),"")</f>
        <v/>
      </c>
      <c r="AD157" s="0" t="str">
        <f aca="false" t="array" ref="AD157:AD157">IFERROR(CONCATENATE(TEXT(INDEX($AC$7:$AC$100,SMALL(IF($AF$7:$AF$100&lt;&gt;"",IF($AC$7:$AC$100&lt;&gt;"",ROW($AC$7:$AC$100)-MIN(ROW($AC$7:$AC$100))+1,""),""),ROW()-ROW(A$102)+1)),"##0"),","),"")</f>
        <v/>
      </c>
      <c r="AE157" s="0" t="str">
        <f aca="false" t="array" ref="AE157:AE157">IFERROR(CONCATENATE((INDEX($A$7:$A$100,SMALL(IF($AF$7:$AF$100&lt;&gt;"",IF($AC$7:$AC$100&lt;&gt;"",ROW($AC$7:$AC$100)-MIN(ROW($AC$7:$AC$100))+1,""),""),ROW()-ROW(A$102)+1))),),"")</f>
        <v/>
      </c>
      <c r="AI157" s="0" t="str">
        <f aca="false" t="array" ref="AI157:AI157">IFERROR(CONCATENATE((INDEX($AL$7:$AL$100,SMALL(IF($AL$7:$AL$100&lt;&gt;"",IF($AI$7:$AI$100&lt;&gt;"",ROW($AI$7:$AI$100)-MIN(ROW($AI$7:$AI$100))+1,""),""),ROW()-ROW(A$102)+1)))," "),"")</f>
        <v/>
      </c>
      <c r="AJ157" s="0" t="str">
        <f aca="false" t="array" ref="AJ157:AJ157">IFERROR(CONCATENATE(TEXT(INDEX($AI$7:$AI$100,SMALL(IF($AL$7:$AL$100&lt;&gt;"",IF($AI$7:$AI$100&lt;&gt;"",ROW($AI$7:$AI$100)-MIN(ROW($AI$7:$AI$100))+1,""),""),ROW()-ROW(A$102)+1)),"##0")," "),"")</f>
        <v/>
      </c>
      <c r="AK157" s="0" t="str">
        <f aca="false" t="array" ref="AK157:AK157">IFERROR(CONCATENATE((INDEX($A$7:$A$100,SMALL(IF($AL$7:$AL$100&lt;&gt;"",IF($AI$7:$AI$100&lt;&gt;"",ROW($AI$7:$AI$100)-MIN(ROW($AI$7:$AI$100))+1,""),""),ROW()-ROW(A$102)+1))),),"")</f>
        <v/>
      </c>
    </row>
    <row r="158" customFormat="false" ht="15" hidden="false" customHeight="false" outlineLevel="0" collapsed="false">
      <c r="K158" s="0" t="str">
        <f aca="false" t="array" ref="K158:K158">IFERROR(CONCATENATE(TEXT(INDEX($K$7:$K$100,SMALL(IF($N$7:$N$100&lt;&gt;"",IF($K$7:$K$100&lt;&gt;"",ROW($K$7:$K$100)-MIN(ROW($K$7:$K$100))+1,""),""),ROW()-ROW(A$102)+1)),"##0"),","),"")</f>
        <v/>
      </c>
      <c r="L158" s="0" t="str">
        <f aca="false" t="array" ref="L158:L158">IFERROR(CONCATENATE((INDEX($N$7:$N$100,SMALL(IF($N$7:$N$100&lt;&gt;"",IF($K$7:$K$100&lt;&gt;"",ROW($K$7:$K$100)-MIN(ROW($K$7:$K$100))+1,""),""),ROW()-ROW(A$102)+1))),","),"")</f>
        <v/>
      </c>
      <c r="M158" s="0" t="str">
        <f aca="false" t="array" ref="M158:M158">IFERROR(CONCATENATE((INDEX($A$7:$A$100,SMALL(IF($N$7:$N$100&lt;&gt;"",IF($K$7:$K$100&lt;&gt;"",ROW($K$7:$K$100)-MIN(ROW($K$7:$K$100))+1,""),""),ROW()-ROW(A$102)+1))),),"")</f>
        <v/>
      </c>
      <c r="Q158" s="0" t="str">
        <f aca="false" t="array" ref="Q158:Q158">IFERROR(CONCATENATE((INDEX($T$7:$T$100,SMALL(IF($T$7:$T$100&lt;&gt;"",IF($Q$7:$Q$100&lt;&gt;"",ROW($Q$7:$Q$100)-MIN(ROW($Q$7:$Q$100))+1,""),""),ROW()-ROW(A$102)+1)))," "),"")</f>
        <v/>
      </c>
      <c r="R158" s="0" t="str">
        <f aca="false" t="array" ref="R158:R158">IFERROR(CONCATENATE(TEXT(INDEX($Q$7:$Q$100,SMALL(IF($T$7:$T$100&lt;&gt;"",IF($Q$7:$Q$100&lt;&gt;"",ROW($Q$7:$Q$100)-MIN(ROW($Q$7:$Q$100))+1,""),""),ROW()-ROW(A$102)+1)),"##0")," "),"")</f>
        <v/>
      </c>
      <c r="S158" s="0" t="str">
        <f aca="false" t="array" ref="S158:S158">IFERROR(CONCATENATE((INDEX($A$7:$A$100,SMALL(IF($T$7:$T$100&lt;&gt;"",IF($Q$7:$Q$100&lt;&gt;"",ROW($Q$7:$Q$100)-MIN(ROW($Q$7:$Q$100))+1,""),""),ROW()-ROW(A$102)+1))),),"")</f>
        <v/>
      </c>
      <c r="W158" s="0" t="str">
        <f aca="false" t="array" ref="W158:W158">IFERROR(CONCATENATE((INDEX($Z$7:$Z$100,SMALL(IF($Z$7:$Z$100&lt;&gt;"",IF($W$7:$W$100&lt;&gt;"",ROW($W$7:$W$100)-MIN(ROW($W$7:$W$100))+1,""),""),ROW()-ROW(A$102)+1)))," "),"")</f>
        <v/>
      </c>
      <c r="X158" s="0" t="str">
        <f aca="false" t="array" ref="X158:X158">IFERROR(CONCATENATE(TEXT(INDEX($W$7:$W$100,SMALL(IF($Z$7:$Z$100&lt;&gt;"",IF($W$7:$W$100&lt;&gt;"",ROW($W$7:$W$100)-MIN(ROW($W$7:$W$100))+1,""),""),ROW()-ROW(A$102)+1)),"##0")," "),"")</f>
        <v/>
      </c>
      <c r="Y158" s="0" t="str">
        <f aca="false" t="array" ref="Y158:Y158">IFERROR(CONCATENATE((INDEX($A$7:$A$100,SMALL(IF($Z$7:$Z$100&lt;&gt;"",IF($W$7:$W$100&lt;&gt;"",ROW($W$7:$W$100)-MIN(ROW($W$7:$W$100))+1,""),""),ROW()-ROW(A$102)+1))),),"")</f>
        <v/>
      </c>
      <c r="AC158" s="0" t="str">
        <f aca="false" t="array" ref="AC158:AC158">IFERROR(CONCATENATE((INDEX($AF$7:$AF$100,SMALL(IF($AF$7:$AF$100&lt;&gt;"",IF($AC$7:$AC$100&lt;&gt;"",ROW($AC$7:$AC$100)-MIN(ROW($AC$7:$AC$100))+1,""),""),ROW()-ROW(A$102)+1))),","),"")</f>
        <v/>
      </c>
      <c r="AD158" s="0" t="str">
        <f aca="false" t="array" ref="AD158:AD158">IFERROR(CONCATENATE(TEXT(INDEX($AC$7:$AC$100,SMALL(IF($AF$7:$AF$100&lt;&gt;"",IF($AC$7:$AC$100&lt;&gt;"",ROW($AC$7:$AC$100)-MIN(ROW($AC$7:$AC$100))+1,""),""),ROW()-ROW(A$102)+1)),"##0"),","),"")</f>
        <v/>
      </c>
      <c r="AE158" s="0" t="str">
        <f aca="false" t="array" ref="AE158:AE158">IFERROR(CONCATENATE((INDEX($A$7:$A$100,SMALL(IF($AF$7:$AF$100&lt;&gt;"",IF($AC$7:$AC$100&lt;&gt;"",ROW($AC$7:$AC$100)-MIN(ROW($AC$7:$AC$100))+1,""),""),ROW()-ROW(A$102)+1))),),"")</f>
        <v/>
      </c>
      <c r="AI158" s="0" t="str">
        <f aca="false" t="array" ref="AI158:AI158">IFERROR(CONCATENATE((INDEX($AL$7:$AL$100,SMALL(IF($AL$7:$AL$100&lt;&gt;"",IF($AI$7:$AI$100&lt;&gt;"",ROW($AI$7:$AI$100)-MIN(ROW($AI$7:$AI$100))+1,""),""),ROW()-ROW(A$102)+1)))," "),"")</f>
        <v/>
      </c>
      <c r="AJ158" s="0" t="str">
        <f aca="false" t="array" ref="AJ158:AJ158">IFERROR(CONCATENATE(TEXT(INDEX($AI$7:$AI$100,SMALL(IF($AL$7:$AL$100&lt;&gt;"",IF($AI$7:$AI$100&lt;&gt;"",ROW($AI$7:$AI$100)-MIN(ROW($AI$7:$AI$100))+1,""),""),ROW()-ROW(A$102)+1)),"##0")," "),"")</f>
        <v/>
      </c>
      <c r="AK158" s="0" t="str">
        <f aca="false" t="array" ref="AK158:AK158">IFERROR(CONCATENATE((INDEX($A$7:$A$100,SMALL(IF($AL$7:$AL$100&lt;&gt;"",IF($AI$7:$AI$100&lt;&gt;"",ROW($AI$7:$AI$100)-MIN(ROW($AI$7:$AI$100))+1,""),""),ROW()-ROW(A$102)+1))),),"")</f>
        <v/>
      </c>
    </row>
    <row r="159" customFormat="false" ht="15" hidden="false" customHeight="false" outlineLevel="0" collapsed="false">
      <c r="K159" s="0" t="str">
        <f aca="false" t="array" ref="K159:K159">IFERROR(CONCATENATE(TEXT(INDEX($K$7:$K$100,SMALL(IF($N$7:$N$100&lt;&gt;"",IF($K$7:$K$100&lt;&gt;"",ROW($K$7:$K$100)-MIN(ROW($K$7:$K$100))+1,""),""),ROW()-ROW(A$102)+1)),"##0"),","),"")</f>
        <v/>
      </c>
      <c r="L159" s="0" t="str">
        <f aca="false" t="array" ref="L159:L159">IFERROR(CONCATENATE((INDEX($N$7:$N$100,SMALL(IF($N$7:$N$100&lt;&gt;"",IF($K$7:$K$100&lt;&gt;"",ROW($K$7:$K$100)-MIN(ROW($K$7:$K$100))+1,""),""),ROW()-ROW(A$102)+1))),","),"")</f>
        <v/>
      </c>
      <c r="M159" s="0" t="str">
        <f aca="false" t="array" ref="M159:M159">IFERROR(CONCATENATE((INDEX($A$7:$A$100,SMALL(IF($N$7:$N$100&lt;&gt;"",IF($K$7:$K$100&lt;&gt;"",ROW($K$7:$K$100)-MIN(ROW($K$7:$K$100))+1,""),""),ROW()-ROW(A$102)+1))),),"")</f>
        <v/>
      </c>
      <c r="Q159" s="0" t="str">
        <f aca="false" t="array" ref="Q159:Q159">IFERROR(CONCATENATE((INDEX($T$7:$T$100,SMALL(IF($T$7:$T$100&lt;&gt;"",IF($Q$7:$Q$100&lt;&gt;"",ROW($Q$7:$Q$100)-MIN(ROW($Q$7:$Q$100))+1,""),""),ROW()-ROW(A$102)+1)))," "),"")</f>
        <v/>
      </c>
      <c r="R159" s="0" t="str">
        <f aca="false" t="array" ref="R159:R159">IFERROR(CONCATENATE(TEXT(INDEX($Q$7:$Q$100,SMALL(IF($T$7:$T$100&lt;&gt;"",IF($Q$7:$Q$100&lt;&gt;"",ROW($Q$7:$Q$100)-MIN(ROW($Q$7:$Q$100))+1,""),""),ROW()-ROW(A$102)+1)),"##0")," "),"")</f>
        <v/>
      </c>
      <c r="S159" s="0" t="str">
        <f aca="false" t="array" ref="S159:S159">IFERROR(CONCATENATE((INDEX($A$7:$A$100,SMALL(IF($T$7:$T$100&lt;&gt;"",IF($Q$7:$Q$100&lt;&gt;"",ROW($Q$7:$Q$100)-MIN(ROW($Q$7:$Q$100))+1,""),""),ROW()-ROW(A$102)+1))),),"")</f>
        <v/>
      </c>
      <c r="W159" s="0" t="str">
        <f aca="false" t="array" ref="W159:W159">IFERROR(CONCATENATE((INDEX($Z$7:$Z$100,SMALL(IF($Z$7:$Z$100&lt;&gt;"",IF($W$7:$W$100&lt;&gt;"",ROW($W$7:$W$100)-MIN(ROW($W$7:$W$100))+1,""),""),ROW()-ROW(A$102)+1)))," "),"")</f>
        <v/>
      </c>
      <c r="X159" s="0" t="str">
        <f aca="false" t="array" ref="X159:X159">IFERROR(CONCATENATE(TEXT(INDEX($W$7:$W$100,SMALL(IF($Z$7:$Z$100&lt;&gt;"",IF($W$7:$W$100&lt;&gt;"",ROW($W$7:$W$100)-MIN(ROW($W$7:$W$100))+1,""),""),ROW()-ROW(A$102)+1)),"##0")," "),"")</f>
        <v/>
      </c>
      <c r="Y159" s="0" t="str">
        <f aca="false" t="array" ref="Y159:Y159">IFERROR(CONCATENATE((INDEX($A$7:$A$100,SMALL(IF($Z$7:$Z$100&lt;&gt;"",IF($W$7:$W$100&lt;&gt;"",ROW($W$7:$W$100)-MIN(ROW($W$7:$W$100))+1,""),""),ROW()-ROW(A$102)+1))),),"")</f>
        <v/>
      </c>
      <c r="AC159" s="0" t="str">
        <f aca="false" t="array" ref="AC159:AC159">IFERROR(CONCATENATE((INDEX($AF$7:$AF$100,SMALL(IF($AF$7:$AF$100&lt;&gt;"",IF($AC$7:$AC$100&lt;&gt;"",ROW($AC$7:$AC$100)-MIN(ROW($AC$7:$AC$100))+1,""),""),ROW()-ROW(A$102)+1))),","),"")</f>
        <v/>
      </c>
      <c r="AD159" s="0" t="str">
        <f aca="false" t="array" ref="AD159:AD159">IFERROR(CONCATENATE(TEXT(INDEX($AC$7:$AC$100,SMALL(IF($AF$7:$AF$100&lt;&gt;"",IF($AC$7:$AC$100&lt;&gt;"",ROW($AC$7:$AC$100)-MIN(ROW($AC$7:$AC$100))+1,""),""),ROW()-ROW(A$102)+1)),"##0"),","),"")</f>
        <v/>
      </c>
      <c r="AE159" s="0" t="str">
        <f aca="false" t="array" ref="AE159:AE159">IFERROR(CONCATENATE((INDEX($A$7:$A$100,SMALL(IF($AF$7:$AF$100&lt;&gt;"",IF($AC$7:$AC$100&lt;&gt;"",ROW($AC$7:$AC$100)-MIN(ROW($AC$7:$AC$100))+1,""),""),ROW()-ROW(A$102)+1))),),"")</f>
        <v/>
      </c>
      <c r="AI159" s="0" t="str">
        <f aca="false" t="array" ref="AI159:AI159">IFERROR(CONCATENATE((INDEX($AL$7:$AL$100,SMALL(IF($AL$7:$AL$100&lt;&gt;"",IF($AI$7:$AI$100&lt;&gt;"",ROW($AI$7:$AI$100)-MIN(ROW($AI$7:$AI$100))+1,""),""),ROW()-ROW(A$102)+1)))," "),"")</f>
        <v/>
      </c>
      <c r="AJ159" s="0" t="str">
        <f aca="false" t="array" ref="AJ159:AJ159">IFERROR(CONCATENATE(TEXT(INDEX($AI$7:$AI$100,SMALL(IF($AL$7:$AL$100&lt;&gt;"",IF($AI$7:$AI$100&lt;&gt;"",ROW($AI$7:$AI$100)-MIN(ROW($AI$7:$AI$100))+1,""),""),ROW()-ROW(A$102)+1)),"##0")," "),"")</f>
        <v/>
      </c>
      <c r="AK159" s="0" t="str">
        <f aca="false" t="array" ref="AK159:AK159">IFERROR(CONCATENATE((INDEX($A$7:$A$100,SMALL(IF($AL$7:$AL$100&lt;&gt;"",IF($AI$7:$AI$100&lt;&gt;"",ROW($AI$7:$AI$100)-MIN(ROW($AI$7:$AI$100))+1,""),""),ROW()-ROW(A$102)+1))),),"")</f>
        <v/>
      </c>
    </row>
    <row r="160" customFormat="false" ht="15" hidden="false" customHeight="false" outlineLevel="0" collapsed="false">
      <c r="K160" s="0" t="str">
        <f aca="false" t="array" ref="K160:K160">IFERROR(CONCATENATE(TEXT(INDEX($K$7:$K$100,SMALL(IF($N$7:$N$100&lt;&gt;"",IF($K$7:$K$100&lt;&gt;"",ROW($K$7:$K$100)-MIN(ROW($K$7:$K$100))+1,""),""),ROW()-ROW(A$102)+1)),"##0"),","),"")</f>
        <v/>
      </c>
      <c r="L160" s="0" t="str">
        <f aca="false" t="array" ref="L160:L160">IFERROR(CONCATENATE((INDEX($N$7:$N$100,SMALL(IF($N$7:$N$100&lt;&gt;"",IF($K$7:$K$100&lt;&gt;"",ROW($K$7:$K$100)-MIN(ROW($K$7:$K$100))+1,""),""),ROW()-ROW(A$102)+1))),","),"")</f>
        <v/>
      </c>
      <c r="M160" s="0" t="str">
        <f aca="false" t="array" ref="M160:M160">IFERROR(CONCATENATE((INDEX($A$7:$A$100,SMALL(IF($N$7:$N$100&lt;&gt;"",IF($K$7:$K$100&lt;&gt;"",ROW($K$7:$K$100)-MIN(ROW($K$7:$K$100))+1,""),""),ROW()-ROW(A$102)+1))),),"")</f>
        <v/>
      </c>
      <c r="Q160" s="0" t="str">
        <f aca="false" t="array" ref="Q160:Q160">IFERROR(CONCATENATE((INDEX($T$7:$T$100,SMALL(IF($T$7:$T$100&lt;&gt;"",IF($Q$7:$Q$100&lt;&gt;"",ROW($Q$7:$Q$100)-MIN(ROW($Q$7:$Q$100))+1,""),""),ROW()-ROW(A$102)+1)))," "),"")</f>
        <v/>
      </c>
      <c r="R160" s="0" t="str">
        <f aca="false" t="array" ref="R160:R160">IFERROR(CONCATENATE(TEXT(INDEX($Q$7:$Q$100,SMALL(IF($T$7:$T$100&lt;&gt;"",IF($Q$7:$Q$100&lt;&gt;"",ROW($Q$7:$Q$100)-MIN(ROW($Q$7:$Q$100))+1,""),""),ROW()-ROW(A$102)+1)),"##0")," "),"")</f>
        <v/>
      </c>
      <c r="S160" s="0" t="str">
        <f aca="false" t="array" ref="S160:S160">IFERROR(CONCATENATE((INDEX($A$7:$A$100,SMALL(IF($T$7:$T$100&lt;&gt;"",IF($Q$7:$Q$100&lt;&gt;"",ROW($Q$7:$Q$100)-MIN(ROW($Q$7:$Q$100))+1,""),""),ROW()-ROW(A$102)+1))),),"")</f>
        <v/>
      </c>
      <c r="W160" s="0" t="str">
        <f aca="false" t="array" ref="W160:W160">IFERROR(CONCATENATE((INDEX($Z$7:$Z$100,SMALL(IF($Z$7:$Z$100&lt;&gt;"",IF($W$7:$W$100&lt;&gt;"",ROW($W$7:$W$100)-MIN(ROW($W$7:$W$100))+1,""),""),ROW()-ROW(A$102)+1)))," "),"")</f>
        <v/>
      </c>
      <c r="X160" s="0" t="str">
        <f aca="false" t="array" ref="X160:X160">IFERROR(CONCATENATE(TEXT(INDEX($W$7:$W$100,SMALL(IF($Z$7:$Z$100&lt;&gt;"",IF($W$7:$W$100&lt;&gt;"",ROW($W$7:$W$100)-MIN(ROW($W$7:$W$100))+1,""),""),ROW()-ROW(A$102)+1)),"##0")," "),"")</f>
        <v/>
      </c>
      <c r="Y160" s="0" t="str">
        <f aca="false" t="array" ref="Y160:Y160">IFERROR(CONCATENATE((INDEX($A$7:$A$100,SMALL(IF($Z$7:$Z$100&lt;&gt;"",IF($W$7:$W$100&lt;&gt;"",ROW($W$7:$W$100)-MIN(ROW($W$7:$W$100))+1,""),""),ROW()-ROW(A$102)+1))),),"")</f>
        <v/>
      </c>
      <c r="AC160" s="0" t="str">
        <f aca="false" t="array" ref="AC160:AC160">IFERROR(CONCATENATE((INDEX($AF$7:$AF$100,SMALL(IF($AF$7:$AF$100&lt;&gt;"",IF($AC$7:$AC$100&lt;&gt;"",ROW($AC$7:$AC$100)-MIN(ROW($AC$7:$AC$100))+1,""),""),ROW()-ROW(A$102)+1))),","),"")</f>
        <v/>
      </c>
      <c r="AD160" s="0" t="str">
        <f aca="false" t="array" ref="AD160:AD160">IFERROR(CONCATENATE(TEXT(INDEX($AC$7:$AC$100,SMALL(IF($AF$7:$AF$100&lt;&gt;"",IF($AC$7:$AC$100&lt;&gt;"",ROW($AC$7:$AC$100)-MIN(ROW($AC$7:$AC$100))+1,""),""),ROW()-ROW(A$102)+1)),"##0"),","),"")</f>
        <v/>
      </c>
      <c r="AE160" s="0" t="str">
        <f aca="false" t="array" ref="AE160:AE160">IFERROR(CONCATENATE((INDEX($A$7:$A$100,SMALL(IF($AF$7:$AF$100&lt;&gt;"",IF($AC$7:$AC$100&lt;&gt;"",ROW($AC$7:$AC$100)-MIN(ROW($AC$7:$AC$100))+1,""),""),ROW()-ROW(A$102)+1))),),"")</f>
        <v/>
      </c>
      <c r="AI160" s="0" t="str">
        <f aca="false" t="array" ref="AI160:AI160">IFERROR(CONCATENATE((INDEX($AL$7:$AL$100,SMALL(IF($AL$7:$AL$100&lt;&gt;"",IF($AI$7:$AI$100&lt;&gt;"",ROW($AI$7:$AI$100)-MIN(ROW($AI$7:$AI$100))+1,""),""),ROW()-ROW(A$102)+1)))," "),"")</f>
        <v/>
      </c>
      <c r="AJ160" s="0" t="str">
        <f aca="false" t="array" ref="AJ160:AJ160">IFERROR(CONCATENATE(TEXT(INDEX($AI$7:$AI$100,SMALL(IF($AL$7:$AL$100&lt;&gt;"",IF($AI$7:$AI$100&lt;&gt;"",ROW($AI$7:$AI$100)-MIN(ROW($AI$7:$AI$100))+1,""),""),ROW()-ROW(A$102)+1)),"##0")," "),"")</f>
        <v/>
      </c>
      <c r="AK160" s="0" t="str">
        <f aca="false" t="array" ref="AK160:AK160">IFERROR(CONCATENATE((INDEX($A$7:$A$100,SMALL(IF($AL$7:$AL$100&lt;&gt;"",IF($AI$7:$AI$100&lt;&gt;"",ROW($AI$7:$AI$100)-MIN(ROW($AI$7:$AI$100))+1,""),""),ROW()-ROW(A$102)+1))),),"")</f>
        <v/>
      </c>
    </row>
    <row r="161" customFormat="false" ht="15" hidden="false" customHeight="false" outlineLevel="0" collapsed="false">
      <c r="K161" s="0" t="str">
        <f aca="false" t="array" ref="K161:K161">IFERROR(CONCATENATE(TEXT(INDEX($K$7:$K$100,SMALL(IF($N$7:$N$100&lt;&gt;"",IF($K$7:$K$100&lt;&gt;"",ROW($K$7:$K$100)-MIN(ROW($K$7:$K$100))+1,""),""),ROW()-ROW(A$102)+1)),"##0"),","),"")</f>
        <v/>
      </c>
      <c r="L161" s="0" t="str">
        <f aca="false" t="array" ref="L161:L161">IFERROR(CONCATENATE((INDEX($N$7:$N$100,SMALL(IF($N$7:$N$100&lt;&gt;"",IF($K$7:$K$100&lt;&gt;"",ROW($K$7:$K$100)-MIN(ROW($K$7:$K$100))+1,""),""),ROW()-ROW(A$102)+1))),","),"")</f>
        <v/>
      </c>
      <c r="M161" s="0" t="str">
        <f aca="false" t="array" ref="M161:M161">IFERROR(CONCATENATE((INDEX($A$7:$A$100,SMALL(IF($N$7:$N$100&lt;&gt;"",IF($K$7:$K$100&lt;&gt;"",ROW($K$7:$K$100)-MIN(ROW($K$7:$K$100))+1,""),""),ROW()-ROW(A$102)+1))),),"")</f>
        <v/>
      </c>
      <c r="Q161" s="0" t="str">
        <f aca="false" t="array" ref="Q161:Q161">IFERROR(CONCATENATE((INDEX($T$7:$T$100,SMALL(IF($T$7:$T$100&lt;&gt;"",IF($Q$7:$Q$100&lt;&gt;"",ROW($Q$7:$Q$100)-MIN(ROW($Q$7:$Q$100))+1,""),""),ROW()-ROW(A$102)+1)))," "),"")</f>
        <v/>
      </c>
      <c r="R161" s="0" t="str">
        <f aca="false" t="array" ref="R161:R161">IFERROR(CONCATENATE(TEXT(INDEX($Q$7:$Q$100,SMALL(IF($T$7:$T$100&lt;&gt;"",IF($Q$7:$Q$100&lt;&gt;"",ROW($Q$7:$Q$100)-MIN(ROW($Q$7:$Q$100))+1,""),""),ROW()-ROW(A$102)+1)),"##0")," "),"")</f>
        <v/>
      </c>
      <c r="S161" s="0" t="str">
        <f aca="false" t="array" ref="S161:S161">IFERROR(CONCATENATE((INDEX($A$7:$A$100,SMALL(IF($T$7:$T$100&lt;&gt;"",IF($Q$7:$Q$100&lt;&gt;"",ROW($Q$7:$Q$100)-MIN(ROW($Q$7:$Q$100))+1,""),""),ROW()-ROW(A$102)+1))),),"")</f>
        <v/>
      </c>
      <c r="W161" s="0" t="str">
        <f aca="false" t="array" ref="W161:W161">IFERROR(CONCATENATE((INDEX($Z$7:$Z$100,SMALL(IF($Z$7:$Z$100&lt;&gt;"",IF($W$7:$W$100&lt;&gt;"",ROW($W$7:$W$100)-MIN(ROW($W$7:$W$100))+1,""),""),ROW()-ROW(A$102)+1)))," "),"")</f>
        <v/>
      </c>
      <c r="X161" s="0" t="str">
        <f aca="false" t="array" ref="X161:X161">IFERROR(CONCATENATE(TEXT(INDEX($W$7:$W$100,SMALL(IF($Z$7:$Z$100&lt;&gt;"",IF($W$7:$W$100&lt;&gt;"",ROW($W$7:$W$100)-MIN(ROW($W$7:$W$100))+1,""),""),ROW()-ROW(A$102)+1)),"##0")," "),"")</f>
        <v/>
      </c>
      <c r="Y161" s="0" t="str">
        <f aca="false" t="array" ref="Y161:Y161">IFERROR(CONCATENATE((INDEX($A$7:$A$100,SMALL(IF($Z$7:$Z$100&lt;&gt;"",IF($W$7:$W$100&lt;&gt;"",ROW($W$7:$W$100)-MIN(ROW($W$7:$W$100))+1,""),""),ROW()-ROW(A$102)+1))),),"")</f>
        <v/>
      </c>
      <c r="AC161" s="0" t="str">
        <f aca="false" t="array" ref="AC161:AC161">IFERROR(CONCATENATE((INDEX($AF$7:$AF$100,SMALL(IF($AF$7:$AF$100&lt;&gt;"",IF($AC$7:$AC$100&lt;&gt;"",ROW($AC$7:$AC$100)-MIN(ROW($AC$7:$AC$100))+1,""),""),ROW()-ROW(A$102)+1))),","),"")</f>
        <v/>
      </c>
      <c r="AD161" s="0" t="str">
        <f aca="false" t="array" ref="AD161:AD161">IFERROR(CONCATENATE(TEXT(INDEX($AC$7:$AC$100,SMALL(IF($AF$7:$AF$100&lt;&gt;"",IF($AC$7:$AC$100&lt;&gt;"",ROW($AC$7:$AC$100)-MIN(ROW($AC$7:$AC$100))+1,""),""),ROW()-ROW(A$102)+1)),"##0"),","),"")</f>
        <v/>
      </c>
      <c r="AE161" s="0" t="str">
        <f aca="false" t="array" ref="AE161:AE161">IFERROR(CONCATENATE((INDEX($A$7:$A$100,SMALL(IF($AF$7:$AF$100&lt;&gt;"",IF($AC$7:$AC$100&lt;&gt;"",ROW($AC$7:$AC$100)-MIN(ROW($AC$7:$AC$100))+1,""),""),ROW()-ROW(A$102)+1))),),"")</f>
        <v/>
      </c>
      <c r="AI161" s="0" t="str">
        <f aca="false" t="array" ref="AI161:AI161">IFERROR(CONCATENATE((INDEX($AL$7:$AL$100,SMALL(IF($AL$7:$AL$100&lt;&gt;"",IF($AI$7:$AI$100&lt;&gt;"",ROW($AI$7:$AI$100)-MIN(ROW($AI$7:$AI$100))+1,""),""),ROW()-ROW(A$102)+1)))," "),"")</f>
        <v/>
      </c>
      <c r="AJ161" s="0" t="str">
        <f aca="false" t="array" ref="AJ161:AJ161">IFERROR(CONCATENATE(TEXT(INDEX($AI$7:$AI$100,SMALL(IF($AL$7:$AL$100&lt;&gt;"",IF($AI$7:$AI$100&lt;&gt;"",ROW($AI$7:$AI$100)-MIN(ROW($AI$7:$AI$100))+1,""),""),ROW()-ROW(A$102)+1)),"##0")," "),"")</f>
        <v/>
      </c>
      <c r="AK161" s="0" t="str">
        <f aca="false" t="array" ref="AK161:AK161">IFERROR(CONCATENATE((INDEX($A$7:$A$100,SMALL(IF($AL$7:$AL$100&lt;&gt;"",IF($AI$7:$AI$100&lt;&gt;"",ROW($AI$7:$AI$100)-MIN(ROW($AI$7:$AI$100))+1,""),""),ROW()-ROW(A$102)+1))),),"")</f>
        <v/>
      </c>
    </row>
    <row r="162" customFormat="false" ht="15" hidden="false" customHeight="false" outlineLevel="0" collapsed="false">
      <c r="K162" s="0" t="str">
        <f aca="false" t="array" ref="K162:K162">IFERROR(CONCATENATE(TEXT(INDEX($K$7:$K$100,SMALL(IF($N$7:$N$100&lt;&gt;"",IF($K$7:$K$100&lt;&gt;"",ROW($K$7:$K$100)-MIN(ROW($K$7:$K$100))+1,""),""),ROW()-ROW(A$102)+1)),"##0"),","),"")</f>
        <v/>
      </c>
      <c r="L162" s="0" t="str">
        <f aca="false" t="array" ref="L162:L162">IFERROR(CONCATENATE((INDEX($N$7:$N$100,SMALL(IF($N$7:$N$100&lt;&gt;"",IF($K$7:$K$100&lt;&gt;"",ROW($K$7:$K$100)-MIN(ROW($K$7:$K$100))+1,""),""),ROW()-ROW(A$102)+1))),","),"")</f>
        <v/>
      </c>
      <c r="M162" s="0" t="str">
        <f aca="false" t="array" ref="M162:M162">IFERROR(CONCATENATE((INDEX($A$7:$A$100,SMALL(IF($N$7:$N$100&lt;&gt;"",IF($K$7:$K$100&lt;&gt;"",ROW($K$7:$K$100)-MIN(ROW($K$7:$K$100))+1,""),""),ROW()-ROW(A$102)+1))),),"")</f>
        <v/>
      </c>
      <c r="Q162" s="0" t="str">
        <f aca="false" t="array" ref="Q162:Q162">IFERROR(CONCATENATE((INDEX($T$7:$T$100,SMALL(IF($T$7:$T$100&lt;&gt;"",IF($Q$7:$Q$100&lt;&gt;"",ROW($Q$7:$Q$100)-MIN(ROW($Q$7:$Q$100))+1,""),""),ROW()-ROW(A$102)+1)))," "),"")</f>
        <v/>
      </c>
      <c r="R162" s="0" t="str">
        <f aca="false" t="array" ref="R162:R162">IFERROR(CONCATENATE(TEXT(INDEX($Q$7:$Q$100,SMALL(IF($T$7:$T$100&lt;&gt;"",IF($Q$7:$Q$100&lt;&gt;"",ROW($Q$7:$Q$100)-MIN(ROW($Q$7:$Q$100))+1,""),""),ROW()-ROW(A$102)+1)),"##0")," "),"")</f>
        <v/>
      </c>
      <c r="S162" s="0" t="str">
        <f aca="false" t="array" ref="S162:S162">IFERROR(CONCATENATE((INDEX($A$7:$A$100,SMALL(IF($T$7:$T$100&lt;&gt;"",IF($Q$7:$Q$100&lt;&gt;"",ROW($Q$7:$Q$100)-MIN(ROW($Q$7:$Q$100))+1,""),""),ROW()-ROW(A$102)+1))),),"")</f>
        <v/>
      </c>
      <c r="W162" s="0" t="str">
        <f aca="false" t="array" ref="W162:W162">IFERROR(CONCATENATE((INDEX($Z$7:$Z$100,SMALL(IF($Z$7:$Z$100&lt;&gt;"",IF($W$7:$W$100&lt;&gt;"",ROW($W$7:$W$100)-MIN(ROW($W$7:$W$100))+1,""),""),ROW()-ROW(A$102)+1)))," "),"")</f>
        <v/>
      </c>
      <c r="X162" s="0" t="str">
        <f aca="false" t="array" ref="X162:X162">IFERROR(CONCATENATE(TEXT(INDEX($W$7:$W$100,SMALL(IF($Z$7:$Z$100&lt;&gt;"",IF($W$7:$W$100&lt;&gt;"",ROW($W$7:$W$100)-MIN(ROW($W$7:$W$100))+1,""),""),ROW()-ROW(A$102)+1)),"##0")," "),"")</f>
        <v/>
      </c>
      <c r="Y162" s="0" t="str">
        <f aca="false" t="array" ref="Y162:Y162">IFERROR(CONCATENATE((INDEX($A$7:$A$100,SMALL(IF($Z$7:$Z$100&lt;&gt;"",IF($W$7:$W$100&lt;&gt;"",ROW($W$7:$W$100)-MIN(ROW($W$7:$W$100))+1,""),""),ROW()-ROW(A$102)+1))),),"")</f>
        <v/>
      </c>
      <c r="AC162" s="0" t="str">
        <f aca="false" t="array" ref="AC162:AC162">IFERROR(CONCATENATE((INDEX($AF$7:$AF$100,SMALL(IF($AF$7:$AF$100&lt;&gt;"",IF($AC$7:$AC$100&lt;&gt;"",ROW($AC$7:$AC$100)-MIN(ROW($AC$7:$AC$100))+1,""),""),ROW()-ROW(A$102)+1))),","),"")</f>
        <v/>
      </c>
      <c r="AD162" s="0" t="str">
        <f aca="false" t="array" ref="AD162:AD162">IFERROR(CONCATENATE(TEXT(INDEX($AC$7:$AC$100,SMALL(IF($AF$7:$AF$100&lt;&gt;"",IF($AC$7:$AC$100&lt;&gt;"",ROW($AC$7:$AC$100)-MIN(ROW($AC$7:$AC$100))+1,""),""),ROW()-ROW(A$102)+1)),"##0"),","),"")</f>
        <v/>
      </c>
      <c r="AE162" s="0" t="str">
        <f aca="false" t="array" ref="AE162:AE162">IFERROR(CONCATENATE((INDEX($A$7:$A$100,SMALL(IF($AF$7:$AF$100&lt;&gt;"",IF($AC$7:$AC$100&lt;&gt;"",ROW($AC$7:$AC$100)-MIN(ROW($AC$7:$AC$100))+1,""),""),ROW()-ROW(A$102)+1))),),"")</f>
        <v/>
      </c>
      <c r="AI162" s="0" t="str">
        <f aca="false" t="array" ref="AI162:AI162">IFERROR(CONCATENATE((INDEX($AL$7:$AL$100,SMALL(IF($AL$7:$AL$100&lt;&gt;"",IF($AI$7:$AI$100&lt;&gt;"",ROW($AI$7:$AI$100)-MIN(ROW($AI$7:$AI$100))+1,""),""),ROW()-ROW(A$102)+1)))," "),"")</f>
        <v/>
      </c>
      <c r="AJ162" s="0" t="str">
        <f aca="false" t="array" ref="AJ162:AJ162">IFERROR(CONCATENATE(TEXT(INDEX($AI$7:$AI$100,SMALL(IF($AL$7:$AL$100&lt;&gt;"",IF($AI$7:$AI$100&lt;&gt;"",ROW($AI$7:$AI$100)-MIN(ROW($AI$7:$AI$100))+1,""),""),ROW()-ROW(A$102)+1)),"##0")," "),"")</f>
        <v/>
      </c>
      <c r="AK162" s="0" t="str">
        <f aca="false" t="array" ref="AK162:AK162">IFERROR(CONCATENATE((INDEX($A$7:$A$100,SMALL(IF($AL$7:$AL$100&lt;&gt;"",IF($AI$7:$AI$100&lt;&gt;"",ROW($AI$7:$AI$100)-MIN(ROW($AI$7:$AI$100))+1,""),""),ROW()-ROW(A$102)+1))),),"")</f>
        <v/>
      </c>
    </row>
    <row r="163" customFormat="false" ht="15" hidden="false" customHeight="false" outlineLevel="0" collapsed="false">
      <c r="K163" s="0" t="str">
        <f aca="false" t="array" ref="K163:K163">IFERROR(CONCATENATE(TEXT(INDEX($K$7:$K$100,SMALL(IF($N$7:$N$100&lt;&gt;"",IF($K$7:$K$100&lt;&gt;"",ROW($K$7:$K$100)-MIN(ROW($K$7:$K$100))+1,""),""),ROW()-ROW(A$102)+1)),"##0"),","),"")</f>
        <v/>
      </c>
      <c r="L163" s="0" t="str">
        <f aca="false" t="array" ref="L163:L163">IFERROR(CONCATENATE((INDEX($N$7:$N$100,SMALL(IF($N$7:$N$100&lt;&gt;"",IF($K$7:$K$100&lt;&gt;"",ROW($K$7:$K$100)-MIN(ROW($K$7:$K$100))+1,""),""),ROW()-ROW(A$102)+1))),","),"")</f>
        <v/>
      </c>
      <c r="M163" s="0" t="str">
        <f aca="false" t="array" ref="M163:M163">IFERROR(CONCATENATE((INDEX($A$7:$A$100,SMALL(IF($N$7:$N$100&lt;&gt;"",IF($K$7:$K$100&lt;&gt;"",ROW($K$7:$K$100)-MIN(ROW($K$7:$K$100))+1,""),""),ROW()-ROW(A$102)+1))),),"")</f>
        <v/>
      </c>
      <c r="Q163" s="0" t="str">
        <f aca="false" t="array" ref="Q163:Q163">IFERROR(CONCATENATE((INDEX($T$7:$T$100,SMALL(IF($T$7:$T$100&lt;&gt;"",IF($Q$7:$Q$100&lt;&gt;"",ROW($Q$7:$Q$100)-MIN(ROW($Q$7:$Q$100))+1,""),""),ROW()-ROW(A$102)+1)))," "),"")</f>
        <v/>
      </c>
      <c r="R163" s="0" t="str">
        <f aca="false" t="array" ref="R163:R163">IFERROR(CONCATENATE(TEXT(INDEX($Q$7:$Q$100,SMALL(IF($T$7:$T$100&lt;&gt;"",IF($Q$7:$Q$100&lt;&gt;"",ROW($Q$7:$Q$100)-MIN(ROW($Q$7:$Q$100))+1,""),""),ROW()-ROW(A$102)+1)),"##0")," "),"")</f>
        <v/>
      </c>
      <c r="S163" s="0" t="str">
        <f aca="false" t="array" ref="S163:S163">IFERROR(CONCATENATE((INDEX($A$7:$A$100,SMALL(IF($T$7:$T$100&lt;&gt;"",IF($Q$7:$Q$100&lt;&gt;"",ROW($Q$7:$Q$100)-MIN(ROW($Q$7:$Q$100))+1,""),""),ROW()-ROW(A$102)+1))),),"")</f>
        <v/>
      </c>
      <c r="W163" s="0" t="str">
        <f aca="false" t="array" ref="W163:W163">IFERROR(CONCATENATE((INDEX($Z$7:$Z$100,SMALL(IF($Z$7:$Z$100&lt;&gt;"",IF($W$7:$W$100&lt;&gt;"",ROW($W$7:$W$100)-MIN(ROW($W$7:$W$100))+1,""),""),ROW()-ROW(A$102)+1)))," "),"")</f>
        <v/>
      </c>
      <c r="X163" s="0" t="str">
        <f aca="false" t="array" ref="X163:X163">IFERROR(CONCATENATE(TEXT(INDEX($W$7:$W$100,SMALL(IF($Z$7:$Z$100&lt;&gt;"",IF($W$7:$W$100&lt;&gt;"",ROW($W$7:$W$100)-MIN(ROW($W$7:$W$100))+1,""),""),ROW()-ROW(A$102)+1)),"##0")," "),"")</f>
        <v/>
      </c>
      <c r="Y163" s="0" t="str">
        <f aca="false" t="array" ref="Y163:Y163">IFERROR(CONCATENATE((INDEX($A$7:$A$100,SMALL(IF($Z$7:$Z$100&lt;&gt;"",IF($W$7:$W$100&lt;&gt;"",ROW($W$7:$W$100)-MIN(ROW($W$7:$W$100))+1,""),""),ROW()-ROW(A$102)+1))),),"")</f>
        <v/>
      </c>
      <c r="AC163" s="0" t="str">
        <f aca="false" t="array" ref="AC163:AC163">IFERROR(CONCATENATE((INDEX($AF$7:$AF$100,SMALL(IF($AF$7:$AF$100&lt;&gt;"",IF($AC$7:$AC$100&lt;&gt;"",ROW($AC$7:$AC$100)-MIN(ROW($AC$7:$AC$100))+1,""),""),ROW()-ROW(A$102)+1))),","),"")</f>
        <v/>
      </c>
      <c r="AD163" s="0" t="str">
        <f aca="false" t="array" ref="AD163:AD163">IFERROR(CONCATENATE(TEXT(INDEX($AC$7:$AC$100,SMALL(IF($AF$7:$AF$100&lt;&gt;"",IF($AC$7:$AC$100&lt;&gt;"",ROW($AC$7:$AC$100)-MIN(ROW($AC$7:$AC$100))+1,""),""),ROW()-ROW(A$102)+1)),"##0"),","),"")</f>
        <v/>
      </c>
      <c r="AE163" s="0" t="str">
        <f aca="false" t="array" ref="AE163:AE163">IFERROR(CONCATENATE((INDEX($A$7:$A$100,SMALL(IF($AF$7:$AF$100&lt;&gt;"",IF($AC$7:$AC$100&lt;&gt;"",ROW($AC$7:$AC$100)-MIN(ROW($AC$7:$AC$100))+1,""),""),ROW()-ROW(A$102)+1))),),"")</f>
        <v/>
      </c>
      <c r="AI163" s="0" t="str">
        <f aca="false" t="array" ref="AI163:AI163">IFERROR(CONCATENATE((INDEX($AL$7:$AL$100,SMALL(IF($AL$7:$AL$100&lt;&gt;"",IF($AI$7:$AI$100&lt;&gt;"",ROW($AI$7:$AI$100)-MIN(ROW($AI$7:$AI$100))+1,""),""),ROW()-ROW(A$102)+1)))," "),"")</f>
        <v/>
      </c>
      <c r="AJ163" s="0" t="str">
        <f aca="false" t="array" ref="AJ163:AJ163">IFERROR(CONCATENATE(TEXT(INDEX($AI$7:$AI$100,SMALL(IF($AL$7:$AL$100&lt;&gt;"",IF($AI$7:$AI$100&lt;&gt;"",ROW($AI$7:$AI$100)-MIN(ROW($AI$7:$AI$100))+1,""),""),ROW()-ROW(A$102)+1)),"##0")," "),"")</f>
        <v/>
      </c>
      <c r="AK163" s="0" t="str">
        <f aca="false" t="array" ref="AK163:AK163">IFERROR(CONCATENATE((INDEX($A$7:$A$100,SMALL(IF($AL$7:$AL$100&lt;&gt;"",IF($AI$7:$AI$100&lt;&gt;"",ROW($AI$7:$AI$100)-MIN(ROW($AI$7:$AI$100))+1,""),""),ROW()-ROW(A$102)+1))),),"")</f>
        <v/>
      </c>
    </row>
    <row r="164" customFormat="false" ht="15" hidden="false" customHeight="false" outlineLevel="0" collapsed="false">
      <c r="K164" s="0" t="str">
        <f aca="false" t="array" ref="K164:K164">IFERROR(CONCATENATE(TEXT(INDEX($K$7:$K$100,SMALL(IF($N$7:$N$100&lt;&gt;"",IF($K$7:$K$100&lt;&gt;"",ROW($K$7:$K$100)-MIN(ROW($K$7:$K$100))+1,""),""),ROW()-ROW(A$102)+1)),"##0"),","),"")</f>
        <v/>
      </c>
      <c r="L164" s="0" t="str">
        <f aca="false" t="array" ref="L164:L164">IFERROR(CONCATENATE((INDEX($N$7:$N$100,SMALL(IF($N$7:$N$100&lt;&gt;"",IF($K$7:$K$100&lt;&gt;"",ROW($K$7:$K$100)-MIN(ROW($K$7:$K$100))+1,""),""),ROW()-ROW(A$102)+1))),","),"")</f>
        <v/>
      </c>
      <c r="M164" s="0" t="str">
        <f aca="false" t="array" ref="M164:M164">IFERROR(CONCATENATE((INDEX($A$7:$A$100,SMALL(IF($N$7:$N$100&lt;&gt;"",IF($K$7:$K$100&lt;&gt;"",ROW($K$7:$K$100)-MIN(ROW($K$7:$K$100))+1,""),""),ROW()-ROW(A$102)+1))),),"")</f>
        <v/>
      </c>
      <c r="Q164" s="0" t="str">
        <f aca="false" t="array" ref="Q164:Q164">IFERROR(CONCATENATE((INDEX($T$7:$T$100,SMALL(IF($T$7:$T$100&lt;&gt;"",IF($Q$7:$Q$100&lt;&gt;"",ROW($Q$7:$Q$100)-MIN(ROW($Q$7:$Q$100))+1,""),""),ROW()-ROW(A$102)+1)))," "),"")</f>
        <v/>
      </c>
      <c r="R164" s="0" t="str">
        <f aca="false" t="array" ref="R164:R164">IFERROR(CONCATENATE(TEXT(INDEX($Q$7:$Q$100,SMALL(IF($T$7:$T$100&lt;&gt;"",IF($Q$7:$Q$100&lt;&gt;"",ROW($Q$7:$Q$100)-MIN(ROW($Q$7:$Q$100))+1,""),""),ROW()-ROW(A$102)+1)),"##0")," "),"")</f>
        <v/>
      </c>
      <c r="S164" s="0" t="str">
        <f aca="false" t="array" ref="S164:S164">IFERROR(CONCATENATE((INDEX($A$7:$A$100,SMALL(IF($T$7:$T$100&lt;&gt;"",IF($Q$7:$Q$100&lt;&gt;"",ROW($Q$7:$Q$100)-MIN(ROW($Q$7:$Q$100))+1,""),""),ROW()-ROW(A$102)+1))),),"")</f>
        <v/>
      </c>
      <c r="W164" s="0" t="str">
        <f aca="false" t="array" ref="W164:W164">IFERROR(CONCATENATE((INDEX($Z$7:$Z$100,SMALL(IF($Z$7:$Z$100&lt;&gt;"",IF($W$7:$W$100&lt;&gt;"",ROW($W$7:$W$100)-MIN(ROW($W$7:$W$100))+1,""),""),ROW()-ROW(A$102)+1)))," "),"")</f>
        <v/>
      </c>
      <c r="X164" s="0" t="str">
        <f aca="false" t="array" ref="X164:X164">IFERROR(CONCATENATE(TEXT(INDEX($W$7:$W$100,SMALL(IF($Z$7:$Z$100&lt;&gt;"",IF($W$7:$W$100&lt;&gt;"",ROW($W$7:$W$100)-MIN(ROW($W$7:$W$100))+1,""),""),ROW()-ROW(A$102)+1)),"##0")," "),"")</f>
        <v/>
      </c>
      <c r="Y164" s="0" t="str">
        <f aca="false" t="array" ref="Y164:Y164">IFERROR(CONCATENATE((INDEX($A$7:$A$100,SMALL(IF($Z$7:$Z$100&lt;&gt;"",IF($W$7:$W$100&lt;&gt;"",ROW($W$7:$W$100)-MIN(ROW($W$7:$W$100))+1,""),""),ROW()-ROW(A$102)+1))),),"")</f>
        <v/>
      </c>
      <c r="AC164" s="0" t="str">
        <f aca="false" t="array" ref="AC164:AC164">IFERROR(CONCATENATE((INDEX($AF$7:$AF$100,SMALL(IF($AF$7:$AF$100&lt;&gt;"",IF($AC$7:$AC$100&lt;&gt;"",ROW($AC$7:$AC$100)-MIN(ROW($AC$7:$AC$100))+1,""),""),ROW()-ROW(A$102)+1))),","),"")</f>
        <v/>
      </c>
      <c r="AD164" s="0" t="str">
        <f aca="false" t="array" ref="AD164:AD164">IFERROR(CONCATENATE(TEXT(INDEX($AC$7:$AC$100,SMALL(IF($AF$7:$AF$100&lt;&gt;"",IF($AC$7:$AC$100&lt;&gt;"",ROW($AC$7:$AC$100)-MIN(ROW($AC$7:$AC$100))+1,""),""),ROW()-ROW(A$102)+1)),"##0"),","),"")</f>
        <v/>
      </c>
      <c r="AE164" s="0" t="str">
        <f aca="false" t="array" ref="AE164:AE164">IFERROR(CONCATENATE((INDEX($A$7:$A$100,SMALL(IF($AF$7:$AF$100&lt;&gt;"",IF($AC$7:$AC$100&lt;&gt;"",ROW($AC$7:$AC$100)-MIN(ROW($AC$7:$AC$100))+1,""),""),ROW()-ROW(A$102)+1))),),"")</f>
        <v/>
      </c>
      <c r="AI164" s="0" t="str">
        <f aca="false" t="array" ref="AI164:AI164">IFERROR(CONCATENATE((INDEX($AL$7:$AL$100,SMALL(IF($AL$7:$AL$100&lt;&gt;"",IF($AI$7:$AI$100&lt;&gt;"",ROW($AI$7:$AI$100)-MIN(ROW($AI$7:$AI$100))+1,""),""),ROW()-ROW(A$102)+1)))," "),"")</f>
        <v/>
      </c>
      <c r="AJ164" s="0" t="str">
        <f aca="false" t="array" ref="AJ164:AJ164">IFERROR(CONCATENATE(TEXT(INDEX($AI$7:$AI$100,SMALL(IF($AL$7:$AL$100&lt;&gt;"",IF($AI$7:$AI$100&lt;&gt;"",ROW($AI$7:$AI$100)-MIN(ROW($AI$7:$AI$100))+1,""),""),ROW()-ROW(A$102)+1)),"##0")," "),"")</f>
        <v/>
      </c>
      <c r="AK164" s="0" t="str">
        <f aca="false" t="array" ref="AK164:AK164">IFERROR(CONCATENATE((INDEX($A$7:$A$100,SMALL(IF($AL$7:$AL$100&lt;&gt;"",IF($AI$7:$AI$100&lt;&gt;"",ROW($AI$7:$AI$100)-MIN(ROW($AI$7:$AI$100))+1,""),""),ROW()-ROW(A$102)+1))),),"")</f>
        <v/>
      </c>
    </row>
    <row r="165" customFormat="false" ht="15" hidden="false" customHeight="false" outlineLevel="0" collapsed="false">
      <c r="K165" s="0" t="str">
        <f aca="false" t="array" ref="K165:K165">IFERROR(CONCATENATE(TEXT(INDEX($K$7:$K$100,SMALL(IF($N$7:$N$100&lt;&gt;"",IF($K$7:$K$100&lt;&gt;"",ROW($K$7:$K$100)-MIN(ROW($K$7:$K$100))+1,""),""),ROW()-ROW(A$102)+1)),"##0"),","),"")</f>
        <v/>
      </c>
      <c r="L165" s="0" t="str">
        <f aca="false" t="array" ref="L165:L165">IFERROR(CONCATENATE((INDEX($N$7:$N$100,SMALL(IF($N$7:$N$100&lt;&gt;"",IF($K$7:$K$100&lt;&gt;"",ROW($K$7:$K$100)-MIN(ROW($K$7:$K$100))+1,""),""),ROW()-ROW(A$102)+1))),","),"")</f>
        <v/>
      </c>
      <c r="M165" s="0" t="str">
        <f aca="false" t="array" ref="M165:M165">IFERROR(CONCATENATE((INDEX($A$7:$A$100,SMALL(IF($N$7:$N$100&lt;&gt;"",IF($K$7:$K$100&lt;&gt;"",ROW($K$7:$K$100)-MIN(ROW($K$7:$K$100))+1,""),""),ROW()-ROW(A$102)+1))),),"")</f>
        <v/>
      </c>
      <c r="Q165" s="0" t="str">
        <f aca="false" t="array" ref="Q165:Q165">IFERROR(CONCATENATE((INDEX($T$7:$T$100,SMALL(IF($T$7:$T$100&lt;&gt;"",IF($Q$7:$Q$100&lt;&gt;"",ROW($Q$7:$Q$100)-MIN(ROW($Q$7:$Q$100))+1,""),""),ROW()-ROW(A$102)+1)))," "),"")</f>
        <v/>
      </c>
      <c r="R165" s="0" t="str">
        <f aca="false" t="array" ref="R165:R165">IFERROR(CONCATENATE(TEXT(INDEX($Q$7:$Q$100,SMALL(IF($T$7:$T$100&lt;&gt;"",IF($Q$7:$Q$100&lt;&gt;"",ROW($Q$7:$Q$100)-MIN(ROW($Q$7:$Q$100))+1,""),""),ROW()-ROW(A$102)+1)),"##0")," "),"")</f>
        <v/>
      </c>
      <c r="S165" s="0" t="str">
        <f aca="false" t="array" ref="S165:S165">IFERROR(CONCATENATE((INDEX($A$7:$A$100,SMALL(IF($T$7:$T$100&lt;&gt;"",IF($Q$7:$Q$100&lt;&gt;"",ROW($Q$7:$Q$100)-MIN(ROW($Q$7:$Q$100))+1,""),""),ROW()-ROW(A$102)+1))),),"")</f>
        <v/>
      </c>
      <c r="W165" s="0" t="str">
        <f aca="false" t="array" ref="W165:W165">IFERROR(CONCATENATE((INDEX($Z$7:$Z$100,SMALL(IF($Z$7:$Z$100&lt;&gt;"",IF($W$7:$W$100&lt;&gt;"",ROW($W$7:$W$100)-MIN(ROW($W$7:$W$100))+1,""),""),ROW()-ROW(A$102)+1)))," "),"")</f>
        <v/>
      </c>
      <c r="X165" s="0" t="str">
        <f aca="false" t="array" ref="X165:X165">IFERROR(CONCATENATE(TEXT(INDEX($W$7:$W$100,SMALL(IF($Z$7:$Z$100&lt;&gt;"",IF($W$7:$W$100&lt;&gt;"",ROW($W$7:$W$100)-MIN(ROW($W$7:$W$100))+1,""),""),ROW()-ROW(A$102)+1)),"##0")," "),"")</f>
        <v/>
      </c>
      <c r="Y165" s="0" t="str">
        <f aca="false" t="array" ref="Y165:Y165">IFERROR(CONCATENATE((INDEX($A$7:$A$100,SMALL(IF($Z$7:$Z$100&lt;&gt;"",IF($W$7:$W$100&lt;&gt;"",ROW($W$7:$W$100)-MIN(ROW($W$7:$W$100))+1,""),""),ROW()-ROW(A$102)+1))),),"")</f>
        <v/>
      </c>
      <c r="AC165" s="0" t="str">
        <f aca="false" t="array" ref="AC165:AC165">IFERROR(CONCATENATE((INDEX($AF$7:$AF$100,SMALL(IF($AF$7:$AF$100&lt;&gt;"",IF($AC$7:$AC$100&lt;&gt;"",ROW($AC$7:$AC$100)-MIN(ROW($AC$7:$AC$100))+1,""),""),ROW()-ROW(A$102)+1))),","),"")</f>
        <v/>
      </c>
      <c r="AD165" s="0" t="str">
        <f aca="false" t="array" ref="AD165:AD165">IFERROR(CONCATENATE(TEXT(INDEX($AC$7:$AC$100,SMALL(IF($AF$7:$AF$100&lt;&gt;"",IF($AC$7:$AC$100&lt;&gt;"",ROW($AC$7:$AC$100)-MIN(ROW($AC$7:$AC$100))+1,""),""),ROW()-ROW(A$102)+1)),"##0"),","),"")</f>
        <v/>
      </c>
      <c r="AE165" s="0" t="str">
        <f aca="false" t="array" ref="AE165:AE165">IFERROR(CONCATENATE((INDEX($A$7:$A$100,SMALL(IF($AF$7:$AF$100&lt;&gt;"",IF($AC$7:$AC$100&lt;&gt;"",ROW($AC$7:$AC$100)-MIN(ROW($AC$7:$AC$100))+1,""),""),ROW()-ROW(A$102)+1))),),"")</f>
        <v/>
      </c>
      <c r="AI165" s="0" t="str">
        <f aca="false" t="array" ref="AI165:AI165">IFERROR(CONCATENATE((INDEX($AL$7:$AL$100,SMALL(IF($AL$7:$AL$100&lt;&gt;"",IF($AI$7:$AI$100&lt;&gt;"",ROW($AI$7:$AI$100)-MIN(ROW($AI$7:$AI$100))+1,""),""),ROW()-ROW(A$102)+1)))," "),"")</f>
        <v/>
      </c>
      <c r="AJ165" s="0" t="str">
        <f aca="false" t="array" ref="AJ165:AJ165">IFERROR(CONCATENATE(TEXT(INDEX($AI$7:$AI$100,SMALL(IF($AL$7:$AL$100&lt;&gt;"",IF($AI$7:$AI$100&lt;&gt;"",ROW($AI$7:$AI$100)-MIN(ROW($AI$7:$AI$100))+1,""),""),ROW()-ROW(A$102)+1)),"##0")," "),"")</f>
        <v/>
      </c>
      <c r="AK165" s="0" t="str">
        <f aca="false" t="array" ref="AK165:AK165">IFERROR(CONCATENATE((INDEX($A$7:$A$100,SMALL(IF($AL$7:$AL$100&lt;&gt;"",IF($AI$7:$AI$100&lt;&gt;"",ROW($AI$7:$AI$100)-MIN(ROW($AI$7:$AI$100))+1,""),""),ROW()-ROW(A$102)+1))),),"")</f>
        <v/>
      </c>
    </row>
    <row r="166" customFormat="false" ht="15" hidden="false" customHeight="false" outlineLevel="0" collapsed="false">
      <c r="K166" s="0" t="str">
        <f aca="false" t="array" ref="K166:K166">IFERROR(CONCATENATE(TEXT(INDEX($K$7:$K$100,SMALL(IF($N$7:$N$100&lt;&gt;"",IF($K$7:$K$100&lt;&gt;"",ROW($K$7:$K$100)-MIN(ROW($K$7:$K$100))+1,""),""),ROW()-ROW(A$102)+1)),"##0"),","),"")</f>
        <v/>
      </c>
      <c r="L166" s="0" t="str">
        <f aca="false" t="array" ref="L166:L166">IFERROR(CONCATENATE((INDEX($N$7:$N$100,SMALL(IF($N$7:$N$100&lt;&gt;"",IF($K$7:$K$100&lt;&gt;"",ROW($K$7:$K$100)-MIN(ROW($K$7:$K$100))+1,""),""),ROW()-ROW(A$102)+1))),","),"")</f>
        <v/>
      </c>
      <c r="M166" s="0" t="str">
        <f aca="false" t="array" ref="M166:M166">IFERROR(CONCATENATE((INDEX($A$7:$A$100,SMALL(IF($N$7:$N$100&lt;&gt;"",IF($K$7:$K$100&lt;&gt;"",ROW($K$7:$K$100)-MIN(ROW($K$7:$K$100))+1,""),""),ROW()-ROW(A$102)+1))),),"")</f>
        <v/>
      </c>
      <c r="Q166" s="0" t="str">
        <f aca="false" t="array" ref="Q166:Q166">IFERROR(CONCATENATE((INDEX($T$7:$T$100,SMALL(IF($T$7:$T$100&lt;&gt;"",IF($Q$7:$Q$100&lt;&gt;"",ROW($Q$7:$Q$100)-MIN(ROW($Q$7:$Q$100))+1,""),""),ROW()-ROW(A$102)+1)))," "),"")</f>
        <v/>
      </c>
      <c r="R166" s="0" t="str">
        <f aca="false" t="array" ref="R166:R166">IFERROR(CONCATENATE(TEXT(INDEX($Q$7:$Q$100,SMALL(IF($T$7:$T$100&lt;&gt;"",IF($Q$7:$Q$100&lt;&gt;"",ROW($Q$7:$Q$100)-MIN(ROW($Q$7:$Q$100))+1,""),""),ROW()-ROW(A$102)+1)),"##0")," "),"")</f>
        <v/>
      </c>
      <c r="S166" s="0" t="str">
        <f aca="false" t="array" ref="S166:S166">IFERROR(CONCATENATE((INDEX($A$7:$A$100,SMALL(IF($T$7:$T$100&lt;&gt;"",IF($Q$7:$Q$100&lt;&gt;"",ROW($Q$7:$Q$100)-MIN(ROW($Q$7:$Q$100))+1,""),""),ROW()-ROW(A$102)+1))),),"")</f>
        <v/>
      </c>
      <c r="W166" s="0" t="str">
        <f aca="false" t="array" ref="W166:W166">IFERROR(CONCATENATE((INDEX($Z$7:$Z$100,SMALL(IF($Z$7:$Z$100&lt;&gt;"",IF($W$7:$W$100&lt;&gt;"",ROW($W$7:$W$100)-MIN(ROW($W$7:$W$100))+1,""),""),ROW()-ROW(A$102)+1)))," "),"")</f>
        <v/>
      </c>
      <c r="X166" s="0" t="str">
        <f aca="false" t="array" ref="X166:X166">IFERROR(CONCATENATE(TEXT(INDEX($W$7:$W$100,SMALL(IF($Z$7:$Z$100&lt;&gt;"",IF($W$7:$W$100&lt;&gt;"",ROW($W$7:$W$100)-MIN(ROW($W$7:$W$100))+1,""),""),ROW()-ROW(A$102)+1)),"##0")," "),"")</f>
        <v/>
      </c>
      <c r="Y166" s="0" t="str">
        <f aca="false" t="array" ref="Y166:Y166">IFERROR(CONCATENATE((INDEX($A$7:$A$100,SMALL(IF($Z$7:$Z$100&lt;&gt;"",IF($W$7:$W$100&lt;&gt;"",ROW($W$7:$W$100)-MIN(ROW($W$7:$W$100))+1,""),""),ROW()-ROW(A$102)+1))),),"")</f>
        <v/>
      </c>
      <c r="AC166" s="0" t="str">
        <f aca="false" t="array" ref="AC166:AC166">IFERROR(CONCATENATE((INDEX($AF$7:$AF$100,SMALL(IF($AF$7:$AF$100&lt;&gt;"",IF($AC$7:$AC$100&lt;&gt;"",ROW($AC$7:$AC$100)-MIN(ROW($AC$7:$AC$100))+1,""),""),ROW()-ROW(A$102)+1))),","),"")</f>
        <v/>
      </c>
      <c r="AD166" s="0" t="str">
        <f aca="false" t="array" ref="AD166:AD166">IFERROR(CONCATENATE(TEXT(INDEX($AC$7:$AC$100,SMALL(IF($AF$7:$AF$100&lt;&gt;"",IF($AC$7:$AC$100&lt;&gt;"",ROW($AC$7:$AC$100)-MIN(ROW($AC$7:$AC$100))+1,""),""),ROW()-ROW(A$102)+1)),"##0"),","),"")</f>
        <v/>
      </c>
      <c r="AE166" s="0" t="str">
        <f aca="false" t="array" ref="AE166:AE166">IFERROR(CONCATENATE((INDEX($A$7:$A$100,SMALL(IF($AF$7:$AF$100&lt;&gt;"",IF($AC$7:$AC$100&lt;&gt;"",ROW($AC$7:$AC$100)-MIN(ROW($AC$7:$AC$100))+1,""),""),ROW()-ROW(A$102)+1))),),"")</f>
        <v/>
      </c>
      <c r="AI166" s="0" t="str">
        <f aca="false" t="array" ref="AI166:AI166">IFERROR(CONCATENATE((INDEX($AL$7:$AL$100,SMALL(IF($AL$7:$AL$100&lt;&gt;"",IF($AI$7:$AI$100&lt;&gt;"",ROW($AI$7:$AI$100)-MIN(ROW($AI$7:$AI$100))+1,""),""),ROW()-ROW(A$102)+1)))," "),"")</f>
        <v/>
      </c>
      <c r="AJ166" s="0" t="str">
        <f aca="false" t="array" ref="AJ166:AJ166">IFERROR(CONCATENATE(TEXT(INDEX($AI$7:$AI$100,SMALL(IF($AL$7:$AL$100&lt;&gt;"",IF($AI$7:$AI$100&lt;&gt;"",ROW($AI$7:$AI$100)-MIN(ROW($AI$7:$AI$100))+1,""),""),ROW()-ROW(A$102)+1)),"##0")," "),"")</f>
        <v/>
      </c>
      <c r="AK166" s="0" t="str">
        <f aca="false" t="array" ref="AK166:AK166">IFERROR(CONCATENATE((INDEX($A$7:$A$100,SMALL(IF($AL$7:$AL$100&lt;&gt;"",IF($AI$7:$AI$100&lt;&gt;"",ROW($AI$7:$AI$100)-MIN(ROW($AI$7:$AI$100))+1,""),""),ROW()-ROW(A$102)+1))),),"")</f>
        <v/>
      </c>
    </row>
    <row r="167" customFormat="false" ht="15" hidden="false" customHeight="false" outlineLevel="0" collapsed="false">
      <c r="K167" s="0" t="str">
        <f aca="false" t="array" ref="K167:K167">IFERROR(CONCATENATE(TEXT(INDEX($K$7:$K$100,SMALL(IF($N$7:$N$100&lt;&gt;"",IF($K$7:$K$100&lt;&gt;"",ROW($K$7:$K$100)-MIN(ROW($K$7:$K$100))+1,""),""),ROW()-ROW(A$102)+1)),"##0"),","),"")</f>
        <v/>
      </c>
      <c r="L167" s="0" t="str">
        <f aca="false" t="array" ref="L167:L167">IFERROR(CONCATENATE((INDEX($N$7:$N$100,SMALL(IF($N$7:$N$100&lt;&gt;"",IF($K$7:$K$100&lt;&gt;"",ROW($K$7:$K$100)-MIN(ROW($K$7:$K$100))+1,""),""),ROW()-ROW(A$102)+1))),","),"")</f>
        <v/>
      </c>
      <c r="M167" s="0" t="str">
        <f aca="false" t="array" ref="M167:M167">IFERROR(CONCATENATE((INDEX($A$7:$A$100,SMALL(IF($N$7:$N$100&lt;&gt;"",IF($K$7:$K$100&lt;&gt;"",ROW($K$7:$K$100)-MIN(ROW($K$7:$K$100))+1,""),""),ROW()-ROW(A$102)+1))),),"")</f>
        <v/>
      </c>
      <c r="Q167" s="0" t="str">
        <f aca="false" t="array" ref="Q167:Q167">IFERROR(CONCATENATE((INDEX($T$7:$T$100,SMALL(IF($T$7:$T$100&lt;&gt;"",IF($Q$7:$Q$100&lt;&gt;"",ROW($Q$7:$Q$100)-MIN(ROW($Q$7:$Q$100))+1,""),""),ROW()-ROW(A$102)+1)))," "),"")</f>
        <v/>
      </c>
      <c r="R167" s="0" t="str">
        <f aca="false" t="array" ref="R167:R167">IFERROR(CONCATENATE(TEXT(INDEX($Q$7:$Q$100,SMALL(IF($T$7:$T$100&lt;&gt;"",IF($Q$7:$Q$100&lt;&gt;"",ROW($Q$7:$Q$100)-MIN(ROW($Q$7:$Q$100))+1,""),""),ROW()-ROW(A$102)+1)),"##0")," "),"")</f>
        <v/>
      </c>
      <c r="S167" s="0" t="str">
        <f aca="false" t="array" ref="S167:S167">IFERROR(CONCATENATE((INDEX($A$7:$A$100,SMALL(IF($T$7:$T$100&lt;&gt;"",IF($Q$7:$Q$100&lt;&gt;"",ROW($Q$7:$Q$100)-MIN(ROW($Q$7:$Q$100))+1,""),""),ROW()-ROW(A$102)+1))),),"")</f>
        <v/>
      </c>
      <c r="W167" s="0" t="str">
        <f aca="false" t="array" ref="W167:W167">IFERROR(CONCATENATE((INDEX($Z$7:$Z$100,SMALL(IF($Z$7:$Z$100&lt;&gt;"",IF($W$7:$W$100&lt;&gt;"",ROW($W$7:$W$100)-MIN(ROW($W$7:$W$100))+1,""),""),ROW()-ROW(A$102)+1)))," "),"")</f>
        <v/>
      </c>
      <c r="X167" s="0" t="str">
        <f aca="false" t="array" ref="X167:X167">IFERROR(CONCATENATE(TEXT(INDEX($W$7:$W$100,SMALL(IF($Z$7:$Z$100&lt;&gt;"",IF($W$7:$W$100&lt;&gt;"",ROW($W$7:$W$100)-MIN(ROW($W$7:$W$100))+1,""),""),ROW()-ROW(A$102)+1)),"##0")," "),"")</f>
        <v/>
      </c>
      <c r="Y167" s="0" t="str">
        <f aca="false" t="array" ref="Y167:Y167">IFERROR(CONCATENATE((INDEX($A$7:$A$100,SMALL(IF($Z$7:$Z$100&lt;&gt;"",IF($W$7:$W$100&lt;&gt;"",ROW($W$7:$W$100)-MIN(ROW($W$7:$W$100))+1,""),""),ROW()-ROW(A$102)+1))),),"")</f>
        <v/>
      </c>
      <c r="AC167" s="0" t="str">
        <f aca="false" t="array" ref="AC167:AC167">IFERROR(CONCATENATE((INDEX($AF$7:$AF$100,SMALL(IF($AF$7:$AF$100&lt;&gt;"",IF($AC$7:$AC$100&lt;&gt;"",ROW($AC$7:$AC$100)-MIN(ROW($AC$7:$AC$100))+1,""),""),ROW()-ROW(A$102)+1))),","),"")</f>
        <v/>
      </c>
      <c r="AD167" s="0" t="str">
        <f aca="false" t="array" ref="AD167:AD167">IFERROR(CONCATENATE(TEXT(INDEX($AC$7:$AC$100,SMALL(IF($AF$7:$AF$100&lt;&gt;"",IF($AC$7:$AC$100&lt;&gt;"",ROW($AC$7:$AC$100)-MIN(ROW($AC$7:$AC$100))+1,""),""),ROW()-ROW(A$102)+1)),"##0"),","),"")</f>
        <v/>
      </c>
      <c r="AE167" s="0" t="str">
        <f aca="false" t="array" ref="AE167:AE167">IFERROR(CONCATENATE((INDEX($A$7:$A$100,SMALL(IF($AF$7:$AF$100&lt;&gt;"",IF($AC$7:$AC$100&lt;&gt;"",ROW($AC$7:$AC$100)-MIN(ROW($AC$7:$AC$100))+1,""),""),ROW()-ROW(A$102)+1))),),"")</f>
        <v/>
      </c>
      <c r="AI167" s="0" t="str">
        <f aca="false" t="array" ref="AI167:AI167">IFERROR(CONCATENATE((INDEX($AL$7:$AL$100,SMALL(IF($AL$7:$AL$100&lt;&gt;"",IF($AI$7:$AI$100&lt;&gt;"",ROW($AI$7:$AI$100)-MIN(ROW($AI$7:$AI$100))+1,""),""),ROW()-ROW(A$102)+1)))," "),"")</f>
        <v/>
      </c>
      <c r="AJ167" s="0" t="str">
        <f aca="false" t="array" ref="AJ167:AJ167">IFERROR(CONCATENATE(TEXT(INDEX($AI$7:$AI$100,SMALL(IF($AL$7:$AL$100&lt;&gt;"",IF($AI$7:$AI$100&lt;&gt;"",ROW($AI$7:$AI$100)-MIN(ROW($AI$7:$AI$100))+1,""),""),ROW()-ROW(A$102)+1)),"##0")," "),"")</f>
        <v/>
      </c>
      <c r="AK167" s="0" t="str">
        <f aca="false" t="array" ref="AK167:AK167">IFERROR(CONCATENATE((INDEX($A$7:$A$100,SMALL(IF($AL$7:$AL$100&lt;&gt;"",IF($AI$7:$AI$100&lt;&gt;"",ROW($AI$7:$AI$100)-MIN(ROW($AI$7:$AI$100))+1,""),""),ROW()-ROW(A$102)+1))),),"")</f>
        <v/>
      </c>
    </row>
    <row r="168" customFormat="false" ht="15" hidden="false" customHeight="false" outlineLevel="0" collapsed="false">
      <c r="K168" s="0" t="str">
        <f aca="false" t="array" ref="K168:K168">IFERROR(CONCATENATE(TEXT(INDEX($K$7:$K$100,SMALL(IF($N$7:$N$100&lt;&gt;"",IF($K$7:$K$100&lt;&gt;"",ROW($K$7:$K$100)-MIN(ROW($K$7:$K$100))+1,""),""),ROW()-ROW(A$102)+1)),"##0"),","),"")</f>
        <v/>
      </c>
      <c r="L168" s="0" t="str">
        <f aca="false" t="array" ref="L168:L168">IFERROR(CONCATENATE((INDEX($N$7:$N$100,SMALL(IF($N$7:$N$100&lt;&gt;"",IF($K$7:$K$100&lt;&gt;"",ROW($K$7:$K$100)-MIN(ROW($K$7:$K$100))+1,""),""),ROW()-ROW(A$102)+1))),","),"")</f>
        <v/>
      </c>
      <c r="M168" s="0" t="str">
        <f aca="false" t="array" ref="M168:M168">IFERROR(CONCATENATE((INDEX($A$7:$A$100,SMALL(IF($N$7:$N$100&lt;&gt;"",IF($K$7:$K$100&lt;&gt;"",ROW($K$7:$K$100)-MIN(ROW($K$7:$K$100))+1,""),""),ROW()-ROW(A$102)+1))),),"")</f>
        <v/>
      </c>
      <c r="Q168" s="0" t="str">
        <f aca="false" t="array" ref="Q168:Q168">IFERROR(CONCATENATE((INDEX($T$7:$T$100,SMALL(IF($T$7:$T$100&lt;&gt;"",IF($Q$7:$Q$100&lt;&gt;"",ROW($Q$7:$Q$100)-MIN(ROW($Q$7:$Q$100))+1,""),""),ROW()-ROW(A$102)+1)))," "),"")</f>
        <v/>
      </c>
      <c r="R168" s="0" t="str">
        <f aca="false" t="array" ref="R168:R168">IFERROR(CONCATENATE(TEXT(INDEX($Q$7:$Q$100,SMALL(IF($T$7:$T$100&lt;&gt;"",IF($Q$7:$Q$100&lt;&gt;"",ROW($Q$7:$Q$100)-MIN(ROW($Q$7:$Q$100))+1,""),""),ROW()-ROW(A$102)+1)),"##0")," "),"")</f>
        <v/>
      </c>
      <c r="S168" s="0" t="str">
        <f aca="false" t="array" ref="S168:S168">IFERROR(CONCATENATE((INDEX($A$7:$A$100,SMALL(IF($T$7:$T$100&lt;&gt;"",IF($Q$7:$Q$100&lt;&gt;"",ROW($Q$7:$Q$100)-MIN(ROW($Q$7:$Q$100))+1,""),""),ROW()-ROW(A$102)+1))),),"")</f>
        <v/>
      </c>
      <c r="W168" s="0" t="str">
        <f aca="false" t="array" ref="W168:W168">IFERROR(CONCATENATE((INDEX($Z$7:$Z$100,SMALL(IF($Z$7:$Z$100&lt;&gt;"",IF($W$7:$W$100&lt;&gt;"",ROW($W$7:$W$100)-MIN(ROW($W$7:$W$100))+1,""),""),ROW()-ROW(A$102)+1)))," "),"")</f>
        <v/>
      </c>
      <c r="X168" s="0" t="str">
        <f aca="false" t="array" ref="X168:X168">IFERROR(CONCATENATE(TEXT(INDEX($W$7:$W$100,SMALL(IF($Z$7:$Z$100&lt;&gt;"",IF($W$7:$W$100&lt;&gt;"",ROW($W$7:$W$100)-MIN(ROW($W$7:$W$100))+1,""),""),ROW()-ROW(A$102)+1)),"##0")," "),"")</f>
        <v/>
      </c>
      <c r="Y168" s="0" t="str">
        <f aca="false" t="array" ref="Y168:Y168">IFERROR(CONCATENATE((INDEX($A$7:$A$100,SMALL(IF($Z$7:$Z$100&lt;&gt;"",IF($W$7:$W$100&lt;&gt;"",ROW($W$7:$W$100)-MIN(ROW($W$7:$W$100))+1,""),""),ROW()-ROW(A$102)+1))),),"")</f>
        <v/>
      </c>
      <c r="AC168" s="0" t="str">
        <f aca="false" t="array" ref="AC168:AC168">IFERROR(CONCATENATE((INDEX($AF$7:$AF$100,SMALL(IF($AF$7:$AF$100&lt;&gt;"",IF($AC$7:$AC$100&lt;&gt;"",ROW($AC$7:$AC$100)-MIN(ROW($AC$7:$AC$100))+1,""),""),ROW()-ROW(A$102)+1))),","),"")</f>
        <v/>
      </c>
      <c r="AD168" s="0" t="str">
        <f aca="false" t="array" ref="AD168:AD168">IFERROR(CONCATENATE(TEXT(INDEX($AC$7:$AC$100,SMALL(IF($AF$7:$AF$100&lt;&gt;"",IF($AC$7:$AC$100&lt;&gt;"",ROW($AC$7:$AC$100)-MIN(ROW($AC$7:$AC$100))+1,""),""),ROW()-ROW(A$102)+1)),"##0"),","),"")</f>
        <v/>
      </c>
      <c r="AE168" s="0" t="str">
        <f aca="false" t="array" ref="AE168:AE168">IFERROR(CONCATENATE((INDEX($A$7:$A$100,SMALL(IF($AF$7:$AF$100&lt;&gt;"",IF($AC$7:$AC$100&lt;&gt;"",ROW($AC$7:$AC$100)-MIN(ROW($AC$7:$AC$100))+1,""),""),ROW()-ROW(A$102)+1))),),"")</f>
        <v/>
      </c>
      <c r="AI168" s="0" t="str">
        <f aca="false" t="array" ref="AI168:AI168">IFERROR(CONCATENATE((INDEX($AL$7:$AL$100,SMALL(IF($AL$7:$AL$100&lt;&gt;"",IF($AI$7:$AI$100&lt;&gt;"",ROW($AI$7:$AI$100)-MIN(ROW($AI$7:$AI$100))+1,""),""),ROW()-ROW(A$102)+1)))," "),"")</f>
        <v/>
      </c>
      <c r="AJ168" s="0" t="str">
        <f aca="false" t="array" ref="AJ168:AJ168">IFERROR(CONCATENATE(TEXT(INDEX($AI$7:$AI$100,SMALL(IF($AL$7:$AL$100&lt;&gt;"",IF($AI$7:$AI$100&lt;&gt;"",ROW($AI$7:$AI$100)-MIN(ROW($AI$7:$AI$100))+1,""),""),ROW()-ROW(A$102)+1)),"##0")," "),"")</f>
        <v/>
      </c>
      <c r="AK168" s="0" t="str">
        <f aca="false" t="array" ref="AK168:AK168">IFERROR(CONCATENATE((INDEX($A$7:$A$100,SMALL(IF($AL$7:$AL$100&lt;&gt;"",IF($AI$7:$AI$100&lt;&gt;"",ROW($AI$7:$AI$100)-MIN(ROW($AI$7:$AI$100))+1,""),""),ROW()-ROW(A$102)+1))),),"")</f>
        <v/>
      </c>
    </row>
    <row r="169" customFormat="false" ht="15" hidden="false" customHeight="false" outlineLevel="0" collapsed="false">
      <c r="K169" s="0" t="str">
        <f aca="false" t="array" ref="K169:K169">IFERROR(CONCATENATE(TEXT(INDEX($K$7:$K$100,SMALL(IF($N$7:$N$100&lt;&gt;"",IF($K$7:$K$100&lt;&gt;"",ROW($K$7:$K$100)-MIN(ROW($K$7:$K$100))+1,""),""),ROW()-ROW(A$102)+1)),"##0"),","),"")</f>
        <v/>
      </c>
      <c r="L169" s="0" t="str">
        <f aca="false" t="array" ref="L169:L169">IFERROR(CONCATENATE((INDEX($N$7:$N$100,SMALL(IF($N$7:$N$100&lt;&gt;"",IF($K$7:$K$100&lt;&gt;"",ROW($K$7:$K$100)-MIN(ROW($K$7:$K$100))+1,""),""),ROW()-ROW(A$102)+1))),","),"")</f>
        <v/>
      </c>
      <c r="M169" s="0" t="str">
        <f aca="false" t="array" ref="M169:M169">IFERROR(CONCATENATE((INDEX($A$7:$A$100,SMALL(IF($N$7:$N$100&lt;&gt;"",IF($K$7:$K$100&lt;&gt;"",ROW($K$7:$K$100)-MIN(ROW($K$7:$K$100))+1,""),""),ROW()-ROW(A$102)+1))),),"")</f>
        <v/>
      </c>
      <c r="Q169" s="0" t="str">
        <f aca="false" t="array" ref="Q169:Q169">IFERROR(CONCATENATE((INDEX($T$7:$T$100,SMALL(IF($T$7:$T$100&lt;&gt;"",IF($Q$7:$Q$100&lt;&gt;"",ROW($Q$7:$Q$100)-MIN(ROW($Q$7:$Q$100))+1,""),""),ROW()-ROW(A$102)+1)))," "),"")</f>
        <v/>
      </c>
      <c r="R169" s="0" t="str">
        <f aca="false" t="array" ref="R169:R169">IFERROR(CONCATENATE(TEXT(INDEX($Q$7:$Q$100,SMALL(IF($T$7:$T$100&lt;&gt;"",IF($Q$7:$Q$100&lt;&gt;"",ROW($Q$7:$Q$100)-MIN(ROW($Q$7:$Q$100))+1,""),""),ROW()-ROW(A$102)+1)),"##0")," "),"")</f>
        <v/>
      </c>
      <c r="S169" s="0" t="str">
        <f aca="false" t="array" ref="S169:S169">IFERROR(CONCATENATE((INDEX($A$7:$A$100,SMALL(IF($T$7:$T$100&lt;&gt;"",IF($Q$7:$Q$100&lt;&gt;"",ROW($Q$7:$Q$100)-MIN(ROW($Q$7:$Q$100))+1,""),""),ROW()-ROW(A$102)+1))),),"")</f>
        <v/>
      </c>
      <c r="W169" s="0" t="str">
        <f aca="false" t="array" ref="W169:W169">IFERROR(CONCATENATE((INDEX($Z$7:$Z$100,SMALL(IF($Z$7:$Z$100&lt;&gt;"",IF($W$7:$W$100&lt;&gt;"",ROW($W$7:$W$100)-MIN(ROW($W$7:$W$100))+1,""),""),ROW()-ROW(A$102)+1)))," "),"")</f>
        <v/>
      </c>
      <c r="X169" s="0" t="str">
        <f aca="false" t="array" ref="X169:X169">IFERROR(CONCATENATE(TEXT(INDEX($W$7:$W$100,SMALL(IF($Z$7:$Z$100&lt;&gt;"",IF($W$7:$W$100&lt;&gt;"",ROW($W$7:$W$100)-MIN(ROW($W$7:$W$100))+1,""),""),ROW()-ROW(A$102)+1)),"##0")," "),"")</f>
        <v/>
      </c>
      <c r="Y169" s="0" t="str">
        <f aca="false" t="array" ref="Y169:Y169">IFERROR(CONCATENATE((INDEX($A$7:$A$100,SMALL(IF($Z$7:$Z$100&lt;&gt;"",IF($W$7:$W$100&lt;&gt;"",ROW($W$7:$W$100)-MIN(ROW($W$7:$W$100))+1,""),""),ROW()-ROW(A$102)+1))),),"")</f>
        <v/>
      </c>
      <c r="AC169" s="0" t="str">
        <f aca="false" t="array" ref="AC169:AC169">IFERROR(CONCATENATE((INDEX($AF$7:$AF$100,SMALL(IF($AF$7:$AF$100&lt;&gt;"",IF($AC$7:$AC$100&lt;&gt;"",ROW($AC$7:$AC$100)-MIN(ROW($AC$7:$AC$100))+1,""),""),ROW()-ROW(A$102)+1))),","),"")</f>
        <v/>
      </c>
      <c r="AD169" s="0" t="str">
        <f aca="false" t="array" ref="AD169:AD169">IFERROR(CONCATENATE(TEXT(INDEX($AC$7:$AC$100,SMALL(IF($AF$7:$AF$100&lt;&gt;"",IF($AC$7:$AC$100&lt;&gt;"",ROW($AC$7:$AC$100)-MIN(ROW($AC$7:$AC$100))+1,""),""),ROW()-ROW(A$102)+1)),"##0"),","),"")</f>
        <v/>
      </c>
      <c r="AE169" s="0" t="str">
        <f aca="false" t="array" ref="AE169:AE169">IFERROR(CONCATENATE((INDEX($A$7:$A$100,SMALL(IF($AF$7:$AF$100&lt;&gt;"",IF($AC$7:$AC$100&lt;&gt;"",ROW($AC$7:$AC$100)-MIN(ROW($AC$7:$AC$100))+1,""),""),ROW()-ROW(A$102)+1))),),"")</f>
        <v/>
      </c>
      <c r="AI169" s="0" t="str">
        <f aca="false" t="array" ref="AI169:AI169">IFERROR(CONCATENATE((INDEX($AL$7:$AL$100,SMALL(IF($AL$7:$AL$100&lt;&gt;"",IF($AI$7:$AI$100&lt;&gt;"",ROW($AI$7:$AI$100)-MIN(ROW($AI$7:$AI$100))+1,""),""),ROW()-ROW(A$102)+1)))," "),"")</f>
        <v/>
      </c>
      <c r="AJ169" s="0" t="str">
        <f aca="false" t="array" ref="AJ169:AJ169">IFERROR(CONCATENATE(TEXT(INDEX($AI$7:$AI$100,SMALL(IF($AL$7:$AL$100&lt;&gt;"",IF($AI$7:$AI$100&lt;&gt;"",ROW($AI$7:$AI$100)-MIN(ROW($AI$7:$AI$100))+1,""),""),ROW()-ROW(A$102)+1)),"##0")," "),"")</f>
        <v/>
      </c>
      <c r="AK169" s="0" t="str">
        <f aca="false" t="array" ref="AK169:AK169">IFERROR(CONCATENATE((INDEX($A$7:$A$100,SMALL(IF($AL$7:$AL$100&lt;&gt;"",IF($AI$7:$AI$100&lt;&gt;"",ROW($AI$7:$AI$100)-MIN(ROW($AI$7:$AI$100))+1,""),""),ROW()-ROW(A$102)+1))),),"")</f>
        <v/>
      </c>
    </row>
    <row r="170" customFormat="false" ht="15" hidden="false" customHeight="false" outlineLevel="0" collapsed="false">
      <c r="K170" s="0" t="str">
        <f aca="false" t="array" ref="K170:K170">IFERROR(CONCATENATE(TEXT(INDEX($K$7:$K$100,SMALL(IF($N$7:$N$100&lt;&gt;"",IF($K$7:$K$100&lt;&gt;"",ROW($K$7:$K$100)-MIN(ROW($K$7:$K$100))+1,""),""),ROW()-ROW(A$102)+1)),"##0"),","),"")</f>
        <v/>
      </c>
      <c r="L170" s="0" t="str">
        <f aca="false" t="array" ref="L170:L170">IFERROR(CONCATENATE((INDEX($N$7:$N$100,SMALL(IF($N$7:$N$100&lt;&gt;"",IF($K$7:$K$100&lt;&gt;"",ROW($K$7:$K$100)-MIN(ROW($K$7:$K$100))+1,""),""),ROW()-ROW(A$102)+1))),","),"")</f>
        <v/>
      </c>
      <c r="M170" s="0" t="str">
        <f aca="false" t="array" ref="M170:M170">IFERROR(CONCATENATE((INDEX($A$7:$A$100,SMALL(IF($N$7:$N$100&lt;&gt;"",IF($K$7:$K$100&lt;&gt;"",ROW($K$7:$K$100)-MIN(ROW($K$7:$K$100))+1,""),""),ROW()-ROW(A$102)+1))),),"")</f>
        <v/>
      </c>
      <c r="Q170" s="0" t="str">
        <f aca="false" t="array" ref="Q170:Q170">IFERROR(CONCATENATE((INDEX($T$7:$T$100,SMALL(IF($T$7:$T$100&lt;&gt;"",IF($Q$7:$Q$100&lt;&gt;"",ROW($Q$7:$Q$100)-MIN(ROW($Q$7:$Q$100))+1,""),""),ROW()-ROW(A$102)+1)))," "),"")</f>
        <v/>
      </c>
      <c r="R170" s="0" t="str">
        <f aca="false" t="array" ref="R170:R170">IFERROR(CONCATENATE(TEXT(INDEX($Q$7:$Q$100,SMALL(IF($T$7:$T$100&lt;&gt;"",IF($Q$7:$Q$100&lt;&gt;"",ROW($Q$7:$Q$100)-MIN(ROW($Q$7:$Q$100))+1,""),""),ROW()-ROW(A$102)+1)),"##0")," "),"")</f>
        <v/>
      </c>
      <c r="S170" s="0" t="str">
        <f aca="false" t="array" ref="S170:S170">IFERROR(CONCATENATE((INDEX($A$7:$A$100,SMALL(IF($T$7:$T$100&lt;&gt;"",IF($Q$7:$Q$100&lt;&gt;"",ROW($Q$7:$Q$100)-MIN(ROW($Q$7:$Q$100))+1,""),""),ROW()-ROW(A$102)+1))),),"")</f>
        <v/>
      </c>
      <c r="W170" s="0" t="str">
        <f aca="false" t="array" ref="W170:W170">IFERROR(CONCATENATE((INDEX($Z$7:$Z$100,SMALL(IF($Z$7:$Z$100&lt;&gt;"",IF($W$7:$W$100&lt;&gt;"",ROW($W$7:$W$100)-MIN(ROW($W$7:$W$100))+1,""),""),ROW()-ROW(A$102)+1)))," "),"")</f>
        <v/>
      </c>
      <c r="X170" s="0" t="str">
        <f aca="false" t="array" ref="X170:X170">IFERROR(CONCATENATE(TEXT(INDEX($W$7:$W$100,SMALL(IF($Z$7:$Z$100&lt;&gt;"",IF($W$7:$W$100&lt;&gt;"",ROW($W$7:$W$100)-MIN(ROW($W$7:$W$100))+1,""),""),ROW()-ROW(A$102)+1)),"##0")," "),"")</f>
        <v/>
      </c>
      <c r="Y170" s="0" t="str">
        <f aca="false" t="array" ref="Y170:Y170">IFERROR(CONCATENATE((INDEX($A$7:$A$100,SMALL(IF($Z$7:$Z$100&lt;&gt;"",IF($W$7:$W$100&lt;&gt;"",ROW($W$7:$W$100)-MIN(ROW($W$7:$W$100))+1,""),""),ROW()-ROW(A$102)+1))),),"")</f>
        <v/>
      </c>
      <c r="AC170" s="0" t="str">
        <f aca="false" t="array" ref="AC170:AC170">IFERROR(CONCATENATE((INDEX($AF$7:$AF$100,SMALL(IF($AF$7:$AF$100&lt;&gt;"",IF($AC$7:$AC$100&lt;&gt;"",ROW($AC$7:$AC$100)-MIN(ROW($AC$7:$AC$100))+1,""),""),ROW()-ROW(A$102)+1))),","),"")</f>
        <v/>
      </c>
      <c r="AD170" s="0" t="str">
        <f aca="false" t="array" ref="AD170:AD170">IFERROR(CONCATENATE(TEXT(INDEX($AC$7:$AC$100,SMALL(IF($AF$7:$AF$100&lt;&gt;"",IF($AC$7:$AC$100&lt;&gt;"",ROW($AC$7:$AC$100)-MIN(ROW($AC$7:$AC$100))+1,""),""),ROW()-ROW(A$102)+1)),"##0"),","),"")</f>
        <v/>
      </c>
      <c r="AE170" s="0" t="str">
        <f aca="false" t="array" ref="AE170:AE170">IFERROR(CONCATENATE((INDEX($A$7:$A$100,SMALL(IF($AF$7:$AF$100&lt;&gt;"",IF($AC$7:$AC$100&lt;&gt;"",ROW($AC$7:$AC$100)-MIN(ROW($AC$7:$AC$100))+1,""),""),ROW()-ROW(A$102)+1))),),"")</f>
        <v/>
      </c>
      <c r="AI170" s="0" t="str">
        <f aca="false" t="array" ref="AI170:AI170">IFERROR(CONCATENATE((INDEX($AL$7:$AL$100,SMALL(IF($AL$7:$AL$100&lt;&gt;"",IF($AI$7:$AI$100&lt;&gt;"",ROW($AI$7:$AI$100)-MIN(ROW($AI$7:$AI$100))+1,""),""),ROW()-ROW(A$102)+1)))," "),"")</f>
        <v/>
      </c>
      <c r="AJ170" s="0" t="str">
        <f aca="false" t="array" ref="AJ170:AJ170">IFERROR(CONCATENATE(TEXT(INDEX($AI$7:$AI$100,SMALL(IF($AL$7:$AL$100&lt;&gt;"",IF($AI$7:$AI$100&lt;&gt;"",ROW($AI$7:$AI$100)-MIN(ROW($AI$7:$AI$100))+1,""),""),ROW()-ROW(A$102)+1)),"##0")," "),"")</f>
        <v/>
      </c>
      <c r="AK170" s="0" t="str">
        <f aca="false" t="array" ref="AK170:AK170">IFERROR(CONCATENATE((INDEX($A$7:$A$100,SMALL(IF($AL$7:$AL$100&lt;&gt;"",IF($AI$7:$AI$100&lt;&gt;"",ROW($AI$7:$AI$100)-MIN(ROW($AI$7:$AI$100))+1,""),""),ROW()-ROW(A$102)+1))),),"")</f>
        <v/>
      </c>
    </row>
    <row r="171" customFormat="false" ht="15" hidden="false" customHeight="false" outlineLevel="0" collapsed="false">
      <c r="K171" s="0" t="str">
        <f aca="false" t="array" ref="K171:K171">IFERROR(CONCATENATE(TEXT(INDEX($K$7:$K$100,SMALL(IF($N$7:$N$100&lt;&gt;"",IF($K$7:$K$100&lt;&gt;"",ROW($K$7:$K$100)-MIN(ROW($K$7:$K$100))+1,""),""),ROW()-ROW(A$102)+1)),"##0"),","),"")</f>
        <v/>
      </c>
      <c r="L171" s="0" t="str">
        <f aca="false" t="array" ref="L171:L171">IFERROR(CONCATENATE((INDEX($N$7:$N$100,SMALL(IF($N$7:$N$100&lt;&gt;"",IF($K$7:$K$100&lt;&gt;"",ROW($K$7:$K$100)-MIN(ROW($K$7:$K$100))+1,""),""),ROW()-ROW(A$102)+1))),","),"")</f>
        <v/>
      </c>
      <c r="M171" s="0" t="str">
        <f aca="false" t="array" ref="M171:M171">IFERROR(CONCATENATE((INDEX($A$7:$A$100,SMALL(IF($N$7:$N$100&lt;&gt;"",IF($K$7:$K$100&lt;&gt;"",ROW($K$7:$K$100)-MIN(ROW($K$7:$K$100))+1,""),""),ROW()-ROW(A$102)+1))),),"")</f>
        <v/>
      </c>
      <c r="Q171" s="0" t="str">
        <f aca="false" t="array" ref="Q171:Q171">IFERROR(CONCATENATE((INDEX($T$7:$T$100,SMALL(IF($T$7:$T$100&lt;&gt;"",IF($Q$7:$Q$100&lt;&gt;"",ROW($Q$7:$Q$100)-MIN(ROW($Q$7:$Q$100))+1,""),""),ROW()-ROW(A$102)+1)))," "),"")</f>
        <v/>
      </c>
      <c r="R171" s="0" t="str">
        <f aca="false" t="array" ref="R171:R171">IFERROR(CONCATENATE(TEXT(INDEX($Q$7:$Q$100,SMALL(IF($T$7:$T$100&lt;&gt;"",IF($Q$7:$Q$100&lt;&gt;"",ROW($Q$7:$Q$100)-MIN(ROW($Q$7:$Q$100))+1,""),""),ROW()-ROW(A$102)+1)),"##0")," "),"")</f>
        <v/>
      </c>
      <c r="S171" s="0" t="str">
        <f aca="false" t="array" ref="S171:S171">IFERROR(CONCATENATE((INDEX($A$7:$A$100,SMALL(IF($T$7:$T$100&lt;&gt;"",IF($Q$7:$Q$100&lt;&gt;"",ROW($Q$7:$Q$100)-MIN(ROW($Q$7:$Q$100))+1,""),""),ROW()-ROW(A$102)+1))),),"")</f>
        <v/>
      </c>
      <c r="W171" s="0" t="str">
        <f aca="false" t="array" ref="W171:W171">IFERROR(CONCATENATE((INDEX($Z$7:$Z$100,SMALL(IF($Z$7:$Z$100&lt;&gt;"",IF($W$7:$W$100&lt;&gt;"",ROW($W$7:$W$100)-MIN(ROW($W$7:$W$100))+1,""),""),ROW()-ROW(A$102)+1)))," "),"")</f>
        <v/>
      </c>
      <c r="X171" s="0" t="str">
        <f aca="false" t="array" ref="X171:X171">IFERROR(CONCATENATE(TEXT(INDEX($W$7:$W$100,SMALL(IF($Z$7:$Z$100&lt;&gt;"",IF($W$7:$W$100&lt;&gt;"",ROW($W$7:$W$100)-MIN(ROW($W$7:$W$100))+1,""),""),ROW()-ROW(A$102)+1)),"##0")," "),"")</f>
        <v/>
      </c>
      <c r="Y171" s="0" t="str">
        <f aca="false" t="array" ref="Y171:Y171">IFERROR(CONCATENATE((INDEX($A$7:$A$100,SMALL(IF($Z$7:$Z$100&lt;&gt;"",IF($W$7:$W$100&lt;&gt;"",ROW($W$7:$W$100)-MIN(ROW($W$7:$W$100))+1,""),""),ROW()-ROW(A$102)+1))),),"")</f>
        <v/>
      </c>
      <c r="AC171" s="0" t="str">
        <f aca="false" t="array" ref="AC171:AC171">IFERROR(CONCATENATE((INDEX($AF$7:$AF$100,SMALL(IF($AF$7:$AF$100&lt;&gt;"",IF($AC$7:$AC$100&lt;&gt;"",ROW($AC$7:$AC$100)-MIN(ROW($AC$7:$AC$100))+1,""),""),ROW()-ROW(A$102)+1))),","),"")</f>
        <v/>
      </c>
      <c r="AD171" s="0" t="str">
        <f aca="false" t="array" ref="AD171:AD171">IFERROR(CONCATENATE(TEXT(INDEX($AC$7:$AC$100,SMALL(IF($AF$7:$AF$100&lt;&gt;"",IF($AC$7:$AC$100&lt;&gt;"",ROW($AC$7:$AC$100)-MIN(ROW($AC$7:$AC$100))+1,""),""),ROW()-ROW(A$102)+1)),"##0"),","),"")</f>
        <v/>
      </c>
      <c r="AE171" s="0" t="str">
        <f aca="false" t="array" ref="AE171:AE171">IFERROR(CONCATENATE((INDEX($A$7:$A$100,SMALL(IF($AF$7:$AF$100&lt;&gt;"",IF($AC$7:$AC$100&lt;&gt;"",ROW($AC$7:$AC$100)-MIN(ROW($AC$7:$AC$100))+1,""),""),ROW()-ROW(A$102)+1))),),"")</f>
        <v/>
      </c>
      <c r="AI171" s="0" t="str">
        <f aca="false" t="array" ref="AI171:AI171">IFERROR(CONCATENATE((INDEX($AL$7:$AL$100,SMALL(IF($AL$7:$AL$100&lt;&gt;"",IF($AI$7:$AI$100&lt;&gt;"",ROW($AI$7:$AI$100)-MIN(ROW($AI$7:$AI$100))+1,""),""),ROW()-ROW(A$102)+1)))," "),"")</f>
        <v/>
      </c>
      <c r="AJ171" s="0" t="str">
        <f aca="false" t="array" ref="AJ171:AJ171">IFERROR(CONCATENATE(TEXT(INDEX($AI$7:$AI$100,SMALL(IF($AL$7:$AL$100&lt;&gt;"",IF($AI$7:$AI$100&lt;&gt;"",ROW($AI$7:$AI$100)-MIN(ROW($AI$7:$AI$100))+1,""),""),ROW()-ROW(A$102)+1)),"##0")," "),"")</f>
        <v/>
      </c>
      <c r="AK171" s="0" t="str">
        <f aca="false" t="array" ref="AK171:AK171">IFERROR(CONCATENATE((INDEX($A$7:$A$100,SMALL(IF($AL$7:$AL$100&lt;&gt;"",IF($AI$7:$AI$100&lt;&gt;"",ROW($AI$7:$AI$100)-MIN(ROW($AI$7:$AI$100))+1,""),""),ROW()-ROW(A$102)+1))),),"")</f>
        <v/>
      </c>
    </row>
    <row r="172" customFormat="false" ht="15" hidden="false" customHeight="false" outlineLevel="0" collapsed="false">
      <c r="K172" s="0" t="str">
        <f aca="false" t="array" ref="K172:K172">IFERROR(CONCATENATE(TEXT(INDEX($K$7:$K$100,SMALL(IF($N$7:$N$100&lt;&gt;"",IF($K$7:$K$100&lt;&gt;"",ROW($K$7:$K$100)-MIN(ROW($K$7:$K$100))+1,""),""),ROW()-ROW(A$102)+1)),"##0"),","),"")</f>
        <v/>
      </c>
      <c r="L172" s="0" t="str">
        <f aca="false" t="array" ref="L172:L172">IFERROR(CONCATENATE((INDEX($N$7:$N$100,SMALL(IF($N$7:$N$100&lt;&gt;"",IF($K$7:$K$100&lt;&gt;"",ROW($K$7:$K$100)-MIN(ROW($K$7:$K$100))+1,""),""),ROW()-ROW(A$102)+1))),","),"")</f>
        <v/>
      </c>
      <c r="M172" s="0" t="str">
        <f aca="false" t="array" ref="M172:M172">IFERROR(CONCATENATE((INDEX($A$7:$A$100,SMALL(IF($N$7:$N$100&lt;&gt;"",IF($K$7:$K$100&lt;&gt;"",ROW($K$7:$K$100)-MIN(ROW($K$7:$K$100))+1,""),""),ROW()-ROW(A$102)+1))),),"")</f>
        <v/>
      </c>
      <c r="Q172" s="0" t="str">
        <f aca="false" t="array" ref="Q172:Q172">IFERROR(CONCATENATE((INDEX($T$7:$T$100,SMALL(IF($T$7:$T$100&lt;&gt;"",IF($Q$7:$Q$100&lt;&gt;"",ROW($Q$7:$Q$100)-MIN(ROW($Q$7:$Q$100))+1,""),""),ROW()-ROW(A$102)+1)))," "),"")</f>
        <v/>
      </c>
      <c r="R172" s="0" t="str">
        <f aca="false" t="array" ref="R172:R172">IFERROR(CONCATENATE(TEXT(INDEX($Q$7:$Q$100,SMALL(IF($T$7:$T$100&lt;&gt;"",IF($Q$7:$Q$100&lt;&gt;"",ROW($Q$7:$Q$100)-MIN(ROW($Q$7:$Q$100))+1,""),""),ROW()-ROW(A$102)+1)),"##0")," "),"")</f>
        <v/>
      </c>
      <c r="S172" s="0" t="str">
        <f aca="false" t="array" ref="S172:S172">IFERROR(CONCATENATE((INDEX($A$7:$A$100,SMALL(IF($T$7:$T$100&lt;&gt;"",IF($Q$7:$Q$100&lt;&gt;"",ROW($Q$7:$Q$100)-MIN(ROW($Q$7:$Q$100))+1,""),""),ROW()-ROW(A$102)+1))),),"")</f>
        <v/>
      </c>
      <c r="W172" s="0" t="str">
        <f aca="false" t="array" ref="W172:W172">IFERROR(CONCATENATE((INDEX($Z$7:$Z$100,SMALL(IF($Z$7:$Z$100&lt;&gt;"",IF($W$7:$W$100&lt;&gt;"",ROW($W$7:$W$100)-MIN(ROW($W$7:$W$100))+1,""),""),ROW()-ROW(A$102)+1)))," "),"")</f>
        <v/>
      </c>
      <c r="X172" s="0" t="str">
        <f aca="false" t="array" ref="X172:X172">IFERROR(CONCATENATE(TEXT(INDEX($W$7:$W$100,SMALL(IF($Z$7:$Z$100&lt;&gt;"",IF($W$7:$W$100&lt;&gt;"",ROW($W$7:$W$100)-MIN(ROW($W$7:$W$100))+1,""),""),ROW()-ROW(A$102)+1)),"##0")," "),"")</f>
        <v/>
      </c>
      <c r="Y172" s="0" t="str">
        <f aca="false" t="array" ref="Y172:Y172">IFERROR(CONCATENATE((INDEX($A$7:$A$100,SMALL(IF($Z$7:$Z$100&lt;&gt;"",IF($W$7:$W$100&lt;&gt;"",ROW($W$7:$W$100)-MIN(ROW($W$7:$W$100))+1,""),""),ROW()-ROW(A$102)+1))),),"")</f>
        <v/>
      </c>
      <c r="AC172" s="0" t="str">
        <f aca="false" t="array" ref="AC172:AC172">IFERROR(CONCATENATE((INDEX($AF$7:$AF$100,SMALL(IF($AF$7:$AF$100&lt;&gt;"",IF($AC$7:$AC$100&lt;&gt;"",ROW($AC$7:$AC$100)-MIN(ROW($AC$7:$AC$100))+1,""),""),ROW()-ROW(A$102)+1))),","),"")</f>
        <v/>
      </c>
      <c r="AD172" s="0" t="str">
        <f aca="false" t="array" ref="AD172:AD172">IFERROR(CONCATENATE(TEXT(INDEX($AC$7:$AC$100,SMALL(IF($AF$7:$AF$100&lt;&gt;"",IF($AC$7:$AC$100&lt;&gt;"",ROW($AC$7:$AC$100)-MIN(ROW($AC$7:$AC$100))+1,""),""),ROW()-ROW(A$102)+1)),"##0"),","),"")</f>
        <v/>
      </c>
      <c r="AE172" s="0" t="str">
        <f aca="false" t="array" ref="AE172:AE172">IFERROR(CONCATENATE((INDEX($A$7:$A$100,SMALL(IF($AF$7:$AF$100&lt;&gt;"",IF($AC$7:$AC$100&lt;&gt;"",ROW($AC$7:$AC$100)-MIN(ROW($AC$7:$AC$100))+1,""),""),ROW()-ROW(A$102)+1))),),"")</f>
        <v/>
      </c>
      <c r="AI172" s="0" t="str">
        <f aca="false" t="array" ref="AI172:AI172">IFERROR(CONCATENATE((INDEX($AL$7:$AL$100,SMALL(IF($AL$7:$AL$100&lt;&gt;"",IF($AI$7:$AI$100&lt;&gt;"",ROW($AI$7:$AI$100)-MIN(ROW($AI$7:$AI$100))+1,""),""),ROW()-ROW(A$102)+1)))," "),"")</f>
        <v/>
      </c>
      <c r="AJ172" s="0" t="str">
        <f aca="false" t="array" ref="AJ172:AJ172">IFERROR(CONCATENATE(TEXT(INDEX($AI$7:$AI$100,SMALL(IF($AL$7:$AL$100&lt;&gt;"",IF($AI$7:$AI$100&lt;&gt;"",ROW($AI$7:$AI$100)-MIN(ROW($AI$7:$AI$100))+1,""),""),ROW()-ROW(A$102)+1)),"##0")," "),"")</f>
        <v/>
      </c>
      <c r="AK172" s="0" t="str">
        <f aca="false" t="array" ref="AK172:AK172">IFERROR(CONCATENATE((INDEX($A$7:$A$100,SMALL(IF($AL$7:$AL$100&lt;&gt;"",IF($AI$7:$AI$100&lt;&gt;"",ROW($AI$7:$AI$100)-MIN(ROW($AI$7:$AI$100))+1,""),""),ROW()-ROW(A$102)+1))),),"")</f>
        <v/>
      </c>
    </row>
    <row r="173" customFormat="false" ht="15" hidden="false" customHeight="false" outlineLevel="0" collapsed="false">
      <c r="K173" s="0" t="str">
        <f aca="false" t="array" ref="K173:K173">IFERROR(CONCATENATE(TEXT(INDEX($K$7:$K$100,SMALL(IF($N$7:$N$100&lt;&gt;"",IF($K$7:$K$100&lt;&gt;"",ROW($K$7:$K$100)-MIN(ROW($K$7:$K$100))+1,""),""),ROW()-ROW(A$102)+1)),"##0"),","),"")</f>
        <v/>
      </c>
      <c r="L173" s="0" t="str">
        <f aca="false" t="array" ref="L173:L173">IFERROR(CONCATENATE((INDEX($N$7:$N$100,SMALL(IF($N$7:$N$100&lt;&gt;"",IF($K$7:$K$100&lt;&gt;"",ROW($K$7:$K$100)-MIN(ROW($K$7:$K$100))+1,""),""),ROW()-ROW(A$102)+1))),","),"")</f>
        <v/>
      </c>
      <c r="M173" s="0" t="str">
        <f aca="false" t="array" ref="M173:M173">IFERROR(CONCATENATE((INDEX($A$7:$A$100,SMALL(IF($N$7:$N$100&lt;&gt;"",IF($K$7:$K$100&lt;&gt;"",ROW($K$7:$K$100)-MIN(ROW($K$7:$K$100))+1,""),""),ROW()-ROW(A$102)+1))),),"")</f>
        <v/>
      </c>
      <c r="Q173" s="0" t="str">
        <f aca="false" t="array" ref="Q173:Q173">IFERROR(CONCATENATE((INDEX($T$7:$T$100,SMALL(IF($T$7:$T$100&lt;&gt;"",IF($Q$7:$Q$100&lt;&gt;"",ROW($Q$7:$Q$100)-MIN(ROW($Q$7:$Q$100))+1,""),""),ROW()-ROW(A$102)+1)))," "),"")</f>
        <v/>
      </c>
      <c r="R173" s="0" t="str">
        <f aca="false" t="array" ref="R173:R173">IFERROR(CONCATENATE(TEXT(INDEX($Q$7:$Q$100,SMALL(IF($T$7:$T$100&lt;&gt;"",IF($Q$7:$Q$100&lt;&gt;"",ROW($Q$7:$Q$100)-MIN(ROW($Q$7:$Q$100))+1,""),""),ROW()-ROW(A$102)+1)),"##0")," "),"")</f>
        <v/>
      </c>
      <c r="S173" s="0" t="str">
        <f aca="false" t="array" ref="S173:S173">IFERROR(CONCATENATE((INDEX($A$7:$A$100,SMALL(IF($T$7:$T$100&lt;&gt;"",IF($Q$7:$Q$100&lt;&gt;"",ROW($Q$7:$Q$100)-MIN(ROW($Q$7:$Q$100))+1,""),""),ROW()-ROW(A$102)+1))),),"")</f>
        <v/>
      </c>
      <c r="W173" s="0" t="str">
        <f aca="false" t="array" ref="W173:W173">IFERROR(CONCATENATE((INDEX($Z$7:$Z$100,SMALL(IF($Z$7:$Z$100&lt;&gt;"",IF($W$7:$W$100&lt;&gt;"",ROW($W$7:$W$100)-MIN(ROW($W$7:$W$100))+1,""),""),ROW()-ROW(A$102)+1)))," "),"")</f>
        <v/>
      </c>
      <c r="X173" s="0" t="str">
        <f aca="false" t="array" ref="X173:X173">IFERROR(CONCATENATE(TEXT(INDEX($W$7:$W$100,SMALL(IF($Z$7:$Z$100&lt;&gt;"",IF($W$7:$W$100&lt;&gt;"",ROW($W$7:$W$100)-MIN(ROW($W$7:$W$100))+1,""),""),ROW()-ROW(A$102)+1)),"##0")," "),"")</f>
        <v/>
      </c>
      <c r="Y173" s="0" t="str">
        <f aca="false" t="array" ref="Y173:Y173">IFERROR(CONCATENATE((INDEX($A$7:$A$100,SMALL(IF($Z$7:$Z$100&lt;&gt;"",IF($W$7:$W$100&lt;&gt;"",ROW($W$7:$W$100)-MIN(ROW($W$7:$W$100))+1,""),""),ROW()-ROW(A$102)+1))),),"")</f>
        <v/>
      </c>
      <c r="AC173" s="0" t="str">
        <f aca="false" t="array" ref="AC173:AC173">IFERROR(CONCATENATE((INDEX($AF$7:$AF$100,SMALL(IF($AF$7:$AF$100&lt;&gt;"",IF($AC$7:$AC$100&lt;&gt;"",ROW($AC$7:$AC$100)-MIN(ROW($AC$7:$AC$100))+1,""),""),ROW()-ROW(A$102)+1))),","),"")</f>
        <v/>
      </c>
      <c r="AD173" s="0" t="str">
        <f aca="false" t="array" ref="AD173:AD173">IFERROR(CONCATENATE(TEXT(INDEX($AC$7:$AC$100,SMALL(IF($AF$7:$AF$100&lt;&gt;"",IF($AC$7:$AC$100&lt;&gt;"",ROW($AC$7:$AC$100)-MIN(ROW($AC$7:$AC$100))+1,""),""),ROW()-ROW(A$102)+1)),"##0"),","),"")</f>
        <v/>
      </c>
      <c r="AE173" s="0" t="str">
        <f aca="false" t="array" ref="AE173:AE173">IFERROR(CONCATENATE((INDEX($A$7:$A$100,SMALL(IF($AF$7:$AF$100&lt;&gt;"",IF($AC$7:$AC$100&lt;&gt;"",ROW($AC$7:$AC$100)-MIN(ROW($AC$7:$AC$100))+1,""),""),ROW()-ROW(A$102)+1))),),"")</f>
        <v/>
      </c>
      <c r="AI173" s="0" t="str">
        <f aca="false" t="array" ref="AI173:AI173">IFERROR(CONCATENATE((INDEX($AL$7:$AL$100,SMALL(IF($AL$7:$AL$100&lt;&gt;"",IF($AI$7:$AI$100&lt;&gt;"",ROW($AI$7:$AI$100)-MIN(ROW($AI$7:$AI$100))+1,""),""),ROW()-ROW(A$102)+1)))," "),"")</f>
        <v/>
      </c>
      <c r="AJ173" s="0" t="str">
        <f aca="false" t="array" ref="AJ173:AJ173">IFERROR(CONCATENATE(TEXT(INDEX($AI$7:$AI$100,SMALL(IF($AL$7:$AL$100&lt;&gt;"",IF($AI$7:$AI$100&lt;&gt;"",ROW($AI$7:$AI$100)-MIN(ROW($AI$7:$AI$100))+1,""),""),ROW()-ROW(A$102)+1)),"##0")," "),"")</f>
        <v/>
      </c>
      <c r="AK173" s="0" t="str">
        <f aca="false" t="array" ref="AK173:AK173">IFERROR(CONCATENATE((INDEX($A$7:$A$100,SMALL(IF($AL$7:$AL$100&lt;&gt;"",IF($AI$7:$AI$100&lt;&gt;"",ROW($AI$7:$AI$100)-MIN(ROW($AI$7:$AI$100))+1,""),""),ROW()-ROW(A$102)+1))),),"")</f>
        <v/>
      </c>
    </row>
    <row r="174" customFormat="false" ht="15" hidden="false" customHeight="false" outlineLevel="0" collapsed="false">
      <c r="K174" s="0" t="str">
        <f aca="false" t="array" ref="K174:K174">IFERROR(CONCATENATE(TEXT(INDEX($K$7:$K$100,SMALL(IF($N$7:$N$100&lt;&gt;"",IF($K$7:$K$100&lt;&gt;"",ROW($K$7:$K$100)-MIN(ROW($K$7:$K$100))+1,""),""),ROW()-ROW(A$102)+1)),"##0"),","),"")</f>
        <v/>
      </c>
      <c r="L174" s="0" t="str">
        <f aca="false" t="array" ref="L174:L174">IFERROR(CONCATENATE((INDEX($N$7:$N$100,SMALL(IF($N$7:$N$100&lt;&gt;"",IF($K$7:$K$100&lt;&gt;"",ROW($K$7:$K$100)-MIN(ROW($K$7:$K$100))+1,""),""),ROW()-ROW(A$102)+1))),","),"")</f>
        <v/>
      </c>
      <c r="M174" s="0" t="str">
        <f aca="false" t="array" ref="M174:M174">IFERROR(CONCATENATE((INDEX($A$7:$A$100,SMALL(IF($N$7:$N$100&lt;&gt;"",IF($K$7:$K$100&lt;&gt;"",ROW($K$7:$K$100)-MIN(ROW($K$7:$K$100))+1,""),""),ROW()-ROW(A$102)+1))),),"")</f>
        <v/>
      </c>
      <c r="Q174" s="0" t="str">
        <f aca="false" t="array" ref="Q174:Q174">IFERROR(CONCATENATE((INDEX($T$7:$T$100,SMALL(IF($T$7:$T$100&lt;&gt;"",IF($Q$7:$Q$100&lt;&gt;"",ROW($Q$7:$Q$100)-MIN(ROW($Q$7:$Q$100))+1,""),""),ROW()-ROW(A$102)+1)))," "),"")</f>
        <v/>
      </c>
      <c r="R174" s="0" t="str">
        <f aca="false" t="array" ref="R174:R174">IFERROR(CONCATENATE(TEXT(INDEX($Q$7:$Q$100,SMALL(IF($T$7:$T$100&lt;&gt;"",IF($Q$7:$Q$100&lt;&gt;"",ROW($Q$7:$Q$100)-MIN(ROW($Q$7:$Q$100))+1,""),""),ROW()-ROW(A$102)+1)),"##0")," "),"")</f>
        <v/>
      </c>
      <c r="S174" s="0" t="str">
        <f aca="false" t="array" ref="S174:S174">IFERROR(CONCATENATE((INDEX($A$7:$A$100,SMALL(IF($T$7:$T$100&lt;&gt;"",IF($Q$7:$Q$100&lt;&gt;"",ROW($Q$7:$Q$100)-MIN(ROW($Q$7:$Q$100))+1,""),""),ROW()-ROW(A$102)+1))),),"")</f>
        <v/>
      </c>
      <c r="W174" s="0" t="str">
        <f aca="false" t="array" ref="W174:W174">IFERROR(CONCATENATE((INDEX($Z$7:$Z$100,SMALL(IF($Z$7:$Z$100&lt;&gt;"",IF($W$7:$W$100&lt;&gt;"",ROW($W$7:$W$100)-MIN(ROW($W$7:$W$100))+1,""),""),ROW()-ROW(A$102)+1)))," "),"")</f>
        <v/>
      </c>
      <c r="X174" s="0" t="str">
        <f aca="false" t="array" ref="X174:X174">IFERROR(CONCATENATE(TEXT(INDEX($W$7:$W$100,SMALL(IF($Z$7:$Z$100&lt;&gt;"",IF($W$7:$W$100&lt;&gt;"",ROW($W$7:$W$100)-MIN(ROW($W$7:$W$100))+1,""),""),ROW()-ROW(A$102)+1)),"##0")," "),"")</f>
        <v/>
      </c>
      <c r="Y174" s="0" t="str">
        <f aca="false" t="array" ref="Y174:Y174">IFERROR(CONCATENATE((INDEX($A$7:$A$100,SMALL(IF($Z$7:$Z$100&lt;&gt;"",IF($W$7:$W$100&lt;&gt;"",ROW($W$7:$W$100)-MIN(ROW($W$7:$W$100))+1,""),""),ROW()-ROW(A$102)+1))),),"")</f>
        <v/>
      </c>
      <c r="AC174" s="0" t="str">
        <f aca="false" t="array" ref="AC174:AC174">IFERROR(CONCATENATE((INDEX($AF$7:$AF$100,SMALL(IF($AF$7:$AF$100&lt;&gt;"",IF($AC$7:$AC$100&lt;&gt;"",ROW($AC$7:$AC$100)-MIN(ROW($AC$7:$AC$100))+1,""),""),ROW()-ROW(A$102)+1))),","),"")</f>
        <v/>
      </c>
      <c r="AD174" s="0" t="str">
        <f aca="false" t="array" ref="AD174:AD174">IFERROR(CONCATENATE(TEXT(INDEX($AC$7:$AC$100,SMALL(IF($AF$7:$AF$100&lt;&gt;"",IF($AC$7:$AC$100&lt;&gt;"",ROW($AC$7:$AC$100)-MIN(ROW($AC$7:$AC$100))+1,""),""),ROW()-ROW(A$102)+1)),"##0"),","),"")</f>
        <v/>
      </c>
      <c r="AE174" s="0" t="str">
        <f aca="false" t="array" ref="AE174:AE174">IFERROR(CONCATENATE((INDEX($A$7:$A$100,SMALL(IF($AF$7:$AF$100&lt;&gt;"",IF($AC$7:$AC$100&lt;&gt;"",ROW($AC$7:$AC$100)-MIN(ROW($AC$7:$AC$100))+1,""),""),ROW()-ROW(A$102)+1))),),"")</f>
        <v/>
      </c>
      <c r="AI174" s="0" t="str">
        <f aca="false" t="array" ref="AI174:AI174">IFERROR(CONCATENATE((INDEX($AL$7:$AL$100,SMALL(IF($AL$7:$AL$100&lt;&gt;"",IF($AI$7:$AI$100&lt;&gt;"",ROW($AI$7:$AI$100)-MIN(ROW($AI$7:$AI$100))+1,""),""),ROW()-ROW(A$102)+1)))," "),"")</f>
        <v/>
      </c>
      <c r="AJ174" s="0" t="str">
        <f aca="false" t="array" ref="AJ174:AJ174">IFERROR(CONCATENATE(TEXT(INDEX($AI$7:$AI$100,SMALL(IF($AL$7:$AL$100&lt;&gt;"",IF($AI$7:$AI$100&lt;&gt;"",ROW($AI$7:$AI$100)-MIN(ROW($AI$7:$AI$100))+1,""),""),ROW()-ROW(A$102)+1)),"##0")," "),"")</f>
        <v/>
      </c>
      <c r="AK174" s="0" t="str">
        <f aca="false" t="array" ref="AK174:AK174">IFERROR(CONCATENATE((INDEX($A$7:$A$100,SMALL(IF($AL$7:$AL$100&lt;&gt;"",IF($AI$7:$AI$100&lt;&gt;"",ROW($AI$7:$AI$100)-MIN(ROW($AI$7:$AI$100))+1,""),""),ROW()-ROW(A$102)+1))),),"")</f>
        <v/>
      </c>
    </row>
    <row r="175" customFormat="false" ht="15" hidden="false" customHeight="false" outlineLevel="0" collapsed="false">
      <c r="K175" s="0" t="str">
        <f aca="false" t="array" ref="K175:K175">IFERROR(CONCATENATE(TEXT(INDEX($K$7:$K$100,SMALL(IF($N$7:$N$100&lt;&gt;"",IF($K$7:$K$100&lt;&gt;"",ROW($K$7:$K$100)-MIN(ROW($K$7:$K$100))+1,""),""),ROW()-ROW(A$102)+1)),"##0"),","),"")</f>
        <v/>
      </c>
      <c r="L175" s="0" t="str">
        <f aca="false" t="array" ref="L175:L175">IFERROR(CONCATENATE((INDEX($N$7:$N$100,SMALL(IF($N$7:$N$100&lt;&gt;"",IF($K$7:$K$100&lt;&gt;"",ROW($K$7:$K$100)-MIN(ROW($K$7:$K$100))+1,""),""),ROW()-ROW(A$102)+1))),","),"")</f>
        <v/>
      </c>
      <c r="M175" s="0" t="str">
        <f aca="false" t="array" ref="M175:M175">IFERROR(CONCATENATE((INDEX($A$7:$A$100,SMALL(IF($N$7:$N$100&lt;&gt;"",IF($K$7:$K$100&lt;&gt;"",ROW($K$7:$K$100)-MIN(ROW($K$7:$K$100))+1,""),""),ROW()-ROW(A$102)+1))),),"")</f>
        <v/>
      </c>
      <c r="Q175" s="0" t="str">
        <f aca="false" t="array" ref="Q175:Q175">IFERROR(CONCATENATE((INDEX($T$7:$T$100,SMALL(IF($T$7:$T$100&lt;&gt;"",IF($Q$7:$Q$100&lt;&gt;"",ROW($Q$7:$Q$100)-MIN(ROW($Q$7:$Q$100))+1,""),""),ROW()-ROW(A$102)+1)))," "),"")</f>
        <v/>
      </c>
      <c r="R175" s="0" t="str">
        <f aca="false" t="array" ref="R175:R175">IFERROR(CONCATENATE(TEXT(INDEX($Q$7:$Q$100,SMALL(IF($T$7:$T$100&lt;&gt;"",IF($Q$7:$Q$100&lt;&gt;"",ROW($Q$7:$Q$100)-MIN(ROW($Q$7:$Q$100))+1,""),""),ROW()-ROW(A$102)+1)),"##0")," "),"")</f>
        <v/>
      </c>
      <c r="S175" s="0" t="str">
        <f aca="false" t="array" ref="S175:S175">IFERROR(CONCATENATE((INDEX($A$7:$A$100,SMALL(IF($T$7:$T$100&lt;&gt;"",IF($Q$7:$Q$100&lt;&gt;"",ROW($Q$7:$Q$100)-MIN(ROW($Q$7:$Q$100))+1,""),""),ROW()-ROW(A$102)+1))),),"")</f>
        <v/>
      </c>
      <c r="W175" s="0" t="str">
        <f aca="false" t="array" ref="W175:W175">IFERROR(CONCATENATE((INDEX($Z$7:$Z$100,SMALL(IF($Z$7:$Z$100&lt;&gt;"",IF($W$7:$W$100&lt;&gt;"",ROW($W$7:$W$100)-MIN(ROW($W$7:$W$100))+1,""),""),ROW()-ROW(A$102)+1)))," "),"")</f>
        <v/>
      </c>
      <c r="X175" s="0" t="str">
        <f aca="false" t="array" ref="X175:X175">IFERROR(CONCATENATE(TEXT(INDEX($W$7:$W$100,SMALL(IF($Z$7:$Z$100&lt;&gt;"",IF($W$7:$W$100&lt;&gt;"",ROW($W$7:$W$100)-MIN(ROW($W$7:$W$100))+1,""),""),ROW()-ROW(A$102)+1)),"##0")," "),"")</f>
        <v/>
      </c>
      <c r="Y175" s="0" t="str">
        <f aca="false" t="array" ref="Y175:Y175">IFERROR(CONCATENATE((INDEX($A$7:$A$100,SMALL(IF($Z$7:$Z$100&lt;&gt;"",IF($W$7:$W$100&lt;&gt;"",ROW($W$7:$W$100)-MIN(ROW($W$7:$W$100))+1,""),""),ROW()-ROW(A$102)+1))),),"")</f>
        <v/>
      </c>
      <c r="AC175" s="0" t="str">
        <f aca="false" t="array" ref="AC175:AC175">IFERROR(CONCATENATE((INDEX($AF$7:$AF$100,SMALL(IF($AF$7:$AF$100&lt;&gt;"",IF($AC$7:$AC$100&lt;&gt;"",ROW($AC$7:$AC$100)-MIN(ROW($AC$7:$AC$100))+1,""),""),ROW()-ROW(A$102)+1))),","),"")</f>
        <v/>
      </c>
      <c r="AD175" s="0" t="str">
        <f aca="false" t="array" ref="AD175:AD175">IFERROR(CONCATENATE(TEXT(INDEX($AC$7:$AC$100,SMALL(IF($AF$7:$AF$100&lt;&gt;"",IF($AC$7:$AC$100&lt;&gt;"",ROW($AC$7:$AC$100)-MIN(ROW($AC$7:$AC$100))+1,""),""),ROW()-ROW(A$102)+1)),"##0"),","),"")</f>
        <v/>
      </c>
      <c r="AE175" s="0" t="str">
        <f aca="false" t="array" ref="AE175:AE175">IFERROR(CONCATENATE((INDEX($A$7:$A$100,SMALL(IF($AF$7:$AF$100&lt;&gt;"",IF($AC$7:$AC$100&lt;&gt;"",ROW($AC$7:$AC$100)-MIN(ROW($AC$7:$AC$100))+1,""),""),ROW()-ROW(A$102)+1))),),"")</f>
        <v/>
      </c>
      <c r="AI175" s="0" t="str">
        <f aca="false" t="array" ref="AI175:AI175">IFERROR(CONCATENATE((INDEX($AL$7:$AL$100,SMALL(IF($AL$7:$AL$100&lt;&gt;"",IF($AI$7:$AI$100&lt;&gt;"",ROW($AI$7:$AI$100)-MIN(ROW($AI$7:$AI$100))+1,""),""),ROW()-ROW(A$102)+1)))," "),"")</f>
        <v/>
      </c>
      <c r="AJ175" s="0" t="str">
        <f aca="false" t="array" ref="AJ175:AJ175">IFERROR(CONCATENATE(TEXT(INDEX($AI$7:$AI$100,SMALL(IF($AL$7:$AL$100&lt;&gt;"",IF($AI$7:$AI$100&lt;&gt;"",ROW($AI$7:$AI$100)-MIN(ROW($AI$7:$AI$100))+1,""),""),ROW()-ROW(A$102)+1)),"##0")," "),"")</f>
        <v/>
      </c>
      <c r="AK175" s="0" t="str">
        <f aca="false" t="array" ref="AK175:AK175">IFERROR(CONCATENATE((INDEX($A$7:$A$100,SMALL(IF($AL$7:$AL$100&lt;&gt;"",IF($AI$7:$AI$100&lt;&gt;"",ROW($AI$7:$AI$100)-MIN(ROW($AI$7:$AI$100))+1,""),""),ROW()-ROW(A$102)+1))),),"")</f>
        <v/>
      </c>
    </row>
    <row r="176" customFormat="false" ht="15" hidden="false" customHeight="false" outlineLevel="0" collapsed="false">
      <c r="K176" s="0" t="str">
        <f aca="false" t="array" ref="K176:K176">IFERROR(CONCATENATE(TEXT(INDEX($K$7:$K$100,SMALL(IF($N$7:$N$100&lt;&gt;"",IF($K$7:$K$100&lt;&gt;"",ROW($K$7:$K$100)-MIN(ROW($K$7:$K$100))+1,""),""),ROW()-ROW(A$102)+1)),"##0"),","),"")</f>
        <v/>
      </c>
      <c r="L176" s="0" t="str">
        <f aca="false" t="array" ref="L176:L176">IFERROR(CONCATENATE((INDEX($N$7:$N$100,SMALL(IF($N$7:$N$100&lt;&gt;"",IF($K$7:$K$100&lt;&gt;"",ROW($K$7:$K$100)-MIN(ROW($K$7:$K$100))+1,""),""),ROW()-ROW(A$102)+1))),","),"")</f>
        <v/>
      </c>
      <c r="M176" s="0" t="str">
        <f aca="false" t="array" ref="M176:M176">IFERROR(CONCATENATE((INDEX($A$7:$A$100,SMALL(IF($N$7:$N$100&lt;&gt;"",IF($K$7:$K$100&lt;&gt;"",ROW($K$7:$K$100)-MIN(ROW($K$7:$K$100))+1,""),""),ROW()-ROW(A$102)+1))),),"")</f>
        <v/>
      </c>
      <c r="Q176" s="0" t="str">
        <f aca="false" t="array" ref="Q176:Q176">IFERROR(CONCATENATE((INDEX($T$7:$T$100,SMALL(IF($T$7:$T$100&lt;&gt;"",IF($Q$7:$Q$100&lt;&gt;"",ROW($Q$7:$Q$100)-MIN(ROW($Q$7:$Q$100))+1,""),""),ROW()-ROW(A$102)+1)))," "),"")</f>
        <v/>
      </c>
      <c r="R176" s="0" t="str">
        <f aca="false" t="array" ref="R176:R176">IFERROR(CONCATENATE(TEXT(INDEX($Q$7:$Q$100,SMALL(IF($T$7:$T$100&lt;&gt;"",IF($Q$7:$Q$100&lt;&gt;"",ROW($Q$7:$Q$100)-MIN(ROW($Q$7:$Q$100))+1,""),""),ROW()-ROW(A$102)+1)),"##0")," "),"")</f>
        <v/>
      </c>
      <c r="S176" s="0" t="str">
        <f aca="false" t="array" ref="S176:S176">IFERROR(CONCATENATE((INDEX($A$7:$A$100,SMALL(IF($T$7:$T$100&lt;&gt;"",IF($Q$7:$Q$100&lt;&gt;"",ROW($Q$7:$Q$100)-MIN(ROW($Q$7:$Q$100))+1,""),""),ROW()-ROW(A$102)+1))),),"")</f>
        <v/>
      </c>
      <c r="W176" s="0" t="str">
        <f aca="false" t="array" ref="W176:W176">IFERROR(CONCATENATE((INDEX($Z$7:$Z$100,SMALL(IF($Z$7:$Z$100&lt;&gt;"",IF($W$7:$W$100&lt;&gt;"",ROW($W$7:$W$100)-MIN(ROW($W$7:$W$100))+1,""),""),ROW()-ROW(A$102)+1)))," "),"")</f>
        <v/>
      </c>
      <c r="X176" s="0" t="str">
        <f aca="false" t="array" ref="X176:X176">IFERROR(CONCATENATE(TEXT(INDEX($W$7:$W$100,SMALL(IF($Z$7:$Z$100&lt;&gt;"",IF($W$7:$W$100&lt;&gt;"",ROW($W$7:$W$100)-MIN(ROW($W$7:$W$100))+1,""),""),ROW()-ROW(A$102)+1)),"##0")," "),"")</f>
        <v/>
      </c>
      <c r="Y176" s="0" t="str">
        <f aca="false" t="array" ref="Y176:Y176">IFERROR(CONCATENATE((INDEX($A$7:$A$100,SMALL(IF($Z$7:$Z$100&lt;&gt;"",IF($W$7:$W$100&lt;&gt;"",ROW($W$7:$W$100)-MIN(ROW($W$7:$W$100))+1,""),""),ROW()-ROW(A$102)+1))),),"")</f>
        <v/>
      </c>
      <c r="AC176" s="0" t="str">
        <f aca="false" t="array" ref="AC176:AC176">IFERROR(CONCATENATE((INDEX($AF$7:$AF$100,SMALL(IF($AF$7:$AF$100&lt;&gt;"",IF($AC$7:$AC$100&lt;&gt;"",ROW($AC$7:$AC$100)-MIN(ROW($AC$7:$AC$100))+1,""),""),ROW()-ROW(A$102)+1))),","),"")</f>
        <v/>
      </c>
      <c r="AD176" s="0" t="str">
        <f aca="false" t="array" ref="AD176:AD176">IFERROR(CONCATENATE(TEXT(INDEX($AC$7:$AC$100,SMALL(IF($AF$7:$AF$100&lt;&gt;"",IF($AC$7:$AC$100&lt;&gt;"",ROW($AC$7:$AC$100)-MIN(ROW($AC$7:$AC$100))+1,""),""),ROW()-ROW(A$102)+1)),"##0"),","),"")</f>
        <v/>
      </c>
      <c r="AE176" s="0" t="str">
        <f aca="false" t="array" ref="AE176:AE176">IFERROR(CONCATENATE((INDEX($A$7:$A$100,SMALL(IF($AF$7:$AF$100&lt;&gt;"",IF($AC$7:$AC$100&lt;&gt;"",ROW($AC$7:$AC$100)-MIN(ROW($AC$7:$AC$100))+1,""),""),ROW()-ROW(A$102)+1))),),"")</f>
        <v/>
      </c>
      <c r="AI176" s="0" t="str">
        <f aca="false" t="array" ref="AI176:AI176">IFERROR(CONCATENATE((INDEX($AL$7:$AL$100,SMALL(IF($AL$7:$AL$100&lt;&gt;"",IF($AI$7:$AI$100&lt;&gt;"",ROW($AI$7:$AI$100)-MIN(ROW($AI$7:$AI$100))+1,""),""),ROW()-ROW(A$102)+1)))," "),"")</f>
        <v/>
      </c>
      <c r="AJ176" s="0" t="str">
        <f aca="false" t="array" ref="AJ176:AJ176">IFERROR(CONCATENATE(TEXT(INDEX($AI$7:$AI$100,SMALL(IF($AL$7:$AL$100&lt;&gt;"",IF($AI$7:$AI$100&lt;&gt;"",ROW($AI$7:$AI$100)-MIN(ROW($AI$7:$AI$100))+1,""),""),ROW()-ROW(A$102)+1)),"##0")," "),"")</f>
        <v/>
      </c>
      <c r="AK176" s="0" t="str">
        <f aca="false" t="array" ref="AK176:AK176">IFERROR(CONCATENATE((INDEX($A$7:$A$100,SMALL(IF($AL$7:$AL$100&lt;&gt;"",IF($AI$7:$AI$100&lt;&gt;"",ROW($AI$7:$AI$100)-MIN(ROW($AI$7:$AI$100))+1,""),""),ROW()-ROW(A$102)+1))),),"")</f>
        <v/>
      </c>
    </row>
    <row r="177" customFormat="false" ht="15" hidden="false" customHeight="false" outlineLevel="0" collapsed="false">
      <c r="K177" s="0" t="str">
        <f aca="false" t="array" ref="K177:K177">IFERROR(CONCATENATE(TEXT(INDEX($K$7:$K$100,SMALL(IF($N$7:$N$100&lt;&gt;"",IF($K$7:$K$100&lt;&gt;"",ROW($K$7:$K$100)-MIN(ROW($K$7:$K$100))+1,""),""),ROW()-ROW(A$102)+1)),"##0"),","),"")</f>
        <v/>
      </c>
      <c r="L177" s="0" t="str">
        <f aca="false" t="array" ref="L177:L177">IFERROR(CONCATENATE((INDEX($N$7:$N$100,SMALL(IF($N$7:$N$100&lt;&gt;"",IF($K$7:$K$100&lt;&gt;"",ROW($K$7:$K$100)-MIN(ROW($K$7:$K$100))+1,""),""),ROW()-ROW(A$102)+1))),","),"")</f>
        <v/>
      </c>
      <c r="M177" s="0" t="str">
        <f aca="false" t="array" ref="M177:M177">IFERROR(CONCATENATE((INDEX($A$7:$A$100,SMALL(IF($N$7:$N$100&lt;&gt;"",IF($K$7:$K$100&lt;&gt;"",ROW($K$7:$K$100)-MIN(ROW($K$7:$K$100))+1,""),""),ROW()-ROW(A$102)+1))),),"")</f>
        <v/>
      </c>
      <c r="Q177" s="0" t="str">
        <f aca="false" t="array" ref="Q177:Q177">IFERROR(CONCATENATE((INDEX($T$7:$T$100,SMALL(IF($T$7:$T$100&lt;&gt;"",IF($Q$7:$Q$100&lt;&gt;"",ROW($Q$7:$Q$100)-MIN(ROW($Q$7:$Q$100))+1,""),""),ROW()-ROW(A$102)+1)))," "),"")</f>
        <v/>
      </c>
      <c r="R177" s="0" t="str">
        <f aca="false" t="array" ref="R177:R177">IFERROR(CONCATENATE(TEXT(INDEX($Q$7:$Q$100,SMALL(IF($T$7:$T$100&lt;&gt;"",IF($Q$7:$Q$100&lt;&gt;"",ROW($Q$7:$Q$100)-MIN(ROW($Q$7:$Q$100))+1,""),""),ROW()-ROW(A$102)+1)),"##0")," "),"")</f>
        <v/>
      </c>
      <c r="S177" s="0" t="str">
        <f aca="false" t="array" ref="S177:S177">IFERROR(CONCATENATE((INDEX($A$7:$A$100,SMALL(IF($T$7:$T$100&lt;&gt;"",IF($Q$7:$Q$100&lt;&gt;"",ROW($Q$7:$Q$100)-MIN(ROW($Q$7:$Q$100))+1,""),""),ROW()-ROW(A$102)+1))),),"")</f>
        <v/>
      </c>
      <c r="W177" s="0" t="str">
        <f aca="false" t="array" ref="W177:W177">IFERROR(CONCATENATE((INDEX($Z$7:$Z$100,SMALL(IF($Z$7:$Z$100&lt;&gt;"",IF($W$7:$W$100&lt;&gt;"",ROW($W$7:$W$100)-MIN(ROW($W$7:$W$100))+1,""),""),ROW()-ROW(A$102)+1)))," "),"")</f>
        <v/>
      </c>
      <c r="X177" s="0" t="str">
        <f aca="false" t="array" ref="X177:X177">IFERROR(CONCATENATE(TEXT(INDEX($W$7:$W$100,SMALL(IF($Z$7:$Z$100&lt;&gt;"",IF($W$7:$W$100&lt;&gt;"",ROW($W$7:$W$100)-MIN(ROW($W$7:$W$100))+1,""),""),ROW()-ROW(A$102)+1)),"##0")," "),"")</f>
        <v/>
      </c>
      <c r="Y177" s="0" t="str">
        <f aca="false" t="array" ref="Y177:Y177">IFERROR(CONCATENATE((INDEX($A$7:$A$100,SMALL(IF($Z$7:$Z$100&lt;&gt;"",IF($W$7:$W$100&lt;&gt;"",ROW($W$7:$W$100)-MIN(ROW($W$7:$W$100))+1,""),""),ROW()-ROW(A$102)+1))),),"")</f>
        <v/>
      </c>
      <c r="AC177" s="0" t="str">
        <f aca="false" t="array" ref="AC177:AC177">IFERROR(CONCATENATE((INDEX($AF$7:$AF$100,SMALL(IF($AF$7:$AF$100&lt;&gt;"",IF($AC$7:$AC$100&lt;&gt;"",ROW($AC$7:$AC$100)-MIN(ROW($AC$7:$AC$100))+1,""),""),ROW()-ROW(A$102)+1))),","),"")</f>
        <v/>
      </c>
      <c r="AD177" s="0" t="str">
        <f aca="false" t="array" ref="AD177:AD177">IFERROR(CONCATENATE(TEXT(INDEX($AC$7:$AC$100,SMALL(IF($AF$7:$AF$100&lt;&gt;"",IF($AC$7:$AC$100&lt;&gt;"",ROW($AC$7:$AC$100)-MIN(ROW($AC$7:$AC$100))+1,""),""),ROW()-ROW(A$102)+1)),"##0"),","),"")</f>
        <v/>
      </c>
      <c r="AE177" s="0" t="str">
        <f aca="false" t="array" ref="AE177:AE177">IFERROR(CONCATENATE((INDEX($A$7:$A$100,SMALL(IF($AF$7:$AF$100&lt;&gt;"",IF($AC$7:$AC$100&lt;&gt;"",ROW($AC$7:$AC$100)-MIN(ROW($AC$7:$AC$100))+1,""),""),ROW()-ROW(A$102)+1))),),"")</f>
        <v/>
      </c>
      <c r="AI177" s="0" t="str">
        <f aca="false" t="array" ref="AI177:AI177">IFERROR(CONCATENATE((INDEX($AL$7:$AL$100,SMALL(IF($AL$7:$AL$100&lt;&gt;"",IF($AI$7:$AI$100&lt;&gt;"",ROW($AI$7:$AI$100)-MIN(ROW($AI$7:$AI$100))+1,""),""),ROW()-ROW(A$102)+1)))," "),"")</f>
        <v/>
      </c>
      <c r="AJ177" s="0" t="str">
        <f aca="false" t="array" ref="AJ177:AJ177">IFERROR(CONCATENATE(TEXT(INDEX($AI$7:$AI$100,SMALL(IF($AL$7:$AL$100&lt;&gt;"",IF($AI$7:$AI$100&lt;&gt;"",ROW($AI$7:$AI$100)-MIN(ROW($AI$7:$AI$100))+1,""),""),ROW()-ROW(A$102)+1)),"##0")," "),"")</f>
        <v/>
      </c>
      <c r="AK177" s="0" t="str">
        <f aca="false" t="array" ref="AK177:AK177">IFERROR(CONCATENATE((INDEX($A$7:$A$100,SMALL(IF($AL$7:$AL$100&lt;&gt;"",IF($AI$7:$AI$100&lt;&gt;"",ROW($AI$7:$AI$100)-MIN(ROW($AI$7:$AI$100))+1,""),""),ROW()-ROW(A$102)+1))),),"")</f>
        <v/>
      </c>
    </row>
    <row r="178" customFormat="false" ht="15" hidden="false" customHeight="false" outlineLevel="0" collapsed="false">
      <c r="K178" s="0" t="str">
        <f aca="false" t="array" ref="K178:K178">IFERROR(CONCATENATE(TEXT(INDEX($K$7:$K$100,SMALL(IF($N$7:$N$100&lt;&gt;"",IF($K$7:$K$100&lt;&gt;"",ROW($K$7:$K$100)-MIN(ROW($K$7:$K$100))+1,""),""),ROW()-ROW(A$102)+1)),"##0"),","),"")</f>
        <v/>
      </c>
      <c r="L178" s="0" t="str">
        <f aca="false" t="array" ref="L178:L178">IFERROR(CONCATENATE((INDEX($N$7:$N$100,SMALL(IF($N$7:$N$100&lt;&gt;"",IF($K$7:$K$100&lt;&gt;"",ROW($K$7:$K$100)-MIN(ROW($K$7:$K$100))+1,""),""),ROW()-ROW(A$102)+1))),","),"")</f>
        <v/>
      </c>
      <c r="M178" s="0" t="str">
        <f aca="false" t="array" ref="M178:M178">IFERROR(CONCATENATE((INDEX($A$7:$A$100,SMALL(IF($N$7:$N$100&lt;&gt;"",IF($K$7:$K$100&lt;&gt;"",ROW($K$7:$K$100)-MIN(ROW($K$7:$K$100))+1,""),""),ROW()-ROW(A$102)+1))),),"")</f>
        <v/>
      </c>
      <c r="Q178" s="0" t="str">
        <f aca="false" t="array" ref="Q178:Q178">IFERROR(CONCATENATE((INDEX($T$7:$T$100,SMALL(IF($T$7:$T$100&lt;&gt;"",IF($Q$7:$Q$100&lt;&gt;"",ROW($Q$7:$Q$100)-MIN(ROW($Q$7:$Q$100))+1,""),""),ROW()-ROW(A$102)+1)))," "),"")</f>
        <v/>
      </c>
      <c r="R178" s="0" t="str">
        <f aca="false" t="array" ref="R178:R178">IFERROR(CONCATENATE(TEXT(INDEX($Q$7:$Q$100,SMALL(IF($T$7:$T$100&lt;&gt;"",IF($Q$7:$Q$100&lt;&gt;"",ROW($Q$7:$Q$100)-MIN(ROW($Q$7:$Q$100))+1,""),""),ROW()-ROW(A$102)+1)),"##0")," "),"")</f>
        <v/>
      </c>
      <c r="S178" s="0" t="str">
        <f aca="false" t="array" ref="S178:S178">IFERROR(CONCATENATE((INDEX($A$7:$A$100,SMALL(IF($T$7:$T$100&lt;&gt;"",IF($Q$7:$Q$100&lt;&gt;"",ROW($Q$7:$Q$100)-MIN(ROW($Q$7:$Q$100))+1,""),""),ROW()-ROW(A$102)+1))),),"")</f>
        <v/>
      </c>
      <c r="W178" s="0" t="str">
        <f aca="false" t="array" ref="W178:W178">IFERROR(CONCATENATE((INDEX($Z$7:$Z$100,SMALL(IF($Z$7:$Z$100&lt;&gt;"",IF($W$7:$W$100&lt;&gt;"",ROW($W$7:$W$100)-MIN(ROW($W$7:$W$100))+1,""),""),ROW()-ROW(A$102)+1)))," "),"")</f>
        <v/>
      </c>
      <c r="X178" s="0" t="str">
        <f aca="false" t="array" ref="X178:X178">IFERROR(CONCATENATE(TEXT(INDEX($W$7:$W$100,SMALL(IF($Z$7:$Z$100&lt;&gt;"",IF($W$7:$W$100&lt;&gt;"",ROW($W$7:$W$100)-MIN(ROW($W$7:$W$100))+1,""),""),ROW()-ROW(A$102)+1)),"##0")," "),"")</f>
        <v/>
      </c>
      <c r="Y178" s="0" t="str">
        <f aca="false" t="array" ref="Y178:Y178">IFERROR(CONCATENATE((INDEX($A$7:$A$100,SMALL(IF($Z$7:$Z$100&lt;&gt;"",IF($W$7:$W$100&lt;&gt;"",ROW($W$7:$W$100)-MIN(ROW($W$7:$W$100))+1,""),""),ROW()-ROW(A$102)+1))),),"")</f>
        <v/>
      </c>
      <c r="AC178" s="0" t="str">
        <f aca="false" t="array" ref="AC178:AC178">IFERROR(CONCATENATE((INDEX($AF$7:$AF$100,SMALL(IF($AF$7:$AF$100&lt;&gt;"",IF($AC$7:$AC$100&lt;&gt;"",ROW($AC$7:$AC$100)-MIN(ROW($AC$7:$AC$100))+1,""),""),ROW()-ROW(A$102)+1))),","),"")</f>
        <v/>
      </c>
      <c r="AD178" s="0" t="str">
        <f aca="false" t="array" ref="AD178:AD178">IFERROR(CONCATENATE(TEXT(INDEX($AC$7:$AC$100,SMALL(IF($AF$7:$AF$100&lt;&gt;"",IF($AC$7:$AC$100&lt;&gt;"",ROW($AC$7:$AC$100)-MIN(ROW($AC$7:$AC$100))+1,""),""),ROW()-ROW(A$102)+1)),"##0"),","),"")</f>
        <v/>
      </c>
      <c r="AE178" s="0" t="str">
        <f aca="false" t="array" ref="AE178:AE178">IFERROR(CONCATENATE((INDEX($A$7:$A$100,SMALL(IF($AF$7:$AF$100&lt;&gt;"",IF($AC$7:$AC$100&lt;&gt;"",ROW($AC$7:$AC$100)-MIN(ROW($AC$7:$AC$100))+1,""),""),ROW()-ROW(A$102)+1))),),"")</f>
        <v/>
      </c>
      <c r="AI178" s="0" t="str">
        <f aca="false" t="array" ref="AI178:AI178">IFERROR(CONCATENATE((INDEX($AL$7:$AL$100,SMALL(IF($AL$7:$AL$100&lt;&gt;"",IF($AI$7:$AI$100&lt;&gt;"",ROW($AI$7:$AI$100)-MIN(ROW($AI$7:$AI$100))+1,""),""),ROW()-ROW(A$102)+1)))," "),"")</f>
        <v/>
      </c>
      <c r="AJ178" s="0" t="str">
        <f aca="false" t="array" ref="AJ178:AJ178">IFERROR(CONCATENATE(TEXT(INDEX($AI$7:$AI$100,SMALL(IF($AL$7:$AL$100&lt;&gt;"",IF($AI$7:$AI$100&lt;&gt;"",ROW($AI$7:$AI$100)-MIN(ROW($AI$7:$AI$100))+1,""),""),ROW()-ROW(A$102)+1)),"##0")," "),"")</f>
        <v/>
      </c>
      <c r="AK178" s="0" t="str">
        <f aca="false" t="array" ref="AK178:AK178">IFERROR(CONCATENATE((INDEX($A$7:$A$100,SMALL(IF($AL$7:$AL$100&lt;&gt;"",IF($AI$7:$AI$100&lt;&gt;"",ROW($AI$7:$AI$100)-MIN(ROW($AI$7:$AI$100))+1,""),""),ROW()-ROW(A$102)+1))),),"")</f>
        <v/>
      </c>
    </row>
    <row r="179" customFormat="false" ht="15" hidden="false" customHeight="false" outlineLevel="0" collapsed="false">
      <c r="K179" s="0" t="str">
        <f aca="false" t="array" ref="K179:K179">IFERROR(CONCATENATE(TEXT(INDEX($K$7:$K$100,SMALL(IF($N$7:$N$100&lt;&gt;"",IF($K$7:$K$100&lt;&gt;"",ROW($K$7:$K$100)-MIN(ROW($K$7:$K$100))+1,""),""),ROW()-ROW(A$102)+1)),"##0"),","),"")</f>
        <v/>
      </c>
      <c r="L179" s="0" t="str">
        <f aca="false" t="array" ref="L179:L179">IFERROR(CONCATENATE((INDEX($N$7:$N$100,SMALL(IF($N$7:$N$100&lt;&gt;"",IF($K$7:$K$100&lt;&gt;"",ROW($K$7:$K$100)-MIN(ROW($K$7:$K$100))+1,""),""),ROW()-ROW(A$102)+1))),","),"")</f>
        <v/>
      </c>
      <c r="M179" s="0" t="str">
        <f aca="false" t="array" ref="M179:M179">IFERROR(CONCATENATE((INDEX($A$7:$A$100,SMALL(IF($N$7:$N$100&lt;&gt;"",IF($K$7:$K$100&lt;&gt;"",ROW($K$7:$K$100)-MIN(ROW($K$7:$K$100))+1,""),""),ROW()-ROW(A$102)+1))),),"")</f>
        <v/>
      </c>
      <c r="Q179" s="0" t="str">
        <f aca="false" t="array" ref="Q179:Q179">IFERROR(CONCATENATE((INDEX($T$7:$T$100,SMALL(IF($T$7:$T$100&lt;&gt;"",IF($Q$7:$Q$100&lt;&gt;"",ROW($Q$7:$Q$100)-MIN(ROW($Q$7:$Q$100))+1,""),""),ROW()-ROW(A$102)+1)))," "),"")</f>
        <v/>
      </c>
      <c r="R179" s="0" t="str">
        <f aca="false" t="array" ref="R179:R179">IFERROR(CONCATENATE(TEXT(INDEX($Q$7:$Q$100,SMALL(IF($T$7:$T$100&lt;&gt;"",IF($Q$7:$Q$100&lt;&gt;"",ROW($Q$7:$Q$100)-MIN(ROW($Q$7:$Q$100))+1,""),""),ROW()-ROW(A$102)+1)),"##0")," "),"")</f>
        <v/>
      </c>
      <c r="S179" s="0" t="str">
        <f aca="false" t="array" ref="S179:S179">IFERROR(CONCATENATE((INDEX($A$7:$A$100,SMALL(IF($T$7:$T$100&lt;&gt;"",IF($Q$7:$Q$100&lt;&gt;"",ROW($Q$7:$Q$100)-MIN(ROW($Q$7:$Q$100))+1,""),""),ROW()-ROW(A$102)+1))),),"")</f>
        <v/>
      </c>
      <c r="W179" s="0" t="str">
        <f aca="false" t="array" ref="W179:W179">IFERROR(CONCATENATE((INDEX($Z$7:$Z$100,SMALL(IF($Z$7:$Z$100&lt;&gt;"",IF($W$7:$W$100&lt;&gt;"",ROW($W$7:$W$100)-MIN(ROW($W$7:$W$100))+1,""),""),ROW()-ROW(A$102)+1)))," "),"")</f>
        <v/>
      </c>
      <c r="X179" s="0" t="str">
        <f aca="false" t="array" ref="X179:X179">IFERROR(CONCATENATE(TEXT(INDEX($W$7:$W$100,SMALL(IF($Z$7:$Z$100&lt;&gt;"",IF($W$7:$W$100&lt;&gt;"",ROW($W$7:$W$100)-MIN(ROW($W$7:$W$100))+1,""),""),ROW()-ROW(A$102)+1)),"##0")," "),"")</f>
        <v/>
      </c>
      <c r="Y179" s="0" t="str">
        <f aca="false" t="array" ref="Y179:Y179">IFERROR(CONCATENATE((INDEX($A$7:$A$100,SMALL(IF($Z$7:$Z$100&lt;&gt;"",IF($W$7:$W$100&lt;&gt;"",ROW($W$7:$W$100)-MIN(ROW($W$7:$W$100))+1,""),""),ROW()-ROW(A$102)+1))),),"")</f>
        <v/>
      </c>
      <c r="AC179" s="0" t="str">
        <f aca="false" t="array" ref="AC179:AC179">IFERROR(CONCATENATE((INDEX($AF$7:$AF$100,SMALL(IF($AF$7:$AF$100&lt;&gt;"",IF($AC$7:$AC$100&lt;&gt;"",ROW($AC$7:$AC$100)-MIN(ROW($AC$7:$AC$100))+1,""),""),ROW()-ROW(A$102)+1))),","),"")</f>
        <v/>
      </c>
      <c r="AD179" s="0" t="str">
        <f aca="false" t="array" ref="AD179:AD179">IFERROR(CONCATENATE(TEXT(INDEX($AC$7:$AC$100,SMALL(IF($AF$7:$AF$100&lt;&gt;"",IF($AC$7:$AC$100&lt;&gt;"",ROW($AC$7:$AC$100)-MIN(ROW($AC$7:$AC$100))+1,""),""),ROW()-ROW(A$102)+1)),"##0"),","),"")</f>
        <v/>
      </c>
      <c r="AE179" s="0" t="str">
        <f aca="false" t="array" ref="AE179:AE179">IFERROR(CONCATENATE((INDEX($A$7:$A$100,SMALL(IF($AF$7:$AF$100&lt;&gt;"",IF($AC$7:$AC$100&lt;&gt;"",ROW($AC$7:$AC$100)-MIN(ROW($AC$7:$AC$100))+1,""),""),ROW()-ROW(A$102)+1))),),"")</f>
        <v/>
      </c>
      <c r="AI179" s="0" t="str">
        <f aca="false" t="array" ref="AI179:AI179">IFERROR(CONCATENATE((INDEX($AL$7:$AL$100,SMALL(IF($AL$7:$AL$100&lt;&gt;"",IF($AI$7:$AI$100&lt;&gt;"",ROW($AI$7:$AI$100)-MIN(ROW($AI$7:$AI$100))+1,""),""),ROW()-ROW(A$102)+1)))," "),"")</f>
        <v/>
      </c>
      <c r="AJ179" s="0" t="str">
        <f aca="false" t="array" ref="AJ179:AJ179">IFERROR(CONCATENATE(TEXT(INDEX($AI$7:$AI$100,SMALL(IF($AL$7:$AL$100&lt;&gt;"",IF($AI$7:$AI$100&lt;&gt;"",ROW($AI$7:$AI$100)-MIN(ROW($AI$7:$AI$100))+1,""),""),ROW()-ROW(A$102)+1)),"##0")," "),"")</f>
        <v/>
      </c>
      <c r="AK179" s="0" t="str">
        <f aca="false" t="array" ref="AK179:AK179">IFERROR(CONCATENATE((INDEX($A$7:$A$100,SMALL(IF($AL$7:$AL$100&lt;&gt;"",IF($AI$7:$AI$100&lt;&gt;"",ROW($AI$7:$AI$100)-MIN(ROW($AI$7:$AI$100))+1,""),""),ROW()-ROW(A$102)+1))),),"")</f>
        <v/>
      </c>
    </row>
    <row r="180" customFormat="false" ht="15" hidden="false" customHeight="false" outlineLevel="0" collapsed="false">
      <c r="K180" s="0" t="str">
        <f aca="false" t="array" ref="K180:K180">IFERROR(CONCATENATE(TEXT(INDEX($K$7:$K$100,SMALL(IF($N$7:$N$100&lt;&gt;"",IF($K$7:$K$100&lt;&gt;"",ROW($K$7:$K$100)-MIN(ROW($K$7:$K$100))+1,""),""),ROW()-ROW(A$102)+1)),"##0"),","),"")</f>
        <v/>
      </c>
      <c r="L180" s="0" t="str">
        <f aca="false" t="array" ref="L180:L180">IFERROR(CONCATENATE((INDEX($N$7:$N$100,SMALL(IF($N$7:$N$100&lt;&gt;"",IF($K$7:$K$100&lt;&gt;"",ROW($K$7:$K$100)-MIN(ROW($K$7:$K$100))+1,""),""),ROW()-ROW(A$102)+1))),","),"")</f>
        <v/>
      </c>
      <c r="M180" s="0" t="str">
        <f aca="false" t="array" ref="M180:M180">IFERROR(CONCATENATE((INDEX($A$7:$A$100,SMALL(IF($N$7:$N$100&lt;&gt;"",IF($K$7:$K$100&lt;&gt;"",ROW($K$7:$K$100)-MIN(ROW($K$7:$K$100))+1,""),""),ROW()-ROW(A$102)+1))),),"")</f>
        <v/>
      </c>
      <c r="Q180" s="0" t="str">
        <f aca="false" t="array" ref="Q180:Q180">IFERROR(CONCATENATE((INDEX($T$7:$T$100,SMALL(IF($T$7:$T$100&lt;&gt;"",IF($Q$7:$Q$100&lt;&gt;"",ROW($Q$7:$Q$100)-MIN(ROW($Q$7:$Q$100))+1,""),""),ROW()-ROW(A$102)+1)))," "),"")</f>
        <v/>
      </c>
      <c r="R180" s="0" t="str">
        <f aca="false" t="array" ref="R180:R180">IFERROR(CONCATENATE(TEXT(INDEX($Q$7:$Q$100,SMALL(IF($T$7:$T$100&lt;&gt;"",IF($Q$7:$Q$100&lt;&gt;"",ROW($Q$7:$Q$100)-MIN(ROW($Q$7:$Q$100))+1,""),""),ROW()-ROW(A$102)+1)),"##0")," "),"")</f>
        <v/>
      </c>
      <c r="S180" s="0" t="str">
        <f aca="false" t="array" ref="S180:S180">IFERROR(CONCATENATE((INDEX($A$7:$A$100,SMALL(IF($T$7:$T$100&lt;&gt;"",IF($Q$7:$Q$100&lt;&gt;"",ROW($Q$7:$Q$100)-MIN(ROW($Q$7:$Q$100))+1,""),""),ROW()-ROW(A$102)+1))),),"")</f>
        <v/>
      </c>
      <c r="W180" s="0" t="str">
        <f aca="false" t="array" ref="W180:W180">IFERROR(CONCATENATE((INDEX($Z$7:$Z$100,SMALL(IF($Z$7:$Z$100&lt;&gt;"",IF($W$7:$W$100&lt;&gt;"",ROW($W$7:$W$100)-MIN(ROW($W$7:$W$100))+1,""),""),ROW()-ROW(A$102)+1)))," "),"")</f>
        <v/>
      </c>
      <c r="X180" s="0" t="str">
        <f aca="false" t="array" ref="X180:X180">IFERROR(CONCATENATE(TEXT(INDEX($W$7:$W$100,SMALL(IF($Z$7:$Z$100&lt;&gt;"",IF($W$7:$W$100&lt;&gt;"",ROW($W$7:$W$100)-MIN(ROW($W$7:$W$100))+1,""),""),ROW()-ROW(A$102)+1)),"##0")," "),"")</f>
        <v/>
      </c>
      <c r="Y180" s="0" t="str">
        <f aca="false" t="array" ref="Y180:Y180">IFERROR(CONCATENATE((INDEX($A$7:$A$100,SMALL(IF($Z$7:$Z$100&lt;&gt;"",IF($W$7:$W$100&lt;&gt;"",ROW($W$7:$W$100)-MIN(ROW($W$7:$W$100))+1,""),""),ROW()-ROW(A$102)+1))),),"")</f>
        <v/>
      </c>
      <c r="AC180" s="0" t="str">
        <f aca="false" t="array" ref="AC180:AC180">IFERROR(CONCATENATE((INDEX($AF$7:$AF$100,SMALL(IF($AF$7:$AF$100&lt;&gt;"",IF($AC$7:$AC$100&lt;&gt;"",ROW($AC$7:$AC$100)-MIN(ROW($AC$7:$AC$100))+1,""),""),ROW()-ROW(A$102)+1))),","),"")</f>
        <v/>
      </c>
      <c r="AD180" s="0" t="str">
        <f aca="false" t="array" ref="AD180:AD180">IFERROR(CONCATENATE(TEXT(INDEX($AC$7:$AC$100,SMALL(IF($AF$7:$AF$100&lt;&gt;"",IF($AC$7:$AC$100&lt;&gt;"",ROW($AC$7:$AC$100)-MIN(ROW($AC$7:$AC$100))+1,""),""),ROW()-ROW(A$102)+1)),"##0"),","),"")</f>
        <v/>
      </c>
      <c r="AE180" s="0" t="str">
        <f aca="false" t="array" ref="AE180:AE180">IFERROR(CONCATENATE((INDEX($A$7:$A$100,SMALL(IF($AF$7:$AF$100&lt;&gt;"",IF($AC$7:$AC$100&lt;&gt;"",ROW($AC$7:$AC$100)-MIN(ROW($AC$7:$AC$100))+1,""),""),ROW()-ROW(A$102)+1))),),"")</f>
        <v/>
      </c>
      <c r="AI180" s="0" t="str">
        <f aca="false" t="array" ref="AI180:AI180">IFERROR(CONCATENATE((INDEX($AL$7:$AL$100,SMALL(IF($AL$7:$AL$100&lt;&gt;"",IF($AI$7:$AI$100&lt;&gt;"",ROW($AI$7:$AI$100)-MIN(ROW($AI$7:$AI$100))+1,""),""),ROW()-ROW(A$102)+1)))," "),"")</f>
        <v/>
      </c>
      <c r="AJ180" s="0" t="str">
        <f aca="false" t="array" ref="AJ180:AJ180">IFERROR(CONCATENATE(TEXT(INDEX($AI$7:$AI$100,SMALL(IF($AL$7:$AL$100&lt;&gt;"",IF($AI$7:$AI$100&lt;&gt;"",ROW($AI$7:$AI$100)-MIN(ROW($AI$7:$AI$100))+1,""),""),ROW()-ROW(A$102)+1)),"##0")," "),"")</f>
        <v/>
      </c>
      <c r="AK180" s="0" t="str">
        <f aca="false" t="array" ref="AK180:AK180">IFERROR(CONCATENATE((INDEX($A$7:$A$100,SMALL(IF($AL$7:$AL$100&lt;&gt;"",IF($AI$7:$AI$100&lt;&gt;"",ROW($AI$7:$AI$100)-MIN(ROW($AI$7:$AI$100))+1,""),""),ROW()-ROW(A$102)+1))),),"")</f>
        <v/>
      </c>
    </row>
    <row r="181" customFormat="false" ht="15" hidden="false" customHeight="false" outlineLevel="0" collapsed="false">
      <c r="K181" s="0" t="str">
        <f aca="false" t="array" ref="K181:K181">IFERROR(CONCATENATE(TEXT(INDEX($K$7:$K$100,SMALL(IF($N$7:$N$100&lt;&gt;"",IF($K$7:$K$100&lt;&gt;"",ROW($K$7:$K$100)-MIN(ROW($K$7:$K$100))+1,""),""),ROW()-ROW(A$102)+1)),"##0"),","),"")</f>
        <v/>
      </c>
      <c r="L181" s="0" t="str">
        <f aca="false" t="array" ref="L181:L181">IFERROR(CONCATENATE((INDEX($N$7:$N$100,SMALL(IF($N$7:$N$100&lt;&gt;"",IF($K$7:$K$100&lt;&gt;"",ROW($K$7:$K$100)-MIN(ROW($K$7:$K$100))+1,""),""),ROW()-ROW(A$102)+1))),","),"")</f>
        <v/>
      </c>
      <c r="M181" s="0" t="str">
        <f aca="false" t="array" ref="M181:M181">IFERROR(CONCATENATE((INDEX($A$7:$A$100,SMALL(IF($N$7:$N$100&lt;&gt;"",IF($K$7:$K$100&lt;&gt;"",ROW($K$7:$K$100)-MIN(ROW($K$7:$K$100))+1,""),""),ROW()-ROW(A$102)+1))),),"")</f>
        <v/>
      </c>
      <c r="Q181" s="0" t="str">
        <f aca="false" t="array" ref="Q181:Q181">IFERROR(CONCATENATE((INDEX($T$7:$T$100,SMALL(IF($T$7:$T$100&lt;&gt;"",IF($Q$7:$Q$100&lt;&gt;"",ROW($Q$7:$Q$100)-MIN(ROW($Q$7:$Q$100))+1,""),""),ROW()-ROW(A$102)+1)))," "),"")</f>
        <v/>
      </c>
      <c r="R181" s="0" t="str">
        <f aca="false" t="array" ref="R181:R181">IFERROR(CONCATENATE(TEXT(INDEX($Q$7:$Q$100,SMALL(IF($T$7:$T$100&lt;&gt;"",IF($Q$7:$Q$100&lt;&gt;"",ROW($Q$7:$Q$100)-MIN(ROW($Q$7:$Q$100))+1,""),""),ROW()-ROW(A$102)+1)),"##0")," "),"")</f>
        <v/>
      </c>
      <c r="S181" s="0" t="str">
        <f aca="false" t="array" ref="S181:S181">IFERROR(CONCATENATE((INDEX($A$7:$A$100,SMALL(IF($T$7:$T$100&lt;&gt;"",IF($Q$7:$Q$100&lt;&gt;"",ROW($Q$7:$Q$100)-MIN(ROW($Q$7:$Q$100))+1,""),""),ROW()-ROW(A$102)+1))),),"")</f>
        <v/>
      </c>
      <c r="W181" s="0" t="str">
        <f aca="false" t="array" ref="W181:W181">IFERROR(CONCATENATE((INDEX($Z$7:$Z$100,SMALL(IF($Z$7:$Z$100&lt;&gt;"",IF($W$7:$W$100&lt;&gt;"",ROW($W$7:$W$100)-MIN(ROW($W$7:$W$100))+1,""),""),ROW()-ROW(A$102)+1)))," "),"")</f>
        <v/>
      </c>
      <c r="X181" s="0" t="str">
        <f aca="false" t="array" ref="X181:X181">IFERROR(CONCATENATE(TEXT(INDEX($W$7:$W$100,SMALL(IF($Z$7:$Z$100&lt;&gt;"",IF($W$7:$W$100&lt;&gt;"",ROW($W$7:$W$100)-MIN(ROW($W$7:$W$100))+1,""),""),ROW()-ROW(A$102)+1)),"##0")," "),"")</f>
        <v/>
      </c>
      <c r="Y181" s="0" t="str">
        <f aca="false" t="array" ref="Y181:Y181">IFERROR(CONCATENATE((INDEX($A$7:$A$100,SMALL(IF($Z$7:$Z$100&lt;&gt;"",IF($W$7:$W$100&lt;&gt;"",ROW($W$7:$W$100)-MIN(ROW($W$7:$W$100))+1,""),""),ROW()-ROW(A$102)+1))),),"")</f>
        <v/>
      </c>
      <c r="AC181" s="0" t="str">
        <f aca="false" t="array" ref="AC181:AC181">IFERROR(CONCATENATE((INDEX($AF$7:$AF$100,SMALL(IF($AF$7:$AF$100&lt;&gt;"",IF($AC$7:$AC$100&lt;&gt;"",ROW($AC$7:$AC$100)-MIN(ROW($AC$7:$AC$100))+1,""),""),ROW()-ROW(A$102)+1))),","),"")</f>
        <v/>
      </c>
      <c r="AD181" s="0" t="str">
        <f aca="false" t="array" ref="AD181:AD181">IFERROR(CONCATENATE(TEXT(INDEX($AC$7:$AC$100,SMALL(IF($AF$7:$AF$100&lt;&gt;"",IF($AC$7:$AC$100&lt;&gt;"",ROW($AC$7:$AC$100)-MIN(ROW($AC$7:$AC$100))+1,""),""),ROW()-ROW(A$102)+1)),"##0"),","),"")</f>
        <v/>
      </c>
      <c r="AE181" s="0" t="str">
        <f aca="false" t="array" ref="AE181:AE181">IFERROR(CONCATENATE((INDEX($A$7:$A$100,SMALL(IF($AF$7:$AF$100&lt;&gt;"",IF($AC$7:$AC$100&lt;&gt;"",ROW($AC$7:$AC$100)-MIN(ROW($AC$7:$AC$100))+1,""),""),ROW()-ROW(A$102)+1))),),"")</f>
        <v/>
      </c>
      <c r="AI181" s="0" t="str">
        <f aca="false" t="array" ref="AI181:AI181">IFERROR(CONCATENATE((INDEX($AL$7:$AL$100,SMALL(IF($AL$7:$AL$100&lt;&gt;"",IF($AI$7:$AI$100&lt;&gt;"",ROW($AI$7:$AI$100)-MIN(ROW($AI$7:$AI$100))+1,""),""),ROW()-ROW(A$102)+1)))," "),"")</f>
        <v/>
      </c>
      <c r="AJ181" s="0" t="str">
        <f aca="false" t="array" ref="AJ181:AJ181">IFERROR(CONCATENATE(TEXT(INDEX($AI$7:$AI$100,SMALL(IF($AL$7:$AL$100&lt;&gt;"",IF($AI$7:$AI$100&lt;&gt;"",ROW($AI$7:$AI$100)-MIN(ROW($AI$7:$AI$100))+1,""),""),ROW()-ROW(A$102)+1)),"##0")," "),"")</f>
        <v/>
      </c>
      <c r="AK181" s="0" t="str">
        <f aca="false" t="array" ref="AK181:AK181">IFERROR(CONCATENATE((INDEX($A$7:$A$100,SMALL(IF($AL$7:$AL$100&lt;&gt;"",IF($AI$7:$AI$100&lt;&gt;"",ROW($AI$7:$AI$100)-MIN(ROW($AI$7:$AI$100))+1,""),""),ROW()-ROW(A$102)+1))),),"")</f>
        <v/>
      </c>
    </row>
    <row r="182" customFormat="false" ht="15" hidden="false" customHeight="false" outlineLevel="0" collapsed="false">
      <c r="K182" s="0" t="str">
        <f aca="false" t="array" ref="K182:K182">IFERROR(CONCATENATE(TEXT(INDEX($K$7:$K$100,SMALL(IF($N$7:$N$100&lt;&gt;"",IF($K$7:$K$100&lt;&gt;"",ROW($K$7:$K$100)-MIN(ROW($K$7:$K$100))+1,""),""),ROW()-ROW(A$102)+1)),"##0"),","),"")</f>
        <v/>
      </c>
      <c r="L182" s="0" t="str">
        <f aca="false" t="array" ref="L182:L182">IFERROR(CONCATENATE((INDEX($N$7:$N$100,SMALL(IF($N$7:$N$100&lt;&gt;"",IF($K$7:$K$100&lt;&gt;"",ROW($K$7:$K$100)-MIN(ROW($K$7:$K$100))+1,""),""),ROW()-ROW(A$102)+1))),","),"")</f>
        <v/>
      </c>
      <c r="M182" s="0" t="str">
        <f aca="false" t="array" ref="M182:M182">IFERROR(CONCATENATE((INDEX($A$7:$A$100,SMALL(IF($N$7:$N$100&lt;&gt;"",IF($K$7:$K$100&lt;&gt;"",ROW($K$7:$K$100)-MIN(ROW($K$7:$K$100))+1,""),""),ROW()-ROW(A$102)+1))),),"")</f>
        <v/>
      </c>
      <c r="Q182" s="0" t="str">
        <f aca="false" t="array" ref="Q182:Q182">IFERROR(CONCATENATE((INDEX($T$7:$T$100,SMALL(IF($T$7:$T$100&lt;&gt;"",IF($Q$7:$Q$100&lt;&gt;"",ROW($Q$7:$Q$100)-MIN(ROW($Q$7:$Q$100))+1,""),""),ROW()-ROW(A$102)+1)))," "),"")</f>
        <v/>
      </c>
      <c r="R182" s="0" t="str">
        <f aca="false" t="array" ref="R182:R182">IFERROR(CONCATENATE(TEXT(INDEX($Q$7:$Q$100,SMALL(IF($T$7:$T$100&lt;&gt;"",IF($Q$7:$Q$100&lt;&gt;"",ROW($Q$7:$Q$100)-MIN(ROW($Q$7:$Q$100))+1,""),""),ROW()-ROW(A$102)+1)),"##0")," "),"")</f>
        <v/>
      </c>
      <c r="S182" s="0" t="str">
        <f aca="false" t="array" ref="S182:S182">IFERROR(CONCATENATE((INDEX($A$7:$A$100,SMALL(IF($T$7:$T$100&lt;&gt;"",IF($Q$7:$Q$100&lt;&gt;"",ROW($Q$7:$Q$100)-MIN(ROW($Q$7:$Q$100))+1,""),""),ROW()-ROW(A$102)+1))),),"")</f>
        <v/>
      </c>
      <c r="W182" s="0" t="str">
        <f aca="false" t="array" ref="W182:W182">IFERROR(CONCATENATE((INDEX($Z$7:$Z$100,SMALL(IF($Z$7:$Z$100&lt;&gt;"",IF($W$7:$W$100&lt;&gt;"",ROW($W$7:$W$100)-MIN(ROW($W$7:$W$100))+1,""),""),ROW()-ROW(A$102)+1)))," "),"")</f>
        <v/>
      </c>
      <c r="X182" s="0" t="str">
        <f aca="false" t="array" ref="X182:X182">IFERROR(CONCATENATE(TEXT(INDEX($W$7:$W$100,SMALL(IF($Z$7:$Z$100&lt;&gt;"",IF($W$7:$W$100&lt;&gt;"",ROW($W$7:$W$100)-MIN(ROW($W$7:$W$100))+1,""),""),ROW()-ROW(A$102)+1)),"##0")," "),"")</f>
        <v/>
      </c>
      <c r="Y182" s="0" t="str">
        <f aca="false" t="array" ref="Y182:Y182">IFERROR(CONCATENATE((INDEX($A$7:$A$100,SMALL(IF($Z$7:$Z$100&lt;&gt;"",IF($W$7:$W$100&lt;&gt;"",ROW($W$7:$W$100)-MIN(ROW($W$7:$W$100))+1,""),""),ROW()-ROW(A$102)+1))),),"")</f>
        <v/>
      </c>
      <c r="AC182" s="0" t="str">
        <f aca="false" t="array" ref="AC182:AC182">IFERROR(CONCATENATE((INDEX($AF$7:$AF$100,SMALL(IF($AF$7:$AF$100&lt;&gt;"",IF($AC$7:$AC$100&lt;&gt;"",ROW($AC$7:$AC$100)-MIN(ROW($AC$7:$AC$100))+1,""),""),ROW()-ROW(A$102)+1))),","),"")</f>
        <v/>
      </c>
      <c r="AD182" s="0" t="str">
        <f aca="false" t="array" ref="AD182:AD182">IFERROR(CONCATENATE(TEXT(INDEX($AC$7:$AC$100,SMALL(IF($AF$7:$AF$100&lt;&gt;"",IF($AC$7:$AC$100&lt;&gt;"",ROW($AC$7:$AC$100)-MIN(ROW($AC$7:$AC$100))+1,""),""),ROW()-ROW(A$102)+1)),"##0"),","),"")</f>
        <v/>
      </c>
      <c r="AE182" s="0" t="str">
        <f aca="false" t="array" ref="AE182:AE182">IFERROR(CONCATENATE((INDEX($A$7:$A$100,SMALL(IF($AF$7:$AF$100&lt;&gt;"",IF($AC$7:$AC$100&lt;&gt;"",ROW($AC$7:$AC$100)-MIN(ROW($AC$7:$AC$100))+1,""),""),ROW()-ROW(A$102)+1))),),"")</f>
        <v/>
      </c>
      <c r="AI182" s="0" t="str">
        <f aca="false" t="array" ref="AI182:AI182">IFERROR(CONCATENATE((INDEX($AL$7:$AL$100,SMALL(IF($AL$7:$AL$100&lt;&gt;"",IF($AI$7:$AI$100&lt;&gt;"",ROW($AI$7:$AI$100)-MIN(ROW($AI$7:$AI$100))+1,""),""),ROW()-ROW(A$102)+1)))," "),"")</f>
        <v/>
      </c>
      <c r="AJ182" s="0" t="str">
        <f aca="false" t="array" ref="AJ182:AJ182">IFERROR(CONCATENATE(TEXT(INDEX($AI$7:$AI$100,SMALL(IF($AL$7:$AL$100&lt;&gt;"",IF($AI$7:$AI$100&lt;&gt;"",ROW($AI$7:$AI$100)-MIN(ROW($AI$7:$AI$100))+1,""),""),ROW()-ROW(A$102)+1)),"##0")," "),"")</f>
        <v/>
      </c>
      <c r="AK182" s="0" t="str">
        <f aca="false" t="array" ref="AK182:AK182">IFERROR(CONCATENATE((INDEX($A$7:$A$100,SMALL(IF($AL$7:$AL$100&lt;&gt;"",IF($AI$7:$AI$100&lt;&gt;"",ROW($AI$7:$AI$100)-MIN(ROW($AI$7:$AI$100))+1,""),""),ROW()-ROW(A$102)+1))),),"")</f>
        <v/>
      </c>
    </row>
    <row r="183" customFormat="false" ht="15" hidden="false" customHeight="false" outlineLevel="0" collapsed="false">
      <c r="K183" s="0" t="str">
        <f aca="false" t="array" ref="K183:K183">IFERROR(CONCATENATE(TEXT(INDEX($K$7:$K$100,SMALL(IF($N$7:$N$100&lt;&gt;"",IF($K$7:$K$100&lt;&gt;"",ROW($K$7:$K$100)-MIN(ROW($K$7:$K$100))+1,""),""),ROW()-ROW(A$102)+1)),"##0"),","),"")</f>
        <v/>
      </c>
      <c r="L183" s="0" t="str">
        <f aca="false" t="array" ref="L183:L183">IFERROR(CONCATENATE((INDEX($N$7:$N$100,SMALL(IF($N$7:$N$100&lt;&gt;"",IF($K$7:$K$100&lt;&gt;"",ROW($K$7:$K$100)-MIN(ROW($K$7:$K$100))+1,""),""),ROW()-ROW(A$102)+1))),","),"")</f>
        <v/>
      </c>
      <c r="M183" s="0" t="str">
        <f aca="false" t="array" ref="M183:M183">IFERROR(CONCATENATE((INDEX($A$7:$A$100,SMALL(IF($N$7:$N$100&lt;&gt;"",IF($K$7:$K$100&lt;&gt;"",ROW($K$7:$K$100)-MIN(ROW($K$7:$K$100))+1,""),""),ROW()-ROW(A$102)+1))),),"")</f>
        <v/>
      </c>
      <c r="Q183" s="0" t="str">
        <f aca="false" t="array" ref="Q183:Q183">IFERROR(CONCATENATE((INDEX($T$7:$T$100,SMALL(IF($T$7:$T$100&lt;&gt;"",IF($Q$7:$Q$100&lt;&gt;"",ROW($Q$7:$Q$100)-MIN(ROW($Q$7:$Q$100))+1,""),""),ROW()-ROW(A$102)+1)))," "),"")</f>
        <v/>
      </c>
      <c r="R183" s="0" t="str">
        <f aca="false" t="array" ref="R183:R183">IFERROR(CONCATENATE(TEXT(INDEX($Q$7:$Q$100,SMALL(IF($T$7:$T$100&lt;&gt;"",IF($Q$7:$Q$100&lt;&gt;"",ROW($Q$7:$Q$100)-MIN(ROW($Q$7:$Q$100))+1,""),""),ROW()-ROW(A$102)+1)),"##0")," "),"")</f>
        <v/>
      </c>
      <c r="S183" s="0" t="str">
        <f aca="false" t="array" ref="S183:S183">IFERROR(CONCATENATE((INDEX($A$7:$A$100,SMALL(IF($T$7:$T$100&lt;&gt;"",IF($Q$7:$Q$100&lt;&gt;"",ROW($Q$7:$Q$100)-MIN(ROW($Q$7:$Q$100))+1,""),""),ROW()-ROW(A$102)+1))),),"")</f>
        <v/>
      </c>
      <c r="W183" s="0" t="str">
        <f aca="false" t="array" ref="W183:W183">IFERROR(CONCATENATE((INDEX($Z$7:$Z$100,SMALL(IF($Z$7:$Z$100&lt;&gt;"",IF($W$7:$W$100&lt;&gt;"",ROW($W$7:$W$100)-MIN(ROW($W$7:$W$100))+1,""),""),ROW()-ROW(A$102)+1)))," "),"")</f>
        <v/>
      </c>
      <c r="X183" s="0" t="str">
        <f aca="false" t="array" ref="X183:X183">IFERROR(CONCATENATE(TEXT(INDEX($W$7:$W$100,SMALL(IF($Z$7:$Z$100&lt;&gt;"",IF($W$7:$W$100&lt;&gt;"",ROW($W$7:$W$100)-MIN(ROW($W$7:$W$100))+1,""),""),ROW()-ROW(A$102)+1)),"##0")," "),"")</f>
        <v/>
      </c>
      <c r="Y183" s="0" t="str">
        <f aca="false" t="array" ref="Y183:Y183">IFERROR(CONCATENATE((INDEX($A$7:$A$100,SMALL(IF($Z$7:$Z$100&lt;&gt;"",IF($W$7:$W$100&lt;&gt;"",ROW($W$7:$W$100)-MIN(ROW($W$7:$W$100))+1,""),""),ROW()-ROW(A$102)+1))),),"")</f>
        <v/>
      </c>
      <c r="AC183" s="0" t="str">
        <f aca="false" t="array" ref="AC183:AC183">IFERROR(CONCATENATE((INDEX($AF$7:$AF$100,SMALL(IF($AF$7:$AF$100&lt;&gt;"",IF($AC$7:$AC$100&lt;&gt;"",ROW($AC$7:$AC$100)-MIN(ROW($AC$7:$AC$100))+1,""),""),ROW()-ROW(A$102)+1))),","),"")</f>
        <v/>
      </c>
      <c r="AD183" s="0" t="str">
        <f aca="false" t="array" ref="AD183:AD183">IFERROR(CONCATENATE(TEXT(INDEX($AC$7:$AC$100,SMALL(IF($AF$7:$AF$100&lt;&gt;"",IF($AC$7:$AC$100&lt;&gt;"",ROW($AC$7:$AC$100)-MIN(ROW($AC$7:$AC$100))+1,""),""),ROW()-ROW(A$102)+1)),"##0"),","),"")</f>
        <v/>
      </c>
      <c r="AE183" s="0" t="str">
        <f aca="false" t="array" ref="AE183:AE183">IFERROR(CONCATENATE((INDEX($A$7:$A$100,SMALL(IF($AF$7:$AF$100&lt;&gt;"",IF($AC$7:$AC$100&lt;&gt;"",ROW($AC$7:$AC$100)-MIN(ROW($AC$7:$AC$100))+1,""),""),ROW()-ROW(A$102)+1))),),"")</f>
        <v/>
      </c>
      <c r="AI183" s="0" t="str">
        <f aca="false" t="array" ref="AI183:AI183">IFERROR(CONCATENATE((INDEX($AL$7:$AL$100,SMALL(IF($AL$7:$AL$100&lt;&gt;"",IF($AI$7:$AI$100&lt;&gt;"",ROW($AI$7:$AI$100)-MIN(ROW($AI$7:$AI$100))+1,""),""),ROW()-ROW(A$102)+1)))," "),"")</f>
        <v/>
      </c>
      <c r="AJ183" s="0" t="str">
        <f aca="false" t="array" ref="AJ183:AJ183">IFERROR(CONCATENATE(TEXT(INDEX($AI$7:$AI$100,SMALL(IF($AL$7:$AL$100&lt;&gt;"",IF($AI$7:$AI$100&lt;&gt;"",ROW($AI$7:$AI$100)-MIN(ROW($AI$7:$AI$100))+1,""),""),ROW()-ROW(A$102)+1)),"##0")," "),"")</f>
        <v/>
      </c>
      <c r="AK183" s="0" t="str">
        <f aca="false" t="array" ref="AK183:AK183">IFERROR(CONCATENATE((INDEX($A$7:$A$100,SMALL(IF($AL$7:$AL$100&lt;&gt;"",IF($AI$7:$AI$100&lt;&gt;"",ROW($AI$7:$AI$100)-MIN(ROW($AI$7:$AI$100))+1,""),""),ROW()-ROW(A$102)+1))),),"")</f>
        <v/>
      </c>
    </row>
    <row r="184" customFormat="false" ht="15" hidden="false" customHeight="false" outlineLevel="0" collapsed="false">
      <c r="K184" s="0" t="str">
        <f aca="false" t="array" ref="K184:K184">IFERROR(CONCATENATE(TEXT(INDEX($K$7:$K$100,SMALL(IF($N$7:$N$100&lt;&gt;"",IF($K$7:$K$100&lt;&gt;"",ROW($K$7:$K$100)-MIN(ROW($K$7:$K$100))+1,""),""),ROW()-ROW(A$102)+1)),"##0"),","),"")</f>
        <v/>
      </c>
      <c r="L184" s="0" t="str">
        <f aca="false" t="array" ref="L184:L184">IFERROR(CONCATENATE((INDEX($N$7:$N$100,SMALL(IF($N$7:$N$100&lt;&gt;"",IF($K$7:$K$100&lt;&gt;"",ROW($K$7:$K$100)-MIN(ROW($K$7:$K$100))+1,""),""),ROW()-ROW(A$102)+1))),","),"")</f>
        <v/>
      </c>
      <c r="M184" s="0" t="str">
        <f aca="false" t="array" ref="M184:M184">IFERROR(CONCATENATE((INDEX($A$7:$A$100,SMALL(IF($N$7:$N$100&lt;&gt;"",IF($K$7:$K$100&lt;&gt;"",ROW($K$7:$K$100)-MIN(ROW($K$7:$K$100))+1,""),""),ROW()-ROW(A$102)+1))),),"")</f>
        <v/>
      </c>
      <c r="Q184" s="0" t="str">
        <f aca="false" t="array" ref="Q184:Q184">IFERROR(CONCATENATE((INDEX($T$7:$T$100,SMALL(IF($T$7:$T$100&lt;&gt;"",IF($Q$7:$Q$100&lt;&gt;"",ROW($Q$7:$Q$100)-MIN(ROW($Q$7:$Q$100))+1,""),""),ROW()-ROW(A$102)+1)))," "),"")</f>
        <v/>
      </c>
      <c r="R184" s="0" t="str">
        <f aca="false" t="array" ref="R184:R184">IFERROR(CONCATENATE(TEXT(INDEX($Q$7:$Q$100,SMALL(IF($T$7:$T$100&lt;&gt;"",IF($Q$7:$Q$100&lt;&gt;"",ROW($Q$7:$Q$100)-MIN(ROW($Q$7:$Q$100))+1,""),""),ROW()-ROW(A$102)+1)),"##0")," "),"")</f>
        <v/>
      </c>
      <c r="S184" s="0" t="str">
        <f aca="false" t="array" ref="S184:S184">IFERROR(CONCATENATE((INDEX($A$7:$A$100,SMALL(IF($T$7:$T$100&lt;&gt;"",IF($Q$7:$Q$100&lt;&gt;"",ROW($Q$7:$Q$100)-MIN(ROW($Q$7:$Q$100))+1,""),""),ROW()-ROW(A$102)+1))),),"")</f>
        <v/>
      </c>
      <c r="W184" s="0" t="str">
        <f aca="false" t="array" ref="W184:W184">IFERROR(CONCATENATE((INDEX($Z$7:$Z$100,SMALL(IF($Z$7:$Z$100&lt;&gt;"",IF($W$7:$W$100&lt;&gt;"",ROW($W$7:$W$100)-MIN(ROW($W$7:$W$100))+1,""),""),ROW()-ROW(A$102)+1)))," "),"")</f>
        <v/>
      </c>
      <c r="X184" s="0" t="str">
        <f aca="false" t="array" ref="X184:X184">IFERROR(CONCATENATE(TEXT(INDEX($W$7:$W$100,SMALL(IF($Z$7:$Z$100&lt;&gt;"",IF($W$7:$W$100&lt;&gt;"",ROW($W$7:$W$100)-MIN(ROW($W$7:$W$100))+1,""),""),ROW()-ROW(A$102)+1)),"##0")," "),"")</f>
        <v/>
      </c>
      <c r="Y184" s="0" t="str">
        <f aca="false" t="array" ref="Y184:Y184">IFERROR(CONCATENATE((INDEX($A$7:$A$100,SMALL(IF($Z$7:$Z$100&lt;&gt;"",IF($W$7:$W$100&lt;&gt;"",ROW($W$7:$W$100)-MIN(ROW($W$7:$W$100))+1,""),""),ROW()-ROW(A$102)+1))),),"")</f>
        <v/>
      </c>
      <c r="AC184" s="0" t="str">
        <f aca="false" t="array" ref="AC184:AC184">IFERROR(CONCATENATE((INDEX($AF$7:$AF$100,SMALL(IF($AF$7:$AF$100&lt;&gt;"",IF($AC$7:$AC$100&lt;&gt;"",ROW($AC$7:$AC$100)-MIN(ROW($AC$7:$AC$100))+1,""),""),ROW()-ROW(A$102)+1))),","),"")</f>
        <v/>
      </c>
      <c r="AD184" s="0" t="str">
        <f aca="false" t="array" ref="AD184:AD184">IFERROR(CONCATENATE(TEXT(INDEX($AC$7:$AC$100,SMALL(IF($AF$7:$AF$100&lt;&gt;"",IF($AC$7:$AC$100&lt;&gt;"",ROW($AC$7:$AC$100)-MIN(ROW($AC$7:$AC$100))+1,""),""),ROW()-ROW(A$102)+1)),"##0"),","),"")</f>
        <v/>
      </c>
      <c r="AE184" s="0" t="str">
        <f aca="false" t="array" ref="AE184:AE184">IFERROR(CONCATENATE((INDEX($A$7:$A$100,SMALL(IF($AF$7:$AF$100&lt;&gt;"",IF($AC$7:$AC$100&lt;&gt;"",ROW($AC$7:$AC$100)-MIN(ROW($AC$7:$AC$100))+1,""),""),ROW()-ROW(A$102)+1))),),"")</f>
        <v/>
      </c>
      <c r="AI184" s="0" t="str">
        <f aca="false" t="array" ref="AI184:AI184">IFERROR(CONCATENATE((INDEX($AL$7:$AL$100,SMALL(IF($AL$7:$AL$100&lt;&gt;"",IF($AI$7:$AI$100&lt;&gt;"",ROW($AI$7:$AI$100)-MIN(ROW($AI$7:$AI$100))+1,""),""),ROW()-ROW(A$102)+1)))," "),"")</f>
        <v/>
      </c>
      <c r="AJ184" s="0" t="str">
        <f aca="false" t="array" ref="AJ184:AJ184">IFERROR(CONCATENATE(TEXT(INDEX($AI$7:$AI$100,SMALL(IF($AL$7:$AL$100&lt;&gt;"",IF($AI$7:$AI$100&lt;&gt;"",ROW($AI$7:$AI$100)-MIN(ROW($AI$7:$AI$100))+1,""),""),ROW()-ROW(A$102)+1)),"##0")," "),"")</f>
        <v/>
      </c>
      <c r="AK184" s="0" t="str">
        <f aca="false" t="array" ref="AK184:AK184">IFERROR(CONCATENATE((INDEX($A$7:$A$100,SMALL(IF($AL$7:$AL$100&lt;&gt;"",IF($AI$7:$AI$100&lt;&gt;"",ROW($AI$7:$AI$100)-MIN(ROW($AI$7:$AI$100))+1,""),""),ROW()-ROW(A$102)+1))),),"")</f>
        <v/>
      </c>
    </row>
    <row r="185" customFormat="false" ht="15" hidden="false" customHeight="false" outlineLevel="0" collapsed="false">
      <c r="K185" s="0" t="str">
        <f aca="false" t="array" ref="K185:K185">IFERROR(CONCATENATE(TEXT(INDEX($K$7:$K$100,SMALL(IF($N$7:$N$100&lt;&gt;"",IF($K$7:$K$100&lt;&gt;"",ROW($K$7:$K$100)-MIN(ROW($K$7:$K$100))+1,""),""),ROW()-ROW(A$102)+1)),"##0"),","),"")</f>
        <v/>
      </c>
      <c r="L185" s="0" t="str">
        <f aca="false" t="array" ref="L185:L185">IFERROR(CONCATENATE((INDEX($N$7:$N$100,SMALL(IF($N$7:$N$100&lt;&gt;"",IF($K$7:$K$100&lt;&gt;"",ROW($K$7:$K$100)-MIN(ROW($K$7:$K$100))+1,""),""),ROW()-ROW(A$102)+1))),","),"")</f>
        <v/>
      </c>
      <c r="M185" s="0" t="str">
        <f aca="false" t="array" ref="M185:M185">IFERROR(CONCATENATE((INDEX($A$7:$A$100,SMALL(IF($N$7:$N$100&lt;&gt;"",IF($K$7:$K$100&lt;&gt;"",ROW($K$7:$K$100)-MIN(ROW($K$7:$K$100))+1,""),""),ROW()-ROW(A$102)+1))),),"")</f>
        <v/>
      </c>
      <c r="Q185" s="0" t="str">
        <f aca="false" t="array" ref="Q185:Q185">IFERROR(CONCATENATE((INDEX($T$7:$T$100,SMALL(IF($T$7:$T$100&lt;&gt;"",IF($Q$7:$Q$100&lt;&gt;"",ROW($Q$7:$Q$100)-MIN(ROW($Q$7:$Q$100))+1,""),""),ROW()-ROW(A$102)+1)))," "),"")</f>
        <v/>
      </c>
      <c r="R185" s="0" t="str">
        <f aca="false" t="array" ref="R185:R185">IFERROR(CONCATENATE(TEXT(INDEX($Q$7:$Q$100,SMALL(IF($T$7:$T$100&lt;&gt;"",IF($Q$7:$Q$100&lt;&gt;"",ROW($Q$7:$Q$100)-MIN(ROW($Q$7:$Q$100))+1,""),""),ROW()-ROW(A$102)+1)),"##0")," "),"")</f>
        <v/>
      </c>
      <c r="S185" s="0" t="str">
        <f aca="false" t="array" ref="S185:S185">IFERROR(CONCATENATE((INDEX($A$7:$A$100,SMALL(IF($T$7:$T$100&lt;&gt;"",IF($Q$7:$Q$100&lt;&gt;"",ROW($Q$7:$Q$100)-MIN(ROW($Q$7:$Q$100))+1,""),""),ROW()-ROW(A$102)+1))),),"")</f>
        <v/>
      </c>
      <c r="W185" s="0" t="str">
        <f aca="false" t="array" ref="W185:W185">IFERROR(CONCATENATE((INDEX($Z$7:$Z$100,SMALL(IF($Z$7:$Z$100&lt;&gt;"",IF($W$7:$W$100&lt;&gt;"",ROW($W$7:$W$100)-MIN(ROW($W$7:$W$100))+1,""),""),ROW()-ROW(A$102)+1)))," "),"")</f>
        <v/>
      </c>
      <c r="X185" s="0" t="str">
        <f aca="false" t="array" ref="X185:X185">IFERROR(CONCATENATE(TEXT(INDEX($W$7:$W$100,SMALL(IF($Z$7:$Z$100&lt;&gt;"",IF($W$7:$W$100&lt;&gt;"",ROW($W$7:$W$100)-MIN(ROW($W$7:$W$100))+1,""),""),ROW()-ROW(A$102)+1)),"##0")," "),"")</f>
        <v/>
      </c>
      <c r="Y185" s="0" t="str">
        <f aca="false" t="array" ref="Y185:Y185">IFERROR(CONCATENATE((INDEX($A$7:$A$100,SMALL(IF($Z$7:$Z$100&lt;&gt;"",IF($W$7:$W$100&lt;&gt;"",ROW($W$7:$W$100)-MIN(ROW($W$7:$W$100))+1,""),""),ROW()-ROW(A$102)+1))),),"")</f>
        <v/>
      </c>
      <c r="AC185" s="0" t="str">
        <f aca="false" t="array" ref="AC185:AC185">IFERROR(CONCATENATE((INDEX($AF$7:$AF$100,SMALL(IF($AF$7:$AF$100&lt;&gt;"",IF($AC$7:$AC$100&lt;&gt;"",ROW($AC$7:$AC$100)-MIN(ROW($AC$7:$AC$100))+1,""),""),ROW()-ROW(A$102)+1))),","),"")</f>
        <v/>
      </c>
      <c r="AD185" s="0" t="str">
        <f aca="false" t="array" ref="AD185:AD185">IFERROR(CONCATENATE(TEXT(INDEX($AC$7:$AC$100,SMALL(IF($AF$7:$AF$100&lt;&gt;"",IF($AC$7:$AC$100&lt;&gt;"",ROW($AC$7:$AC$100)-MIN(ROW($AC$7:$AC$100))+1,""),""),ROW()-ROW(A$102)+1)),"##0"),","),"")</f>
        <v/>
      </c>
      <c r="AE185" s="0" t="str">
        <f aca="false" t="array" ref="AE185:AE185">IFERROR(CONCATENATE((INDEX($A$7:$A$100,SMALL(IF($AF$7:$AF$100&lt;&gt;"",IF($AC$7:$AC$100&lt;&gt;"",ROW($AC$7:$AC$100)-MIN(ROW($AC$7:$AC$100))+1,""),""),ROW()-ROW(A$102)+1))),),"")</f>
        <v/>
      </c>
      <c r="AI185" s="0" t="str">
        <f aca="false" t="array" ref="AI185:AI185">IFERROR(CONCATENATE((INDEX($AL$7:$AL$100,SMALL(IF($AL$7:$AL$100&lt;&gt;"",IF($AI$7:$AI$100&lt;&gt;"",ROW($AI$7:$AI$100)-MIN(ROW($AI$7:$AI$100))+1,""),""),ROW()-ROW(A$102)+1)))," "),"")</f>
        <v/>
      </c>
      <c r="AJ185" s="0" t="str">
        <f aca="false" t="array" ref="AJ185:AJ185">IFERROR(CONCATENATE(TEXT(INDEX($AI$7:$AI$100,SMALL(IF($AL$7:$AL$100&lt;&gt;"",IF($AI$7:$AI$100&lt;&gt;"",ROW($AI$7:$AI$100)-MIN(ROW($AI$7:$AI$100))+1,""),""),ROW()-ROW(A$102)+1)),"##0")," "),"")</f>
        <v/>
      </c>
      <c r="AK185" s="0" t="str">
        <f aca="false" t="array" ref="AK185:AK185">IFERROR(CONCATENATE((INDEX($A$7:$A$100,SMALL(IF($AL$7:$AL$100&lt;&gt;"",IF($AI$7:$AI$100&lt;&gt;"",ROW($AI$7:$AI$100)-MIN(ROW($AI$7:$AI$100))+1,""),""),ROW()-ROW(A$102)+1))),),"")</f>
        <v/>
      </c>
    </row>
    <row r="186" customFormat="false" ht="15" hidden="false" customHeight="false" outlineLevel="0" collapsed="false">
      <c r="K186" s="0" t="str">
        <f aca="false" t="array" ref="K186:K186">IFERROR(CONCATENATE(TEXT(INDEX($K$7:$K$100,SMALL(IF($N$7:$N$100&lt;&gt;"",IF($K$7:$K$100&lt;&gt;"",ROW($K$7:$K$100)-MIN(ROW($K$7:$K$100))+1,""),""),ROW()-ROW(A$102)+1)),"##0"),","),"")</f>
        <v/>
      </c>
      <c r="L186" s="0" t="str">
        <f aca="false" t="array" ref="L186:L186">IFERROR(CONCATENATE((INDEX($N$7:$N$100,SMALL(IF($N$7:$N$100&lt;&gt;"",IF($K$7:$K$100&lt;&gt;"",ROW($K$7:$K$100)-MIN(ROW($K$7:$K$100))+1,""),""),ROW()-ROW(A$102)+1))),","),"")</f>
        <v/>
      </c>
      <c r="M186" s="0" t="str">
        <f aca="false" t="array" ref="M186:M186">IFERROR(CONCATENATE((INDEX($A$7:$A$100,SMALL(IF($N$7:$N$100&lt;&gt;"",IF($K$7:$K$100&lt;&gt;"",ROW($K$7:$K$100)-MIN(ROW($K$7:$K$100))+1,""),""),ROW()-ROW(A$102)+1))),),"")</f>
        <v/>
      </c>
      <c r="Q186" s="0" t="str">
        <f aca="false" t="array" ref="Q186:Q186">IFERROR(CONCATENATE((INDEX($T$7:$T$100,SMALL(IF($T$7:$T$100&lt;&gt;"",IF($Q$7:$Q$100&lt;&gt;"",ROW($Q$7:$Q$100)-MIN(ROW($Q$7:$Q$100))+1,""),""),ROW()-ROW(A$102)+1)))," "),"")</f>
        <v/>
      </c>
      <c r="R186" s="0" t="str">
        <f aca="false" t="array" ref="R186:R186">IFERROR(CONCATENATE(TEXT(INDEX($Q$7:$Q$100,SMALL(IF($T$7:$T$100&lt;&gt;"",IF($Q$7:$Q$100&lt;&gt;"",ROW($Q$7:$Q$100)-MIN(ROW($Q$7:$Q$100))+1,""),""),ROW()-ROW(A$102)+1)),"##0")," "),"")</f>
        <v/>
      </c>
      <c r="S186" s="0" t="str">
        <f aca="false" t="array" ref="S186:S186">IFERROR(CONCATENATE((INDEX($A$7:$A$100,SMALL(IF($T$7:$T$100&lt;&gt;"",IF($Q$7:$Q$100&lt;&gt;"",ROW($Q$7:$Q$100)-MIN(ROW($Q$7:$Q$100))+1,""),""),ROW()-ROW(A$102)+1))),),"")</f>
        <v/>
      </c>
      <c r="W186" s="0" t="str">
        <f aca="false" t="array" ref="W186:W186">IFERROR(CONCATENATE((INDEX($Z$7:$Z$100,SMALL(IF($Z$7:$Z$100&lt;&gt;"",IF($W$7:$W$100&lt;&gt;"",ROW($W$7:$W$100)-MIN(ROW($W$7:$W$100))+1,""),""),ROW()-ROW(A$102)+1)))," "),"")</f>
        <v/>
      </c>
      <c r="X186" s="0" t="str">
        <f aca="false" t="array" ref="X186:X186">IFERROR(CONCATENATE(TEXT(INDEX($W$7:$W$100,SMALL(IF($Z$7:$Z$100&lt;&gt;"",IF($W$7:$W$100&lt;&gt;"",ROW($W$7:$W$100)-MIN(ROW($W$7:$W$100))+1,""),""),ROW()-ROW(A$102)+1)),"##0")," "),"")</f>
        <v/>
      </c>
      <c r="Y186" s="0" t="str">
        <f aca="false" t="array" ref="Y186:Y186">IFERROR(CONCATENATE((INDEX($A$7:$A$100,SMALL(IF($Z$7:$Z$100&lt;&gt;"",IF($W$7:$W$100&lt;&gt;"",ROW($W$7:$W$100)-MIN(ROW($W$7:$W$100))+1,""),""),ROW()-ROW(A$102)+1))),),"")</f>
        <v/>
      </c>
      <c r="AC186" s="0" t="str">
        <f aca="false" t="array" ref="AC186:AC186">IFERROR(CONCATENATE((INDEX($AF$7:$AF$100,SMALL(IF($AF$7:$AF$100&lt;&gt;"",IF($AC$7:$AC$100&lt;&gt;"",ROW($AC$7:$AC$100)-MIN(ROW($AC$7:$AC$100))+1,""),""),ROW()-ROW(A$102)+1))),","),"")</f>
        <v/>
      </c>
      <c r="AD186" s="0" t="str">
        <f aca="false" t="array" ref="AD186:AD186">IFERROR(CONCATENATE(TEXT(INDEX($AC$7:$AC$100,SMALL(IF($AF$7:$AF$100&lt;&gt;"",IF($AC$7:$AC$100&lt;&gt;"",ROW($AC$7:$AC$100)-MIN(ROW($AC$7:$AC$100))+1,""),""),ROW()-ROW(A$102)+1)),"##0"),","),"")</f>
        <v/>
      </c>
      <c r="AE186" s="0" t="str">
        <f aca="false" t="array" ref="AE186:AE186">IFERROR(CONCATENATE((INDEX($A$7:$A$100,SMALL(IF($AF$7:$AF$100&lt;&gt;"",IF($AC$7:$AC$100&lt;&gt;"",ROW($AC$7:$AC$100)-MIN(ROW($AC$7:$AC$100))+1,""),""),ROW()-ROW(A$102)+1))),),"")</f>
        <v/>
      </c>
      <c r="AI186" s="0" t="str">
        <f aca="false" t="array" ref="AI186:AI186">IFERROR(CONCATENATE((INDEX($AL$7:$AL$100,SMALL(IF($AL$7:$AL$100&lt;&gt;"",IF($AI$7:$AI$100&lt;&gt;"",ROW($AI$7:$AI$100)-MIN(ROW($AI$7:$AI$100))+1,""),""),ROW()-ROW(A$102)+1)))," "),"")</f>
        <v/>
      </c>
      <c r="AJ186" s="0" t="str">
        <f aca="false" t="array" ref="AJ186:AJ186">IFERROR(CONCATENATE(TEXT(INDEX($AI$7:$AI$100,SMALL(IF($AL$7:$AL$100&lt;&gt;"",IF($AI$7:$AI$100&lt;&gt;"",ROW($AI$7:$AI$100)-MIN(ROW($AI$7:$AI$100))+1,""),""),ROW()-ROW(A$102)+1)),"##0")," "),"")</f>
        <v/>
      </c>
      <c r="AK186" s="0" t="str">
        <f aca="false" t="array" ref="AK186:AK186">IFERROR(CONCATENATE((INDEX($A$7:$A$100,SMALL(IF($AL$7:$AL$100&lt;&gt;"",IF($AI$7:$AI$100&lt;&gt;"",ROW($AI$7:$AI$100)-MIN(ROW($AI$7:$AI$100))+1,""),""),ROW()-ROW(A$102)+1))),),"")</f>
        <v/>
      </c>
    </row>
    <row r="187" customFormat="false" ht="15" hidden="false" customHeight="false" outlineLevel="0" collapsed="false">
      <c r="K187" s="0" t="str">
        <f aca="false" t="array" ref="K187:K187">IFERROR(CONCATENATE(TEXT(INDEX($K$7:$K$100,SMALL(IF($N$7:$N$100&lt;&gt;"",IF($K$7:$K$100&lt;&gt;"",ROW($K$7:$K$100)-MIN(ROW($K$7:$K$100))+1,""),""),ROW()-ROW(A$102)+1)),"##0"),","),"")</f>
        <v/>
      </c>
      <c r="L187" s="0" t="str">
        <f aca="false" t="array" ref="L187:L187">IFERROR(CONCATENATE((INDEX($N$7:$N$100,SMALL(IF($N$7:$N$100&lt;&gt;"",IF($K$7:$K$100&lt;&gt;"",ROW($K$7:$K$100)-MIN(ROW($K$7:$K$100))+1,""),""),ROW()-ROW(A$102)+1))),","),"")</f>
        <v/>
      </c>
      <c r="M187" s="0" t="str">
        <f aca="false" t="array" ref="M187:M187">IFERROR(CONCATENATE((INDEX($A$7:$A$100,SMALL(IF($N$7:$N$100&lt;&gt;"",IF($K$7:$K$100&lt;&gt;"",ROW($K$7:$K$100)-MIN(ROW($K$7:$K$100))+1,""),""),ROW()-ROW(A$102)+1))),),"")</f>
        <v/>
      </c>
      <c r="Q187" s="0" t="str">
        <f aca="false" t="array" ref="Q187:Q187">IFERROR(CONCATENATE((INDEX($T$7:$T$100,SMALL(IF($T$7:$T$100&lt;&gt;"",IF($Q$7:$Q$100&lt;&gt;"",ROW($Q$7:$Q$100)-MIN(ROW($Q$7:$Q$100))+1,""),""),ROW()-ROW(A$102)+1)))," "),"")</f>
        <v/>
      </c>
      <c r="R187" s="0" t="str">
        <f aca="false" t="array" ref="R187:R187">IFERROR(CONCATENATE(TEXT(INDEX($Q$7:$Q$100,SMALL(IF($T$7:$T$100&lt;&gt;"",IF($Q$7:$Q$100&lt;&gt;"",ROW($Q$7:$Q$100)-MIN(ROW($Q$7:$Q$100))+1,""),""),ROW()-ROW(A$102)+1)),"##0")," "),"")</f>
        <v/>
      </c>
      <c r="S187" s="0" t="str">
        <f aca="false" t="array" ref="S187:S187">IFERROR(CONCATENATE((INDEX($A$7:$A$100,SMALL(IF($T$7:$T$100&lt;&gt;"",IF($Q$7:$Q$100&lt;&gt;"",ROW($Q$7:$Q$100)-MIN(ROW($Q$7:$Q$100))+1,""),""),ROW()-ROW(A$102)+1))),),"")</f>
        <v/>
      </c>
      <c r="W187" s="0" t="str">
        <f aca="false" t="array" ref="W187:W187">IFERROR(CONCATENATE((INDEX($Z$7:$Z$100,SMALL(IF($Z$7:$Z$100&lt;&gt;"",IF($W$7:$W$100&lt;&gt;"",ROW($W$7:$W$100)-MIN(ROW($W$7:$W$100))+1,""),""),ROW()-ROW(A$102)+1)))," "),"")</f>
        <v/>
      </c>
      <c r="X187" s="0" t="str">
        <f aca="false" t="array" ref="X187:X187">IFERROR(CONCATENATE(TEXT(INDEX($W$7:$W$100,SMALL(IF($Z$7:$Z$100&lt;&gt;"",IF($W$7:$W$100&lt;&gt;"",ROW($W$7:$W$100)-MIN(ROW($W$7:$W$100))+1,""),""),ROW()-ROW(A$102)+1)),"##0")," "),"")</f>
        <v/>
      </c>
      <c r="Y187" s="0" t="str">
        <f aca="false" t="array" ref="Y187:Y187">IFERROR(CONCATENATE((INDEX($A$7:$A$100,SMALL(IF($Z$7:$Z$100&lt;&gt;"",IF($W$7:$W$100&lt;&gt;"",ROW($W$7:$W$100)-MIN(ROW($W$7:$W$100))+1,""),""),ROW()-ROW(A$102)+1))),),"")</f>
        <v/>
      </c>
      <c r="AC187" s="0" t="str">
        <f aca="false" t="array" ref="AC187:AC187">IFERROR(CONCATENATE((INDEX($AF$7:$AF$100,SMALL(IF($AF$7:$AF$100&lt;&gt;"",IF($AC$7:$AC$100&lt;&gt;"",ROW($AC$7:$AC$100)-MIN(ROW($AC$7:$AC$100))+1,""),""),ROW()-ROW(A$102)+1))),","),"")</f>
        <v/>
      </c>
      <c r="AD187" s="0" t="str">
        <f aca="false" t="array" ref="AD187:AD187">IFERROR(CONCATENATE(TEXT(INDEX($AC$7:$AC$100,SMALL(IF($AF$7:$AF$100&lt;&gt;"",IF($AC$7:$AC$100&lt;&gt;"",ROW($AC$7:$AC$100)-MIN(ROW($AC$7:$AC$100))+1,""),""),ROW()-ROW(A$102)+1)),"##0"),","),"")</f>
        <v/>
      </c>
      <c r="AE187" s="0" t="str">
        <f aca="false" t="array" ref="AE187:AE187">IFERROR(CONCATENATE((INDEX($A$7:$A$100,SMALL(IF($AF$7:$AF$100&lt;&gt;"",IF($AC$7:$AC$100&lt;&gt;"",ROW($AC$7:$AC$100)-MIN(ROW($AC$7:$AC$100))+1,""),""),ROW()-ROW(A$102)+1))),),"")</f>
        <v/>
      </c>
      <c r="AI187" s="0" t="str">
        <f aca="false" t="array" ref="AI187:AI187">IFERROR(CONCATENATE((INDEX($AL$7:$AL$100,SMALL(IF($AL$7:$AL$100&lt;&gt;"",IF($AI$7:$AI$100&lt;&gt;"",ROW($AI$7:$AI$100)-MIN(ROW($AI$7:$AI$100))+1,""),""),ROW()-ROW(A$102)+1)))," "),"")</f>
        <v/>
      </c>
      <c r="AJ187" s="0" t="str">
        <f aca="false" t="array" ref="AJ187:AJ187">IFERROR(CONCATENATE(TEXT(INDEX($AI$7:$AI$100,SMALL(IF($AL$7:$AL$100&lt;&gt;"",IF($AI$7:$AI$100&lt;&gt;"",ROW($AI$7:$AI$100)-MIN(ROW($AI$7:$AI$100))+1,""),""),ROW()-ROW(A$102)+1)),"##0")," "),"")</f>
        <v/>
      </c>
      <c r="AK187" s="0" t="str">
        <f aca="false" t="array" ref="AK187:AK187">IFERROR(CONCATENATE((INDEX($A$7:$A$100,SMALL(IF($AL$7:$AL$100&lt;&gt;"",IF($AI$7:$AI$100&lt;&gt;"",ROW($AI$7:$AI$100)-MIN(ROW($AI$7:$AI$100))+1,""),""),ROW()-ROW(A$102)+1))),),"")</f>
        <v/>
      </c>
    </row>
    <row r="188" customFormat="false" ht="15" hidden="false" customHeight="false" outlineLevel="0" collapsed="false">
      <c r="K188" s="0" t="str">
        <f aca="false" t="array" ref="K188:K188">IFERROR(CONCATENATE(TEXT(INDEX($K$7:$K$100,SMALL(IF($N$7:$N$100&lt;&gt;"",IF($K$7:$K$100&lt;&gt;"",ROW($K$7:$K$100)-MIN(ROW($K$7:$K$100))+1,""),""),ROW()-ROW(A$102)+1)),"##0"),","),"")</f>
        <v/>
      </c>
      <c r="L188" s="0" t="str">
        <f aca="false" t="array" ref="L188:L188">IFERROR(CONCATENATE((INDEX($N$7:$N$100,SMALL(IF($N$7:$N$100&lt;&gt;"",IF($K$7:$K$100&lt;&gt;"",ROW($K$7:$K$100)-MIN(ROW($K$7:$K$100))+1,""),""),ROW()-ROW(A$102)+1))),","),"")</f>
        <v/>
      </c>
      <c r="M188" s="0" t="str">
        <f aca="false" t="array" ref="M188:M188">IFERROR(CONCATENATE((INDEX($A$7:$A$100,SMALL(IF($N$7:$N$100&lt;&gt;"",IF($K$7:$K$100&lt;&gt;"",ROW($K$7:$K$100)-MIN(ROW($K$7:$K$100))+1,""),""),ROW()-ROW(A$102)+1))),),"")</f>
        <v/>
      </c>
      <c r="Q188" s="0" t="str">
        <f aca="false" t="array" ref="Q188:Q188">IFERROR(CONCATENATE((INDEX($T$7:$T$100,SMALL(IF($T$7:$T$100&lt;&gt;"",IF($Q$7:$Q$100&lt;&gt;"",ROW($Q$7:$Q$100)-MIN(ROW($Q$7:$Q$100))+1,""),""),ROW()-ROW(A$102)+1)))," "),"")</f>
        <v/>
      </c>
      <c r="R188" s="0" t="str">
        <f aca="false" t="array" ref="R188:R188">IFERROR(CONCATENATE(TEXT(INDEX($Q$7:$Q$100,SMALL(IF($T$7:$T$100&lt;&gt;"",IF($Q$7:$Q$100&lt;&gt;"",ROW($Q$7:$Q$100)-MIN(ROW($Q$7:$Q$100))+1,""),""),ROW()-ROW(A$102)+1)),"##0")," "),"")</f>
        <v/>
      </c>
      <c r="S188" s="0" t="str">
        <f aca="false" t="array" ref="S188:S188">IFERROR(CONCATENATE((INDEX($A$7:$A$100,SMALL(IF($T$7:$T$100&lt;&gt;"",IF($Q$7:$Q$100&lt;&gt;"",ROW($Q$7:$Q$100)-MIN(ROW($Q$7:$Q$100))+1,""),""),ROW()-ROW(A$102)+1))),),"")</f>
        <v/>
      </c>
      <c r="W188" s="0" t="str">
        <f aca="false" t="array" ref="W188:W188">IFERROR(CONCATENATE((INDEX($Z$7:$Z$100,SMALL(IF($Z$7:$Z$100&lt;&gt;"",IF($W$7:$W$100&lt;&gt;"",ROW($W$7:$W$100)-MIN(ROW($W$7:$W$100))+1,""),""),ROW()-ROW(A$102)+1)))," "),"")</f>
        <v/>
      </c>
      <c r="X188" s="0" t="str">
        <f aca="false" t="array" ref="X188:X188">IFERROR(CONCATENATE(TEXT(INDEX($W$7:$W$100,SMALL(IF($Z$7:$Z$100&lt;&gt;"",IF($W$7:$W$100&lt;&gt;"",ROW($W$7:$W$100)-MIN(ROW($W$7:$W$100))+1,""),""),ROW()-ROW(A$102)+1)),"##0")," "),"")</f>
        <v/>
      </c>
      <c r="Y188" s="0" t="str">
        <f aca="false" t="array" ref="Y188:Y188">IFERROR(CONCATENATE((INDEX($A$7:$A$100,SMALL(IF($Z$7:$Z$100&lt;&gt;"",IF($W$7:$W$100&lt;&gt;"",ROW($W$7:$W$100)-MIN(ROW($W$7:$W$100))+1,""),""),ROW()-ROW(A$102)+1))),),"")</f>
        <v/>
      </c>
      <c r="AC188" s="0" t="str">
        <f aca="false" t="array" ref="AC188:AC188">IFERROR(CONCATENATE((INDEX($AF$7:$AF$100,SMALL(IF($AF$7:$AF$100&lt;&gt;"",IF($AC$7:$AC$100&lt;&gt;"",ROW($AC$7:$AC$100)-MIN(ROW($AC$7:$AC$100))+1,""),""),ROW()-ROW(A$102)+1))),","),"")</f>
        <v/>
      </c>
      <c r="AD188" s="0" t="str">
        <f aca="false" t="array" ref="AD188:AD188">IFERROR(CONCATENATE(TEXT(INDEX($AC$7:$AC$100,SMALL(IF($AF$7:$AF$100&lt;&gt;"",IF($AC$7:$AC$100&lt;&gt;"",ROW($AC$7:$AC$100)-MIN(ROW($AC$7:$AC$100))+1,""),""),ROW()-ROW(A$102)+1)),"##0"),","),"")</f>
        <v/>
      </c>
      <c r="AE188" s="0" t="str">
        <f aca="false" t="array" ref="AE188:AE188">IFERROR(CONCATENATE((INDEX($A$7:$A$100,SMALL(IF($AF$7:$AF$100&lt;&gt;"",IF($AC$7:$AC$100&lt;&gt;"",ROW($AC$7:$AC$100)-MIN(ROW($AC$7:$AC$100))+1,""),""),ROW()-ROW(A$102)+1))),),"")</f>
        <v/>
      </c>
      <c r="AI188" s="0" t="str">
        <f aca="false" t="array" ref="AI188:AI188">IFERROR(CONCATENATE((INDEX($AL$7:$AL$100,SMALL(IF($AL$7:$AL$100&lt;&gt;"",IF($AI$7:$AI$100&lt;&gt;"",ROW($AI$7:$AI$100)-MIN(ROW($AI$7:$AI$100))+1,""),""),ROW()-ROW(A$102)+1)))," "),"")</f>
        <v/>
      </c>
      <c r="AJ188" s="0" t="str">
        <f aca="false" t="array" ref="AJ188:AJ188">IFERROR(CONCATENATE(TEXT(INDEX($AI$7:$AI$100,SMALL(IF($AL$7:$AL$100&lt;&gt;"",IF($AI$7:$AI$100&lt;&gt;"",ROW($AI$7:$AI$100)-MIN(ROW($AI$7:$AI$100))+1,""),""),ROW()-ROW(A$102)+1)),"##0")," "),"")</f>
        <v/>
      </c>
      <c r="AK188" s="0" t="str">
        <f aca="false" t="array" ref="AK188:AK188">IFERROR(CONCATENATE((INDEX($A$7:$A$100,SMALL(IF($AL$7:$AL$100&lt;&gt;"",IF($AI$7:$AI$100&lt;&gt;"",ROW($AI$7:$AI$100)-MIN(ROW($AI$7:$AI$100))+1,""),""),ROW()-ROW(A$102)+1))),),"")</f>
        <v/>
      </c>
    </row>
    <row r="189" customFormat="false" ht="15" hidden="false" customHeight="false" outlineLevel="0" collapsed="false">
      <c r="K189" s="0" t="str">
        <f aca="false" t="array" ref="K189:K189">IFERROR(CONCATENATE(TEXT(INDEX($K$7:$K$100,SMALL(IF($N$7:$N$100&lt;&gt;"",IF($K$7:$K$100&lt;&gt;"",ROW($K$7:$K$100)-MIN(ROW($K$7:$K$100))+1,""),""),ROW()-ROW(A$102)+1)),"##0"),","),"")</f>
        <v/>
      </c>
      <c r="L189" s="0" t="str">
        <f aca="false" t="array" ref="L189:L189">IFERROR(CONCATENATE((INDEX($N$7:$N$100,SMALL(IF($N$7:$N$100&lt;&gt;"",IF($K$7:$K$100&lt;&gt;"",ROW($K$7:$K$100)-MIN(ROW($K$7:$K$100))+1,""),""),ROW()-ROW(A$102)+1))),","),"")</f>
        <v/>
      </c>
      <c r="M189" s="0" t="str">
        <f aca="false" t="array" ref="M189:M189">IFERROR(CONCATENATE((INDEX($A$7:$A$100,SMALL(IF($N$7:$N$100&lt;&gt;"",IF($K$7:$K$100&lt;&gt;"",ROW($K$7:$K$100)-MIN(ROW($K$7:$K$100))+1,""),""),ROW()-ROW(A$102)+1))),),"")</f>
        <v/>
      </c>
      <c r="Q189" s="0" t="str">
        <f aca="false" t="array" ref="Q189:Q189">IFERROR(CONCATENATE((INDEX($T$7:$T$100,SMALL(IF($T$7:$T$100&lt;&gt;"",IF($Q$7:$Q$100&lt;&gt;"",ROW($Q$7:$Q$100)-MIN(ROW($Q$7:$Q$100))+1,""),""),ROW()-ROW(A$102)+1)))," "),"")</f>
        <v/>
      </c>
      <c r="R189" s="0" t="str">
        <f aca="false" t="array" ref="R189:R189">IFERROR(CONCATENATE(TEXT(INDEX($Q$7:$Q$100,SMALL(IF($T$7:$T$100&lt;&gt;"",IF($Q$7:$Q$100&lt;&gt;"",ROW($Q$7:$Q$100)-MIN(ROW($Q$7:$Q$100))+1,""),""),ROW()-ROW(A$102)+1)),"##0")," "),"")</f>
        <v/>
      </c>
      <c r="S189" s="0" t="str">
        <f aca="false" t="array" ref="S189:S189">IFERROR(CONCATENATE((INDEX($A$7:$A$100,SMALL(IF($T$7:$T$100&lt;&gt;"",IF($Q$7:$Q$100&lt;&gt;"",ROW($Q$7:$Q$100)-MIN(ROW($Q$7:$Q$100))+1,""),""),ROW()-ROW(A$102)+1))),),"")</f>
        <v/>
      </c>
      <c r="W189" s="0" t="str">
        <f aca="false" t="array" ref="W189:W189">IFERROR(CONCATENATE((INDEX($Z$7:$Z$100,SMALL(IF($Z$7:$Z$100&lt;&gt;"",IF($W$7:$W$100&lt;&gt;"",ROW($W$7:$W$100)-MIN(ROW($W$7:$W$100))+1,""),""),ROW()-ROW(A$102)+1)))," "),"")</f>
        <v/>
      </c>
      <c r="X189" s="0" t="str">
        <f aca="false" t="array" ref="X189:X189">IFERROR(CONCATENATE(TEXT(INDEX($W$7:$W$100,SMALL(IF($Z$7:$Z$100&lt;&gt;"",IF($W$7:$W$100&lt;&gt;"",ROW($W$7:$W$100)-MIN(ROW($W$7:$W$100))+1,""),""),ROW()-ROW(A$102)+1)),"##0")," "),"")</f>
        <v/>
      </c>
      <c r="Y189" s="0" t="str">
        <f aca="false" t="array" ref="Y189:Y189">IFERROR(CONCATENATE((INDEX($A$7:$A$100,SMALL(IF($Z$7:$Z$100&lt;&gt;"",IF($W$7:$W$100&lt;&gt;"",ROW($W$7:$W$100)-MIN(ROW($W$7:$W$100))+1,""),""),ROW()-ROW(A$102)+1))),),"")</f>
        <v/>
      </c>
      <c r="AC189" s="0" t="str">
        <f aca="false" t="array" ref="AC189:AC189">IFERROR(CONCATENATE((INDEX($AF$7:$AF$100,SMALL(IF($AF$7:$AF$100&lt;&gt;"",IF($AC$7:$AC$100&lt;&gt;"",ROW($AC$7:$AC$100)-MIN(ROW($AC$7:$AC$100))+1,""),""),ROW()-ROW(A$102)+1))),","),"")</f>
        <v/>
      </c>
      <c r="AD189" s="0" t="str">
        <f aca="false" t="array" ref="AD189:AD189">IFERROR(CONCATENATE(TEXT(INDEX($AC$7:$AC$100,SMALL(IF($AF$7:$AF$100&lt;&gt;"",IF($AC$7:$AC$100&lt;&gt;"",ROW($AC$7:$AC$100)-MIN(ROW($AC$7:$AC$100))+1,""),""),ROW()-ROW(A$102)+1)),"##0"),","),"")</f>
        <v/>
      </c>
      <c r="AE189" s="0" t="str">
        <f aca="false" t="array" ref="AE189:AE189">IFERROR(CONCATENATE((INDEX($A$7:$A$100,SMALL(IF($AF$7:$AF$100&lt;&gt;"",IF($AC$7:$AC$100&lt;&gt;"",ROW($AC$7:$AC$100)-MIN(ROW($AC$7:$AC$100))+1,""),""),ROW()-ROW(A$102)+1))),),"")</f>
        <v/>
      </c>
      <c r="AI189" s="0" t="str">
        <f aca="false" t="array" ref="AI189:AI189">IFERROR(CONCATENATE((INDEX($AL$7:$AL$100,SMALL(IF($AL$7:$AL$100&lt;&gt;"",IF($AI$7:$AI$100&lt;&gt;"",ROW($AI$7:$AI$100)-MIN(ROW($AI$7:$AI$100))+1,""),""),ROW()-ROW(A$102)+1)))," "),"")</f>
        <v/>
      </c>
      <c r="AJ189" s="0" t="str">
        <f aca="false" t="array" ref="AJ189:AJ189">IFERROR(CONCATENATE(TEXT(INDEX($AI$7:$AI$100,SMALL(IF($AL$7:$AL$100&lt;&gt;"",IF($AI$7:$AI$100&lt;&gt;"",ROW($AI$7:$AI$100)-MIN(ROW($AI$7:$AI$100))+1,""),""),ROW()-ROW(A$102)+1)),"##0")," "),"")</f>
        <v/>
      </c>
      <c r="AK189" s="0" t="str">
        <f aca="false" t="array" ref="AK189:AK189">IFERROR(CONCATENATE((INDEX($A$7:$A$100,SMALL(IF($AL$7:$AL$100&lt;&gt;"",IF($AI$7:$AI$100&lt;&gt;"",ROW($AI$7:$AI$100)-MIN(ROW($AI$7:$AI$100))+1,""),""),ROW()-ROW(A$102)+1))),),"")</f>
        <v/>
      </c>
    </row>
    <row r="190" customFormat="false" ht="15" hidden="false" customHeight="false" outlineLevel="0" collapsed="false">
      <c r="K190" s="0" t="str">
        <f aca="false" t="array" ref="K190:K190">IFERROR(CONCATENATE(TEXT(INDEX($K$7:$K$100,SMALL(IF($N$7:$N$100&lt;&gt;"",IF($K$7:$K$100&lt;&gt;"",ROW($K$7:$K$100)-MIN(ROW($K$7:$K$100))+1,""),""),ROW()-ROW(A$102)+1)),"##0"),","),"")</f>
        <v/>
      </c>
      <c r="L190" s="0" t="str">
        <f aca="false" t="array" ref="L190:L190">IFERROR(CONCATENATE((INDEX($N$7:$N$100,SMALL(IF($N$7:$N$100&lt;&gt;"",IF($K$7:$K$100&lt;&gt;"",ROW($K$7:$K$100)-MIN(ROW($K$7:$K$100))+1,""),""),ROW()-ROW(A$102)+1))),","),"")</f>
        <v/>
      </c>
      <c r="M190" s="0" t="str">
        <f aca="false" t="array" ref="M190:M190">IFERROR(CONCATENATE((INDEX($A$7:$A$100,SMALL(IF($N$7:$N$100&lt;&gt;"",IF($K$7:$K$100&lt;&gt;"",ROW($K$7:$K$100)-MIN(ROW($K$7:$K$100))+1,""),""),ROW()-ROW(A$102)+1))),),"")</f>
        <v/>
      </c>
      <c r="Q190" s="0" t="str">
        <f aca="false" t="array" ref="Q190:Q190">IFERROR(CONCATENATE((INDEX($T$7:$T$100,SMALL(IF($T$7:$T$100&lt;&gt;"",IF($Q$7:$Q$100&lt;&gt;"",ROW($Q$7:$Q$100)-MIN(ROW($Q$7:$Q$100))+1,""),""),ROW()-ROW(A$102)+1)))," "),"")</f>
        <v/>
      </c>
      <c r="R190" s="0" t="str">
        <f aca="false" t="array" ref="R190:R190">IFERROR(CONCATENATE(TEXT(INDEX($Q$7:$Q$100,SMALL(IF($T$7:$T$100&lt;&gt;"",IF($Q$7:$Q$100&lt;&gt;"",ROW($Q$7:$Q$100)-MIN(ROW($Q$7:$Q$100))+1,""),""),ROW()-ROW(A$102)+1)),"##0")," "),"")</f>
        <v/>
      </c>
      <c r="S190" s="0" t="str">
        <f aca="false" t="array" ref="S190:S190">IFERROR(CONCATENATE((INDEX($A$7:$A$100,SMALL(IF($T$7:$T$100&lt;&gt;"",IF($Q$7:$Q$100&lt;&gt;"",ROW($Q$7:$Q$100)-MIN(ROW($Q$7:$Q$100))+1,""),""),ROW()-ROW(A$102)+1))),),"")</f>
        <v/>
      </c>
      <c r="W190" s="0" t="str">
        <f aca="false" t="array" ref="W190:W190">IFERROR(CONCATENATE((INDEX($Z$7:$Z$100,SMALL(IF($Z$7:$Z$100&lt;&gt;"",IF($W$7:$W$100&lt;&gt;"",ROW($W$7:$W$100)-MIN(ROW($W$7:$W$100))+1,""),""),ROW()-ROW(A$102)+1)))," "),"")</f>
        <v/>
      </c>
      <c r="X190" s="0" t="str">
        <f aca="false" t="array" ref="X190:X190">IFERROR(CONCATENATE(TEXT(INDEX($W$7:$W$100,SMALL(IF($Z$7:$Z$100&lt;&gt;"",IF($W$7:$W$100&lt;&gt;"",ROW($W$7:$W$100)-MIN(ROW($W$7:$W$100))+1,""),""),ROW()-ROW(A$102)+1)),"##0")," "),"")</f>
        <v/>
      </c>
      <c r="Y190" s="0" t="str">
        <f aca="false" t="array" ref="Y190:Y190">IFERROR(CONCATENATE((INDEX($A$7:$A$100,SMALL(IF($Z$7:$Z$100&lt;&gt;"",IF($W$7:$W$100&lt;&gt;"",ROW($W$7:$W$100)-MIN(ROW($W$7:$W$100))+1,""),""),ROW()-ROW(A$102)+1))),),"")</f>
        <v/>
      </c>
      <c r="AC190" s="0" t="str">
        <f aca="false" t="array" ref="AC190:AC190">IFERROR(CONCATENATE((INDEX($AF$7:$AF$100,SMALL(IF($AF$7:$AF$100&lt;&gt;"",IF($AC$7:$AC$100&lt;&gt;"",ROW($AC$7:$AC$100)-MIN(ROW($AC$7:$AC$100))+1,""),""),ROW()-ROW(A$102)+1))),","),"")</f>
        <v/>
      </c>
      <c r="AD190" s="0" t="str">
        <f aca="false" t="array" ref="AD190:AD190">IFERROR(CONCATENATE(TEXT(INDEX($AC$7:$AC$100,SMALL(IF($AF$7:$AF$100&lt;&gt;"",IF($AC$7:$AC$100&lt;&gt;"",ROW($AC$7:$AC$100)-MIN(ROW($AC$7:$AC$100))+1,""),""),ROW()-ROW(A$102)+1)),"##0"),","),"")</f>
        <v/>
      </c>
      <c r="AE190" s="0" t="str">
        <f aca="false" t="array" ref="AE190:AE190">IFERROR(CONCATENATE((INDEX($A$7:$A$100,SMALL(IF($AF$7:$AF$100&lt;&gt;"",IF($AC$7:$AC$100&lt;&gt;"",ROW($AC$7:$AC$100)-MIN(ROW($AC$7:$AC$100))+1,""),""),ROW()-ROW(A$102)+1))),),"")</f>
        <v/>
      </c>
      <c r="AI190" s="0" t="str">
        <f aca="false" t="array" ref="AI190:AI190">IFERROR(CONCATENATE((INDEX($AL$7:$AL$100,SMALL(IF($AL$7:$AL$100&lt;&gt;"",IF($AI$7:$AI$100&lt;&gt;"",ROW($AI$7:$AI$100)-MIN(ROW($AI$7:$AI$100))+1,""),""),ROW()-ROW(A$102)+1)))," "),"")</f>
        <v/>
      </c>
      <c r="AJ190" s="0" t="str">
        <f aca="false" t="array" ref="AJ190:AJ190">IFERROR(CONCATENATE(TEXT(INDEX($AI$7:$AI$100,SMALL(IF($AL$7:$AL$100&lt;&gt;"",IF($AI$7:$AI$100&lt;&gt;"",ROW($AI$7:$AI$100)-MIN(ROW($AI$7:$AI$100))+1,""),""),ROW()-ROW(A$102)+1)),"##0")," "),"")</f>
        <v/>
      </c>
      <c r="AK190" s="0" t="str">
        <f aca="false" t="array" ref="AK190:AK190">IFERROR(CONCATENATE((INDEX($A$7:$A$100,SMALL(IF($AL$7:$AL$100&lt;&gt;"",IF($AI$7:$AI$100&lt;&gt;"",ROW($AI$7:$AI$100)-MIN(ROW($AI$7:$AI$100))+1,""),""),ROW()-ROW(A$102)+1))),),"")</f>
        <v/>
      </c>
    </row>
    <row r="191" customFormat="false" ht="15" hidden="false" customHeight="false" outlineLevel="0" collapsed="false">
      <c r="K191" s="0" t="str">
        <f aca="false" t="array" ref="K191:K191">IFERROR(CONCATENATE(TEXT(INDEX($K$7:$K$100,SMALL(IF($N$7:$N$100&lt;&gt;"",IF($K$7:$K$100&lt;&gt;"",ROW($K$7:$K$100)-MIN(ROW($K$7:$K$100))+1,""),""),ROW()-ROW(A$102)+1)),"##0"),","),"")</f>
        <v/>
      </c>
      <c r="L191" s="0" t="str">
        <f aca="false" t="array" ref="L191:L191">IFERROR(CONCATENATE((INDEX($N$7:$N$100,SMALL(IF($N$7:$N$100&lt;&gt;"",IF($K$7:$K$100&lt;&gt;"",ROW($K$7:$K$100)-MIN(ROW($K$7:$K$100))+1,""),""),ROW()-ROW(A$102)+1))),","),"")</f>
        <v/>
      </c>
      <c r="M191" s="0" t="str">
        <f aca="false" t="array" ref="M191:M191">IFERROR(CONCATENATE((INDEX($A$7:$A$100,SMALL(IF($N$7:$N$100&lt;&gt;"",IF($K$7:$K$100&lt;&gt;"",ROW($K$7:$K$100)-MIN(ROW($K$7:$K$100))+1,""),""),ROW()-ROW(A$102)+1))),),"")</f>
        <v/>
      </c>
      <c r="Q191" s="0" t="str">
        <f aca="false" t="array" ref="Q191:Q191">IFERROR(CONCATENATE((INDEX($T$7:$T$100,SMALL(IF($T$7:$T$100&lt;&gt;"",IF($Q$7:$Q$100&lt;&gt;"",ROW($Q$7:$Q$100)-MIN(ROW($Q$7:$Q$100))+1,""),""),ROW()-ROW(A$102)+1)))," "),"")</f>
        <v/>
      </c>
      <c r="R191" s="0" t="str">
        <f aca="false" t="array" ref="R191:R191">IFERROR(CONCATENATE(TEXT(INDEX($Q$7:$Q$100,SMALL(IF($T$7:$T$100&lt;&gt;"",IF($Q$7:$Q$100&lt;&gt;"",ROW($Q$7:$Q$100)-MIN(ROW($Q$7:$Q$100))+1,""),""),ROW()-ROW(A$102)+1)),"##0")," "),"")</f>
        <v/>
      </c>
      <c r="S191" s="0" t="str">
        <f aca="false" t="array" ref="S191:S191">IFERROR(CONCATENATE((INDEX($A$7:$A$100,SMALL(IF($T$7:$T$100&lt;&gt;"",IF($Q$7:$Q$100&lt;&gt;"",ROW($Q$7:$Q$100)-MIN(ROW($Q$7:$Q$100))+1,""),""),ROW()-ROW(A$102)+1))),),"")</f>
        <v/>
      </c>
      <c r="W191" s="0" t="str">
        <f aca="false" t="array" ref="W191:W191">IFERROR(CONCATENATE((INDEX($Z$7:$Z$100,SMALL(IF($Z$7:$Z$100&lt;&gt;"",IF($W$7:$W$100&lt;&gt;"",ROW($W$7:$W$100)-MIN(ROW($W$7:$W$100))+1,""),""),ROW()-ROW(A$102)+1)))," "),"")</f>
        <v/>
      </c>
      <c r="X191" s="0" t="str">
        <f aca="false" t="array" ref="X191:X191">IFERROR(CONCATENATE(TEXT(INDEX($W$7:$W$100,SMALL(IF($Z$7:$Z$100&lt;&gt;"",IF($W$7:$W$100&lt;&gt;"",ROW($W$7:$W$100)-MIN(ROW($W$7:$W$100))+1,""),""),ROW()-ROW(A$102)+1)),"##0")," "),"")</f>
        <v/>
      </c>
      <c r="Y191" s="0" t="str">
        <f aca="false" t="array" ref="Y191:Y191">IFERROR(CONCATENATE((INDEX($A$7:$A$100,SMALL(IF($Z$7:$Z$100&lt;&gt;"",IF($W$7:$W$100&lt;&gt;"",ROW($W$7:$W$100)-MIN(ROW($W$7:$W$100))+1,""),""),ROW()-ROW(A$102)+1))),),"")</f>
        <v/>
      </c>
      <c r="AC191" s="0" t="str">
        <f aca="false" t="array" ref="AC191:AC191">IFERROR(CONCATENATE((INDEX($AF$7:$AF$100,SMALL(IF($AF$7:$AF$100&lt;&gt;"",IF($AC$7:$AC$100&lt;&gt;"",ROW($AC$7:$AC$100)-MIN(ROW($AC$7:$AC$100))+1,""),""),ROW()-ROW(A$102)+1))),","),"")</f>
        <v/>
      </c>
      <c r="AD191" s="0" t="str">
        <f aca="false" t="array" ref="AD191:AD191">IFERROR(CONCATENATE(TEXT(INDEX($AC$7:$AC$100,SMALL(IF($AF$7:$AF$100&lt;&gt;"",IF($AC$7:$AC$100&lt;&gt;"",ROW($AC$7:$AC$100)-MIN(ROW($AC$7:$AC$100))+1,""),""),ROW()-ROW(A$102)+1)),"##0"),","),"")</f>
        <v/>
      </c>
      <c r="AE191" s="0" t="str">
        <f aca="false" t="array" ref="AE191:AE191">IFERROR(CONCATENATE((INDEX($A$7:$A$100,SMALL(IF($AF$7:$AF$100&lt;&gt;"",IF($AC$7:$AC$100&lt;&gt;"",ROW($AC$7:$AC$100)-MIN(ROW($AC$7:$AC$100))+1,""),""),ROW()-ROW(A$102)+1))),),"")</f>
        <v/>
      </c>
      <c r="AI191" s="0" t="str">
        <f aca="false" t="array" ref="AI191:AI191">IFERROR(CONCATENATE((INDEX($AL$7:$AL$100,SMALL(IF($AL$7:$AL$100&lt;&gt;"",IF($AI$7:$AI$100&lt;&gt;"",ROW($AI$7:$AI$100)-MIN(ROW($AI$7:$AI$100))+1,""),""),ROW()-ROW(A$102)+1)))," "),"")</f>
        <v/>
      </c>
      <c r="AJ191" s="0" t="str">
        <f aca="false" t="array" ref="AJ191:AJ191">IFERROR(CONCATENATE(TEXT(INDEX($AI$7:$AI$100,SMALL(IF($AL$7:$AL$100&lt;&gt;"",IF($AI$7:$AI$100&lt;&gt;"",ROW($AI$7:$AI$100)-MIN(ROW($AI$7:$AI$100))+1,""),""),ROW()-ROW(A$102)+1)),"##0")," "),"")</f>
        <v/>
      </c>
      <c r="AK191" s="0" t="str">
        <f aca="false" t="array" ref="AK191:AK191">IFERROR(CONCATENATE((INDEX($A$7:$A$100,SMALL(IF($AL$7:$AL$100&lt;&gt;"",IF($AI$7:$AI$100&lt;&gt;"",ROW($AI$7:$AI$100)-MIN(ROW($AI$7:$AI$100))+1,""),""),ROW()-ROW(A$102)+1))),),"")</f>
        <v/>
      </c>
    </row>
    <row r="192" customFormat="false" ht="15" hidden="false" customHeight="false" outlineLevel="0" collapsed="false">
      <c r="K192" s="0" t="str">
        <f aca="false" t="array" ref="K192:K192">IFERROR(CONCATENATE(TEXT(INDEX($K$7:$K$100,SMALL(IF($N$7:$N$100&lt;&gt;"",IF($K$7:$K$100&lt;&gt;"",ROW($K$7:$K$100)-MIN(ROW($K$7:$K$100))+1,""),""),ROW()-ROW(A$102)+1)),"##0"),","),"")</f>
        <v/>
      </c>
      <c r="L192" s="0" t="str">
        <f aca="false" t="array" ref="L192:L192">IFERROR(CONCATENATE((INDEX($N$7:$N$100,SMALL(IF($N$7:$N$100&lt;&gt;"",IF($K$7:$K$100&lt;&gt;"",ROW($K$7:$K$100)-MIN(ROW($K$7:$K$100))+1,""),""),ROW()-ROW(A$102)+1))),","),"")</f>
        <v/>
      </c>
      <c r="M192" s="0" t="str">
        <f aca="false" t="array" ref="M192:M192">IFERROR(CONCATENATE((INDEX($A$7:$A$100,SMALL(IF($N$7:$N$100&lt;&gt;"",IF($K$7:$K$100&lt;&gt;"",ROW($K$7:$K$100)-MIN(ROW($K$7:$K$100))+1,""),""),ROW()-ROW(A$102)+1))),),"")</f>
        <v/>
      </c>
      <c r="Q192" s="0" t="str">
        <f aca="false" t="array" ref="Q192:Q192">IFERROR(CONCATENATE((INDEX($T$7:$T$100,SMALL(IF($T$7:$T$100&lt;&gt;"",IF($Q$7:$Q$100&lt;&gt;"",ROW($Q$7:$Q$100)-MIN(ROW($Q$7:$Q$100))+1,""),""),ROW()-ROW(A$102)+1)))," "),"")</f>
        <v/>
      </c>
      <c r="R192" s="0" t="str">
        <f aca="false" t="array" ref="R192:R192">IFERROR(CONCATENATE(TEXT(INDEX($Q$7:$Q$100,SMALL(IF($T$7:$T$100&lt;&gt;"",IF($Q$7:$Q$100&lt;&gt;"",ROW($Q$7:$Q$100)-MIN(ROW($Q$7:$Q$100))+1,""),""),ROW()-ROW(A$102)+1)),"##0")," "),"")</f>
        <v/>
      </c>
      <c r="S192" s="0" t="str">
        <f aca="false" t="array" ref="S192:S192">IFERROR(CONCATENATE((INDEX($A$7:$A$100,SMALL(IF($T$7:$T$100&lt;&gt;"",IF($Q$7:$Q$100&lt;&gt;"",ROW($Q$7:$Q$100)-MIN(ROW($Q$7:$Q$100))+1,""),""),ROW()-ROW(A$102)+1))),),"")</f>
        <v/>
      </c>
      <c r="W192" s="0" t="str">
        <f aca="false" t="array" ref="W192:W192">IFERROR(CONCATENATE((INDEX($Z$7:$Z$100,SMALL(IF($Z$7:$Z$100&lt;&gt;"",IF($W$7:$W$100&lt;&gt;"",ROW($W$7:$W$100)-MIN(ROW($W$7:$W$100))+1,""),""),ROW()-ROW(A$102)+1)))," "),"")</f>
        <v/>
      </c>
      <c r="X192" s="0" t="str">
        <f aca="false" t="array" ref="X192:X192">IFERROR(CONCATENATE(TEXT(INDEX($W$7:$W$100,SMALL(IF($Z$7:$Z$100&lt;&gt;"",IF($W$7:$W$100&lt;&gt;"",ROW($W$7:$W$100)-MIN(ROW($W$7:$W$100))+1,""),""),ROW()-ROW(A$102)+1)),"##0")," "),"")</f>
        <v/>
      </c>
      <c r="Y192" s="0" t="str">
        <f aca="false" t="array" ref="Y192:Y192">IFERROR(CONCATENATE((INDEX($A$7:$A$100,SMALL(IF($Z$7:$Z$100&lt;&gt;"",IF($W$7:$W$100&lt;&gt;"",ROW($W$7:$W$100)-MIN(ROW($W$7:$W$100))+1,""),""),ROW()-ROW(A$102)+1))),),"")</f>
        <v/>
      </c>
      <c r="AC192" s="0" t="str">
        <f aca="false" t="array" ref="AC192:AC192">IFERROR(CONCATENATE((INDEX($AF$7:$AF$100,SMALL(IF($AF$7:$AF$100&lt;&gt;"",IF($AC$7:$AC$100&lt;&gt;"",ROW($AC$7:$AC$100)-MIN(ROW($AC$7:$AC$100))+1,""),""),ROW()-ROW(A$102)+1))),","),"")</f>
        <v/>
      </c>
      <c r="AD192" s="0" t="str">
        <f aca="false" t="array" ref="AD192:AD192">IFERROR(CONCATENATE(TEXT(INDEX($AC$7:$AC$100,SMALL(IF($AF$7:$AF$100&lt;&gt;"",IF($AC$7:$AC$100&lt;&gt;"",ROW($AC$7:$AC$100)-MIN(ROW($AC$7:$AC$100))+1,""),""),ROW()-ROW(A$102)+1)),"##0"),","),"")</f>
        <v/>
      </c>
      <c r="AE192" s="0" t="str">
        <f aca="false" t="array" ref="AE192:AE192">IFERROR(CONCATENATE((INDEX($A$7:$A$100,SMALL(IF($AF$7:$AF$100&lt;&gt;"",IF($AC$7:$AC$100&lt;&gt;"",ROW($AC$7:$AC$100)-MIN(ROW($AC$7:$AC$100))+1,""),""),ROW()-ROW(A$102)+1))),),"")</f>
        <v/>
      </c>
      <c r="AI192" s="0" t="str">
        <f aca="false" t="array" ref="AI192:AI192">IFERROR(CONCATENATE((INDEX($AL$7:$AL$100,SMALL(IF($AL$7:$AL$100&lt;&gt;"",IF($AI$7:$AI$100&lt;&gt;"",ROW($AI$7:$AI$100)-MIN(ROW($AI$7:$AI$100))+1,""),""),ROW()-ROW(A$102)+1)))," "),"")</f>
        <v/>
      </c>
      <c r="AJ192" s="0" t="str">
        <f aca="false" t="array" ref="AJ192:AJ192">IFERROR(CONCATENATE(TEXT(INDEX($AI$7:$AI$100,SMALL(IF($AL$7:$AL$100&lt;&gt;"",IF($AI$7:$AI$100&lt;&gt;"",ROW($AI$7:$AI$100)-MIN(ROW($AI$7:$AI$100))+1,""),""),ROW()-ROW(A$102)+1)),"##0")," "),"")</f>
        <v/>
      </c>
      <c r="AK192" s="0" t="str">
        <f aca="false" t="array" ref="AK192:AK192">IFERROR(CONCATENATE((INDEX($A$7:$A$100,SMALL(IF($AL$7:$AL$100&lt;&gt;"",IF($AI$7:$AI$100&lt;&gt;"",ROW($AI$7:$AI$100)-MIN(ROW($AI$7:$AI$100))+1,""),""),ROW()-ROW(A$102)+1))),),"")</f>
        <v/>
      </c>
    </row>
    <row r="193" customFormat="false" ht="15" hidden="false" customHeight="false" outlineLevel="0" collapsed="false">
      <c r="K193" s="0" t="str">
        <f aca="false" t="array" ref="K193:K193">IFERROR(CONCATENATE(TEXT(INDEX($K$7:$K$100,SMALL(IF($N$7:$N$100&lt;&gt;"",IF($K$7:$K$100&lt;&gt;"",ROW($K$7:$K$100)-MIN(ROW($K$7:$K$100))+1,""),""),ROW()-ROW(A$102)+1)),"##0"),","),"")</f>
        <v/>
      </c>
      <c r="L193" s="0" t="str">
        <f aca="false" t="array" ref="L193:L193">IFERROR(CONCATENATE((INDEX($N$7:$N$100,SMALL(IF($N$7:$N$100&lt;&gt;"",IF($K$7:$K$100&lt;&gt;"",ROW($K$7:$K$100)-MIN(ROW($K$7:$K$100))+1,""),""),ROW()-ROW(A$102)+1))),","),"")</f>
        <v/>
      </c>
      <c r="M193" s="0" t="str">
        <f aca="false" t="array" ref="M193:M193">IFERROR(CONCATENATE((INDEX($A$7:$A$100,SMALL(IF($N$7:$N$100&lt;&gt;"",IF($K$7:$K$100&lt;&gt;"",ROW($K$7:$K$100)-MIN(ROW($K$7:$K$100))+1,""),""),ROW()-ROW(A$102)+1))),),"")</f>
        <v/>
      </c>
      <c r="Q193" s="0" t="str">
        <f aca="false" t="array" ref="Q193:Q193">IFERROR(CONCATENATE((INDEX($T$7:$T$100,SMALL(IF($T$7:$T$100&lt;&gt;"",IF($Q$7:$Q$100&lt;&gt;"",ROW($Q$7:$Q$100)-MIN(ROW($Q$7:$Q$100))+1,""),""),ROW()-ROW(A$102)+1)))," "),"")</f>
        <v/>
      </c>
      <c r="R193" s="0" t="str">
        <f aca="false" t="array" ref="R193:R193">IFERROR(CONCATENATE(TEXT(INDEX($Q$7:$Q$100,SMALL(IF($T$7:$T$100&lt;&gt;"",IF($Q$7:$Q$100&lt;&gt;"",ROW($Q$7:$Q$100)-MIN(ROW($Q$7:$Q$100))+1,""),""),ROW()-ROW(A$102)+1)),"##0")," "),"")</f>
        <v/>
      </c>
      <c r="S193" s="0" t="str">
        <f aca="false" t="array" ref="S193:S193">IFERROR(CONCATENATE((INDEX($A$7:$A$100,SMALL(IF($T$7:$T$100&lt;&gt;"",IF($Q$7:$Q$100&lt;&gt;"",ROW($Q$7:$Q$100)-MIN(ROW($Q$7:$Q$100))+1,""),""),ROW()-ROW(A$102)+1))),),"")</f>
        <v/>
      </c>
      <c r="W193" s="0" t="str">
        <f aca="false" t="array" ref="W193:W193">IFERROR(CONCATENATE((INDEX($Z$7:$Z$100,SMALL(IF($Z$7:$Z$100&lt;&gt;"",IF($W$7:$W$100&lt;&gt;"",ROW($W$7:$W$100)-MIN(ROW($W$7:$W$100))+1,""),""),ROW()-ROW(A$102)+1)))," "),"")</f>
        <v/>
      </c>
      <c r="X193" s="0" t="str">
        <f aca="false" t="array" ref="X193:X193">IFERROR(CONCATENATE(TEXT(INDEX($W$7:$W$100,SMALL(IF($Z$7:$Z$100&lt;&gt;"",IF($W$7:$W$100&lt;&gt;"",ROW($W$7:$W$100)-MIN(ROW($W$7:$W$100))+1,""),""),ROW()-ROW(A$102)+1)),"##0")," "),"")</f>
        <v/>
      </c>
      <c r="Y193" s="0" t="str">
        <f aca="false" t="array" ref="Y193:Y193">IFERROR(CONCATENATE((INDEX($A$7:$A$100,SMALL(IF($Z$7:$Z$100&lt;&gt;"",IF($W$7:$W$100&lt;&gt;"",ROW($W$7:$W$100)-MIN(ROW($W$7:$W$100))+1,""),""),ROW()-ROW(A$102)+1))),),"")</f>
        <v/>
      </c>
      <c r="AC193" s="0" t="str">
        <f aca="false" t="array" ref="AC193:AC193">IFERROR(CONCATENATE((INDEX($AF$7:$AF$100,SMALL(IF($AF$7:$AF$100&lt;&gt;"",IF($AC$7:$AC$100&lt;&gt;"",ROW($AC$7:$AC$100)-MIN(ROW($AC$7:$AC$100))+1,""),""),ROW()-ROW(A$102)+1))),","),"")</f>
        <v/>
      </c>
      <c r="AD193" s="0" t="str">
        <f aca="false" t="array" ref="AD193:AD193">IFERROR(CONCATENATE(TEXT(INDEX($AC$7:$AC$100,SMALL(IF($AF$7:$AF$100&lt;&gt;"",IF($AC$7:$AC$100&lt;&gt;"",ROW($AC$7:$AC$100)-MIN(ROW($AC$7:$AC$100))+1,""),""),ROW()-ROW(A$102)+1)),"##0"),","),"")</f>
        <v/>
      </c>
      <c r="AE193" s="0" t="str">
        <f aca="false" t="array" ref="AE193:AE193">IFERROR(CONCATENATE((INDEX($A$7:$A$100,SMALL(IF($AF$7:$AF$100&lt;&gt;"",IF($AC$7:$AC$100&lt;&gt;"",ROW($AC$7:$AC$100)-MIN(ROW($AC$7:$AC$100))+1,""),""),ROW()-ROW(A$102)+1))),),"")</f>
        <v/>
      </c>
      <c r="AI193" s="0" t="str">
        <f aca="false" t="array" ref="AI193:AI193">IFERROR(CONCATENATE((INDEX($AL$7:$AL$100,SMALL(IF($AL$7:$AL$100&lt;&gt;"",IF($AI$7:$AI$100&lt;&gt;"",ROW($AI$7:$AI$100)-MIN(ROW($AI$7:$AI$100))+1,""),""),ROW()-ROW(A$102)+1)))," "),"")</f>
        <v/>
      </c>
      <c r="AJ193" s="0" t="str">
        <f aca="false" t="array" ref="AJ193:AJ193">IFERROR(CONCATENATE(TEXT(INDEX($AI$7:$AI$100,SMALL(IF($AL$7:$AL$100&lt;&gt;"",IF($AI$7:$AI$100&lt;&gt;"",ROW($AI$7:$AI$100)-MIN(ROW($AI$7:$AI$100))+1,""),""),ROW()-ROW(A$102)+1)),"##0")," "),"")</f>
        <v/>
      </c>
      <c r="AK193" s="0" t="str">
        <f aca="false" t="array" ref="AK193:AK193">IFERROR(CONCATENATE((INDEX($A$7:$A$100,SMALL(IF($AL$7:$AL$100&lt;&gt;"",IF($AI$7:$AI$100&lt;&gt;"",ROW($AI$7:$AI$100)-MIN(ROW($AI$7:$AI$100))+1,""),""),ROW()-ROW(A$102)+1))),),"")</f>
        <v/>
      </c>
    </row>
    <row r="194" customFormat="false" ht="15" hidden="false" customHeight="false" outlineLevel="0" collapsed="false">
      <c r="K194" s="0" t="str">
        <f aca="false" t="array" ref="K194:K194">IFERROR(CONCATENATE(TEXT(INDEX($K$7:$K$100,SMALL(IF($N$7:$N$100&lt;&gt;"",IF($K$7:$K$100&lt;&gt;"",ROW($K$7:$K$100)-MIN(ROW($K$7:$K$100))+1,""),""),ROW()-ROW(A$102)+1)),"##0"),","),"")</f>
        <v/>
      </c>
      <c r="L194" s="0" t="str">
        <f aca="false" t="array" ref="L194:L194">IFERROR(CONCATENATE((INDEX($N$7:$N$100,SMALL(IF($N$7:$N$100&lt;&gt;"",IF($K$7:$K$100&lt;&gt;"",ROW($K$7:$K$100)-MIN(ROW($K$7:$K$100))+1,""),""),ROW()-ROW(A$102)+1))),","),"")</f>
        <v/>
      </c>
      <c r="M194" s="0" t="str">
        <f aca="false" t="array" ref="M194:M194">IFERROR(CONCATENATE((INDEX($A$7:$A$100,SMALL(IF($N$7:$N$100&lt;&gt;"",IF($K$7:$K$100&lt;&gt;"",ROW($K$7:$K$100)-MIN(ROW($K$7:$K$100))+1,""),""),ROW()-ROW(A$102)+1))),),"")</f>
        <v/>
      </c>
      <c r="Q194" s="0" t="str">
        <f aca="false" t="array" ref="Q194:Q194">IFERROR(CONCATENATE((INDEX($T$7:$T$100,SMALL(IF($T$7:$T$100&lt;&gt;"",IF($Q$7:$Q$100&lt;&gt;"",ROW($Q$7:$Q$100)-MIN(ROW($Q$7:$Q$100))+1,""),""),ROW()-ROW(A$102)+1)))," "),"")</f>
        <v/>
      </c>
      <c r="R194" s="0" t="str">
        <f aca="false" t="array" ref="R194:R194">IFERROR(CONCATENATE(TEXT(INDEX($Q$7:$Q$100,SMALL(IF($T$7:$T$100&lt;&gt;"",IF($Q$7:$Q$100&lt;&gt;"",ROW($Q$7:$Q$100)-MIN(ROW($Q$7:$Q$100))+1,""),""),ROW()-ROW(A$102)+1)),"##0")," "),"")</f>
        <v/>
      </c>
      <c r="S194" s="0" t="str">
        <f aca="false" t="array" ref="S194:S194">IFERROR(CONCATENATE((INDEX($A$7:$A$100,SMALL(IF($T$7:$T$100&lt;&gt;"",IF($Q$7:$Q$100&lt;&gt;"",ROW($Q$7:$Q$100)-MIN(ROW($Q$7:$Q$100))+1,""),""),ROW()-ROW(A$102)+1))),),"")</f>
        <v/>
      </c>
      <c r="W194" s="0" t="str">
        <f aca="false" t="array" ref="W194:W194">IFERROR(CONCATENATE((INDEX($Z$7:$Z$100,SMALL(IF($Z$7:$Z$100&lt;&gt;"",IF($W$7:$W$100&lt;&gt;"",ROW($W$7:$W$100)-MIN(ROW($W$7:$W$100))+1,""),""),ROW()-ROW(A$102)+1)))," "),"")</f>
        <v/>
      </c>
      <c r="X194" s="0" t="str">
        <f aca="false" t="array" ref="X194:X194">IFERROR(CONCATENATE(TEXT(INDEX($W$7:$W$100,SMALL(IF($Z$7:$Z$100&lt;&gt;"",IF($W$7:$W$100&lt;&gt;"",ROW($W$7:$W$100)-MIN(ROW($W$7:$W$100))+1,""),""),ROW()-ROW(A$102)+1)),"##0")," "),"")</f>
        <v/>
      </c>
      <c r="Y194" s="0" t="str">
        <f aca="false" t="array" ref="Y194:Y194">IFERROR(CONCATENATE((INDEX($A$7:$A$100,SMALL(IF($Z$7:$Z$100&lt;&gt;"",IF($W$7:$W$100&lt;&gt;"",ROW($W$7:$W$100)-MIN(ROW($W$7:$W$100))+1,""),""),ROW()-ROW(A$102)+1))),),"")</f>
        <v/>
      </c>
      <c r="AC194" s="0" t="str">
        <f aca="false" t="array" ref="AC194:AC194">IFERROR(CONCATENATE((INDEX($AF$7:$AF$100,SMALL(IF($AF$7:$AF$100&lt;&gt;"",IF($AC$7:$AC$100&lt;&gt;"",ROW($AC$7:$AC$100)-MIN(ROW($AC$7:$AC$100))+1,""),""),ROW()-ROW(A$102)+1))),","),"")</f>
        <v/>
      </c>
      <c r="AD194" s="0" t="str">
        <f aca="false" t="array" ref="AD194:AD194">IFERROR(CONCATENATE(TEXT(INDEX($AC$7:$AC$100,SMALL(IF($AF$7:$AF$100&lt;&gt;"",IF($AC$7:$AC$100&lt;&gt;"",ROW($AC$7:$AC$100)-MIN(ROW($AC$7:$AC$100))+1,""),""),ROW()-ROW(A$102)+1)),"##0"),","),"")</f>
        <v/>
      </c>
      <c r="AE194" s="0" t="str">
        <f aca="false" t="array" ref="AE194:AE194">IFERROR(CONCATENATE((INDEX($A$7:$A$100,SMALL(IF($AF$7:$AF$100&lt;&gt;"",IF($AC$7:$AC$100&lt;&gt;"",ROW($AC$7:$AC$100)-MIN(ROW($AC$7:$AC$100))+1,""),""),ROW()-ROW(A$102)+1))),),"")</f>
        <v/>
      </c>
      <c r="AI194" s="0" t="str">
        <f aca="false" t="array" ref="AI194:AI194">IFERROR(CONCATENATE((INDEX($AL$7:$AL$100,SMALL(IF($AL$7:$AL$100&lt;&gt;"",IF($AI$7:$AI$100&lt;&gt;"",ROW($AI$7:$AI$100)-MIN(ROW($AI$7:$AI$100))+1,""),""),ROW()-ROW(A$102)+1)))," "),"")</f>
        <v/>
      </c>
      <c r="AJ194" s="0" t="str">
        <f aca="false" t="array" ref="AJ194:AJ194">IFERROR(CONCATENATE(TEXT(INDEX($AI$7:$AI$100,SMALL(IF($AL$7:$AL$100&lt;&gt;"",IF($AI$7:$AI$100&lt;&gt;"",ROW($AI$7:$AI$100)-MIN(ROW($AI$7:$AI$100))+1,""),""),ROW()-ROW(A$102)+1)),"##0")," "),"")</f>
        <v/>
      </c>
      <c r="AK194" s="0" t="str">
        <f aca="false" t="array" ref="AK194:AK194">IFERROR(CONCATENATE((INDEX($A$7:$A$100,SMALL(IF($AL$7:$AL$100&lt;&gt;"",IF($AI$7:$AI$100&lt;&gt;"",ROW($AI$7:$AI$100)-MIN(ROW($AI$7:$AI$100))+1,""),""),ROW()-ROW(A$102)+1))),),"")</f>
        <v/>
      </c>
    </row>
    <row r="195" customFormat="false" ht="15" hidden="false" customHeight="false" outlineLevel="0" collapsed="false">
      <c r="K195" s="0" t="str">
        <f aca="false" t="array" ref="K195:K195">IFERROR(CONCATENATE(TEXT(INDEX($K$7:$K$100,SMALL(IF($N$7:$N$100&lt;&gt;"",IF($K$7:$K$100&lt;&gt;"",ROW($K$7:$K$100)-MIN(ROW($K$7:$K$100))+1,""),""),ROW()-ROW(A$102)+1)),"##0"),","),"")</f>
        <v/>
      </c>
      <c r="L195" s="0" t="str">
        <f aca="false" t="array" ref="L195:L195">IFERROR(CONCATENATE((INDEX($N$7:$N$100,SMALL(IF($N$7:$N$100&lt;&gt;"",IF($K$7:$K$100&lt;&gt;"",ROW($K$7:$K$100)-MIN(ROW($K$7:$K$100))+1,""),""),ROW()-ROW(A$102)+1))),","),"")</f>
        <v/>
      </c>
      <c r="M195" s="0" t="str">
        <f aca="false" t="array" ref="M195:M195">IFERROR(CONCATENATE((INDEX($A$7:$A$100,SMALL(IF($N$7:$N$100&lt;&gt;"",IF($K$7:$K$100&lt;&gt;"",ROW($K$7:$K$100)-MIN(ROW($K$7:$K$100))+1,""),""),ROW()-ROW(A$102)+1))),),"")</f>
        <v/>
      </c>
      <c r="Q195" s="0" t="str">
        <f aca="false" t="array" ref="Q195:Q195">IFERROR(CONCATENATE((INDEX($T$7:$T$100,SMALL(IF($T$7:$T$100&lt;&gt;"",IF($Q$7:$Q$100&lt;&gt;"",ROW($Q$7:$Q$100)-MIN(ROW($Q$7:$Q$100))+1,""),""),ROW()-ROW(A$102)+1)))," "),"")</f>
        <v/>
      </c>
      <c r="R195" s="0" t="str">
        <f aca="false" t="array" ref="R195:R195">IFERROR(CONCATENATE(TEXT(INDEX($Q$7:$Q$100,SMALL(IF($T$7:$T$100&lt;&gt;"",IF($Q$7:$Q$100&lt;&gt;"",ROW($Q$7:$Q$100)-MIN(ROW($Q$7:$Q$100))+1,""),""),ROW()-ROW(A$102)+1)),"##0")," "),"")</f>
        <v/>
      </c>
      <c r="S195" s="0" t="str">
        <f aca="false" t="array" ref="S195:S195">IFERROR(CONCATENATE((INDEX($A$7:$A$100,SMALL(IF($T$7:$T$100&lt;&gt;"",IF($Q$7:$Q$100&lt;&gt;"",ROW($Q$7:$Q$100)-MIN(ROW($Q$7:$Q$100))+1,""),""),ROW()-ROW(A$102)+1))),),"")</f>
        <v/>
      </c>
      <c r="W195" s="0" t="str">
        <f aca="false" t="array" ref="W195:W195">IFERROR(CONCATENATE((INDEX($Z$7:$Z$100,SMALL(IF($Z$7:$Z$100&lt;&gt;"",IF($W$7:$W$100&lt;&gt;"",ROW($W$7:$W$100)-MIN(ROW($W$7:$W$100))+1,""),""),ROW()-ROW(A$102)+1)))," "),"")</f>
        <v/>
      </c>
      <c r="X195" s="0" t="str">
        <f aca="false" t="array" ref="X195:X195">IFERROR(CONCATENATE(TEXT(INDEX($W$7:$W$100,SMALL(IF($Z$7:$Z$100&lt;&gt;"",IF($W$7:$W$100&lt;&gt;"",ROW($W$7:$W$100)-MIN(ROW($W$7:$W$100))+1,""),""),ROW()-ROW(A$102)+1)),"##0")," "),"")</f>
        <v/>
      </c>
      <c r="Y195" s="0" t="str">
        <f aca="false" t="array" ref="Y195:Y195">IFERROR(CONCATENATE((INDEX($A$7:$A$100,SMALL(IF($Z$7:$Z$100&lt;&gt;"",IF($W$7:$W$100&lt;&gt;"",ROW($W$7:$W$100)-MIN(ROW($W$7:$W$100))+1,""),""),ROW()-ROW(A$102)+1))),),"")</f>
        <v/>
      </c>
      <c r="AC195" s="0" t="str">
        <f aca="false" t="array" ref="AC195:AC195">IFERROR(CONCATENATE((INDEX($AF$7:$AF$100,SMALL(IF($AF$7:$AF$100&lt;&gt;"",IF($AC$7:$AC$100&lt;&gt;"",ROW($AC$7:$AC$100)-MIN(ROW($AC$7:$AC$100))+1,""),""),ROW()-ROW(A$102)+1))),","),"")</f>
        <v/>
      </c>
      <c r="AD195" s="0" t="str">
        <f aca="false" t="array" ref="AD195:AD195">IFERROR(CONCATENATE(TEXT(INDEX($AC$7:$AC$100,SMALL(IF($AF$7:$AF$100&lt;&gt;"",IF($AC$7:$AC$100&lt;&gt;"",ROW($AC$7:$AC$100)-MIN(ROW($AC$7:$AC$100))+1,""),""),ROW()-ROW(A$102)+1)),"##0"),","),"")</f>
        <v/>
      </c>
      <c r="AE195" s="0" t="str">
        <f aca="false" t="array" ref="AE195:AE195">IFERROR(CONCATENATE((INDEX($A$7:$A$100,SMALL(IF($AF$7:$AF$100&lt;&gt;"",IF($AC$7:$AC$100&lt;&gt;"",ROW($AC$7:$AC$100)-MIN(ROW($AC$7:$AC$100))+1,""),""),ROW()-ROW(A$102)+1))),),"")</f>
        <v/>
      </c>
      <c r="AI195" s="0" t="str">
        <f aca="false" t="array" ref="AI195:AI195">IFERROR(CONCATENATE((INDEX($AL$7:$AL$100,SMALL(IF($AL$7:$AL$100&lt;&gt;"",IF($AI$7:$AI$100&lt;&gt;"",ROW($AI$7:$AI$100)-MIN(ROW($AI$7:$AI$100))+1,""),""),ROW()-ROW(A$102)+1)))," "),"")</f>
        <v/>
      </c>
      <c r="AJ195" s="0" t="str">
        <f aca="false" t="array" ref="AJ195:AJ195">IFERROR(CONCATENATE(TEXT(INDEX($AI$7:$AI$100,SMALL(IF($AL$7:$AL$100&lt;&gt;"",IF($AI$7:$AI$100&lt;&gt;"",ROW($AI$7:$AI$100)-MIN(ROW($AI$7:$AI$100))+1,""),""),ROW()-ROW(A$102)+1)),"##0")," "),"")</f>
        <v/>
      </c>
      <c r="AK195" s="0" t="str">
        <f aca="false" t="array" ref="AK195:AK195">IFERROR(CONCATENATE((INDEX($A$7:$A$100,SMALL(IF($AL$7:$AL$100&lt;&gt;"",IF($AI$7:$AI$100&lt;&gt;"",ROW($AI$7:$AI$100)-MIN(ROW($AI$7:$AI$100))+1,""),""),ROW()-ROW(A$102)+1))),),"")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00">
    <cfRule type="cellIs" priority="2" operator="lessThanOrEqual" aboveAverage="0" equalAverage="0" bottom="0" percent="0" rank="0" text="" dxfId="0">
      <formula>H100</formula>
    </cfRule>
  </conditionalFormatting>
  <conditionalFormatting sqref="AD11">
    <cfRule type="cellIs" priority="3" operator="lessThanOrEqual" aboveAverage="0" equalAverage="0" bottom="0" percent="0" rank="0" text="" dxfId="0">
      <formula>H11</formula>
    </cfRule>
  </conditionalFormatting>
  <conditionalFormatting sqref="AD12">
    <cfRule type="cellIs" priority="4" operator="lessThanOrEqual" aboveAverage="0" equalAverage="0" bottom="0" percent="0" rank="0" text="" dxfId="0">
      <formula>H12</formula>
    </cfRule>
  </conditionalFormatting>
  <conditionalFormatting sqref="AD13">
    <cfRule type="cellIs" priority="5" operator="lessThanOrEqual" aboveAverage="0" equalAverage="0" bottom="0" percent="0" rank="0" text="" dxfId="0">
      <formula>H13</formula>
    </cfRule>
  </conditionalFormatting>
  <conditionalFormatting sqref="AD14">
    <cfRule type="cellIs" priority="6" operator="lessThanOrEqual" aboveAverage="0" equalAverage="0" bottom="0" percent="0" rank="0" text="" dxfId="0">
      <formula>H14</formula>
    </cfRule>
  </conditionalFormatting>
  <conditionalFormatting sqref="AD15">
    <cfRule type="cellIs" priority="7" operator="lessThanOrEqual" aboveAverage="0" equalAverage="0" bottom="0" percent="0" rank="0" text="" dxfId="0">
      <formula>H15</formula>
    </cfRule>
  </conditionalFormatting>
  <conditionalFormatting sqref="AD16">
    <cfRule type="cellIs" priority="8" operator="lessThanOrEqual" aboveAverage="0" equalAverage="0" bottom="0" percent="0" rank="0" text="" dxfId="0">
      <formula>H16</formula>
    </cfRule>
  </conditionalFormatting>
  <conditionalFormatting sqref="AD17">
    <cfRule type="cellIs" priority="9" operator="lessThanOrEqual" aboveAverage="0" equalAverage="0" bottom="0" percent="0" rank="0" text="" dxfId="0">
      <formula>H17</formula>
    </cfRule>
  </conditionalFormatting>
  <conditionalFormatting sqref="AD18">
    <cfRule type="cellIs" priority="10" operator="lessThanOrEqual" aboveAverage="0" equalAverage="0" bottom="0" percent="0" rank="0" text="" dxfId="0">
      <formula>H18</formula>
    </cfRule>
  </conditionalFormatting>
  <conditionalFormatting sqref="AD19">
    <cfRule type="cellIs" priority="11" operator="lessThanOrEqual" aboveAverage="0" equalAverage="0" bottom="0" percent="0" rank="0" text="" dxfId="0">
      <formula>H19</formula>
    </cfRule>
  </conditionalFormatting>
  <conditionalFormatting sqref="AD20">
    <cfRule type="cellIs" priority="12" operator="lessThanOrEqual" aboveAverage="0" equalAverage="0" bottom="0" percent="0" rank="0" text="" dxfId="0">
      <formula>H20</formula>
    </cfRule>
  </conditionalFormatting>
  <conditionalFormatting sqref="AD22">
    <cfRule type="cellIs" priority="13" operator="lessThanOrEqual" aboveAverage="0" equalAverage="0" bottom="0" percent="0" rank="0" text="" dxfId="0">
      <formula>H22</formula>
    </cfRule>
  </conditionalFormatting>
  <conditionalFormatting sqref="AD23">
    <cfRule type="cellIs" priority="14" operator="lessThanOrEqual" aboveAverage="0" equalAverage="0" bottom="0" percent="0" rank="0" text="" dxfId="0">
      <formula>H23</formula>
    </cfRule>
  </conditionalFormatting>
  <conditionalFormatting sqref="AD25">
    <cfRule type="cellIs" priority="15" operator="lessThanOrEqual" aboveAverage="0" equalAverage="0" bottom="0" percent="0" rank="0" text="" dxfId="0">
      <formula>H25</formula>
    </cfRule>
  </conditionalFormatting>
  <conditionalFormatting sqref="AD26">
    <cfRule type="cellIs" priority="16" operator="lessThanOrEqual" aboveAverage="0" equalAverage="0" bottom="0" percent="0" rank="0" text="" dxfId="0">
      <formula>H26</formula>
    </cfRule>
  </conditionalFormatting>
  <conditionalFormatting sqref="AD27">
    <cfRule type="cellIs" priority="17" operator="lessThanOrEqual" aboveAverage="0" equalAverage="0" bottom="0" percent="0" rank="0" text="" dxfId="0">
      <formula>H27</formula>
    </cfRule>
  </conditionalFormatting>
  <conditionalFormatting sqref="AD28">
    <cfRule type="cellIs" priority="18" operator="lessThanOrEqual" aboveAverage="0" equalAverage="0" bottom="0" percent="0" rank="0" text="" dxfId="0">
      <formula>H28</formula>
    </cfRule>
  </conditionalFormatting>
  <conditionalFormatting sqref="AD29">
    <cfRule type="cellIs" priority="19" operator="lessThanOrEqual" aboveAverage="0" equalAverage="0" bottom="0" percent="0" rank="0" text="" dxfId="0">
      <formula>H29</formula>
    </cfRule>
  </conditionalFormatting>
  <conditionalFormatting sqref="AD30">
    <cfRule type="cellIs" priority="20" operator="lessThanOrEqual" aboveAverage="0" equalAverage="0" bottom="0" percent="0" rank="0" text="" dxfId="0">
      <formula>H30</formula>
    </cfRule>
  </conditionalFormatting>
  <conditionalFormatting sqref="AD31">
    <cfRule type="cellIs" priority="21" operator="lessThanOrEqual" aboveAverage="0" equalAverage="0" bottom="0" percent="0" rank="0" text="" dxfId="0">
      <formula>H31</formula>
    </cfRule>
  </conditionalFormatting>
  <conditionalFormatting sqref="AD32">
    <cfRule type="cellIs" priority="22" operator="lessThanOrEqual" aboveAverage="0" equalAverage="0" bottom="0" percent="0" rank="0" text="" dxfId="0">
      <formula>H32</formula>
    </cfRule>
  </conditionalFormatting>
  <conditionalFormatting sqref="AD33">
    <cfRule type="cellIs" priority="23" operator="lessThanOrEqual" aboveAverage="0" equalAverage="0" bottom="0" percent="0" rank="0" text="" dxfId="0">
      <formula>H33</formula>
    </cfRule>
  </conditionalFormatting>
  <conditionalFormatting sqref="AD35">
    <cfRule type="cellIs" priority="24" operator="lessThanOrEqual" aboveAverage="0" equalAverage="0" bottom="0" percent="0" rank="0" text="" dxfId="0">
      <formula>H35</formula>
    </cfRule>
  </conditionalFormatting>
  <conditionalFormatting sqref="AD36">
    <cfRule type="cellIs" priority="25" operator="lessThanOrEqual" aboveAverage="0" equalAverage="0" bottom="0" percent="0" rank="0" text="" dxfId="0">
      <formula>H36</formula>
    </cfRule>
  </conditionalFormatting>
  <conditionalFormatting sqref="AD37">
    <cfRule type="cellIs" priority="26" operator="lessThanOrEqual" aboveAverage="0" equalAverage="0" bottom="0" percent="0" rank="0" text="" dxfId="0">
      <formula>H37</formula>
    </cfRule>
  </conditionalFormatting>
  <conditionalFormatting sqref="AD38">
    <cfRule type="cellIs" priority="27" operator="lessThanOrEqual" aboveAverage="0" equalAverage="0" bottom="0" percent="0" rank="0" text="" dxfId="0">
      <formula>H38</formula>
    </cfRule>
  </conditionalFormatting>
  <conditionalFormatting sqref="AD39">
    <cfRule type="cellIs" priority="28" operator="lessThanOrEqual" aboveAverage="0" equalAverage="0" bottom="0" percent="0" rank="0" text="" dxfId="0">
      <formula>H39</formula>
    </cfRule>
  </conditionalFormatting>
  <conditionalFormatting sqref="AD40">
    <cfRule type="cellIs" priority="29" operator="lessThanOrEqual" aboveAverage="0" equalAverage="0" bottom="0" percent="0" rank="0" text="" dxfId="0">
      <formula>H40</formula>
    </cfRule>
  </conditionalFormatting>
  <conditionalFormatting sqref="AD41">
    <cfRule type="cellIs" priority="30" operator="lessThanOrEqual" aboveAverage="0" equalAverage="0" bottom="0" percent="0" rank="0" text="" dxfId="0">
      <formula>H41</formula>
    </cfRule>
  </conditionalFormatting>
  <conditionalFormatting sqref="AD43">
    <cfRule type="cellIs" priority="31" operator="lessThanOrEqual" aboveAverage="0" equalAverage="0" bottom="0" percent="0" rank="0" text="" dxfId="0">
      <formula>H43</formula>
    </cfRule>
  </conditionalFormatting>
  <conditionalFormatting sqref="AD44">
    <cfRule type="cellIs" priority="32" operator="lessThanOrEqual" aboveAverage="0" equalAverage="0" bottom="0" percent="0" rank="0" text="" dxfId="0">
      <formula>H44</formula>
    </cfRule>
  </conditionalFormatting>
  <conditionalFormatting sqref="AD45">
    <cfRule type="cellIs" priority="33" operator="lessThanOrEqual" aboveAverage="0" equalAverage="0" bottom="0" percent="0" rank="0" text="" dxfId="0">
      <formula>H45</formula>
    </cfRule>
  </conditionalFormatting>
  <conditionalFormatting sqref="AD46">
    <cfRule type="cellIs" priority="34" operator="lessThanOrEqual" aboveAverage="0" equalAverage="0" bottom="0" percent="0" rank="0" text="" dxfId="0">
      <formula>H46</formula>
    </cfRule>
  </conditionalFormatting>
  <conditionalFormatting sqref="AD47">
    <cfRule type="cellIs" priority="35" operator="lessThanOrEqual" aboveAverage="0" equalAverage="0" bottom="0" percent="0" rank="0" text="" dxfId="0">
      <formula>H47</formula>
    </cfRule>
  </conditionalFormatting>
  <conditionalFormatting sqref="AD48">
    <cfRule type="cellIs" priority="36" operator="lessThanOrEqual" aboveAverage="0" equalAverage="0" bottom="0" percent="0" rank="0" text="" dxfId="0">
      <formula>H48</formula>
    </cfRule>
  </conditionalFormatting>
  <conditionalFormatting sqref="AD49">
    <cfRule type="cellIs" priority="37" operator="lessThanOrEqual" aboveAverage="0" equalAverage="0" bottom="0" percent="0" rank="0" text="" dxfId="0">
      <formula>H49</formula>
    </cfRule>
  </conditionalFormatting>
  <conditionalFormatting sqref="AD50">
    <cfRule type="cellIs" priority="38" operator="lessThanOrEqual" aboveAverage="0" equalAverage="0" bottom="0" percent="0" rank="0" text="" dxfId="0">
      <formula>H50</formula>
    </cfRule>
  </conditionalFormatting>
  <conditionalFormatting sqref="AD51">
    <cfRule type="cellIs" priority="39" operator="lessThanOrEqual" aboveAverage="0" equalAverage="0" bottom="0" percent="0" rank="0" text="" dxfId="0">
      <formula>H51</formula>
    </cfRule>
  </conditionalFormatting>
  <conditionalFormatting sqref="AD53">
    <cfRule type="cellIs" priority="40" operator="lessThanOrEqual" aboveAverage="0" equalAverage="0" bottom="0" percent="0" rank="0" text="" dxfId="0">
      <formula>H53</formula>
    </cfRule>
  </conditionalFormatting>
  <conditionalFormatting sqref="AD55">
    <cfRule type="cellIs" priority="41" operator="lessThanOrEqual" aboveAverage="0" equalAverage="0" bottom="0" percent="0" rank="0" text="" dxfId="0">
      <formula>H55</formula>
    </cfRule>
  </conditionalFormatting>
  <conditionalFormatting sqref="AD56">
    <cfRule type="cellIs" priority="42" operator="lessThanOrEqual" aboveAverage="0" equalAverage="0" bottom="0" percent="0" rank="0" text="" dxfId="0">
      <formula>H56</formula>
    </cfRule>
  </conditionalFormatting>
  <conditionalFormatting sqref="AD58">
    <cfRule type="cellIs" priority="43" operator="lessThanOrEqual" aboveAverage="0" equalAverage="0" bottom="0" percent="0" rank="0" text="" dxfId="0">
      <formula>H58</formula>
    </cfRule>
  </conditionalFormatting>
  <conditionalFormatting sqref="AD59">
    <cfRule type="cellIs" priority="44" operator="lessThanOrEqual" aboveAverage="0" equalAverage="0" bottom="0" percent="0" rank="0" text="" dxfId="0">
      <formula>H59</formula>
    </cfRule>
  </conditionalFormatting>
  <conditionalFormatting sqref="AD60">
    <cfRule type="cellIs" priority="45" operator="lessThanOrEqual" aboveAverage="0" equalAverage="0" bottom="0" percent="0" rank="0" text="" dxfId="0">
      <formula>H60</formula>
    </cfRule>
  </conditionalFormatting>
  <conditionalFormatting sqref="AD61">
    <cfRule type="cellIs" priority="46" operator="lessThanOrEqual" aboveAverage="0" equalAverage="0" bottom="0" percent="0" rank="0" text="" dxfId="0">
      <formula>H61</formula>
    </cfRule>
  </conditionalFormatting>
  <conditionalFormatting sqref="AD62">
    <cfRule type="cellIs" priority="47" operator="lessThanOrEqual" aboveAverage="0" equalAverage="0" bottom="0" percent="0" rank="0" text="" dxfId="0">
      <formula>H62</formula>
    </cfRule>
  </conditionalFormatting>
  <conditionalFormatting sqref="AD63">
    <cfRule type="cellIs" priority="48" operator="lessThanOrEqual" aboveAverage="0" equalAverage="0" bottom="0" percent="0" rank="0" text="" dxfId="0">
      <formula>H63</formula>
    </cfRule>
  </conditionalFormatting>
  <conditionalFormatting sqref="AD64">
    <cfRule type="cellIs" priority="49" operator="lessThanOrEqual" aboveAverage="0" equalAverage="0" bottom="0" percent="0" rank="0" text="" dxfId="0">
      <formula>H64</formula>
    </cfRule>
  </conditionalFormatting>
  <conditionalFormatting sqref="AD65">
    <cfRule type="cellIs" priority="50" operator="lessThanOrEqual" aboveAverage="0" equalAverage="0" bottom="0" percent="0" rank="0" text="" dxfId="0">
      <formula>H65</formula>
    </cfRule>
  </conditionalFormatting>
  <conditionalFormatting sqref="AD66">
    <cfRule type="cellIs" priority="51" operator="lessThanOrEqual" aboveAverage="0" equalAverage="0" bottom="0" percent="0" rank="0" text="" dxfId="0">
      <formula>H66</formula>
    </cfRule>
  </conditionalFormatting>
  <conditionalFormatting sqref="AD67">
    <cfRule type="cellIs" priority="52" operator="lessThanOrEqual" aboveAverage="0" equalAverage="0" bottom="0" percent="0" rank="0" text="" dxfId="0">
      <formula>H67</formula>
    </cfRule>
  </conditionalFormatting>
  <conditionalFormatting sqref="AD68">
    <cfRule type="cellIs" priority="53" operator="lessThanOrEqual" aboveAverage="0" equalAverage="0" bottom="0" percent="0" rank="0" text="" dxfId="0">
      <formula>H68</formula>
    </cfRule>
  </conditionalFormatting>
  <conditionalFormatting sqref="AD69">
    <cfRule type="cellIs" priority="54" operator="lessThanOrEqual" aboveAverage="0" equalAverage="0" bottom="0" percent="0" rank="0" text="" dxfId="0">
      <formula>H69</formula>
    </cfRule>
  </conditionalFormatting>
  <conditionalFormatting sqref="AD7">
    <cfRule type="cellIs" priority="55" operator="lessThanOrEqual" aboveAverage="0" equalAverage="0" bottom="0" percent="0" rank="0" text="" dxfId="0">
      <formula>H7</formula>
    </cfRule>
  </conditionalFormatting>
  <conditionalFormatting sqref="AD70">
    <cfRule type="cellIs" priority="56" operator="lessThanOrEqual" aboveAverage="0" equalAverage="0" bottom="0" percent="0" rank="0" text="" dxfId="0">
      <formula>H70</formula>
    </cfRule>
  </conditionalFormatting>
  <conditionalFormatting sqref="AD71">
    <cfRule type="cellIs" priority="57" operator="lessThanOrEqual" aboveAverage="0" equalAverage="0" bottom="0" percent="0" rank="0" text="" dxfId="0">
      <formula>H71</formula>
    </cfRule>
  </conditionalFormatting>
  <conditionalFormatting sqref="AD72">
    <cfRule type="cellIs" priority="58" operator="lessThanOrEqual" aboveAverage="0" equalAverage="0" bottom="0" percent="0" rank="0" text="" dxfId="0">
      <formula>H72</formula>
    </cfRule>
  </conditionalFormatting>
  <conditionalFormatting sqref="AD73">
    <cfRule type="cellIs" priority="59" operator="lessThanOrEqual" aboveAverage="0" equalAverage="0" bottom="0" percent="0" rank="0" text="" dxfId="0">
      <formula>H73</formula>
    </cfRule>
  </conditionalFormatting>
  <conditionalFormatting sqref="AD74">
    <cfRule type="cellIs" priority="60" operator="lessThanOrEqual" aboveAverage="0" equalAverage="0" bottom="0" percent="0" rank="0" text="" dxfId="0">
      <formula>H74</formula>
    </cfRule>
  </conditionalFormatting>
  <conditionalFormatting sqref="AD75">
    <cfRule type="cellIs" priority="61" operator="lessThanOrEqual" aboveAverage="0" equalAverage="0" bottom="0" percent="0" rank="0" text="" dxfId="0">
      <formula>H75</formula>
    </cfRule>
  </conditionalFormatting>
  <conditionalFormatting sqref="AD76">
    <cfRule type="cellIs" priority="62" operator="lessThanOrEqual" aboveAverage="0" equalAverage="0" bottom="0" percent="0" rank="0" text="" dxfId="0">
      <formula>H76</formula>
    </cfRule>
  </conditionalFormatting>
  <conditionalFormatting sqref="AD77">
    <cfRule type="cellIs" priority="63" operator="lessThanOrEqual" aboveAverage="0" equalAverage="0" bottom="0" percent="0" rank="0" text="" dxfId="0">
      <formula>H77</formula>
    </cfRule>
  </conditionalFormatting>
  <conditionalFormatting sqref="AD78">
    <cfRule type="cellIs" priority="64" operator="lessThanOrEqual" aboveAverage="0" equalAverage="0" bottom="0" percent="0" rank="0" text="" dxfId="0">
      <formula>H78</formula>
    </cfRule>
  </conditionalFormatting>
  <conditionalFormatting sqref="AD80">
    <cfRule type="cellIs" priority="65" operator="lessThanOrEqual" aboveAverage="0" equalAverage="0" bottom="0" percent="0" rank="0" text="" dxfId="0">
      <formula>H80</formula>
    </cfRule>
  </conditionalFormatting>
  <conditionalFormatting sqref="AD81">
    <cfRule type="cellIs" priority="66" operator="lessThanOrEqual" aboveAverage="0" equalAverage="0" bottom="0" percent="0" rank="0" text="" dxfId="0">
      <formula>H81</formula>
    </cfRule>
  </conditionalFormatting>
  <conditionalFormatting sqref="AD82">
    <cfRule type="cellIs" priority="67" operator="lessThanOrEqual" aboveAverage="0" equalAverage="0" bottom="0" percent="0" rank="0" text="" dxfId="0">
      <formula>H82</formula>
    </cfRule>
  </conditionalFormatting>
  <conditionalFormatting sqref="AD83">
    <cfRule type="cellIs" priority="68" operator="lessThanOrEqual" aboveAverage="0" equalAverage="0" bottom="0" percent="0" rank="0" text="" dxfId="0">
      <formula>H83</formula>
    </cfRule>
  </conditionalFormatting>
  <conditionalFormatting sqref="AD85">
    <cfRule type="cellIs" priority="69" operator="lessThanOrEqual" aboveAverage="0" equalAverage="0" bottom="0" percent="0" rank="0" text="" dxfId="0">
      <formula>H85</formula>
    </cfRule>
  </conditionalFormatting>
  <conditionalFormatting sqref="AD86">
    <cfRule type="cellIs" priority="70" operator="lessThanOrEqual" aboveAverage="0" equalAverage="0" bottom="0" percent="0" rank="0" text="" dxfId="0">
      <formula>H86</formula>
    </cfRule>
  </conditionalFormatting>
  <conditionalFormatting sqref="AD87">
    <cfRule type="cellIs" priority="71" operator="lessThanOrEqual" aboveAverage="0" equalAverage="0" bottom="0" percent="0" rank="0" text="" dxfId="0">
      <formula>H87</formula>
    </cfRule>
  </conditionalFormatting>
  <conditionalFormatting sqref="AD89">
    <cfRule type="cellIs" priority="72" operator="lessThanOrEqual" aboveAverage="0" equalAverage="0" bottom="0" percent="0" rank="0" text="" dxfId="0">
      <formula>H89</formula>
    </cfRule>
  </conditionalFormatting>
  <conditionalFormatting sqref="AD91">
    <cfRule type="cellIs" priority="73" operator="lessThanOrEqual" aboveAverage="0" equalAverage="0" bottom="0" percent="0" rank="0" text="" dxfId="0">
      <formula>H91</formula>
    </cfRule>
  </conditionalFormatting>
  <conditionalFormatting sqref="AD92">
    <cfRule type="cellIs" priority="74" operator="lessThanOrEqual" aboveAverage="0" equalAverage="0" bottom="0" percent="0" rank="0" text="" dxfId="0">
      <formula>H92</formula>
    </cfRule>
  </conditionalFormatting>
  <conditionalFormatting sqref="AD93">
    <cfRule type="cellIs" priority="75" operator="lessThanOrEqual" aboveAverage="0" equalAverage="0" bottom="0" percent="0" rank="0" text="" dxfId="0">
      <formula>H93</formula>
    </cfRule>
  </conditionalFormatting>
  <conditionalFormatting sqref="AD96">
    <cfRule type="cellIs" priority="76" operator="lessThanOrEqual" aboveAverage="0" equalAverage="0" bottom="0" percent="0" rank="0" text="" dxfId="0">
      <formula>H96</formula>
    </cfRule>
  </conditionalFormatting>
  <conditionalFormatting sqref="AD98">
    <cfRule type="cellIs" priority="77" operator="lessThanOrEqual" aboveAverage="0" equalAverage="0" bottom="0" percent="0" rank="0" text="" dxfId="0">
      <formula>H98</formula>
    </cfRule>
  </conditionalFormatting>
  <conditionalFormatting sqref="AD99">
    <cfRule type="cellIs" priority="78" operator="lessThanOrEqual" aboveAverage="0" equalAverage="0" bottom="0" percent="0" rank="0" text="" dxfId="0">
      <formula>H99</formula>
    </cfRule>
  </conditionalFormatting>
  <conditionalFormatting sqref="AE100">
    <cfRule type="cellIs" priority="79" operator="lessThanOrEqual" aboveAverage="0" equalAverage="0" bottom="0" percent="0" rank="0" text="" dxfId="0">
      <formula>I100</formula>
    </cfRule>
  </conditionalFormatting>
  <conditionalFormatting sqref="AE11">
    <cfRule type="cellIs" priority="80" operator="lessThanOrEqual" aboveAverage="0" equalAverage="0" bottom="0" percent="0" rank="0" text="" dxfId="0">
      <formula>I11</formula>
    </cfRule>
  </conditionalFormatting>
  <conditionalFormatting sqref="AE12">
    <cfRule type="cellIs" priority="81" operator="lessThanOrEqual" aboveAverage="0" equalAverage="0" bottom="0" percent="0" rank="0" text="" dxfId="0">
      <formula>I12</formula>
    </cfRule>
  </conditionalFormatting>
  <conditionalFormatting sqref="AE13">
    <cfRule type="cellIs" priority="82" operator="lessThanOrEqual" aboveAverage="0" equalAverage="0" bottom="0" percent="0" rank="0" text="" dxfId="0">
      <formula>I13</formula>
    </cfRule>
  </conditionalFormatting>
  <conditionalFormatting sqref="AE14">
    <cfRule type="cellIs" priority="83" operator="lessThanOrEqual" aboveAverage="0" equalAverage="0" bottom="0" percent="0" rank="0" text="" dxfId="0">
      <formula>I14</formula>
    </cfRule>
  </conditionalFormatting>
  <conditionalFormatting sqref="AE15">
    <cfRule type="cellIs" priority="84" operator="lessThanOrEqual" aboveAverage="0" equalAverage="0" bottom="0" percent="0" rank="0" text="" dxfId="0">
      <formula>I15</formula>
    </cfRule>
  </conditionalFormatting>
  <conditionalFormatting sqref="AE16">
    <cfRule type="cellIs" priority="85" operator="lessThanOrEqual" aboveAverage="0" equalAverage="0" bottom="0" percent="0" rank="0" text="" dxfId="0">
      <formula>I16</formula>
    </cfRule>
  </conditionalFormatting>
  <conditionalFormatting sqref="AE17">
    <cfRule type="cellIs" priority="86" operator="lessThanOrEqual" aboveAverage="0" equalAverage="0" bottom="0" percent="0" rank="0" text="" dxfId="0">
      <formula>I17</formula>
    </cfRule>
  </conditionalFormatting>
  <conditionalFormatting sqref="AE18">
    <cfRule type="cellIs" priority="87" operator="lessThanOrEqual" aboveAverage="0" equalAverage="0" bottom="0" percent="0" rank="0" text="" dxfId="0">
      <formula>I18</formula>
    </cfRule>
  </conditionalFormatting>
  <conditionalFormatting sqref="AE19">
    <cfRule type="cellIs" priority="88" operator="lessThanOrEqual" aboveAverage="0" equalAverage="0" bottom="0" percent="0" rank="0" text="" dxfId="0">
      <formula>I19</formula>
    </cfRule>
  </conditionalFormatting>
  <conditionalFormatting sqref="AE20">
    <cfRule type="cellIs" priority="89" operator="lessThanOrEqual" aboveAverage="0" equalAverage="0" bottom="0" percent="0" rank="0" text="" dxfId="0">
      <formula>I20</formula>
    </cfRule>
  </conditionalFormatting>
  <conditionalFormatting sqref="AE22">
    <cfRule type="cellIs" priority="90" operator="lessThanOrEqual" aboveAverage="0" equalAverage="0" bottom="0" percent="0" rank="0" text="" dxfId="0">
      <formula>I22</formula>
    </cfRule>
  </conditionalFormatting>
  <conditionalFormatting sqref="AE23">
    <cfRule type="cellIs" priority="91" operator="lessThanOrEqual" aboveAverage="0" equalAverage="0" bottom="0" percent="0" rank="0" text="" dxfId="0">
      <formula>I23</formula>
    </cfRule>
  </conditionalFormatting>
  <conditionalFormatting sqref="AE25">
    <cfRule type="cellIs" priority="92" operator="lessThanOrEqual" aboveAverage="0" equalAverage="0" bottom="0" percent="0" rank="0" text="" dxfId="0">
      <formula>I25</formula>
    </cfRule>
  </conditionalFormatting>
  <conditionalFormatting sqref="AE26">
    <cfRule type="cellIs" priority="93" operator="lessThanOrEqual" aboveAverage="0" equalAverage="0" bottom="0" percent="0" rank="0" text="" dxfId="0">
      <formula>I26</formula>
    </cfRule>
  </conditionalFormatting>
  <conditionalFormatting sqref="AE27">
    <cfRule type="cellIs" priority="94" operator="lessThanOrEqual" aboveAverage="0" equalAverage="0" bottom="0" percent="0" rank="0" text="" dxfId="0">
      <formula>I27</formula>
    </cfRule>
  </conditionalFormatting>
  <conditionalFormatting sqref="AE28">
    <cfRule type="cellIs" priority="95" operator="lessThanOrEqual" aboveAverage="0" equalAverage="0" bottom="0" percent="0" rank="0" text="" dxfId="0">
      <formula>I28</formula>
    </cfRule>
  </conditionalFormatting>
  <conditionalFormatting sqref="AE29">
    <cfRule type="cellIs" priority="96" operator="lessThanOrEqual" aboveAverage="0" equalAverage="0" bottom="0" percent="0" rank="0" text="" dxfId="0">
      <formula>I29</formula>
    </cfRule>
  </conditionalFormatting>
  <conditionalFormatting sqref="AE30">
    <cfRule type="cellIs" priority="97" operator="lessThanOrEqual" aboveAverage="0" equalAverage="0" bottom="0" percent="0" rank="0" text="" dxfId="0">
      <formula>I30</formula>
    </cfRule>
  </conditionalFormatting>
  <conditionalFormatting sqref="AE31">
    <cfRule type="cellIs" priority="98" operator="lessThanOrEqual" aboveAverage="0" equalAverage="0" bottom="0" percent="0" rank="0" text="" dxfId="0">
      <formula>I31</formula>
    </cfRule>
  </conditionalFormatting>
  <conditionalFormatting sqref="AE32">
    <cfRule type="cellIs" priority="99" operator="lessThanOrEqual" aboveAverage="0" equalAverage="0" bottom="0" percent="0" rank="0" text="" dxfId="0">
      <formula>I32</formula>
    </cfRule>
  </conditionalFormatting>
  <conditionalFormatting sqref="AE33">
    <cfRule type="cellIs" priority="100" operator="lessThanOrEqual" aboveAverage="0" equalAverage="0" bottom="0" percent="0" rank="0" text="" dxfId="0">
      <formula>I33</formula>
    </cfRule>
  </conditionalFormatting>
  <conditionalFormatting sqref="AE35">
    <cfRule type="cellIs" priority="101" operator="lessThanOrEqual" aboveAverage="0" equalAverage="0" bottom="0" percent="0" rank="0" text="" dxfId="0">
      <formula>I35</formula>
    </cfRule>
  </conditionalFormatting>
  <conditionalFormatting sqref="AE36">
    <cfRule type="cellIs" priority="102" operator="lessThanOrEqual" aboveAverage="0" equalAverage="0" bottom="0" percent="0" rank="0" text="" dxfId="0">
      <formula>I36</formula>
    </cfRule>
  </conditionalFormatting>
  <conditionalFormatting sqref="AE37">
    <cfRule type="cellIs" priority="103" operator="lessThanOrEqual" aboveAverage="0" equalAverage="0" bottom="0" percent="0" rank="0" text="" dxfId="0">
      <formula>I37</formula>
    </cfRule>
  </conditionalFormatting>
  <conditionalFormatting sqref="AE38">
    <cfRule type="cellIs" priority="104" operator="lessThanOrEqual" aboveAverage="0" equalAverage="0" bottom="0" percent="0" rank="0" text="" dxfId="0">
      <formula>I38</formula>
    </cfRule>
  </conditionalFormatting>
  <conditionalFormatting sqref="AE39">
    <cfRule type="cellIs" priority="105" operator="lessThanOrEqual" aboveAverage="0" equalAverage="0" bottom="0" percent="0" rank="0" text="" dxfId="0">
      <formula>I39</formula>
    </cfRule>
  </conditionalFormatting>
  <conditionalFormatting sqref="AE40">
    <cfRule type="cellIs" priority="106" operator="lessThanOrEqual" aboveAverage="0" equalAverage="0" bottom="0" percent="0" rank="0" text="" dxfId="0">
      <formula>I40</formula>
    </cfRule>
  </conditionalFormatting>
  <conditionalFormatting sqref="AE41">
    <cfRule type="cellIs" priority="107" operator="lessThanOrEqual" aboveAverage="0" equalAverage="0" bottom="0" percent="0" rank="0" text="" dxfId="0">
      <formula>I41</formula>
    </cfRule>
  </conditionalFormatting>
  <conditionalFormatting sqref="AE43">
    <cfRule type="cellIs" priority="108" operator="lessThanOrEqual" aboveAverage="0" equalAverage="0" bottom="0" percent="0" rank="0" text="" dxfId="0">
      <formula>I43</formula>
    </cfRule>
  </conditionalFormatting>
  <conditionalFormatting sqref="AE44">
    <cfRule type="cellIs" priority="109" operator="lessThanOrEqual" aboveAverage="0" equalAverage="0" bottom="0" percent="0" rank="0" text="" dxfId="0">
      <formula>I44</formula>
    </cfRule>
  </conditionalFormatting>
  <conditionalFormatting sqref="AE45">
    <cfRule type="cellIs" priority="110" operator="lessThanOrEqual" aboveAverage="0" equalAverage="0" bottom="0" percent="0" rank="0" text="" dxfId="0">
      <formula>I45</formula>
    </cfRule>
  </conditionalFormatting>
  <conditionalFormatting sqref="AE46">
    <cfRule type="cellIs" priority="111" operator="lessThanOrEqual" aboveAverage="0" equalAverage="0" bottom="0" percent="0" rank="0" text="" dxfId="0">
      <formula>I46</formula>
    </cfRule>
  </conditionalFormatting>
  <conditionalFormatting sqref="AE47">
    <cfRule type="cellIs" priority="112" operator="lessThanOrEqual" aboveAverage="0" equalAverage="0" bottom="0" percent="0" rank="0" text="" dxfId="0">
      <formula>I47</formula>
    </cfRule>
  </conditionalFormatting>
  <conditionalFormatting sqref="AE48">
    <cfRule type="cellIs" priority="113" operator="lessThanOrEqual" aboveAverage="0" equalAverage="0" bottom="0" percent="0" rank="0" text="" dxfId="0">
      <formula>I48</formula>
    </cfRule>
  </conditionalFormatting>
  <conditionalFormatting sqref="AE49">
    <cfRule type="cellIs" priority="114" operator="lessThanOrEqual" aboveAverage="0" equalAverage="0" bottom="0" percent="0" rank="0" text="" dxfId="0">
      <formula>I49</formula>
    </cfRule>
  </conditionalFormatting>
  <conditionalFormatting sqref="AE50">
    <cfRule type="cellIs" priority="115" operator="lessThanOrEqual" aboveAverage="0" equalAverage="0" bottom="0" percent="0" rank="0" text="" dxfId="0">
      <formula>I50</formula>
    </cfRule>
  </conditionalFormatting>
  <conditionalFormatting sqref="AE51">
    <cfRule type="cellIs" priority="116" operator="lessThanOrEqual" aboveAverage="0" equalAverage="0" bottom="0" percent="0" rank="0" text="" dxfId="0">
      <formula>I51</formula>
    </cfRule>
  </conditionalFormatting>
  <conditionalFormatting sqref="AE53">
    <cfRule type="cellIs" priority="117" operator="lessThanOrEqual" aboveAverage="0" equalAverage="0" bottom="0" percent="0" rank="0" text="" dxfId="0">
      <formula>I53</formula>
    </cfRule>
  </conditionalFormatting>
  <conditionalFormatting sqref="AE55">
    <cfRule type="cellIs" priority="118" operator="lessThanOrEqual" aboveAverage="0" equalAverage="0" bottom="0" percent="0" rank="0" text="" dxfId="0">
      <formula>I55</formula>
    </cfRule>
  </conditionalFormatting>
  <conditionalFormatting sqref="AE56">
    <cfRule type="cellIs" priority="119" operator="lessThanOrEqual" aboveAverage="0" equalAverage="0" bottom="0" percent="0" rank="0" text="" dxfId="0">
      <formula>I56</formula>
    </cfRule>
  </conditionalFormatting>
  <conditionalFormatting sqref="AE58">
    <cfRule type="cellIs" priority="120" operator="lessThanOrEqual" aboveAverage="0" equalAverage="0" bottom="0" percent="0" rank="0" text="" dxfId="0">
      <formula>I58</formula>
    </cfRule>
  </conditionalFormatting>
  <conditionalFormatting sqref="AE59">
    <cfRule type="cellIs" priority="121" operator="lessThanOrEqual" aboveAverage="0" equalAverage="0" bottom="0" percent="0" rank="0" text="" dxfId="0">
      <formula>I59</formula>
    </cfRule>
  </conditionalFormatting>
  <conditionalFormatting sqref="AE60">
    <cfRule type="cellIs" priority="122" operator="lessThanOrEqual" aboveAverage="0" equalAverage="0" bottom="0" percent="0" rank="0" text="" dxfId="0">
      <formula>I60</formula>
    </cfRule>
  </conditionalFormatting>
  <conditionalFormatting sqref="AE61">
    <cfRule type="cellIs" priority="123" operator="lessThanOrEqual" aboveAverage="0" equalAverage="0" bottom="0" percent="0" rank="0" text="" dxfId="0">
      <formula>I61</formula>
    </cfRule>
  </conditionalFormatting>
  <conditionalFormatting sqref="AE62">
    <cfRule type="cellIs" priority="124" operator="lessThanOrEqual" aboveAverage="0" equalAverage="0" bottom="0" percent="0" rank="0" text="" dxfId="0">
      <formula>I62</formula>
    </cfRule>
  </conditionalFormatting>
  <conditionalFormatting sqref="AE63">
    <cfRule type="cellIs" priority="125" operator="lessThanOrEqual" aboveAverage="0" equalAverage="0" bottom="0" percent="0" rank="0" text="" dxfId="0">
      <formula>I63</formula>
    </cfRule>
  </conditionalFormatting>
  <conditionalFormatting sqref="AE64">
    <cfRule type="cellIs" priority="126" operator="lessThanOrEqual" aboveAverage="0" equalAverage="0" bottom="0" percent="0" rank="0" text="" dxfId="0">
      <formula>I64</formula>
    </cfRule>
  </conditionalFormatting>
  <conditionalFormatting sqref="AE65">
    <cfRule type="cellIs" priority="127" operator="lessThanOrEqual" aboveAverage="0" equalAverage="0" bottom="0" percent="0" rank="0" text="" dxfId="0">
      <formula>I65</formula>
    </cfRule>
  </conditionalFormatting>
  <conditionalFormatting sqref="AE66">
    <cfRule type="cellIs" priority="128" operator="lessThanOrEqual" aboveAverage="0" equalAverage="0" bottom="0" percent="0" rank="0" text="" dxfId="0">
      <formula>I66</formula>
    </cfRule>
  </conditionalFormatting>
  <conditionalFormatting sqref="AE67">
    <cfRule type="cellIs" priority="129" operator="lessThanOrEqual" aboveAverage="0" equalAverage="0" bottom="0" percent="0" rank="0" text="" dxfId="0">
      <formula>I67</formula>
    </cfRule>
  </conditionalFormatting>
  <conditionalFormatting sqref="AE68">
    <cfRule type="cellIs" priority="130" operator="lessThanOrEqual" aboveAverage="0" equalAverage="0" bottom="0" percent="0" rank="0" text="" dxfId="0">
      <formula>I68</formula>
    </cfRule>
  </conditionalFormatting>
  <conditionalFormatting sqref="AE69">
    <cfRule type="cellIs" priority="131" operator="lessThanOrEqual" aboveAverage="0" equalAverage="0" bottom="0" percent="0" rank="0" text="" dxfId="0">
      <formula>I69</formula>
    </cfRule>
  </conditionalFormatting>
  <conditionalFormatting sqref="AE7">
    <cfRule type="cellIs" priority="132" operator="lessThanOrEqual" aboveAverage="0" equalAverage="0" bottom="0" percent="0" rank="0" text="" dxfId="0">
      <formula>I7</formula>
    </cfRule>
  </conditionalFormatting>
  <conditionalFormatting sqref="AE70">
    <cfRule type="cellIs" priority="133" operator="lessThanOrEqual" aboveAverage="0" equalAverage="0" bottom="0" percent="0" rank="0" text="" dxfId="0">
      <formula>I70</formula>
    </cfRule>
  </conditionalFormatting>
  <conditionalFormatting sqref="AE71">
    <cfRule type="cellIs" priority="134" operator="lessThanOrEqual" aboveAverage="0" equalAverage="0" bottom="0" percent="0" rank="0" text="" dxfId="0">
      <formula>I71</formula>
    </cfRule>
  </conditionalFormatting>
  <conditionalFormatting sqref="AE72">
    <cfRule type="cellIs" priority="135" operator="lessThanOrEqual" aboveAverage="0" equalAverage="0" bottom="0" percent="0" rank="0" text="" dxfId="0">
      <formula>I72</formula>
    </cfRule>
  </conditionalFormatting>
  <conditionalFormatting sqref="AE73">
    <cfRule type="cellIs" priority="136" operator="lessThanOrEqual" aboveAverage="0" equalAverage="0" bottom="0" percent="0" rank="0" text="" dxfId="0">
      <formula>I73</formula>
    </cfRule>
  </conditionalFormatting>
  <conditionalFormatting sqref="AE74">
    <cfRule type="cellIs" priority="137" operator="lessThanOrEqual" aboveAverage="0" equalAverage="0" bottom="0" percent="0" rank="0" text="" dxfId="0">
      <formula>I74</formula>
    </cfRule>
  </conditionalFormatting>
  <conditionalFormatting sqref="AE75">
    <cfRule type="cellIs" priority="138" operator="lessThanOrEqual" aboveAverage="0" equalAverage="0" bottom="0" percent="0" rank="0" text="" dxfId="0">
      <formula>I75</formula>
    </cfRule>
  </conditionalFormatting>
  <conditionalFormatting sqref="AE76">
    <cfRule type="cellIs" priority="139" operator="lessThanOrEqual" aboveAverage="0" equalAverage="0" bottom="0" percent="0" rank="0" text="" dxfId="0">
      <formula>I76</formula>
    </cfRule>
  </conditionalFormatting>
  <conditionalFormatting sqref="AE77">
    <cfRule type="cellIs" priority="140" operator="lessThanOrEqual" aboveAverage="0" equalAverage="0" bottom="0" percent="0" rank="0" text="" dxfId="0">
      <formula>I77</formula>
    </cfRule>
  </conditionalFormatting>
  <conditionalFormatting sqref="AE78">
    <cfRule type="cellIs" priority="141" operator="lessThanOrEqual" aboveAverage="0" equalAverage="0" bottom="0" percent="0" rank="0" text="" dxfId="0">
      <formula>I78</formula>
    </cfRule>
  </conditionalFormatting>
  <conditionalFormatting sqref="AE80">
    <cfRule type="cellIs" priority="142" operator="lessThanOrEqual" aboveAverage="0" equalAverage="0" bottom="0" percent="0" rank="0" text="" dxfId="0">
      <formula>I80</formula>
    </cfRule>
  </conditionalFormatting>
  <conditionalFormatting sqref="AE81">
    <cfRule type="cellIs" priority="143" operator="lessThanOrEqual" aboveAverage="0" equalAverage="0" bottom="0" percent="0" rank="0" text="" dxfId="0">
      <formula>I81</formula>
    </cfRule>
  </conditionalFormatting>
  <conditionalFormatting sqref="AE82">
    <cfRule type="cellIs" priority="144" operator="lessThanOrEqual" aboveAverage="0" equalAverage="0" bottom="0" percent="0" rank="0" text="" dxfId="0">
      <formula>I82</formula>
    </cfRule>
  </conditionalFormatting>
  <conditionalFormatting sqref="AE83">
    <cfRule type="cellIs" priority="145" operator="lessThanOrEqual" aboveAverage="0" equalAverage="0" bottom="0" percent="0" rank="0" text="" dxfId="0">
      <formula>I83</formula>
    </cfRule>
  </conditionalFormatting>
  <conditionalFormatting sqref="AE85">
    <cfRule type="cellIs" priority="146" operator="lessThanOrEqual" aboveAverage="0" equalAverage="0" bottom="0" percent="0" rank="0" text="" dxfId="0">
      <formula>I85</formula>
    </cfRule>
  </conditionalFormatting>
  <conditionalFormatting sqref="AE86">
    <cfRule type="cellIs" priority="147" operator="lessThanOrEqual" aboveAverage="0" equalAverage="0" bottom="0" percent="0" rank="0" text="" dxfId="0">
      <formula>I86</formula>
    </cfRule>
  </conditionalFormatting>
  <conditionalFormatting sqref="AE87">
    <cfRule type="cellIs" priority="148" operator="lessThanOrEqual" aboveAverage="0" equalAverage="0" bottom="0" percent="0" rank="0" text="" dxfId="0">
      <formula>I87</formula>
    </cfRule>
  </conditionalFormatting>
  <conditionalFormatting sqref="AE89">
    <cfRule type="cellIs" priority="149" operator="lessThanOrEqual" aboveAverage="0" equalAverage="0" bottom="0" percent="0" rank="0" text="" dxfId="0">
      <formula>I89</formula>
    </cfRule>
  </conditionalFormatting>
  <conditionalFormatting sqref="AE91">
    <cfRule type="cellIs" priority="150" operator="lessThanOrEqual" aboveAverage="0" equalAverage="0" bottom="0" percent="0" rank="0" text="" dxfId="0">
      <formula>I91</formula>
    </cfRule>
  </conditionalFormatting>
  <conditionalFormatting sqref="AE92">
    <cfRule type="cellIs" priority="151" operator="lessThanOrEqual" aboveAverage="0" equalAverage="0" bottom="0" percent="0" rank="0" text="" dxfId="0">
      <formula>I92</formula>
    </cfRule>
  </conditionalFormatting>
  <conditionalFormatting sqref="AE93">
    <cfRule type="cellIs" priority="152" operator="lessThanOrEqual" aboveAverage="0" equalAverage="0" bottom="0" percent="0" rank="0" text="" dxfId="0">
      <formula>I93</formula>
    </cfRule>
  </conditionalFormatting>
  <conditionalFormatting sqref="AE96">
    <cfRule type="cellIs" priority="153" operator="lessThanOrEqual" aboveAverage="0" equalAverage="0" bottom="0" percent="0" rank="0" text="" dxfId="0">
      <formula>I96</formula>
    </cfRule>
  </conditionalFormatting>
  <conditionalFormatting sqref="AE98">
    <cfRule type="cellIs" priority="154" operator="lessThanOrEqual" aboveAverage="0" equalAverage="0" bottom="0" percent="0" rank="0" text="" dxfId="0">
      <formula>I98</formula>
    </cfRule>
  </conditionalFormatting>
  <conditionalFormatting sqref="AE99">
    <cfRule type="cellIs" priority="155" operator="lessThanOrEqual" aboveAverage="0" equalAverage="0" bottom="0" percent="0" rank="0" text="" dxfId="0">
      <formula>I99</formula>
    </cfRule>
  </conditionalFormatting>
  <conditionalFormatting sqref="AJ10">
    <cfRule type="cellIs" priority="156" operator="lessThanOrEqual" aboveAverage="0" equalAverage="0" bottom="0" percent="0" rank="0" text="" dxfId="0">
      <formula>H10</formula>
    </cfRule>
  </conditionalFormatting>
  <conditionalFormatting sqref="AJ100">
    <cfRule type="cellIs" priority="157" operator="lessThanOrEqual" aboveAverage="0" equalAverage="0" bottom="0" percent="0" rank="0" text="" dxfId="0">
      <formula>H100</formula>
    </cfRule>
  </conditionalFormatting>
  <conditionalFormatting sqref="AJ13">
    <cfRule type="cellIs" priority="158" operator="lessThanOrEqual" aboveAverage="0" equalAverage="0" bottom="0" percent="0" rank="0" text="" dxfId="0">
      <formula>H13</formula>
    </cfRule>
  </conditionalFormatting>
  <conditionalFormatting sqref="AJ15">
    <cfRule type="cellIs" priority="159" operator="lessThanOrEqual" aboveAverage="0" equalAverage="0" bottom="0" percent="0" rank="0" text="" dxfId="0">
      <formula>H15</formula>
    </cfRule>
  </conditionalFormatting>
  <conditionalFormatting sqref="AJ16">
    <cfRule type="cellIs" priority="160" operator="lessThanOrEqual" aboveAverage="0" equalAverage="0" bottom="0" percent="0" rank="0" text="" dxfId="0">
      <formula>H16</formula>
    </cfRule>
  </conditionalFormatting>
  <conditionalFormatting sqref="AJ19">
    <cfRule type="cellIs" priority="161" operator="lessThanOrEqual" aboveAverage="0" equalAverage="0" bottom="0" percent="0" rank="0" text="" dxfId="0">
      <formula>H19</formula>
    </cfRule>
  </conditionalFormatting>
  <conditionalFormatting sqref="AJ20">
    <cfRule type="cellIs" priority="162" operator="lessThanOrEqual" aboveAverage="0" equalAverage="0" bottom="0" percent="0" rank="0" text="" dxfId="0">
      <formula>H20</formula>
    </cfRule>
  </conditionalFormatting>
  <conditionalFormatting sqref="AJ25">
    <cfRule type="cellIs" priority="163" operator="lessThanOrEqual" aboveAverage="0" equalAverage="0" bottom="0" percent="0" rank="0" text="" dxfId="0">
      <formula>H25</formula>
    </cfRule>
  </conditionalFormatting>
  <conditionalFormatting sqref="AJ26">
    <cfRule type="cellIs" priority="164" operator="lessThanOrEqual" aboveAverage="0" equalAverage="0" bottom="0" percent="0" rank="0" text="" dxfId="0">
      <formula>H26</formula>
    </cfRule>
  </conditionalFormatting>
  <conditionalFormatting sqref="AJ29">
    <cfRule type="cellIs" priority="165" operator="lessThanOrEqual" aboveAverage="0" equalAverage="0" bottom="0" percent="0" rank="0" text="" dxfId="0">
      <formula>H29</formula>
    </cfRule>
  </conditionalFormatting>
  <conditionalFormatting sqref="AJ30">
    <cfRule type="cellIs" priority="166" operator="lessThanOrEqual" aboveAverage="0" equalAverage="0" bottom="0" percent="0" rank="0" text="" dxfId="0">
      <formula>H30</formula>
    </cfRule>
  </conditionalFormatting>
  <conditionalFormatting sqref="AJ31">
    <cfRule type="cellIs" priority="167" operator="lessThanOrEqual" aboveAverage="0" equalAverage="0" bottom="0" percent="0" rank="0" text="" dxfId="0">
      <formula>H31</formula>
    </cfRule>
  </conditionalFormatting>
  <conditionalFormatting sqref="AJ32">
    <cfRule type="cellIs" priority="168" operator="lessThanOrEqual" aboveAverage="0" equalAverage="0" bottom="0" percent="0" rank="0" text="" dxfId="0">
      <formula>H32</formula>
    </cfRule>
  </conditionalFormatting>
  <conditionalFormatting sqref="AJ36">
    <cfRule type="cellIs" priority="169" operator="lessThanOrEqual" aboveAverage="0" equalAverage="0" bottom="0" percent="0" rank="0" text="" dxfId="0">
      <formula>H36</formula>
    </cfRule>
  </conditionalFormatting>
  <conditionalFormatting sqref="AJ40">
    <cfRule type="cellIs" priority="170" operator="lessThanOrEqual" aboveAverage="0" equalAverage="0" bottom="0" percent="0" rank="0" text="" dxfId="0">
      <formula>H40</formula>
    </cfRule>
  </conditionalFormatting>
  <conditionalFormatting sqref="AJ43">
    <cfRule type="cellIs" priority="171" operator="lessThanOrEqual" aboveAverage="0" equalAverage="0" bottom="0" percent="0" rank="0" text="" dxfId="0">
      <formula>H43</formula>
    </cfRule>
  </conditionalFormatting>
  <conditionalFormatting sqref="AJ44">
    <cfRule type="cellIs" priority="172" operator="lessThanOrEqual" aboveAverage="0" equalAverage="0" bottom="0" percent="0" rank="0" text="" dxfId="0">
      <formula>H44</formula>
    </cfRule>
  </conditionalFormatting>
  <conditionalFormatting sqref="AJ45">
    <cfRule type="cellIs" priority="173" operator="lessThanOrEqual" aboveAverage="0" equalAverage="0" bottom="0" percent="0" rank="0" text="" dxfId="0">
      <formula>H45</formula>
    </cfRule>
  </conditionalFormatting>
  <conditionalFormatting sqref="AJ46">
    <cfRule type="cellIs" priority="174" operator="lessThanOrEqual" aboveAverage="0" equalAverage="0" bottom="0" percent="0" rank="0" text="" dxfId="0">
      <formula>H46</formula>
    </cfRule>
  </conditionalFormatting>
  <conditionalFormatting sqref="AJ47">
    <cfRule type="cellIs" priority="175" operator="lessThanOrEqual" aboveAverage="0" equalAverage="0" bottom="0" percent="0" rank="0" text="" dxfId="0">
      <formula>H47</formula>
    </cfRule>
  </conditionalFormatting>
  <conditionalFormatting sqref="AJ48">
    <cfRule type="cellIs" priority="176" operator="lessThanOrEqual" aboveAverage="0" equalAverage="0" bottom="0" percent="0" rank="0" text="" dxfId="0">
      <formula>H48</formula>
    </cfRule>
  </conditionalFormatting>
  <conditionalFormatting sqref="AJ53">
    <cfRule type="cellIs" priority="177" operator="lessThanOrEqual" aboveAverage="0" equalAverage="0" bottom="0" percent="0" rank="0" text="" dxfId="0">
      <formula>H53</formula>
    </cfRule>
  </conditionalFormatting>
  <conditionalFormatting sqref="AJ56">
    <cfRule type="cellIs" priority="178" operator="lessThanOrEqual" aboveAverage="0" equalAverage="0" bottom="0" percent="0" rank="0" text="" dxfId="0">
      <formula>H56</formula>
    </cfRule>
  </conditionalFormatting>
  <conditionalFormatting sqref="AJ58">
    <cfRule type="cellIs" priority="179" operator="lessThanOrEqual" aboveAverage="0" equalAverage="0" bottom="0" percent="0" rank="0" text="" dxfId="0">
      <formula>H58</formula>
    </cfRule>
  </conditionalFormatting>
  <conditionalFormatting sqref="AJ60">
    <cfRule type="cellIs" priority="180" operator="lessThanOrEqual" aboveAverage="0" equalAverage="0" bottom="0" percent="0" rank="0" text="" dxfId="0">
      <formula>H60</formula>
    </cfRule>
  </conditionalFormatting>
  <conditionalFormatting sqref="AJ61">
    <cfRule type="cellIs" priority="181" operator="lessThanOrEqual" aboveAverage="0" equalAverage="0" bottom="0" percent="0" rank="0" text="" dxfId="0">
      <formula>H61</formula>
    </cfRule>
  </conditionalFormatting>
  <conditionalFormatting sqref="AJ64">
    <cfRule type="cellIs" priority="182" operator="lessThanOrEqual" aboveAverage="0" equalAverage="0" bottom="0" percent="0" rank="0" text="" dxfId="0">
      <formula>H64</formula>
    </cfRule>
  </conditionalFormatting>
  <conditionalFormatting sqref="AJ68">
    <cfRule type="cellIs" priority="183" operator="lessThanOrEqual" aboveAverage="0" equalAverage="0" bottom="0" percent="0" rank="0" text="" dxfId="0">
      <formula>H68</formula>
    </cfRule>
  </conditionalFormatting>
  <conditionalFormatting sqref="AJ69">
    <cfRule type="cellIs" priority="184" operator="lessThanOrEqual" aboveAverage="0" equalAverage="0" bottom="0" percent="0" rank="0" text="" dxfId="0">
      <formula>H69</formula>
    </cfRule>
  </conditionalFormatting>
  <conditionalFormatting sqref="AJ7">
    <cfRule type="cellIs" priority="185" operator="lessThanOrEqual" aboveAverage="0" equalAverage="0" bottom="0" percent="0" rank="0" text="" dxfId="0">
      <formula>H7</formula>
    </cfRule>
  </conditionalFormatting>
  <conditionalFormatting sqref="AJ70">
    <cfRule type="cellIs" priority="186" operator="lessThanOrEqual" aboveAverage="0" equalAverage="0" bottom="0" percent="0" rank="0" text="" dxfId="0">
      <formula>H70</formula>
    </cfRule>
  </conditionalFormatting>
  <conditionalFormatting sqref="AJ73">
    <cfRule type="cellIs" priority="187" operator="lessThanOrEqual" aboveAverage="0" equalAverage="0" bottom="0" percent="0" rank="0" text="" dxfId="0">
      <formula>H73</formula>
    </cfRule>
  </conditionalFormatting>
  <conditionalFormatting sqref="AJ74">
    <cfRule type="cellIs" priority="188" operator="lessThanOrEqual" aboveAverage="0" equalAverage="0" bottom="0" percent="0" rank="0" text="" dxfId="0">
      <formula>H74</formula>
    </cfRule>
  </conditionalFormatting>
  <conditionalFormatting sqref="AJ75">
    <cfRule type="cellIs" priority="189" operator="lessThanOrEqual" aboveAverage="0" equalAverage="0" bottom="0" percent="0" rank="0" text="" dxfId="0">
      <formula>H75</formula>
    </cfRule>
  </conditionalFormatting>
  <conditionalFormatting sqref="AJ78">
    <cfRule type="cellIs" priority="190" operator="lessThanOrEqual" aboveAverage="0" equalAverage="0" bottom="0" percent="0" rank="0" text="" dxfId="0">
      <formula>H78</formula>
    </cfRule>
  </conditionalFormatting>
  <conditionalFormatting sqref="AJ80">
    <cfRule type="cellIs" priority="191" operator="lessThanOrEqual" aboveAverage="0" equalAverage="0" bottom="0" percent="0" rank="0" text="" dxfId="0">
      <formula>H80</formula>
    </cfRule>
  </conditionalFormatting>
  <conditionalFormatting sqref="AJ81">
    <cfRule type="cellIs" priority="192" operator="lessThanOrEqual" aboveAverage="0" equalAverage="0" bottom="0" percent="0" rank="0" text="" dxfId="0">
      <formula>H81</formula>
    </cfRule>
  </conditionalFormatting>
  <conditionalFormatting sqref="AJ83">
    <cfRule type="cellIs" priority="193" operator="lessThanOrEqual" aboveAverage="0" equalAverage="0" bottom="0" percent="0" rank="0" text="" dxfId="0">
      <formula>H83</formula>
    </cfRule>
  </conditionalFormatting>
  <conditionalFormatting sqref="AJ85">
    <cfRule type="cellIs" priority="194" operator="lessThanOrEqual" aboveAverage="0" equalAverage="0" bottom="0" percent="0" rank="0" text="" dxfId="0">
      <formula>H85</formula>
    </cfRule>
  </conditionalFormatting>
  <conditionalFormatting sqref="AJ88">
    <cfRule type="cellIs" priority="195" operator="lessThanOrEqual" aboveAverage="0" equalAverage="0" bottom="0" percent="0" rank="0" text="" dxfId="0">
      <formula>H88</formula>
    </cfRule>
  </conditionalFormatting>
  <conditionalFormatting sqref="AJ89">
    <cfRule type="cellIs" priority="196" operator="lessThanOrEqual" aboveAverage="0" equalAverage="0" bottom="0" percent="0" rank="0" text="" dxfId="0">
      <formula>H89</formula>
    </cfRule>
  </conditionalFormatting>
  <conditionalFormatting sqref="AJ91">
    <cfRule type="cellIs" priority="197" operator="lessThanOrEqual" aboveAverage="0" equalAverage="0" bottom="0" percent="0" rank="0" text="" dxfId="0">
      <formula>H91</formula>
    </cfRule>
  </conditionalFormatting>
  <conditionalFormatting sqref="AJ93">
    <cfRule type="cellIs" priority="198" operator="lessThanOrEqual" aboveAverage="0" equalAverage="0" bottom="0" percent="0" rank="0" text="" dxfId="0">
      <formula>H93</formula>
    </cfRule>
  </conditionalFormatting>
  <conditionalFormatting sqref="AJ94">
    <cfRule type="cellIs" priority="199" operator="lessThanOrEqual" aboveAverage="0" equalAverage="0" bottom="0" percent="0" rank="0" text="" dxfId="0">
      <formula>H94</formula>
    </cfRule>
  </conditionalFormatting>
  <conditionalFormatting sqref="AJ96">
    <cfRule type="cellIs" priority="200" operator="lessThanOrEqual" aboveAverage="0" equalAverage="0" bottom="0" percent="0" rank="0" text="" dxfId="0">
      <formula>H96</formula>
    </cfRule>
  </conditionalFormatting>
  <conditionalFormatting sqref="AJ97">
    <cfRule type="cellIs" priority="201" operator="lessThanOrEqual" aboveAverage="0" equalAverage="0" bottom="0" percent="0" rank="0" text="" dxfId="0">
      <formula>H97</formula>
    </cfRule>
  </conditionalFormatting>
  <conditionalFormatting sqref="AJ98">
    <cfRule type="cellIs" priority="202" operator="lessThanOrEqual" aboveAverage="0" equalAverage="0" bottom="0" percent="0" rank="0" text="" dxfId="0">
      <formula>H98</formula>
    </cfRule>
  </conditionalFormatting>
  <conditionalFormatting sqref="AK10">
    <cfRule type="cellIs" priority="203" operator="lessThanOrEqual" aboveAverage="0" equalAverage="0" bottom="0" percent="0" rank="0" text="" dxfId="0">
      <formula>I10</formula>
    </cfRule>
  </conditionalFormatting>
  <conditionalFormatting sqref="AK100">
    <cfRule type="cellIs" priority="204" operator="lessThanOrEqual" aboveAverage="0" equalAverage="0" bottom="0" percent="0" rank="0" text="" dxfId="0">
      <formula>I100</formula>
    </cfRule>
  </conditionalFormatting>
  <conditionalFormatting sqref="AK13">
    <cfRule type="cellIs" priority="205" operator="lessThanOrEqual" aboveAverage="0" equalAverage="0" bottom="0" percent="0" rank="0" text="" dxfId="0">
      <formula>I13</formula>
    </cfRule>
  </conditionalFormatting>
  <conditionalFormatting sqref="AK15">
    <cfRule type="cellIs" priority="206" operator="lessThanOrEqual" aboveAverage="0" equalAverage="0" bottom="0" percent="0" rank="0" text="" dxfId="0">
      <formula>I15</formula>
    </cfRule>
  </conditionalFormatting>
  <conditionalFormatting sqref="AK16">
    <cfRule type="cellIs" priority="207" operator="lessThanOrEqual" aboveAverage="0" equalAverage="0" bottom="0" percent="0" rank="0" text="" dxfId="0">
      <formula>I16</formula>
    </cfRule>
  </conditionalFormatting>
  <conditionalFormatting sqref="AK19">
    <cfRule type="cellIs" priority="208" operator="lessThanOrEqual" aboveAverage="0" equalAverage="0" bottom="0" percent="0" rank="0" text="" dxfId="0">
      <formula>I19</formula>
    </cfRule>
  </conditionalFormatting>
  <conditionalFormatting sqref="AK20">
    <cfRule type="cellIs" priority="209" operator="lessThanOrEqual" aboveAverage="0" equalAverage="0" bottom="0" percent="0" rank="0" text="" dxfId="0">
      <formula>I20</formula>
    </cfRule>
  </conditionalFormatting>
  <conditionalFormatting sqref="AK25">
    <cfRule type="cellIs" priority="210" operator="lessThanOrEqual" aboveAverage="0" equalAverage="0" bottom="0" percent="0" rank="0" text="" dxfId="0">
      <formula>I25</formula>
    </cfRule>
  </conditionalFormatting>
  <conditionalFormatting sqref="AK26">
    <cfRule type="cellIs" priority="211" operator="lessThanOrEqual" aboveAverage="0" equalAverage="0" bottom="0" percent="0" rank="0" text="" dxfId="0">
      <formula>I26</formula>
    </cfRule>
  </conditionalFormatting>
  <conditionalFormatting sqref="AK29">
    <cfRule type="cellIs" priority="212" operator="lessThanOrEqual" aboveAverage="0" equalAverage="0" bottom="0" percent="0" rank="0" text="" dxfId="0">
      <formula>I29</formula>
    </cfRule>
  </conditionalFormatting>
  <conditionalFormatting sqref="AK30">
    <cfRule type="cellIs" priority="213" operator="lessThanOrEqual" aboveAverage="0" equalAverage="0" bottom="0" percent="0" rank="0" text="" dxfId="0">
      <formula>I30</formula>
    </cfRule>
  </conditionalFormatting>
  <conditionalFormatting sqref="AK31">
    <cfRule type="cellIs" priority="214" operator="lessThanOrEqual" aboveAverage="0" equalAverage="0" bottom="0" percent="0" rank="0" text="" dxfId="0">
      <formula>I31</formula>
    </cfRule>
  </conditionalFormatting>
  <conditionalFormatting sqref="AK32">
    <cfRule type="cellIs" priority="215" operator="lessThanOrEqual" aboveAverage="0" equalAverage="0" bottom="0" percent="0" rank="0" text="" dxfId="0">
      <formula>I32</formula>
    </cfRule>
  </conditionalFormatting>
  <conditionalFormatting sqref="AK36">
    <cfRule type="cellIs" priority="216" operator="lessThanOrEqual" aboveAverage="0" equalAverage="0" bottom="0" percent="0" rank="0" text="" dxfId="0">
      <formula>I36</formula>
    </cfRule>
  </conditionalFormatting>
  <conditionalFormatting sqref="AK40">
    <cfRule type="cellIs" priority="217" operator="lessThanOrEqual" aboveAverage="0" equalAverage="0" bottom="0" percent="0" rank="0" text="" dxfId="0">
      <formula>I40</formula>
    </cfRule>
  </conditionalFormatting>
  <conditionalFormatting sqref="AK43">
    <cfRule type="cellIs" priority="218" operator="lessThanOrEqual" aboveAverage="0" equalAverage="0" bottom="0" percent="0" rank="0" text="" dxfId="0">
      <formula>I43</formula>
    </cfRule>
  </conditionalFormatting>
  <conditionalFormatting sqref="AK44">
    <cfRule type="cellIs" priority="219" operator="lessThanOrEqual" aboveAverage="0" equalAverage="0" bottom="0" percent="0" rank="0" text="" dxfId="0">
      <formula>I44</formula>
    </cfRule>
  </conditionalFormatting>
  <conditionalFormatting sqref="AK45">
    <cfRule type="cellIs" priority="220" operator="lessThanOrEqual" aboveAverage="0" equalAverage="0" bottom="0" percent="0" rank="0" text="" dxfId="0">
      <formula>I45</formula>
    </cfRule>
  </conditionalFormatting>
  <conditionalFormatting sqref="AK46">
    <cfRule type="cellIs" priority="221" operator="lessThanOrEqual" aboveAverage="0" equalAverage="0" bottom="0" percent="0" rank="0" text="" dxfId="0">
      <formula>I46</formula>
    </cfRule>
  </conditionalFormatting>
  <conditionalFormatting sqref="AK47">
    <cfRule type="cellIs" priority="222" operator="lessThanOrEqual" aboveAverage="0" equalAverage="0" bottom="0" percent="0" rank="0" text="" dxfId="0">
      <formula>I47</formula>
    </cfRule>
  </conditionalFormatting>
  <conditionalFormatting sqref="AK48">
    <cfRule type="cellIs" priority="223" operator="lessThanOrEqual" aboveAverage="0" equalAverage="0" bottom="0" percent="0" rank="0" text="" dxfId="0">
      <formula>I48</formula>
    </cfRule>
  </conditionalFormatting>
  <conditionalFormatting sqref="AK53">
    <cfRule type="cellIs" priority="224" operator="lessThanOrEqual" aboveAverage="0" equalAverage="0" bottom="0" percent="0" rank="0" text="" dxfId="0">
      <formula>I53</formula>
    </cfRule>
  </conditionalFormatting>
  <conditionalFormatting sqref="AK56">
    <cfRule type="cellIs" priority="225" operator="lessThanOrEqual" aboveAverage="0" equalAverage="0" bottom="0" percent="0" rank="0" text="" dxfId="0">
      <formula>I56</formula>
    </cfRule>
  </conditionalFormatting>
  <conditionalFormatting sqref="AK58">
    <cfRule type="cellIs" priority="226" operator="lessThanOrEqual" aboveAverage="0" equalAverage="0" bottom="0" percent="0" rank="0" text="" dxfId="0">
      <formula>I58</formula>
    </cfRule>
  </conditionalFormatting>
  <conditionalFormatting sqref="AK60">
    <cfRule type="cellIs" priority="227" operator="lessThanOrEqual" aboveAverage="0" equalAverage="0" bottom="0" percent="0" rank="0" text="" dxfId="0">
      <formula>I60</formula>
    </cfRule>
  </conditionalFormatting>
  <conditionalFormatting sqref="AK61">
    <cfRule type="cellIs" priority="228" operator="lessThanOrEqual" aboveAverage="0" equalAverage="0" bottom="0" percent="0" rank="0" text="" dxfId="0">
      <formula>I61</formula>
    </cfRule>
  </conditionalFormatting>
  <conditionalFormatting sqref="AK64">
    <cfRule type="cellIs" priority="229" operator="lessThanOrEqual" aboveAverage="0" equalAverage="0" bottom="0" percent="0" rank="0" text="" dxfId="0">
      <formula>I64</formula>
    </cfRule>
  </conditionalFormatting>
  <conditionalFormatting sqref="AK68">
    <cfRule type="cellIs" priority="230" operator="lessThanOrEqual" aboveAverage="0" equalAverage="0" bottom="0" percent="0" rank="0" text="" dxfId="0">
      <formula>I68</formula>
    </cfRule>
  </conditionalFormatting>
  <conditionalFormatting sqref="AK69">
    <cfRule type="cellIs" priority="231" operator="lessThanOrEqual" aboveAverage="0" equalAverage="0" bottom="0" percent="0" rank="0" text="" dxfId="0">
      <formula>I69</formula>
    </cfRule>
  </conditionalFormatting>
  <conditionalFormatting sqref="AK7">
    <cfRule type="cellIs" priority="232" operator="lessThanOrEqual" aboveAverage="0" equalAverage="0" bottom="0" percent="0" rank="0" text="" dxfId="0">
      <formula>I7</formula>
    </cfRule>
  </conditionalFormatting>
  <conditionalFormatting sqref="AK70">
    <cfRule type="cellIs" priority="233" operator="lessThanOrEqual" aboveAverage="0" equalAverage="0" bottom="0" percent="0" rank="0" text="" dxfId="0">
      <formula>I70</formula>
    </cfRule>
  </conditionalFormatting>
  <conditionalFormatting sqref="AK73">
    <cfRule type="cellIs" priority="234" operator="lessThanOrEqual" aboveAverage="0" equalAverage="0" bottom="0" percent="0" rank="0" text="" dxfId="0">
      <formula>I73</formula>
    </cfRule>
  </conditionalFormatting>
  <conditionalFormatting sqref="AK74">
    <cfRule type="cellIs" priority="235" operator="lessThanOrEqual" aboveAverage="0" equalAverage="0" bottom="0" percent="0" rank="0" text="" dxfId="0">
      <formula>I74</formula>
    </cfRule>
  </conditionalFormatting>
  <conditionalFormatting sqref="AK75">
    <cfRule type="cellIs" priority="236" operator="lessThanOrEqual" aboveAverage="0" equalAverage="0" bottom="0" percent="0" rank="0" text="" dxfId="0">
      <formula>I75</formula>
    </cfRule>
  </conditionalFormatting>
  <conditionalFormatting sqref="AK78">
    <cfRule type="cellIs" priority="237" operator="lessThanOrEqual" aboveAverage="0" equalAverage="0" bottom="0" percent="0" rank="0" text="" dxfId="0">
      <formula>I78</formula>
    </cfRule>
  </conditionalFormatting>
  <conditionalFormatting sqref="AK80">
    <cfRule type="cellIs" priority="238" operator="lessThanOrEqual" aboveAverage="0" equalAverage="0" bottom="0" percent="0" rank="0" text="" dxfId="0">
      <formula>I80</formula>
    </cfRule>
  </conditionalFormatting>
  <conditionalFormatting sqref="AK81">
    <cfRule type="cellIs" priority="239" operator="lessThanOrEqual" aboveAverage="0" equalAverage="0" bottom="0" percent="0" rank="0" text="" dxfId="0">
      <formula>I81</formula>
    </cfRule>
  </conditionalFormatting>
  <conditionalFormatting sqref="AK83">
    <cfRule type="cellIs" priority="240" operator="lessThanOrEqual" aboveAverage="0" equalAverage="0" bottom="0" percent="0" rank="0" text="" dxfId="0">
      <formula>I83</formula>
    </cfRule>
  </conditionalFormatting>
  <conditionalFormatting sqref="AK85">
    <cfRule type="cellIs" priority="241" operator="lessThanOrEqual" aboveAverage="0" equalAverage="0" bottom="0" percent="0" rank="0" text="" dxfId="0">
      <formula>I85</formula>
    </cfRule>
  </conditionalFormatting>
  <conditionalFormatting sqref="AK88">
    <cfRule type="cellIs" priority="242" operator="lessThanOrEqual" aboveAverage="0" equalAverage="0" bottom="0" percent="0" rank="0" text="" dxfId="0">
      <formula>I88</formula>
    </cfRule>
  </conditionalFormatting>
  <conditionalFormatting sqref="AK89">
    <cfRule type="cellIs" priority="243" operator="lessThanOrEqual" aboveAverage="0" equalAverage="0" bottom="0" percent="0" rank="0" text="" dxfId="0">
      <formula>I89</formula>
    </cfRule>
  </conditionalFormatting>
  <conditionalFormatting sqref="AK91">
    <cfRule type="cellIs" priority="244" operator="lessThanOrEqual" aboveAverage="0" equalAverage="0" bottom="0" percent="0" rank="0" text="" dxfId="0">
      <formula>I91</formula>
    </cfRule>
  </conditionalFormatting>
  <conditionalFormatting sqref="AK93">
    <cfRule type="cellIs" priority="245" operator="lessThanOrEqual" aboveAverage="0" equalAverage="0" bottom="0" percent="0" rank="0" text="" dxfId="0">
      <formula>I93</formula>
    </cfRule>
  </conditionalFormatting>
  <conditionalFormatting sqref="AK94">
    <cfRule type="cellIs" priority="246" operator="lessThanOrEqual" aboveAverage="0" equalAverage="0" bottom="0" percent="0" rank="0" text="" dxfId="0">
      <formula>I94</formula>
    </cfRule>
  </conditionalFormatting>
  <conditionalFormatting sqref="AK96">
    <cfRule type="cellIs" priority="247" operator="lessThanOrEqual" aboveAverage="0" equalAverage="0" bottom="0" percent="0" rank="0" text="" dxfId="0">
      <formula>I96</formula>
    </cfRule>
  </conditionalFormatting>
  <conditionalFormatting sqref="AK97">
    <cfRule type="cellIs" priority="248" operator="lessThanOrEqual" aboveAverage="0" equalAverage="0" bottom="0" percent="0" rank="0" text="" dxfId="0">
      <formula>I97</formula>
    </cfRule>
  </conditionalFormatting>
  <conditionalFormatting sqref="AK98">
    <cfRule type="cellIs" priority="249" operator="lessThanOrEqual" aboveAverage="0" equalAverage="0" bottom="0" percent="0" rank="0" text="" dxfId="0">
      <formula>I98</formula>
    </cfRule>
  </conditionalFormatting>
  <conditionalFormatting sqref="L10">
    <cfRule type="cellIs" priority="250" operator="lessThanOrEqual" aboveAverage="0" equalAverage="0" bottom="0" percent="0" rank="0" text="" dxfId="0">
      <formula>H10</formula>
    </cfRule>
  </conditionalFormatting>
  <conditionalFormatting sqref="L100">
    <cfRule type="cellIs" priority="251" operator="lessThanOrEqual" aboveAverage="0" equalAverage="0" bottom="0" percent="0" rank="0" text="" dxfId="0">
      <formula>H100</formula>
    </cfRule>
  </conditionalFormatting>
  <conditionalFormatting sqref="L11">
    <cfRule type="cellIs" priority="252" operator="lessThanOrEqual" aboveAverage="0" equalAverage="0" bottom="0" percent="0" rank="0" text="" dxfId="0">
      <formula>H11</formula>
    </cfRule>
  </conditionalFormatting>
  <conditionalFormatting sqref="L12">
    <cfRule type="cellIs" priority="253" operator="lessThanOrEqual" aboveAverage="0" equalAverage="0" bottom="0" percent="0" rank="0" text="" dxfId="0">
      <formula>H12</formula>
    </cfRule>
  </conditionalFormatting>
  <conditionalFormatting sqref="L13">
    <cfRule type="cellIs" priority="254" operator="lessThanOrEqual" aboveAverage="0" equalAverage="0" bottom="0" percent="0" rank="0" text="" dxfId="0">
      <formula>H13</formula>
    </cfRule>
  </conditionalFormatting>
  <conditionalFormatting sqref="L14">
    <cfRule type="cellIs" priority="255" operator="lessThanOrEqual" aboveAverage="0" equalAverage="0" bottom="0" percent="0" rank="0" text="" dxfId="0">
      <formula>H14</formula>
    </cfRule>
  </conditionalFormatting>
  <conditionalFormatting sqref="L15">
    <cfRule type="cellIs" priority="256" operator="lessThanOrEqual" aboveAverage="0" equalAverage="0" bottom="0" percent="0" rank="0" text="" dxfId="0">
      <formula>H15</formula>
    </cfRule>
  </conditionalFormatting>
  <conditionalFormatting sqref="L16">
    <cfRule type="cellIs" priority="257" operator="lessThanOrEqual" aboveAverage="0" equalAverage="0" bottom="0" percent="0" rank="0" text="" dxfId="0">
      <formula>H16</formula>
    </cfRule>
  </conditionalFormatting>
  <conditionalFormatting sqref="L17">
    <cfRule type="cellIs" priority="258" operator="lessThanOrEqual" aboveAverage="0" equalAverage="0" bottom="0" percent="0" rank="0" text="" dxfId="0">
      <formula>H17</formula>
    </cfRule>
  </conditionalFormatting>
  <conditionalFormatting sqref="L18">
    <cfRule type="cellIs" priority="259" operator="lessThanOrEqual" aboveAverage="0" equalAverage="0" bottom="0" percent="0" rank="0" text="" dxfId="0">
      <formula>H18</formula>
    </cfRule>
  </conditionalFormatting>
  <conditionalFormatting sqref="L19">
    <cfRule type="cellIs" priority="260" operator="lessThanOrEqual" aboveAverage="0" equalAverage="0" bottom="0" percent="0" rank="0" text="" dxfId="0">
      <formula>H19</formula>
    </cfRule>
  </conditionalFormatting>
  <conditionalFormatting sqref="L20">
    <cfRule type="cellIs" priority="261" operator="lessThanOrEqual" aboveAverage="0" equalAverage="0" bottom="0" percent="0" rank="0" text="" dxfId="0">
      <formula>H20</formula>
    </cfRule>
  </conditionalFormatting>
  <conditionalFormatting sqref="L21">
    <cfRule type="cellIs" priority="262" operator="lessThanOrEqual" aboveAverage="0" equalAverage="0" bottom="0" percent="0" rank="0" text="" dxfId="0">
      <formula>H21</formula>
    </cfRule>
  </conditionalFormatting>
  <conditionalFormatting sqref="L23">
    <cfRule type="cellIs" priority="263" operator="lessThanOrEqual" aboveAverage="0" equalAverage="0" bottom="0" percent="0" rank="0" text="" dxfId="0">
      <formula>H23</formula>
    </cfRule>
  </conditionalFormatting>
  <conditionalFormatting sqref="L25">
    <cfRule type="cellIs" priority="264" operator="lessThanOrEqual" aboveAverage="0" equalAverage="0" bottom="0" percent="0" rank="0" text="" dxfId="0">
      <formula>H25</formula>
    </cfRule>
  </conditionalFormatting>
  <conditionalFormatting sqref="L26">
    <cfRule type="cellIs" priority="265" operator="lessThanOrEqual" aboveAverage="0" equalAverage="0" bottom="0" percent="0" rank="0" text="" dxfId="0">
      <formula>H26</formula>
    </cfRule>
  </conditionalFormatting>
  <conditionalFormatting sqref="L27">
    <cfRule type="cellIs" priority="266" operator="lessThanOrEqual" aboveAverage="0" equalAverage="0" bottom="0" percent="0" rank="0" text="" dxfId="0">
      <formula>H27</formula>
    </cfRule>
  </conditionalFormatting>
  <conditionalFormatting sqref="L28">
    <cfRule type="cellIs" priority="267" operator="lessThanOrEqual" aboveAverage="0" equalAverage="0" bottom="0" percent="0" rank="0" text="" dxfId="0">
      <formula>H28</formula>
    </cfRule>
  </conditionalFormatting>
  <conditionalFormatting sqref="L29">
    <cfRule type="cellIs" priority="268" operator="lessThanOrEqual" aboveAverage="0" equalAverage="0" bottom="0" percent="0" rank="0" text="" dxfId="0">
      <formula>H29</formula>
    </cfRule>
  </conditionalFormatting>
  <conditionalFormatting sqref="L30">
    <cfRule type="cellIs" priority="269" operator="lessThanOrEqual" aboveAverage="0" equalAverage="0" bottom="0" percent="0" rank="0" text="" dxfId="0">
      <formula>H30</formula>
    </cfRule>
  </conditionalFormatting>
  <conditionalFormatting sqref="L31">
    <cfRule type="cellIs" priority="270" operator="lessThanOrEqual" aboveAverage="0" equalAverage="0" bottom="0" percent="0" rank="0" text="" dxfId="0">
      <formula>H31</formula>
    </cfRule>
  </conditionalFormatting>
  <conditionalFormatting sqref="L32">
    <cfRule type="cellIs" priority="271" operator="lessThanOrEqual" aboveAverage="0" equalAverage="0" bottom="0" percent="0" rank="0" text="" dxfId="0">
      <formula>H32</formula>
    </cfRule>
  </conditionalFormatting>
  <conditionalFormatting sqref="L33">
    <cfRule type="cellIs" priority="272" operator="lessThanOrEqual" aboveAverage="0" equalAverage="0" bottom="0" percent="0" rank="0" text="" dxfId="0">
      <formula>H33</formula>
    </cfRule>
  </conditionalFormatting>
  <conditionalFormatting sqref="L35">
    <cfRule type="cellIs" priority="273" operator="lessThanOrEqual" aboveAverage="0" equalAverage="0" bottom="0" percent="0" rank="0" text="" dxfId="0">
      <formula>H35</formula>
    </cfRule>
  </conditionalFormatting>
  <conditionalFormatting sqref="L36">
    <cfRule type="cellIs" priority="274" operator="lessThanOrEqual" aboveAverage="0" equalAverage="0" bottom="0" percent="0" rank="0" text="" dxfId="0">
      <formula>H36</formula>
    </cfRule>
  </conditionalFormatting>
  <conditionalFormatting sqref="L37">
    <cfRule type="cellIs" priority="275" operator="lessThanOrEqual" aboveAverage="0" equalAverage="0" bottom="0" percent="0" rank="0" text="" dxfId="0">
      <formula>H37</formula>
    </cfRule>
  </conditionalFormatting>
  <conditionalFormatting sqref="L38">
    <cfRule type="cellIs" priority="276" operator="lessThanOrEqual" aboveAverage="0" equalAverage="0" bottom="0" percent="0" rank="0" text="" dxfId="0">
      <formula>H38</formula>
    </cfRule>
  </conditionalFormatting>
  <conditionalFormatting sqref="L39">
    <cfRule type="cellIs" priority="277" operator="lessThanOrEqual" aboveAverage="0" equalAverage="0" bottom="0" percent="0" rank="0" text="" dxfId="0">
      <formula>H39</formula>
    </cfRule>
  </conditionalFormatting>
  <conditionalFormatting sqref="L40">
    <cfRule type="cellIs" priority="278" operator="lessThanOrEqual" aboveAverage="0" equalAverage="0" bottom="0" percent="0" rank="0" text="" dxfId="0">
      <formula>H40</formula>
    </cfRule>
  </conditionalFormatting>
  <conditionalFormatting sqref="L41">
    <cfRule type="cellIs" priority="279" operator="lessThanOrEqual" aboveAverage="0" equalAverage="0" bottom="0" percent="0" rank="0" text="" dxfId="0">
      <formula>H41</formula>
    </cfRule>
  </conditionalFormatting>
  <conditionalFormatting sqref="L43">
    <cfRule type="cellIs" priority="280" operator="lessThanOrEqual" aboveAverage="0" equalAverage="0" bottom="0" percent="0" rank="0" text="" dxfId="0">
      <formula>H43</formula>
    </cfRule>
  </conditionalFormatting>
  <conditionalFormatting sqref="L44">
    <cfRule type="cellIs" priority="281" operator="lessThanOrEqual" aboveAverage="0" equalAverage="0" bottom="0" percent="0" rank="0" text="" dxfId="0">
      <formula>H44</formula>
    </cfRule>
  </conditionalFormatting>
  <conditionalFormatting sqref="L45">
    <cfRule type="cellIs" priority="282" operator="lessThanOrEqual" aboveAverage="0" equalAverage="0" bottom="0" percent="0" rank="0" text="" dxfId="0">
      <formula>H45</formula>
    </cfRule>
  </conditionalFormatting>
  <conditionalFormatting sqref="L46">
    <cfRule type="cellIs" priority="283" operator="lessThanOrEqual" aboveAverage="0" equalAverage="0" bottom="0" percent="0" rank="0" text="" dxfId="0">
      <formula>H46</formula>
    </cfRule>
  </conditionalFormatting>
  <conditionalFormatting sqref="L47">
    <cfRule type="cellIs" priority="284" operator="lessThanOrEqual" aboveAverage="0" equalAverage="0" bottom="0" percent="0" rank="0" text="" dxfId="0">
      <formula>H47</formula>
    </cfRule>
  </conditionalFormatting>
  <conditionalFormatting sqref="L48">
    <cfRule type="cellIs" priority="285" operator="lessThanOrEqual" aboveAverage="0" equalAverage="0" bottom="0" percent="0" rank="0" text="" dxfId="0">
      <formula>H48</formula>
    </cfRule>
  </conditionalFormatting>
  <conditionalFormatting sqref="L49">
    <cfRule type="cellIs" priority="286" operator="lessThanOrEqual" aboveAverage="0" equalAverage="0" bottom="0" percent="0" rank="0" text="" dxfId="0">
      <formula>H49</formula>
    </cfRule>
  </conditionalFormatting>
  <conditionalFormatting sqref="L50">
    <cfRule type="cellIs" priority="287" operator="lessThanOrEqual" aboveAverage="0" equalAverage="0" bottom="0" percent="0" rank="0" text="" dxfId="0">
      <formula>H50</formula>
    </cfRule>
  </conditionalFormatting>
  <conditionalFormatting sqref="L51">
    <cfRule type="cellIs" priority="288" operator="lessThanOrEqual" aboveAverage="0" equalAverage="0" bottom="0" percent="0" rank="0" text="" dxfId="0">
      <formula>H51</formula>
    </cfRule>
  </conditionalFormatting>
  <conditionalFormatting sqref="L52">
    <cfRule type="cellIs" priority="289" operator="lessThanOrEqual" aboveAverage="0" equalAverage="0" bottom="0" percent="0" rank="0" text="" dxfId="0">
      <formula>H52</formula>
    </cfRule>
  </conditionalFormatting>
  <conditionalFormatting sqref="L53">
    <cfRule type="cellIs" priority="290" operator="lessThanOrEqual" aboveAverage="0" equalAverage="0" bottom="0" percent="0" rank="0" text="" dxfId="0">
      <formula>H53</formula>
    </cfRule>
  </conditionalFormatting>
  <conditionalFormatting sqref="L54">
    <cfRule type="cellIs" priority="291" operator="lessThanOrEqual" aboveAverage="0" equalAverage="0" bottom="0" percent="0" rank="0" text="" dxfId="0">
      <formula>H54</formula>
    </cfRule>
  </conditionalFormatting>
  <conditionalFormatting sqref="L55">
    <cfRule type="cellIs" priority="292" operator="lessThanOrEqual" aboveAverage="0" equalAverage="0" bottom="0" percent="0" rank="0" text="" dxfId="0">
      <formula>H55</formula>
    </cfRule>
  </conditionalFormatting>
  <conditionalFormatting sqref="L56">
    <cfRule type="cellIs" priority="293" operator="lessThanOrEqual" aboveAverage="0" equalAverage="0" bottom="0" percent="0" rank="0" text="" dxfId="0">
      <formula>H56</formula>
    </cfRule>
  </conditionalFormatting>
  <conditionalFormatting sqref="L57">
    <cfRule type="cellIs" priority="294" operator="lessThanOrEqual" aboveAverage="0" equalAverage="0" bottom="0" percent="0" rank="0" text="" dxfId="0">
      <formula>H57</formula>
    </cfRule>
  </conditionalFormatting>
  <conditionalFormatting sqref="L58">
    <cfRule type="cellIs" priority="295" operator="lessThanOrEqual" aboveAverage="0" equalAverage="0" bottom="0" percent="0" rank="0" text="" dxfId="0">
      <formula>H58</formula>
    </cfRule>
  </conditionalFormatting>
  <conditionalFormatting sqref="L59">
    <cfRule type="cellIs" priority="296" operator="lessThanOrEqual" aboveAverage="0" equalAverage="0" bottom="0" percent="0" rank="0" text="" dxfId="0">
      <formula>H59</formula>
    </cfRule>
  </conditionalFormatting>
  <conditionalFormatting sqref="L60">
    <cfRule type="cellIs" priority="297" operator="lessThanOrEqual" aboveAverage="0" equalAverage="0" bottom="0" percent="0" rank="0" text="" dxfId="0">
      <formula>H60</formula>
    </cfRule>
  </conditionalFormatting>
  <conditionalFormatting sqref="L61">
    <cfRule type="cellIs" priority="298" operator="lessThanOrEqual" aboveAverage="0" equalAverage="0" bottom="0" percent="0" rank="0" text="" dxfId="0">
      <formula>H61</formula>
    </cfRule>
  </conditionalFormatting>
  <conditionalFormatting sqref="L62">
    <cfRule type="cellIs" priority="299" operator="lessThanOrEqual" aboveAverage="0" equalAverage="0" bottom="0" percent="0" rank="0" text="" dxfId="0">
      <formula>H62</formula>
    </cfRule>
  </conditionalFormatting>
  <conditionalFormatting sqref="L63">
    <cfRule type="cellIs" priority="300" operator="lessThanOrEqual" aboveAverage="0" equalAverage="0" bottom="0" percent="0" rank="0" text="" dxfId="0">
      <formula>H63</formula>
    </cfRule>
  </conditionalFormatting>
  <conditionalFormatting sqref="L64">
    <cfRule type="cellIs" priority="301" operator="lessThanOrEqual" aboveAverage="0" equalAverage="0" bottom="0" percent="0" rank="0" text="" dxfId="0">
      <formula>H64</formula>
    </cfRule>
  </conditionalFormatting>
  <conditionalFormatting sqref="L65">
    <cfRule type="cellIs" priority="302" operator="lessThanOrEqual" aboveAverage="0" equalAverage="0" bottom="0" percent="0" rank="0" text="" dxfId="0">
      <formula>H65</formula>
    </cfRule>
  </conditionalFormatting>
  <conditionalFormatting sqref="L66">
    <cfRule type="cellIs" priority="303" operator="lessThanOrEqual" aboveAverage="0" equalAverage="0" bottom="0" percent="0" rank="0" text="" dxfId="0">
      <formula>H66</formula>
    </cfRule>
  </conditionalFormatting>
  <conditionalFormatting sqref="L67">
    <cfRule type="cellIs" priority="304" operator="lessThanOrEqual" aboveAverage="0" equalAverage="0" bottom="0" percent="0" rank="0" text="" dxfId="0">
      <formula>H67</formula>
    </cfRule>
  </conditionalFormatting>
  <conditionalFormatting sqref="L68">
    <cfRule type="cellIs" priority="305" operator="lessThanOrEqual" aboveAverage="0" equalAverage="0" bottom="0" percent="0" rank="0" text="" dxfId="0">
      <formula>H68</formula>
    </cfRule>
  </conditionalFormatting>
  <conditionalFormatting sqref="L69">
    <cfRule type="cellIs" priority="306" operator="lessThanOrEqual" aboveAverage="0" equalAverage="0" bottom="0" percent="0" rank="0" text="" dxfId="0">
      <formula>H69</formula>
    </cfRule>
  </conditionalFormatting>
  <conditionalFormatting sqref="L7">
    <cfRule type="cellIs" priority="307" operator="lessThanOrEqual" aboveAverage="0" equalAverage="0" bottom="0" percent="0" rank="0" text="" dxfId="0">
      <formula>H7</formula>
    </cfRule>
  </conditionalFormatting>
  <conditionalFormatting sqref="L70">
    <cfRule type="cellIs" priority="308" operator="lessThanOrEqual" aboveAverage="0" equalAverage="0" bottom="0" percent="0" rank="0" text="" dxfId="0">
      <formula>H70</formula>
    </cfRule>
  </conditionalFormatting>
  <conditionalFormatting sqref="L71">
    <cfRule type="cellIs" priority="309" operator="lessThanOrEqual" aboveAverage="0" equalAverage="0" bottom="0" percent="0" rank="0" text="" dxfId="0">
      <formula>H71</formula>
    </cfRule>
  </conditionalFormatting>
  <conditionalFormatting sqref="L72">
    <cfRule type="cellIs" priority="310" operator="lessThanOrEqual" aboveAverage="0" equalAverage="0" bottom="0" percent="0" rank="0" text="" dxfId="0">
      <formula>H72</formula>
    </cfRule>
  </conditionalFormatting>
  <conditionalFormatting sqref="L73">
    <cfRule type="cellIs" priority="311" operator="lessThanOrEqual" aboveAverage="0" equalAverage="0" bottom="0" percent="0" rank="0" text="" dxfId="0">
      <formula>H73</formula>
    </cfRule>
  </conditionalFormatting>
  <conditionalFormatting sqref="L74">
    <cfRule type="cellIs" priority="312" operator="lessThanOrEqual" aboveAverage="0" equalAverage="0" bottom="0" percent="0" rank="0" text="" dxfId="0">
      <formula>H74</formula>
    </cfRule>
  </conditionalFormatting>
  <conditionalFormatting sqref="L75">
    <cfRule type="cellIs" priority="313" operator="lessThanOrEqual" aboveAverage="0" equalAverage="0" bottom="0" percent="0" rank="0" text="" dxfId="0">
      <formula>H75</formula>
    </cfRule>
  </conditionalFormatting>
  <conditionalFormatting sqref="L76">
    <cfRule type="cellIs" priority="314" operator="lessThanOrEqual" aboveAverage="0" equalAverage="0" bottom="0" percent="0" rank="0" text="" dxfId="0">
      <formula>H76</formula>
    </cfRule>
  </conditionalFormatting>
  <conditionalFormatting sqref="L77">
    <cfRule type="cellIs" priority="315" operator="lessThanOrEqual" aboveAverage="0" equalAverage="0" bottom="0" percent="0" rank="0" text="" dxfId="0">
      <formula>H77</formula>
    </cfRule>
  </conditionalFormatting>
  <conditionalFormatting sqref="L78">
    <cfRule type="cellIs" priority="316" operator="lessThanOrEqual" aboveAverage="0" equalAverage="0" bottom="0" percent="0" rank="0" text="" dxfId="0">
      <formula>H78</formula>
    </cfRule>
  </conditionalFormatting>
  <conditionalFormatting sqref="L8">
    <cfRule type="cellIs" priority="317" operator="lessThanOrEqual" aboveAverage="0" equalAverage="0" bottom="0" percent="0" rank="0" text="" dxfId="0">
      <formula>H8</formula>
    </cfRule>
  </conditionalFormatting>
  <conditionalFormatting sqref="L80">
    <cfRule type="cellIs" priority="318" operator="lessThanOrEqual" aboveAverage="0" equalAverage="0" bottom="0" percent="0" rank="0" text="" dxfId="0">
      <formula>H80</formula>
    </cfRule>
  </conditionalFormatting>
  <conditionalFormatting sqref="L81">
    <cfRule type="cellIs" priority="319" operator="lessThanOrEqual" aboveAverage="0" equalAverage="0" bottom="0" percent="0" rank="0" text="" dxfId="0">
      <formula>H81</formula>
    </cfRule>
  </conditionalFormatting>
  <conditionalFormatting sqref="L82">
    <cfRule type="cellIs" priority="320" operator="lessThanOrEqual" aboveAverage="0" equalAverage="0" bottom="0" percent="0" rank="0" text="" dxfId="0">
      <formula>H82</formula>
    </cfRule>
  </conditionalFormatting>
  <conditionalFormatting sqref="L83">
    <cfRule type="cellIs" priority="321" operator="lessThanOrEqual" aboveAverage="0" equalAverage="0" bottom="0" percent="0" rank="0" text="" dxfId="0">
      <formula>H83</formula>
    </cfRule>
  </conditionalFormatting>
  <conditionalFormatting sqref="L84">
    <cfRule type="cellIs" priority="322" operator="lessThanOrEqual" aboveAverage="0" equalAverage="0" bottom="0" percent="0" rank="0" text="" dxfId="0">
      <formula>H84</formula>
    </cfRule>
  </conditionalFormatting>
  <conditionalFormatting sqref="L85">
    <cfRule type="cellIs" priority="323" operator="lessThanOrEqual" aboveAverage="0" equalAverage="0" bottom="0" percent="0" rank="0" text="" dxfId="0">
      <formula>H85</formula>
    </cfRule>
  </conditionalFormatting>
  <conditionalFormatting sqref="L86">
    <cfRule type="cellIs" priority="324" operator="lessThanOrEqual" aboveAverage="0" equalAverage="0" bottom="0" percent="0" rank="0" text="" dxfId="0">
      <formula>H86</formula>
    </cfRule>
  </conditionalFormatting>
  <conditionalFormatting sqref="L87">
    <cfRule type="cellIs" priority="325" operator="lessThanOrEqual" aboveAverage="0" equalAverage="0" bottom="0" percent="0" rank="0" text="" dxfId="0">
      <formula>H87</formula>
    </cfRule>
  </conditionalFormatting>
  <conditionalFormatting sqref="L88">
    <cfRule type="cellIs" priority="326" operator="lessThanOrEqual" aboveAverage="0" equalAverage="0" bottom="0" percent="0" rank="0" text="" dxfId="0">
      <formula>H88</formula>
    </cfRule>
  </conditionalFormatting>
  <conditionalFormatting sqref="L89">
    <cfRule type="cellIs" priority="327" operator="lessThanOrEqual" aboveAverage="0" equalAverage="0" bottom="0" percent="0" rank="0" text="" dxfId="0">
      <formula>H89</formula>
    </cfRule>
  </conditionalFormatting>
  <conditionalFormatting sqref="L9">
    <cfRule type="cellIs" priority="328" operator="lessThanOrEqual" aboveAverage="0" equalAverage="0" bottom="0" percent="0" rank="0" text="" dxfId="0">
      <formula>H9</formula>
    </cfRule>
  </conditionalFormatting>
  <conditionalFormatting sqref="L90">
    <cfRule type="cellIs" priority="329" operator="lessThanOrEqual" aboveAverage="0" equalAverage="0" bottom="0" percent="0" rank="0" text="" dxfId="0">
      <formula>H90</formula>
    </cfRule>
  </conditionalFormatting>
  <conditionalFormatting sqref="L91">
    <cfRule type="cellIs" priority="330" operator="lessThanOrEqual" aboveAverage="0" equalAverage="0" bottom="0" percent="0" rank="0" text="" dxfId="0">
      <formula>H91</formula>
    </cfRule>
  </conditionalFormatting>
  <conditionalFormatting sqref="L92">
    <cfRule type="cellIs" priority="331" operator="lessThanOrEqual" aboveAverage="0" equalAverage="0" bottom="0" percent="0" rank="0" text="" dxfId="0">
      <formula>H92</formula>
    </cfRule>
  </conditionalFormatting>
  <conditionalFormatting sqref="L93">
    <cfRule type="cellIs" priority="332" operator="lessThanOrEqual" aboveAverage="0" equalAverage="0" bottom="0" percent="0" rank="0" text="" dxfId="0">
      <formula>H93</formula>
    </cfRule>
  </conditionalFormatting>
  <conditionalFormatting sqref="L94">
    <cfRule type="cellIs" priority="333" operator="lessThanOrEqual" aboveAverage="0" equalAverage="0" bottom="0" percent="0" rank="0" text="" dxfId="0">
      <formula>H94</formula>
    </cfRule>
  </conditionalFormatting>
  <conditionalFormatting sqref="L95">
    <cfRule type="cellIs" priority="334" operator="lessThanOrEqual" aboveAverage="0" equalAverage="0" bottom="0" percent="0" rank="0" text="" dxfId="0">
      <formula>H95</formula>
    </cfRule>
  </conditionalFormatting>
  <conditionalFormatting sqref="L96">
    <cfRule type="cellIs" priority="335" operator="lessThanOrEqual" aboveAverage="0" equalAverage="0" bottom="0" percent="0" rank="0" text="" dxfId="0">
      <formula>H96</formula>
    </cfRule>
  </conditionalFormatting>
  <conditionalFormatting sqref="L97">
    <cfRule type="cellIs" priority="336" operator="lessThanOrEqual" aboveAverage="0" equalAverage="0" bottom="0" percent="0" rank="0" text="" dxfId="0">
      <formula>H97</formula>
    </cfRule>
  </conditionalFormatting>
  <conditionalFormatting sqref="L98">
    <cfRule type="cellIs" priority="337" operator="lessThanOrEqual" aboveAverage="0" equalAverage="0" bottom="0" percent="0" rank="0" text="" dxfId="0">
      <formula>H98</formula>
    </cfRule>
  </conditionalFormatting>
  <conditionalFormatting sqref="L99">
    <cfRule type="cellIs" priority="338" operator="lessThanOrEqual" aboveAverage="0" equalAverage="0" bottom="0" percent="0" rank="0" text="" dxfId="0">
      <formula>H99</formula>
    </cfRule>
  </conditionalFormatting>
  <conditionalFormatting sqref="M10">
    <cfRule type="cellIs" priority="339" operator="lessThanOrEqual" aboveAverage="0" equalAverage="0" bottom="0" percent="0" rank="0" text="" dxfId="0">
      <formula>I10</formula>
    </cfRule>
  </conditionalFormatting>
  <conditionalFormatting sqref="M100">
    <cfRule type="cellIs" priority="340" operator="lessThanOrEqual" aboveAverage="0" equalAverage="0" bottom="0" percent="0" rank="0" text="" dxfId="0">
      <formula>I100</formula>
    </cfRule>
  </conditionalFormatting>
  <conditionalFormatting sqref="M11">
    <cfRule type="cellIs" priority="341" operator="lessThanOrEqual" aboveAverage="0" equalAverage="0" bottom="0" percent="0" rank="0" text="" dxfId="0">
      <formula>I11</formula>
    </cfRule>
  </conditionalFormatting>
  <conditionalFormatting sqref="M12">
    <cfRule type="cellIs" priority="342" operator="lessThanOrEqual" aboveAverage="0" equalAverage="0" bottom="0" percent="0" rank="0" text="" dxfId="0">
      <formula>I12</formula>
    </cfRule>
  </conditionalFormatting>
  <conditionalFormatting sqref="M13">
    <cfRule type="cellIs" priority="343" operator="lessThanOrEqual" aboveAverage="0" equalAverage="0" bottom="0" percent="0" rank="0" text="" dxfId="0">
      <formula>I13</formula>
    </cfRule>
  </conditionalFormatting>
  <conditionalFormatting sqref="M14">
    <cfRule type="cellIs" priority="344" operator="lessThanOrEqual" aboveAverage="0" equalAverage="0" bottom="0" percent="0" rank="0" text="" dxfId="0">
      <formula>I14</formula>
    </cfRule>
  </conditionalFormatting>
  <conditionalFormatting sqref="M15">
    <cfRule type="cellIs" priority="345" operator="lessThanOrEqual" aboveAverage="0" equalAverage="0" bottom="0" percent="0" rank="0" text="" dxfId="0">
      <formula>I15</formula>
    </cfRule>
  </conditionalFormatting>
  <conditionalFormatting sqref="M16">
    <cfRule type="cellIs" priority="346" operator="lessThanOrEqual" aboveAverage="0" equalAverage="0" bottom="0" percent="0" rank="0" text="" dxfId="0">
      <formula>I16</formula>
    </cfRule>
  </conditionalFormatting>
  <conditionalFormatting sqref="M17">
    <cfRule type="cellIs" priority="347" operator="lessThanOrEqual" aboveAverage="0" equalAverage="0" bottom="0" percent="0" rank="0" text="" dxfId="0">
      <formula>I17</formula>
    </cfRule>
  </conditionalFormatting>
  <conditionalFormatting sqref="M18">
    <cfRule type="cellIs" priority="348" operator="lessThanOrEqual" aboveAverage="0" equalAverage="0" bottom="0" percent="0" rank="0" text="" dxfId="0">
      <formula>I18</formula>
    </cfRule>
  </conditionalFormatting>
  <conditionalFormatting sqref="M19">
    <cfRule type="cellIs" priority="349" operator="lessThanOrEqual" aboveAverage="0" equalAverage="0" bottom="0" percent="0" rank="0" text="" dxfId="0">
      <formula>I19</formula>
    </cfRule>
  </conditionalFormatting>
  <conditionalFormatting sqref="M20">
    <cfRule type="cellIs" priority="350" operator="lessThanOrEqual" aboveAverage="0" equalAverage="0" bottom="0" percent="0" rank="0" text="" dxfId="0">
      <formula>I20</formula>
    </cfRule>
  </conditionalFormatting>
  <conditionalFormatting sqref="M21">
    <cfRule type="cellIs" priority="351" operator="lessThanOrEqual" aboveAverage="0" equalAverage="0" bottom="0" percent="0" rank="0" text="" dxfId="0">
      <formula>I21</formula>
    </cfRule>
  </conditionalFormatting>
  <conditionalFormatting sqref="M23">
    <cfRule type="cellIs" priority="352" operator="lessThanOrEqual" aboveAverage="0" equalAverage="0" bottom="0" percent="0" rank="0" text="" dxfId="0">
      <formula>I23</formula>
    </cfRule>
  </conditionalFormatting>
  <conditionalFormatting sqref="M25">
    <cfRule type="cellIs" priority="353" operator="lessThanOrEqual" aboveAverage="0" equalAverage="0" bottom="0" percent="0" rank="0" text="" dxfId="0">
      <formula>I25</formula>
    </cfRule>
  </conditionalFormatting>
  <conditionalFormatting sqref="M26">
    <cfRule type="cellIs" priority="354" operator="lessThanOrEqual" aboveAverage="0" equalAverage="0" bottom="0" percent="0" rank="0" text="" dxfId="0">
      <formula>I26</formula>
    </cfRule>
  </conditionalFormatting>
  <conditionalFormatting sqref="M27">
    <cfRule type="cellIs" priority="355" operator="lessThanOrEqual" aboveAverage="0" equalAverage="0" bottom="0" percent="0" rank="0" text="" dxfId="0">
      <formula>I27</formula>
    </cfRule>
  </conditionalFormatting>
  <conditionalFormatting sqref="M28">
    <cfRule type="cellIs" priority="356" operator="lessThanOrEqual" aboveAverage="0" equalAverage="0" bottom="0" percent="0" rank="0" text="" dxfId="0">
      <formula>I28</formula>
    </cfRule>
  </conditionalFormatting>
  <conditionalFormatting sqref="M29">
    <cfRule type="cellIs" priority="357" operator="lessThanOrEqual" aboveAverage="0" equalAverage="0" bottom="0" percent="0" rank="0" text="" dxfId="0">
      <formula>I29</formula>
    </cfRule>
  </conditionalFormatting>
  <conditionalFormatting sqref="M30">
    <cfRule type="cellIs" priority="358" operator="lessThanOrEqual" aboveAverage="0" equalAverage="0" bottom="0" percent="0" rank="0" text="" dxfId="0">
      <formula>I30</formula>
    </cfRule>
  </conditionalFormatting>
  <conditionalFormatting sqref="M31">
    <cfRule type="cellIs" priority="359" operator="lessThanOrEqual" aboveAverage="0" equalAverage="0" bottom="0" percent="0" rank="0" text="" dxfId="0">
      <formula>I31</formula>
    </cfRule>
  </conditionalFormatting>
  <conditionalFormatting sqref="M32">
    <cfRule type="cellIs" priority="360" operator="lessThanOrEqual" aboveAverage="0" equalAverage="0" bottom="0" percent="0" rank="0" text="" dxfId="0">
      <formula>I32</formula>
    </cfRule>
  </conditionalFormatting>
  <conditionalFormatting sqref="M33">
    <cfRule type="cellIs" priority="361" operator="lessThanOrEqual" aboveAverage="0" equalAverage="0" bottom="0" percent="0" rank="0" text="" dxfId="0">
      <formula>I33</formula>
    </cfRule>
  </conditionalFormatting>
  <conditionalFormatting sqref="M35">
    <cfRule type="cellIs" priority="362" operator="lessThanOrEqual" aboveAverage="0" equalAverage="0" bottom="0" percent="0" rank="0" text="" dxfId="0">
      <formula>I35</formula>
    </cfRule>
  </conditionalFormatting>
  <conditionalFormatting sqref="M36">
    <cfRule type="cellIs" priority="363" operator="lessThanOrEqual" aboveAverage="0" equalAverage="0" bottom="0" percent="0" rank="0" text="" dxfId="0">
      <formula>I36</formula>
    </cfRule>
  </conditionalFormatting>
  <conditionalFormatting sqref="M37">
    <cfRule type="cellIs" priority="364" operator="lessThanOrEqual" aboveAverage="0" equalAverage="0" bottom="0" percent="0" rank="0" text="" dxfId="0">
      <formula>I37</formula>
    </cfRule>
  </conditionalFormatting>
  <conditionalFormatting sqref="M38">
    <cfRule type="cellIs" priority="365" operator="lessThanOrEqual" aboveAverage="0" equalAverage="0" bottom="0" percent="0" rank="0" text="" dxfId="0">
      <formula>I38</formula>
    </cfRule>
  </conditionalFormatting>
  <conditionalFormatting sqref="M39">
    <cfRule type="cellIs" priority="366" operator="lessThanOrEqual" aboveAverage="0" equalAverage="0" bottom="0" percent="0" rank="0" text="" dxfId="0">
      <formula>I39</formula>
    </cfRule>
  </conditionalFormatting>
  <conditionalFormatting sqref="M40">
    <cfRule type="cellIs" priority="367" operator="lessThanOrEqual" aboveAverage="0" equalAverage="0" bottom="0" percent="0" rank="0" text="" dxfId="0">
      <formula>I40</formula>
    </cfRule>
  </conditionalFormatting>
  <conditionalFormatting sqref="M41">
    <cfRule type="cellIs" priority="368" operator="lessThanOrEqual" aboveAverage="0" equalAverage="0" bottom="0" percent="0" rank="0" text="" dxfId="0">
      <formula>I41</formula>
    </cfRule>
  </conditionalFormatting>
  <conditionalFormatting sqref="M43">
    <cfRule type="cellIs" priority="369" operator="lessThanOrEqual" aboveAverage="0" equalAverage="0" bottom="0" percent="0" rank="0" text="" dxfId="0">
      <formula>I43</formula>
    </cfRule>
  </conditionalFormatting>
  <conditionalFormatting sqref="M44">
    <cfRule type="cellIs" priority="370" operator="lessThanOrEqual" aboveAverage="0" equalAverage="0" bottom="0" percent="0" rank="0" text="" dxfId="0">
      <formula>I44</formula>
    </cfRule>
  </conditionalFormatting>
  <conditionalFormatting sqref="M45">
    <cfRule type="cellIs" priority="371" operator="lessThanOrEqual" aboveAverage="0" equalAverage="0" bottom="0" percent="0" rank="0" text="" dxfId="0">
      <formula>I45</formula>
    </cfRule>
  </conditionalFormatting>
  <conditionalFormatting sqref="M46">
    <cfRule type="cellIs" priority="372" operator="lessThanOrEqual" aboveAverage="0" equalAverage="0" bottom="0" percent="0" rank="0" text="" dxfId="0">
      <formula>I46</formula>
    </cfRule>
  </conditionalFormatting>
  <conditionalFormatting sqref="M47">
    <cfRule type="cellIs" priority="373" operator="lessThanOrEqual" aboveAverage="0" equalAverage="0" bottom="0" percent="0" rank="0" text="" dxfId="0">
      <formula>I47</formula>
    </cfRule>
  </conditionalFormatting>
  <conditionalFormatting sqref="M48">
    <cfRule type="cellIs" priority="374" operator="lessThanOrEqual" aboveAverage="0" equalAverage="0" bottom="0" percent="0" rank="0" text="" dxfId="0">
      <formula>I48</formula>
    </cfRule>
  </conditionalFormatting>
  <conditionalFormatting sqref="M49">
    <cfRule type="cellIs" priority="375" operator="lessThanOrEqual" aboveAverage="0" equalAverage="0" bottom="0" percent="0" rank="0" text="" dxfId="0">
      <formula>I49</formula>
    </cfRule>
  </conditionalFormatting>
  <conditionalFormatting sqref="M50">
    <cfRule type="cellIs" priority="376" operator="lessThanOrEqual" aboveAverage="0" equalAverage="0" bottom="0" percent="0" rank="0" text="" dxfId="0">
      <formula>I50</formula>
    </cfRule>
  </conditionalFormatting>
  <conditionalFormatting sqref="M51">
    <cfRule type="cellIs" priority="377" operator="lessThanOrEqual" aboveAverage="0" equalAverage="0" bottom="0" percent="0" rank="0" text="" dxfId="0">
      <formula>I51</formula>
    </cfRule>
  </conditionalFormatting>
  <conditionalFormatting sqref="M52">
    <cfRule type="cellIs" priority="378" operator="lessThanOrEqual" aboveAverage="0" equalAverage="0" bottom="0" percent="0" rank="0" text="" dxfId="0">
      <formula>I52</formula>
    </cfRule>
  </conditionalFormatting>
  <conditionalFormatting sqref="M53">
    <cfRule type="cellIs" priority="379" operator="lessThanOrEqual" aboveAverage="0" equalAverage="0" bottom="0" percent="0" rank="0" text="" dxfId="0">
      <formula>I53</formula>
    </cfRule>
  </conditionalFormatting>
  <conditionalFormatting sqref="M54">
    <cfRule type="cellIs" priority="380" operator="lessThanOrEqual" aboveAverage="0" equalAverage="0" bottom="0" percent="0" rank="0" text="" dxfId="0">
      <formula>I54</formula>
    </cfRule>
  </conditionalFormatting>
  <conditionalFormatting sqref="M55">
    <cfRule type="cellIs" priority="381" operator="lessThanOrEqual" aboveAverage="0" equalAverage="0" bottom="0" percent="0" rank="0" text="" dxfId="0">
      <formula>I55</formula>
    </cfRule>
  </conditionalFormatting>
  <conditionalFormatting sqref="M56">
    <cfRule type="cellIs" priority="382" operator="lessThanOrEqual" aboveAverage="0" equalAverage="0" bottom="0" percent="0" rank="0" text="" dxfId="0">
      <formula>I56</formula>
    </cfRule>
  </conditionalFormatting>
  <conditionalFormatting sqref="M57">
    <cfRule type="cellIs" priority="383" operator="lessThanOrEqual" aboveAverage="0" equalAverage="0" bottom="0" percent="0" rank="0" text="" dxfId="0">
      <formula>I57</formula>
    </cfRule>
  </conditionalFormatting>
  <conditionalFormatting sqref="M58">
    <cfRule type="cellIs" priority="384" operator="lessThanOrEqual" aboveAverage="0" equalAverage="0" bottom="0" percent="0" rank="0" text="" dxfId="0">
      <formula>I58</formula>
    </cfRule>
  </conditionalFormatting>
  <conditionalFormatting sqref="M59">
    <cfRule type="cellIs" priority="385" operator="lessThanOrEqual" aboveAverage="0" equalAverage="0" bottom="0" percent="0" rank="0" text="" dxfId="0">
      <formula>I59</formula>
    </cfRule>
  </conditionalFormatting>
  <conditionalFormatting sqref="M60">
    <cfRule type="cellIs" priority="386" operator="lessThanOrEqual" aboveAverage="0" equalAverage="0" bottom="0" percent="0" rank="0" text="" dxfId="0">
      <formula>I60</formula>
    </cfRule>
  </conditionalFormatting>
  <conditionalFormatting sqref="M61">
    <cfRule type="cellIs" priority="387" operator="lessThanOrEqual" aboveAverage="0" equalAverage="0" bottom="0" percent="0" rank="0" text="" dxfId="0">
      <formula>I61</formula>
    </cfRule>
  </conditionalFormatting>
  <conditionalFormatting sqref="M62">
    <cfRule type="cellIs" priority="388" operator="lessThanOrEqual" aboveAverage="0" equalAverage="0" bottom="0" percent="0" rank="0" text="" dxfId="0">
      <formula>I62</formula>
    </cfRule>
  </conditionalFormatting>
  <conditionalFormatting sqref="M63">
    <cfRule type="cellIs" priority="389" operator="lessThanOrEqual" aboveAverage="0" equalAverage="0" bottom="0" percent="0" rank="0" text="" dxfId="0">
      <formula>I63</formula>
    </cfRule>
  </conditionalFormatting>
  <conditionalFormatting sqref="M64">
    <cfRule type="cellIs" priority="390" operator="lessThanOrEqual" aboveAverage="0" equalAverage="0" bottom="0" percent="0" rank="0" text="" dxfId="0">
      <formula>I64</formula>
    </cfRule>
  </conditionalFormatting>
  <conditionalFormatting sqref="M65">
    <cfRule type="cellIs" priority="391" operator="lessThanOrEqual" aboveAverage="0" equalAverage="0" bottom="0" percent="0" rank="0" text="" dxfId="0">
      <formula>I65</formula>
    </cfRule>
  </conditionalFormatting>
  <conditionalFormatting sqref="M66">
    <cfRule type="cellIs" priority="392" operator="lessThanOrEqual" aboveAverage="0" equalAverage="0" bottom="0" percent="0" rank="0" text="" dxfId="0">
      <formula>I66</formula>
    </cfRule>
  </conditionalFormatting>
  <conditionalFormatting sqref="M67">
    <cfRule type="cellIs" priority="393" operator="lessThanOrEqual" aboveAverage="0" equalAverage="0" bottom="0" percent="0" rank="0" text="" dxfId="0">
      <formula>I67</formula>
    </cfRule>
  </conditionalFormatting>
  <conditionalFormatting sqref="M68">
    <cfRule type="cellIs" priority="394" operator="lessThanOrEqual" aboveAverage="0" equalAverage="0" bottom="0" percent="0" rank="0" text="" dxfId="0">
      <formula>I68</formula>
    </cfRule>
  </conditionalFormatting>
  <conditionalFormatting sqref="M69">
    <cfRule type="cellIs" priority="395" operator="lessThanOrEqual" aboveAverage="0" equalAverage="0" bottom="0" percent="0" rank="0" text="" dxfId="0">
      <formula>I69</formula>
    </cfRule>
  </conditionalFormatting>
  <conditionalFormatting sqref="M7">
    <cfRule type="cellIs" priority="396" operator="lessThanOrEqual" aboveAverage="0" equalAverage="0" bottom="0" percent="0" rank="0" text="" dxfId="0">
      <formula>I7</formula>
    </cfRule>
  </conditionalFormatting>
  <conditionalFormatting sqref="M70">
    <cfRule type="cellIs" priority="397" operator="lessThanOrEqual" aboveAverage="0" equalAverage="0" bottom="0" percent="0" rank="0" text="" dxfId="0">
      <formula>I70</formula>
    </cfRule>
  </conditionalFormatting>
  <conditionalFormatting sqref="M71">
    <cfRule type="cellIs" priority="398" operator="lessThanOrEqual" aboveAverage="0" equalAverage="0" bottom="0" percent="0" rank="0" text="" dxfId="0">
      <formula>I71</formula>
    </cfRule>
  </conditionalFormatting>
  <conditionalFormatting sqref="M72">
    <cfRule type="cellIs" priority="399" operator="lessThanOrEqual" aboveAverage="0" equalAverage="0" bottom="0" percent="0" rank="0" text="" dxfId="0">
      <formula>I72</formula>
    </cfRule>
  </conditionalFormatting>
  <conditionalFormatting sqref="M73">
    <cfRule type="cellIs" priority="400" operator="lessThanOrEqual" aboveAverage="0" equalAverage="0" bottom="0" percent="0" rank="0" text="" dxfId="0">
      <formula>I73</formula>
    </cfRule>
  </conditionalFormatting>
  <conditionalFormatting sqref="M74">
    <cfRule type="cellIs" priority="401" operator="lessThanOrEqual" aboveAverage="0" equalAverage="0" bottom="0" percent="0" rank="0" text="" dxfId="0">
      <formula>I74</formula>
    </cfRule>
  </conditionalFormatting>
  <conditionalFormatting sqref="M75">
    <cfRule type="cellIs" priority="402" operator="lessThanOrEqual" aboveAverage="0" equalAverage="0" bottom="0" percent="0" rank="0" text="" dxfId="0">
      <formula>I75</formula>
    </cfRule>
  </conditionalFormatting>
  <conditionalFormatting sqref="M76">
    <cfRule type="cellIs" priority="403" operator="lessThanOrEqual" aboveAverage="0" equalAverage="0" bottom="0" percent="0" rank="0" text="" dxfId="0">
      <formula>I76</formula>
    </cfRule>
  </conditionalFormatting>
  <conditionalFormatting sqref="M77">
    <cfRule type="cellIs" priority="404" operator="lessThanOrEqual" aboveAverage="0" equalAverage="0" bottom="0" percent="0" rank="0" text="" dxfId="0">
      <formula>I77</formula>
    </cfRule>
  </conditionalFormatting>
  <conditionalFormatting sqref="M78">
    <cfRule type="cellIs" priority="405" operator="lessThanOrEqual" aboveAverage="0" equalAverage="0" bottom="0" percent="0" rank="0" text="" dxfId="0">
      <formula>I78</formula>
    </cfRule>
  </conditionalFormatting>
  <conditionalFormatting sqref="M8">
    <cfRule type="cellIs" priority="406" operator="lessThanOrEqual" aboveAverage="0" equalAverage="0" bottom="0" percent="0" rank="0" text="" dxfId="0">
      <formula>I8</formula>
    </cfRule>
  </conditionalFormatting>
  <conditionalFormatting sqref="M80">
    <cfRule type="cellIs" priority="407" operator="lessThanOrEqual" aboveAverage="0" equalAverage="0" bottom="0" percent="0" rank="0" text="" dxfId="0">
      <formula>I80</formula>
    </cfRule>
  </conditionalFormatting>
  <conditionalFormatting sqref="M81">
    <cfRule type="cellIs" priority="408" operator="lessThanOrEqual" aboveAverage="0" equalAverage="0" bottom="0" percent="0" rank="0" text="" dxfId="0">
      <formula>I81</formula>
    </cfRule>
  </conditionalFormatting>
  <conditionalFormatting sqref="M82">
    <cfRule type="cellIs" priority="409" operator="lessThanOrEqual" aboveAverage="0" equalAverage="0" bottom="0" percent="0" rank="0" text="" dxfId="0">
      <formula>I82</formula>
    </cfRule>
  </conditionalFormatting>
  <conditionalFormatting sqref="M83">
    <cfRule type="cellIs" priority="410" operator="lessThanOrEqual" aboveAverage="0" equalAverage="0" bottom="0" percent="0" rank="0" text="" dxfId="0">
      <formula>I83</formula>
    </cfRule>
  </conditionalFormatting>
  <conditionalFormatting sqref="M84">
    <cfRule type="cellIs" priority="411" operator="lessThanOrEqual" aboveAverage="0" equalAverage="0" bottom="0" percent="0" rank="0" text="" dxfId="0">
      <formula>I84</formula>
    </cfRule>
  </conditionalFormatting>
  <conditionalFormatting sqref="M85">
    <cfRule type="cellIs" priority="412" operator="lessThanOrEqual" aboveAverage="0" equalAverage="0" bottom="0" percent="0" rank="0" text="" dxfId="0">
      <formula>I85</formula>
    </cfRule>
  </conditionalFormatting>
  <conditionalFormatting sqref="M86">
    <cfRule type="cellIs" priority="413" operator="lessThanOrEqual" aboveAverage="0" equalAverage="0" bottom="0" percent="0" rank="0" text="" dxfId="0">
      <formula>I86</formula>
    </cfRule>
  </conditionalFormatting>
  <conditionalFormatting sqref="M87">
    <cfRule type="cellIs" priority="414" operator="lessThanOrEqual" aboveAverage="0" equalAverage="0" bottom="0" percent="0" rank="0" text="" dxfId="0">
      <formula>I87</formula>
    </cfRule>
  </conditionalFormatting>
  <conditionalFormatting sqref="M88">
    <cfRule type="cellIs" priority="415" operator="lessThanOrEqual" aboveAverage="0" equalAverage="0" bottom="0" percent="0" rank="0" text="" dxfId="0">
      <formula>I88</formula>
    </cfRule>
  </conditionalFormatting>
  <conditionalFormatting sqref="M89">
    <cfRule type="cellIs" priority="416" operator="lessThanOrEqual" aboveAverage="0" equalAverage="0" bottom="0" percent="0" rank="0" text="" dxfId="0">
      <formula>I89</formula>
    </cfRule>
  </conditionalFormatting>
  <conditionalFormatting sqref="M9">
    <cfRule type="cellIs" priority="417" operator="lessThanOrEqual" aboveAverage="0" equalAverage="0" bottom="0" percent="0" rank="0" text="" dxfId="0">
      <formula>I9</formula>
    </cfRule>
  </conditionalFormatting>
  <conditionalFormatting sqref="M90">
    <cfRule type="cellIs" priority="418" operator="lessThanOrEqual" aboveAverage="0" equalAverage="0" bottom="0" percent="0" rank="0" text="" dxfId="0">
      <formula>I90</formula>
    </cfRule>
  </conditionalFormatting>
  <conditionalFormatting sqref="M91">
    <cfRule type="cellIs" priority="419" operator="lessThanOrEqual" aboveAverage="0" equalAverage="0" bottom="0" percent="0" rank="0" text="" dxfId="0">
      <formula>I91</formula>
    </cfRule>
  </conditionalFormatting>
  <conditionalFormatting sqref="M92">
    <cfRule type="cellIs" priority="420" operator="lessThanOrEqual" aboveAverage="0" equalAverage="0" bottom="0" percent="0" rank="0" text="" dxfId="0">
      <formula>I92</formula>
    </cfRule>
  </conditionalFormatting>
  <conditionalFormatting sqref="M93">
    <cfRule type="cellIs" priority="421" operator="lessThanOrEqual" aboveAverage="0" equalAverage="0" bottom="0" percent="0" rank="0" text="" dxfId="0">
      <formula>I93</formula>
    </cfRule>
  </conditionalFormatting>
  <conditionalFormatting sqref="M94">
    <cfRule type="cellIs" priority="422" operator="lessThanOrEqual" aboveAverage="0" equalAverage="0" bottom="0" percent="0" rank="0" text="" dxfId="0">
      <formula>I94</formula>
    </cfRule>
  </conditionalFormatting>
  <conditionalFormatting sqref="M95">
    <cfRule type="cellIs" priority="423" operator="lessThanOrEqual" aboveAverage="0" equalAverage="0" bottom="0" percent="0" rank="0" text="" dxfId="0">
      <formula>I95</formula>
    </cfRule>
  </conditionalFormatting>
  <conditionalFormatting sqref="M96">
    <cfRule type="cellIs" priority="424" operator="lessThanOrEqual" aboveAverage="0" equalAverage="0" bottom="0" percent="0" rank="0" text="" dxfId="0">
      <formula>I96</formula>
    </cfRule>
  </conditionalFormatting>
  <conditionalFormatting sqref="M97">
    <cfRule type="cellIs" priority="425" operator="lessThanOrEqual" aboveAverage="0" equalAverage="0" bottom="0" percent="0" rank="0" text="" dxfId="0">
      <formula>I97</formula>
    </cfRule>
  </conditionalFormatting>
  <conditionalFormatting sqref="M98">
    <cfRule type="cellIs" priority="426" operator="lessThanOrEqual" aboveAverage="0" equalAverage="0" bottom="0" percent="0" rank="0" text="" dxfId="0">
      <formula>I98</formula>
    </cfRule>
  </conditionalFormatting>
  <conditionalFormatting sqref="M99">
    <cfRule type="cellIs" priority="427" operator="lessThanOrEqual" aboveAverage="0" equalAverage="0" bottom="0" percent="0" rank="0" text="" dxfId="0">
      <formula>I99</formula>
    </cfRule>
  </conditionalFormatting>
  <conditionalFormatting sqref="R100">
    <cfRule type="cellIs" priority="428" operator="lessThanOrEqual" aboveAverage="0" equalAverage="0" bottom="0" percent="0" rank="0" text="" dxfId="0">
      <formula>H100</formula>
    </cfRule>
  </conditionalFormatting>
  <conditionalFormatting sqref="R11">
    <cfRule type="cellIs" priority="429" operator="lessThanOrEqual" aboveAverage="0" equalAverage="0" bottom="0" percent="0" rank="0" text="" dxfId="0">
      <formula>H11</formula>
    </cfRule>
  </conditionalFormatting>
  <conditionalFormatting sqref="R12">
    <cfRule type="cellIs" priority="430" operator="lessThanOrEqual" aboveAverage="0" equalAverage="0" bottom="0" percent="0" rank="0" text="" dxfId="0">
      <formula>H12</formula>
    </cfRule>
  </conditionalFormatting>
  <conditionalFormatting sqref="R13">
    <cfRule type="cellIs" priority="431" operator="lessThanOrEqual" aboveAverage="0" equalAverage="0" bottom="0" percent="0" rank="0" text="" dxfId="0">
      <formula>H13</formula>
    </cfRule>
  </conditionalFormatting>
  <conditionalFormatting sqref="R14">
    <cfRule type="cellIs" priority="432" operator="lessThanOrEqual" aboveAverage="0" equalAverage="0" bottom="0" percent="0" rank="0" text="" dxfId="0">
      <formula>H14</formula>
    </cfRule>
  </conditionalFormatting>
  <conditionalFormatting sqref="R15">
    <cfRule type="cellIs" priority="433" operator="lessThanOrEqual" aboveAverage="0" equalAverage="0" bottom="0" percent="0" rank="0" text="" dxfId="0">
      <formula>H15</formula>
    </cfRule>
  </conditionalFormatting>
  <conditionalFormatting sqref="R17">
    <cfRule type="cellIs" priority="434" operator="lessThanOrEqual" aboveAverage="0" equalAverage="0" bottom="0" percent="0" rank="0" text="" dxfId="0">
      <formula>H17</formula>
    </cfRule>
  </conditionalFormatting>
  <conditionalFormatting sqref="R19">
    <cfRule type="cellIs" priority="435" operator="lessThanOrEqual" aboveAverage="0" equalAverage="0" bottom="0" percent="0" rank="0" text="" dxfId="0">
      <formula>H19</formula>
    </cfRule>
  </conditionalFormatting>
  <conditionalFormatting sqref="R20">
    <cfRule type="cellIs" priority="436" operator="lessThanOrEqual" aboveAverage="0" equalAverage="0" bottom="0" percent="0" rank="0" text="" dxfId="0">
      <formula>H20</formula>
    </cfRule>
  </conditionalFormatting>
  <conditionalFormatting sqref="R22">
    <cfRule type="cellIs" priority="437" operator="lessThanOrEqual" aboveAverage="0" equalAverage="0" bottom="0" percent="0" rank="0" text="" dxfId="0">
      <formula>H22</formula>
    </cfRule>
  </conditionalFormatting>
  <conditionalFormatting sqref="R23">
    <cfRule type="cellIs" priority="438" operator="lessThanOrEqual" aboveAverage="0" equalAverage="0" bottom="0" percent="0" rank="0" text="" dxfId="0">
      <formula>H23</formula>
    </cfRule>
  </conditionalFormatting>
  <conditionalFormatting sqref="R25">
    <cfRule type="cellIs" priority="439" operator="lessThanOrEqual" aboveAverage="0" equalAverage="0" bottom="0" percent="0" rank="0" text="" dxfId="0">
      <formula>H25</formula>
    </cfRule>
  </conditionalFormatting>
  <conditionalFormatting sqref="R28">
    <cfRule type="cellIs" priority="440" operator="lessThanOrEqual" aboveAverage="0" equalAverage="0" bottom="0" percent="0" rank="0" text="" dxfId="0">
      <formula>H28</formula>
    </cfRule>
  </conditionalFormatting>
  <conditionalFormatting sqref="R29">
    <cfRule type="cellIs" priority="441" operator="lessThanOrEqual" aboveAverage="0" equalAverage="0" bottom="0" percent="0" rank="0" text="" dxfId="0">
      <formula>H29</formula>
    </cfRule>
  </conditionalFormatting>
  <conditionalFormatting sqref="R30">
    <cfRule type="cellIs" priority="442" operator="lessThanOrEqual" aboveAverage="0" equalAverage="0" bottom="0" percent="0" rank="0" text="" dxfId="0">
      <formula>H30</formula>
    </cfRule>
  </conditionalFormatting>
  <conditionalFormatting sqref="R31">
    <cfRule type="cellIs" priority="443" operator="lessThanOrEqual" aboveAverage="0" equalAverage="0" bottom="0" percent="0" rank="0" text="" dxfId="0">
      <formula>H31</formula>
    </cfRule>
  </conditionalFormatting>
  <conditionalFormatting sqref="R32">
    <cfRule type="cellIs" priority="444" operator="lessThanOrEqual" aboveAverage="0" equalAverage="0" bottom="0" percent="0" rank="0" text="" dxfId="0">
      <formula>H32</formula>
    </cfRule>
  </conditionalFormatting>
  <conditionalFormatting sqref="R33">
    <cfRule type="cellIs" priority="445" operator="lessThanOrEqual" aboveAverage="0" equalAverage="0" bottom="0" percent="0" rank="0" text="" dxfId="0">
      <formula>H33</formula>
    </cfRule>
  </conditionalFormatting>
  <conditionalFormatting sqref="R36">
    <cfRule type="cellIs" priority="446" operator="lessThanOrEqual" aboveAverage="0" equalAverage="0" bottom="0" percent="0" rank="0" text="" dxfId="0">
      <formula>H36</formula>
    </cfRule>
  </conditionalFormatting>
  <conditionalFormatting sqref="R40">
    <cfRule type="cellIs" priority="447" operator="lessThanOrEqual" aboveAverage="0" equalAverage="0" bottom="0" percent="0" rank="0" text="" dxfId="0">
      <formula>H40</formula>
    </cfRule>
  </conditionalFormatting>
  <conditionalFormatting sqref="R41">
    <cfRule type="cellIs" priority="448" operator="lessThanOrEqual" aboveAverage="0" equalAverage="0" bottom="0" percent="0" rank="0" text="" dxfId="0">
      <formula>H41</formula>
    </cfRule>
  </conditionalFormatting>
  <conditionalFormatting sqref="R43">
    <cfRule type="cellIs" priority="449" operator="lessThanOrEqual" aboveAverage="0" equalAverage="0" bottom="0" percent="0" rank="0" text="" dxfId="0">
      <formula>H43</formula>
    </cfRule>
  </conditionalFormatting>
  <conditionalFormatting sqref="R44">
    <cfRule type="cellIs" priority="450" operator="lessThanOrEqual" aboveAverage="0" equalAverage="0" bottom="0" percent="0" rank="0" text="" dxfId="0">
      <formula>H44</formula>
    </cfRule>
  </conditionalFormatting>
  <conditionalFormatting sqref="R45">
    <cfRule type="cellIs" priority="451" operator="lessThanOrEqual" aboveAverage="0" equalAverage="0" bottom="0" percent="0" rank="0" text="" dxfId="0">
      <formula>H45</formula>
    </cfRule>
  </conditionalFormatting>
  <conditionalFormatting sqref="R46">
    <cfRule type="cellIs" priority="452" operator="lessThanOrEqual" aboveAverage="0" equalAverage="0" bottom="0" percent="0" rank="0" text="" dxfId="0">
      <formula>H46</formula>
    </cfRule>
  </conditionalFormatting>
  <conditionalFormatting sqref="R47">
    <cfRule type="cellIs" priority="453" operator="lessThanOrEqual" aboveAverage="0" equalAverage="0" bottom="0" percent="0" rank="0" text="" dxfId="0">
      <formula>H47</formula>
    </cfRule>
  </conditionalFormatting>
  <conditionalFormatting sqref="R48">
    <cfRule type="cellIs" priority="454" operator="lessThanOrEqual" aboveAverage="0" equalAverage="0" bottom="0" percent="0" rank="0" text="" dxfId="0">
      <formula>H48</formula>
    </cfRule>
  </conditionalFormatting>
  <conditionalFormatting sqref="R49">
    <cfRule type="cellIs" priority="455" operator="lessThanOrEqual" aboveAverage="0" equalAverage="0" bottom="0" percent="0" rank="0" text="" dxfId="0">
      <formula>H49</formula>
    </cfRule>
  </conditionalFormatting>
  <conditionalFormatting sqref="R50">
    <cfRule type="cellIs" priority="456" operator="lessThanOrEqual" aboveAverage="0" equalAverage="0" bottom="0" percent="0" rank="0" text="" dxfId="0">
      <formula>H50</formula>
    </cfRule>
  </conditionalFormatting>
  <conditionalFormatting sqref="R53">
    <cfRule type="cellIs" priority="457" operator="lessThanOrEqual" aboveAverage="0" equalAverage="0" bottom="0" percent="0" rank="0" text="" dxfId="0">
      <formula>H53</formula>
    </cfRule>
  </conditionalFormatting>
  <conditionalFormatting sqref="R55">
    <cfRule type="cellIs" priority="458" operator="lessThanOrEqual" aboveAverage="0" equalAverage="0" bottom="0" percent="0" rank="0" text="" dxfId="0">
      <formula>H55</formula>
    </cfRule>
  </conditionalFormatting>
  <conditionalFormatting sqref="R56">
    <cfRule type="cellIs" priority="459" operator="lessThanOrEqual" aboveAverage="0" equalAverage="0" bottom="0" percent="0" rank="0" text="" dxfId="0">
      <formula>H56</formula>
    </cfRule>
  </conditionalFormatting>
  <conditionalFormatting sqref="R58">
    <cfRule type="cellIs" priority="460" operator="lessThanOrEqual" aboveAverage="0" equalAverage="0" bottom="0" percent="0" rank="0" text="" dxfId="0">
      <formula>H58</formula>
    </cfRule>
  </conditionalFormatting>
  <conditionalFormatting sqref="R60">
    <cfRule type="cellIs" priority="461" operator="lessThanOrEqual" aboveAverage="0" equalAverage="0" bottom="0" percent="0" rank="0" text="" dxfId="0">
      <formula>H60</formula>
    </cfRule>
  </conditionalFormatting>
  <conditionalFormatting sqref="R61">
    <cfRule type="cellIs" priority="462" operator="lessThanOrEqual" aboveAverage="0" equalAverage="0" bottom="0" percent="0" rank="0" text="" dxfId="0">
      <formula>H61</formula>
    </cfRule>
  </conditionalFormatting>
  <conditionalFormatting sqref="R62">
    <cfRule type="cellIs" priority="463" operator="lessThanOrEqual" aboveAverage="0" equalAverage="0" bottom="0" percent="0" rank="0" text="" dxfId="0">
      <formula>H62</formula>
    </cfRule>
  </conditionalFormatting>
  <conditionalFormatting sqref="R65">
    <cfRule type="cellIs" priority="464" operator="lessThanOrEqual" aboveAverage="0" equalAverage="0" bottom="0" percent="0" rank="0" text="" dxfId="0">
      <formula>H65</formula>
    </cfRule>
  </conditionalFormatting>
  <conditionalFormatting sqref="R66">
    <cfRule type="cellIs" priority="465" operator="lessThanOrEqual" aboveAverage="0" equalAverage="0" bottom="0" percent="0" rank="0" text="" dxfId="0">
      <formula>H66</formula>
    </cfRule>
  </conditionalFormatting>
  <conditionalFormatting sqref="R67">
    <cfRule type="cellIs" priority="466" operator="lessThanOrEqual" aboveAverage="0" equalAverage="0" bottom="0" percent="0" rank="0" text="" dxfId="0">
      <formula>H67</formula>
    </cfRule>
  </conditionalFormatting>
  <conditionalFormatting sqref="R68">
    <cfRule type="cellIs" priority="467" operator="lessThanOrEqual" aboveAverage="0" equalAverage="0" bottom="0" percent="0" rank="0" text="" dxfId="0">
      <formula>H68</formula>
    </cfRule>
  </conditionalFormatting>
  <conditionalFormatting sqref="R69">
    <cfRule type="cellIs" priority="468" operator="lessThanOrEqual" aboveAverage="0" equalAverage="0" bottom="0" percent="0" rank="0" text="" dxfId="0">
      <formula>H69</formula>
    </cfRule>
  </conditionalFormatting>
  <conditionalFormatting sqref="R7">
    <cfRule type="cellIs" priority="469" operator="lessThanOrEqual" aboveAverage="0" equalAverage="0" bottom="0" percent="0" rank="0" text="" dxfId="0">
      <formula>H7</formula>
    </cfRule>
  </conditionalFormatting>
  <conditionalFormatting sqref="R70">
    <cfRule type="cellIs" priority="470" operator="lessThanOrEqual" aboveAverage="0" equalAverage="0" bottom="0" percent="0" rank="0" text="" dxfId="0">
      <formula>H70</formula>
    </cfRule>
  </conditionalFormatting>
  <conditionalFormatting sqref="R73">
    <cfRule type="cellIs" priority="471" operator="lessThanOrEqual" aboveAverage="0" equalAverage="0" bottom="0" percent="0" rank="0" text="" dxfId="0">
      <formula>H73</formula>
    </cfRule>
  </conditionalFormatting>
  <conditionalFormatting sqref="R74">
    <cfRule type="cellIs" priority="472" operator="lessThanOrEqual" aboveAverage="0" equalAverage="0" bottom="0" percent="0" rank="0" text="" dxfId="0">
      <formula>H74</formula>
    </cfRule>
  </conditionalFormatting>
  <conditionalFormatting sqref="R77">
    <cfRule type="cellIs" priority="473" operator="lessThanOrEqual" aboveAverage="0" equalAverage="0" bottom="0" percent="0" rank="0" text="" dxfId="0">
      <formula>H77</formula>
    </cfRule>
  </conditionalFormatting>
  <conditionalFormatting sqref="R78">
    <cfRule type="cellIs" priority="474" operator="lessThanOrEqual" aboveAverage="0" equalAverage="0" bottom="0" percent="0" rank="0" text="" dxfId="0">
      <formula>H78</formula>
    </cfRule>
  </conditionalFormatting>
  <conditionalFormatting sqref="R80">
    <cfRule type="cellIs" priority="475" operator="lessThanOrEqual" aboveAverage="0" equalAverage="0" bottom="0" percent="0" rank="0" text="" dxfId="0">
      <formula>H80</formula>
    </cfRule>
  </conditionalFormatting>
  <conditionalFormatting sqref="R81">
    <cfRule type="cellIs" priority="476" operator="lessThanOrEqual" aboveAverage="0" equalAverage="0" bottom="0" percent="0" rank="0" text="" dxfId="0">
      <formula>H81</formula>
    </cfRule>
  </conditionalFormatting>
  <conditionalFormatting sqref="R82">
    <cfRule type="cellIs" priority="477" operator="lessThanOrEqual" aboveAverage="0" equalAverage="0" bottom="0" percent="0" rank="0" text="" dxfId="0">
      <formula>H82</formula>
    </cfRule>
  </conditionalFormatting>
  <conditionalFormatting sqref="R85">
    <cfRule type="cellIs" priority="478" operator="lessThanOrEqual" aboveAverage="0" equalAverage="0" bottom="0" percent="0" rank="0" text="" dxfId="0">
      <formula>H85</formula>
    </cfRule>
  </conditionalFormatting>
  <conditionalFormatting sqref="R87">
    <cfRule type="cellIs" priority="479" operator="lessThanOrEqual" aboveAverage="0" equalAverage="0" bottom="0" percent="0" rank="0" text="" dxfId="0">
      <formula>H87</formula>
    </cfRule>
  </conditionalFormatting>
  <conditionalFormatting sqref="R89">
    <cfRule type="cellIs" priority="480" operator="lessThanOrEqual" aboveAverage="0" equalAverage="0" bottom="0" percent="0" rank="0" text="" dxfId="0">
      <formula>H89</formula>
    </cfRule>
  </conditionalFormatting>
  <conditionalFormatting sqref="R91">
    <cfRule type="cellIs" priority="481" operator="lessThanOrEqual" aboveAverage="0" equalAverage="0" bottom="0" percent="0" rank="0" text="" dxfId="0">
      <formula>H91</formula>
    </cfRule>
  </conditionalFormatting>
  <conditionalFormatting sqref="R96">
    <cfRule type="cellIs" priority="482" operator="lessThanOrEqual" aboveAverage="0" equalAverage="0" bottom="0" percent="0" rank="0" text="" dxfId="0">
      <formula>H96</formula>
    </cfRule>
  </conditionalFormatting>
  <conditionalFormatting sqref="R98">
    <cfRule type="cellIs" priority="483" operator="lessThanOrEqual" aboveAverage="0" equalAverage="0" bottom="0" percent="0" rank="0" text="" dxfId="0">
      <formula>H98</formula>
    </cfRule>
  </conditionalFormatting>
  <conditionalFormatting sqref="R99">
    <cfRule type="cellIs" priority="484" operator="lessThanOrEqual" aboveAverage="0" equalAverage="0" bottom="0" percent="0" rank="0" text="" dxfId="0">
      <formula>H99</formula>
    </cfRule>
  </conditionalFormatting>
  <conditionalFormatting sqref="S100">
    <cfRule type="cellIs" priority="485" operator="lessThanOrEqual" aboveAverage="0" equalAverage="0" bottom="0" percent="0" rank="0" text="" dxfId="0">
      <formula>I100</formula>
    </cfRule>
  </conditionalFormatting>
  <conditionalFormatting sqref="S11">
    <cfRule type="cellIs" priority="486" operator="lessThanOrEqual" aboveAverage="0" equalAverage="0" bottom="0" percent="0" rank="0" text="" dxfId="0">
      <formula>I11</formula>
    </cfRule>
  </conditionalFormatting>
  <conditionalFormatting sqref="S12">
    <cfRule type="cellIs" priority="487" operator="lessThanOrEqual" aboveAverage="0" equalAverage="0" bottom="0" percent="0" rank="0" text="" dxfId="0">
      <formula>I12</formula>
    </cfRule>
  </conditionalFormatting>
  <conditionalFormatting sqref="S13">
    <cfRule type="cellIs" priority="488" operator="lessThanOrEqual" aboveAverage="0" equalAverage="0" bottom="0" percent="0" rank="0" text="" dxfId="0">
      <formula>I13</formula>
    </cfRule>
  </conditionalFormatting>
  <conditionalFormatting sqref="S14">
    <cfRule type="cellIs" priority="489" operator="lessThanOrEqual" aboveAverage="0" equalAverage="0" bottom="0" percent="0" rank="0" text="" dxfId="0">
      <formula>I14</formula>
    </cfRule>
  </conditionalFormatting>
  <conditionalFormatting sqref="S15">
    <cfRule type="cellIs" priority="490" operator="lessThanOrEqual" aboveAverage="0" equalAverage="0" bottom="0" percent="0" rank="0" text="" dxfId="0">
      <formula>I15</formula>
    </cfRule>
  </conditionalFormatting>
  <conditionalFormatting sqref="S17">
    <cfRule type="cellIs" priority="491" operator="lessThanOrEqual" aboveAverage="0" equalAverage="0" bottom="0" percent="0" rank="0" text="" dxfId="0">
      <formula>I17</formula>
    </cfRule>
  </conditionalFormatting>
  <conditionalFormatting sqref="S19">
    <cfRule type="cellIs" priority="492" operator="lessThanOrEqual" aboveAverage="0" equalAverage="0" bottom="0" percent="0" rank="0" text="" dxfId="0">
      <formula>I19</formula>
    </cfRule>
  </conditionalFormatting>
  <conditionalFormatting sqref="S20">
    <cfRule type="cellIs" priority="493" operator="lessThanOrEqual" aboveAverage="0" equalAverage="0" bottom="0" percent="0" rank="0" text="" dxfId="0">
      <formula>I20</formula>
    </cfRule>
  </conditionalFormatting>
  <conditionalFormatting sqref="S22">
    <cfRule type="cellIs" priority="494" operator="lessThanOrEqual" aboveAverage="0" equalAverage="0" bottom="0" percent="0" rank="0" text="" dxfId="0">
      <formula>I22</formula>
    </cfRule>
  </conditionalFormatting>
  <conditionalFormatting sqref="S23">
    <cfRule type="cellIs" priority="495" operator="lessThanOrEqual" aboveAverage="0" equalAverage="0" bottom="0" percent="0" rank="0" text="" dxfId="0">
      <formula>I23</formula>
    </cfRule>
  </conditionalFormatting>
  <conditionalFormatting sqref="S25">
    <cfRule type="cellIs" priority="496" operator="lessThanOrEqual" aboveAverage="0" equalAverage="0" bottom="0" percent="0" rank="0" text="" dxfId="0">
      <formula>I25</formula>
    </cfRule>
  </conditionalFormatting>
  <conditionalFormatting sqref="S28">
    <cfRule type="cellIs" priority="497" operator="lessThanOrEqual" aboveAverage="0" equalAverage="0" bottom="0" percent="0" rank="0" text="" dxfId="0">
      <formula>I28</formula>
    </cfRule>
  </conditionalFormatting>
  <conditionalFormatting sqref="S29">
    <cfRule type="cellIs" priority="498" operator="lessThanOrEqual" aboveAverage="0" equalAverage="0" bottom="0" percent="0" rank="0" text="" dxfId="0">
      <formula>I29</formula>
    </cfRule>
  </conditionalFormatting>
  <conditionalFormatting sqref="S30">
    <cfRule type="cellIs" priority="499" operator="lessThanOrEqual" aboveAverage="0" equalAverage="0" bottom="0" percent="0" rank="0" text="" dxfId="0">
      <formula>I30</formula>
    </cfRule>
  </conditionalFormatting>
  <conditionalFormatting sqref="S31">
    <cfRule type="cellIs" priority="500" operator="lessThanOrEqual" aboveAverage="0" equalAverage="0" bottom="0" percent="0" rank="0" text="" dxfId="0">
      <formula>I31</formula>
    </cfRule>
  </conditionalFormatting>
  <conditionalFormatting sqref="S32">
    <cfRule type="cellIs" priority="501" operator="lessThanOrEqual" aboveAverage="0" equalAverage="0" bottom="0" percent="0" rank="0" text="" dxfId="0">
      <formula>I32</formula>
    </cfRule>
  </conditionalFormatting>
  <conditionalFormatting sqref="S33">
    <cfRule type="cellIs" priority="502" operator="lessThanOrEqual" aboveAverage="0" equalAverage="0" bottom="0" percent="0" rank="0" text="" dxfId="0">
      <formula>I33</formula>
    </cfRule>
  </conditionalFormatting>
  <conditionalFormatting sqref="S36">
    <cfRule type="cellIs" priority="503" operator="lessThanOrEqual" aboveAverage="0" equalAverage="0" bottom="0" percent="0" rank="0" text="" dxfId="0">
      <formula>I36</formula>
    </cfRule>
  </conditionalFormatting>
  <conditionalFormatting sqref="S40">
    <cfRule type="cellIs" priority="504" operator="lessThanOrEqual" aboveAverage="0" equalAverage="0" bottom="0" percent="0" rank="0" text="" dxfId="0">
      <formula>I40</formula>
    </cfRule>
  </conditionalFormatting>
  <conditionalFormatting sqref="S41">
    <cfRule type="cellIs" priority="505" operator="lessThanOrEqual" aboveAverage="0" equalAverage="0" bottom="0" percent="0" rank="0" text="" dxfId="0">
      <formula>I41</formula>
    </cfRule>
  </conditionalFormatting>
  <conditionalFormatting sqref="S43">
    <cfRule type="cellIs" priority="506" operator="lessThanOrEqual" aboveAverage="0" equalAverage="0" bottom="0" percent="0" rank="0" text="" dxfId="0">
      <formula>I43</formula>
    </cfRule>
  </conditionalFormatting>
  <conditionalFormatting sqref="S44">
    <cfRule type="cellIs" priority="507" operator="lessThanOrEqual" aboveAverage="0" equalAverage="0" bottom="0" percent="0" rank="0" text="" dxfId="0">
      <formula>I44</formula>
    </cfRule>
  </conditionalFormatting>
  <conditionalFormatting sqref="S45">
    <cfRule type="cellIs" priority="508" operator="lessThanOrEqual" aboveAverage="0" equalAverage="0" bottom="0" percent="0" rank="0" text="" dxfId="0">
      <formula>I45</formula>
    </cfRule>
  </conditionalFormatting>
  <conditionalFormatting sqref="S46">
    <cfRule type="cellIs" priority="509" operator="lessThanOrEqual" aboveAverage="0" equalAverage="0" bottom="0" percent="0" rank="0" text="" dxfId="0">
      <formula>I46</formula>
    </cfRule>
  </conditionalFormatting>
  <conditionalFormatting sqref="S47">
    <cfRule type="cellIs" priority="510" operator="lessThanOrEqual" aboveAverage="0" equalAverage="0" bottom="0" percent="0" rank="0" text="" dxfId="0">
      <formula>I47</formula>
    </cfRule>
  </conditionalFormatting>
  <conditionalFormatting sqref="S48">
    <cfRule type="cellIs" priority="511" operator="lessThanOrEqual" aboveAverage="0" equalAverage="0" bottom="0" percent="0" rank="0" text="" dxfId="0">
      <formula>I48</formula>
    </cfRule>
  </conditionalFormatting>
  <conditionalFormatting sqref="S49">
    <cfRule type="cellIs" priority="512" operator="lessThanOrEqual" aboveAverage="0" equalAverage="0" bottom="0" percent="0" rank="0" text="" dxfId="0">
      <formula>I49</formula>
    </cfRule>
  </conditionalFormatting>
  <conditionalFormatting sqref="S50">
    <cfRule type="cellIs" priority="513" operator="lessThanOrEqual" aboveAverage="0" equalAverage="0" bottom="0" percent="0" rank="0" text="" dxfId="0">
      <formula>I50</formula>
    </cfRule>
  </conditionalFormatting>
  <conditionalFormatting sqref="S53">
    <cfRule type="cellIs" priority="514" operator="lessThanOrEqual" aboveAverage="0" equalAverage="0" bottom="0" percent="0" rank="0" text="" dxfId="0">
      <formula>I53</formula>
    </cfRule>
  </conditionalFormatting>
  <conditionalFormatting sqref="S55">
    <cfRule type="cellIs" priority="515" operator="lessThanOrEqual" aboveAverage="0" equalAverage="0" bottom="0" percent="0" rank="0" text="" dxfId="0">
      <formula>I55</formula>
    </cfRule>
  </conditionalFormatting>
  <conditionalFormatting sqref="S56">
    <cfRule type="cellIs" priority="516" operator="lessThanOrEqual" aboveAverage="0" equalAverage="0" bottom="0" percent="0" rank="0" text="" dxfId="0">
      <formula>I56</formula>
    </cfRule>
  </conditionalFormatting>
  <conditionalFormatting sqref="S58">
    <cfRule type="cellIs" priority="517" operator="lessThanOrEqual" aboveAverage="0" equalAverage="0" bottom="0" percent="0" rank="0" text="" dxfId="0">
      <formula>I58</formula>
    </cfRule>
  </conditionalFormatting>
  <conditionalFormatting sqref="S60">
    <cfRule type="cellIs" priority="518" operator="lessThanOrEqual" aboveAverage="0" equalAverage="0" bottom="0" percent="0" rank="0" text="" dxfId="0">
      <formula>I60</formula>
    </cfRule>
  </conditionalFormatting>
  <conditionalFormatting sqref="S61">
    <cfRule type="cellIs" priority="519" operator="lessThanOrEqual" aboveAverage="0" equalAverage="0" bottom="0" percent="0" rank="0" text="" dxfId="0">
      <formula>I61</formula>
    </cfRule>
  </conditionalFormatting>
  <conditionalFormatting sqref="S62">
    <cfRule type="cellIs" priority="520" operator="lessThanOrEqual" aboveAverage="0" equalAverage="0" bottom="0" percent="0" rank="0" text="" dxfId="0">
      <formula>I62</formula>
    </cfRule>
  </conditionalFormatting>
  <conditionalFormatting sqref="S65">
    <cfRule type="cellIs" priority="521" operator="lessThanOrEqual" aboveAverage="0" equalAverage="0" bottom="0" percent="0" rank="0" text="" dxfId="0">
      <formula>I65</formula>
    </cfRule>
  </conditionalFormatting>
  <conditionalFormatting sqref="S66">
    <cfRule type="cellIs" priority="522" operator="lessThanOrEqual" aboveAverage="0" equalAverage="0" bottom="0" percent="0" rank="0" text="" dxfId="0">
      <formula>I66</formula>
    </cfRule>
  </conditionalFormatting>
  <conditionalFormatting sqref="S67">
    <cfRule type="cellIs" priority="523" operator="lessThanOrEqual" aboveAverage="0" equalAverage="0" bottom="0" percent="0" rank="0" text="" dxfId="0">
      <formula>I67</formula>
    </cfRule>
  </conditionalFormatting>
  <conditionalFormatting sqref="S68">
    <cfRule type="cellIs" priority="524" operator="lessThanOrEqual" aboveAverage="0" equalAverage="0" bottom="0" percent="0" rank="0" text="" dxfId="0">
      <formula>I68</formula>
    </cfRule>
  </conditionalFormatting>
  <conditionalFormatting sqref="S69">
    <cfRule type="cellIs" priority="525" operator="lessThanOrEqual" aboveAverage="0" equalAverage="0" bottom="0" percent="0" rank="0" text="" dxfId="0">
      <formula>I69</formula>
    </cfRule>
  </conditionalFormatting>
  <conditionalFormatting sqref="S7">
    <cfRule type="cellIs" priority="526" operator="lessThanOrEqual" aboveAverage="0" equalAverage="0" bottom="0" percent="0" rank="0" text="" dxfId="0">
      <formula>I7</formula>
    </cfRule>
  </conditionalFormatting>
  <conditionalFormatting sqref="S70">
    <cfRule type="cellIs" priority="527" operator="lessThanOrEqual" aboveAverage="0" equalAverage="0" bottom="0" percent="0" rank="0" text="" dxfId="0">
      <formula>I70</formula>
    </cfRule>
  </conditionalFormatting>
  <conditionalFormatting sqref="S73">
    <cfRule type="cellIs" priority="528" operator="lessThanOrEqual" aboveAverage="0" equalAverage="0" bottom="0" percent="0" rank="0" text="" dxfId="0">
      <formula>I73</formula>
    </cfRule>
  </conditionalFormatting>
  <conditionalFormatting sqref="S74">
    <cfRule type="cellIs" priority="529" operator="lessThanOrEqual" aboveAverage="0" equalAverage="0" bottom="0" percent="0" rank="0" text="" dxfId="0">
      <formula>I74</formula>
    </cfRule>
  </conditionalFormatting>
  <conditionalFormatting sqref="S77">
    <cfRule type="cellIs" priority="530" operator="lessThanOrEqual" aboveAverage="0" equalAverage="0" bottom="0" percent="0" rank="0" text="" dxfId="0">
      <formula>I77</formula>
    </cfRule>
  </conditionalFormatting>
  <conditionalFormatting sqref="S78">
    <cfRule type="cellIs" priority="531" operator="lessThanOrEqual" aboveAverage="0" equalAverage="0" bottom="0" percent="0" rank="0" text="" dxfId="0">
      <formula>I78</formula>
    </cfRule>
  </conditionalFormatting>
  <conditionalFormatting sqref="S80">
    <cfRule type="cellIs" priority="532" operator="lessThanOrEqual" aboveAverage="0" equalAverage="0" bottom="0" percent="0" rank="0" text="" dxfId="0">
      <formula>I80</formula>
    </cfRule>
  </conditionalFormatting>
  <conditionalFormatting sqref="S81">
    <cfRule type="cellIs" priority="533" operator="lessThanOrEqual" aboveAverage="0" equalAverage="0" bottom="0" percent="0" rank="0" text="" dxfId="0">
      <formula>I81</formula>
    </cfRule>
  </conditionalFormatting>
  <conditionalFormatting sqref="S82">
    <cfRule type="cellIs" priority="534" operator="lessThanOrEqual" aboveAverage="0" equalAverage="0" bottom="0" percent="0" rank="0" text="" dxfId="0">
      <formula>I82</formula>
    </cfRule>
  </conditionalFormatting>
  <conditionalFormatting sqref="S85">
    <cfRule type="cellIs" priority="535" operator="lessThanOrEqual" aboveAverage="0" equalAverage="0" bottom="0" percent="0" rank="0" text="" dxfId="0">
      <formula>I85</formula>
    </cfRule>
  </conditionalFormatting>
  <conditionalFormatting sqref="S87">
    <cfRule type="cellIs" priority="536" operator="lessThanOrEqual" aboveAverage="0" equalAverage="0" bottom="0" percent="0" rank="0" text="" dxfId="0">
      <formula>I87</formula>
    </cfRule>
  </conditionalFormatting>
  <conditionalFormatting sqref="S89">
    <cfRule type="cellIs" priority="537" operator="lessThanOrEqual" aboveAverage="0" equalAverage="0" bottom="0" percent="0" rank="0" text="" dxfId="0">
      <formula>I89</formula>
    </cfRule>
  </conditionalFormatting>
  <conditionalFormatting sqref="S91">
    <cfRule type="cellIs" priority="538" operator="lessThanOrEqual" aboveAverage="0" equalAverage="0" bottom="0" percent="0" rank="0" text="" dxfId="0">
      <formula>I91</formula>
    </cfRule>
  </conditionalFormatting>
  <conditionalFormatting sqref="S96">
    <cfRule type="cellIs" priority="539" operator="lessThanOrEqual" aboveAverage="0" equalAverage="0" bottom="0" percent="0" rank="0" text="" dxfId="0">
      <formula>I96</formula>
    </cfRule>
  </conditionalFormatting>
  <conditionalFormatting sqref="S98">
    <cfRule type="cellIs" priority="540" operator="lessThanOrEqual" aboveAverage="0" equalAverage="0" bottom="0" percent="0" rank="0" text="" dxfId="0">
      <formula>I98</formula>
    </cfRule>
  </conditionalFormatting>
  <conditionalFormatting sqref="S99">
    <cfRule type="cellIs" priority="541" operator="lessThanOrEqual" aboveAverage="0" equalAverage="0" bottom="0" percent="0" rank="0" text="" dxfId="0">
      <formula>I99</formula>
    </cfRule>
  </conditionalFormatting>
  <conditionalFormatting sqref="X100">
    <cfRule type="cellIs" priority="542" operator="lessThanOrEqual" aboveAverage="0" equalAverage="0" bottom="0" percent="0" rank="0" text="" dxfId="0">
      <formula>H100</formula>
    </cfRule>
  </conditionalFormatting>
  <conditionalFormatting sqref="X11">
    <cfRule type="cellIs" priority="543" operator="lessThanOrEqual" aboveAverage="0" equalAverage="0" bottom="0" percent="0" rank="0" text="" dxfId="0">
      <formula>H11</formula>
    </cfRule>
  </conditionalFormatting>
  <conditionalFormatting sqref="X15">
    <cfRule type="cellIs" priority="544" operator="lessThanOrEqual" aboveAverage="0" equalAverage="0" bottom="0" percent="0" rank="0" text="" dxfId="0">
      <formula>H15</formula>
    </cfRule>
  </conditionalFormatting>
  <conditionalFormatting sqref="X17">
    <cfRule type="cellIs" priority="545" operator="lessThanOrEqual" aboveAverage="0" equalAverage="0" bottom="0" percent="0" rank="0" text="" dxfId="0">
      <formula>H17</formula>
    </cfRule>
  </conditionalFormatting>
  <conditionalFormatting sqref="X25">
    <cfRule type="cellIs" priority="546" operator="lessThanOrEqual" aboveAverage="0" equalAverage="0" bottom="0" percent="0" rank="0" text="" dxfId="0">
      <formula>H25</formula>
    </cfRule>
  </conditionalFormatting>
  <conditionalFormatting sqref="X27">
    <cfRule type="cellIs" priority="547" operator="lessThanOrEqual" aboveAverage="0" equalAverage="0" bottom="0" percent="0" rank="0" text="" dxfId="0">
      <formula>H27</formula>
    </cfRule>
  </conditionalFormatting>
  <conditionalFormatting sqref="X28">
    <cfRule type="cellIs" priority="548" operator="lessThanOrEqual" aboveAverage="0" equalAverage="0" bottom="0" percent="0" rank="0" text="" dxfId="0">
      <formula>H28</formula>
    </cfRule>
  </conditionalFormatting>
  <conditionalFormatting sqref="X29">
    <cfRule type="cellIs" priority="549" operator="lessThanOrEqual" aboveAverage="0" equalAverage="0" bottom="0" percent="0" rank="0" text="" dxfId="0">
      <formula>H29</formula>
    </cfRule>
  </conditionalFormatting>
  <conditionalFormatting sqref="X31">
    <cfRule type="cellIs" priority="550" operator="lessThanOrEqual" aboveAverage="0" equalAverage="0" bottom="0" percent="0" rank="0" text="" dxfId="0">
      <formula>H31</formula>
    </cfRule>
  </conditionalFormatting>
  <conditionalFormatting sqref="X32">
    <cfRule type="cellIs" priority="551" operator="lessThanOrEqual" aboveAverage="0" equalAverage="0" bottom="0" percent="0" rank="0" text="" dxfId="0">
      <formula>H32</formula>
    </cfRule>
  </conditionalFormatting>
  <conditionalFormatting sqref="X36">
    <cfRule type="cellIs" priority="552" operator="lessThanOrEqual" aboveAverage="0" equalAverage="0" bottom="0" percent="0" rank="0" text="" dxfId="0">
      <formula>H36</formula>
    </cfRule>
  </conditionalFormatting>
  <conditionalFormatting sqref="X37">
    <cfRule type="cellIs" priority="553" operator="lessThanOrEqual" aboveAverage="0" equalAverage="0" bottom="0" percent="0" rank="0" text="" dxfId="0">
      <formula>H37</formula>
    </cfRule>
  </conditionalFormatting>
  <conditionalFormatting sqref="X38">
    <cfRule type="cellIs" priority="554" operator="lessThanOrEqual" aboveAverage="0" equalAverage="0" bottom="0" percent="0" rank="0" text="" dxfId="0">
      <formula>H38</formula>
    </cfRule>
  </conditionalFormatting>
  <conditionalFormatting sqref="X40">
    <cfRule type="cellIs" priority="555" operator="lessThanOrEqual" aboveAverage="0" equalAverage="0" bottom="0" percent="0" rank="0" text="" dxfId="0">
      <formula>H40</formula>
    </cfRule>
  </conditionalFormatting>
  <conditionalFormatting sqref="X41">
    <cfRule type="cellIs" priority="556" operator="lessThanOrEqual" aboveAverage="0" equalAverage="0" bottom="0" percent="0" rank="0" text="" dxfId="0">
      <formula>H41</formula>
    </cfRule>
  </conditionalFormatting>
  <conditionalFormatting sqref="X44">
    <cfRule type="cellIs" priority="557" operator="lessThanOrEqual" aboveAverage="0" equalAverage="0" bottom="0" percent="0" rank="0" text="" dxfId="0">
      <formula>H44</formula>
    </cfRule>
  </conditionalFormatting>
  <conditionalFormatting sqref="X45">
    <cfRule type="cellIs" priority="558" operator="lessThanOrEqual" aboveAverage="0" equalAverage="0" bottom="0" percent="0" rank="0" text="" dxfId="0">
      <formula>H45</formula>
    </cfRule>
  </conditionalFormatting>
  <conditionalFormatting sqref="X46">
    <cfRule type="cellIs" priority="559" operator="lessThanOrEqual" aboveAverage="0" equalAverage="0" bottom="0" percent="0" rank="0" text="" dxfId="0">
      <formula>H46</formula>
    </cfRule>
  </conditionalFormatting>
  <conditionalFormatting sqref="X47">
    <cfRule type="cellIs" priority="560" operator="lessThanOrEqual" aboveAverage="0" equalAverage="0" bottom="0" percent="0" rank="0" text="" dxfId="0">
      <formula>H47</formula>
    </cfRule>
  </conditionalFormatting>
  <conditionalFormatting sqref="X48">
    <cfRule type="cellIs" priority="561" operator="lessThanOrEqual" aboveAverage="0" equalAverage="0" bottom="0" percent="0" rank="0" text="" dxfId="0">
      <formula>H48</formula>
    </cfRule>
  </conditionalFormatting>
  <conditionalFormatting sqref="X50">
    <cfRule type="cellIs" priority="562" operator="lessThanOrEqual" aboveAverage="0" equalAverage="0" bottom="0" percent="0" rank="0" text="" dxfId="0">
      <formula>H50</formula>
    </cfRule>
  </conditionalFormatting>
  <conditionalFormatting sqref="X51">
    <cfRule type="cellIs" priority="563" operator="lessThanOrEqual" aboveAverage="0" equalAverage="0" bottom="0" percent="0" rank="0" text="" dxfId="0">
      <formula>H51</formula>
    </cfRule>
  </conditionalFormatting>
  <conditionalFormatting sqref="X53">
    <cfRule type="cellIs" priority="564" operator="lessThanOrEqual" aboveAverage="0" equalAverage="0" bottom="0" percent="0" rank="0" text="" dxfId="0">
      <formula>H53</formula>
    </cfRule>
  </conditionalFormatting>
  <conditionalFormatting sqref="X55">
    <cfRule type="cellIs" priority="565" operator="lessThanOrEqual" aboveAverage="0" equalAverage="0" bottom="0" percent="0" rank="0" text="" dxfId="0">
      <formula>H55</formula>
    </cfRule>
  </conditionalFormatting>
  <conditionalFormatting sqref="X56">
    <cfRule type="cellIs" priority="566" operator="lessThanOrEqual" aboveAverage="0" equalAverage="0" bottom="0" percent="0" rank="0" text="" dxfId="0">
      <formula>H56</formula>
    </cfRule>
  </conditionalFormatting>
  <conditionalFormatting sqref="X61">
    <cfRule type="cellIs" priority="567" operator="lessThanOrEqual" aboveAverage="0" equalAverage="0" bottom="0" percent="0" rank="0" text="" dxfId="0">
      <formula>H61</formula>
    </cfRule>
  </conditionalFormatting>
  <conditionalFormatting sqref="X67">
    <cfRule type="cellIs" priority="568" operator="lessThanOrEqual" aboveAverage="0" equalAverage="0" bottom="0" percent="0" rank="0" text="" dxfId="0">
      <formula>H67</formula>
    </cfRule>
  </conditionalFormatting>
  <conditionalFormatting sqref="X69">
    <cfRule type="cellIs" priority="569" operator="lessThanOrEqual" aboveAverage="0" equalAverage="0" bottom="0" percent="0" rank="0" text="" dxfId="0">
      <formula>H69</formula>
    </cfRule>
  </conditionalFormatting>
  <conditionalFormatting sqref="X70">
    <cfRule type="cellIs" priority="570" operator="lessThanOrEqual" aboveAverage="0" equalAverage="0" bottom="0" percent="0" rank="0" text="" dxfId="0">
      <formula>H70</formula>
    </cfRule>
  </conditionalFormatting>
  <conditionalFormatting sqref="X72">
    <cfRule type="cellIs" priority="571" operator="lessThanOrEqual" aboveAverage="0" equalAverage="0" bottom="0" percent="0" rank="0" text="" dxfId="0">
      <formula>H72</formula>
    </cfRule>
  </conditionalFormatting>
  <conditionalFormatting sqref="X75">
    <cfRule type="cellIs" priority="572" operator="lessThanOrEqual" aboveAverage="0" equalAverage="0" bottom="0" percent="0" rank="0" text="" dxfId="0">
      <formula>H75</formula>
    </cfRule>
  </conditionalFormatting>
  <conditionalFormatting sqref="X76">
    <cfRule type="cellIs" priority="573" operator="lessThanOrEqual" aboveAverage="0" equalAverage="0" bottom="0" percent="0" rank="0" text="" dxfId="0">
      <formula>H76</formula>
    </cfRule>
  </conditionalFormatting>
  <conditionalFormatting sqref="X77">
    <cfRule type="cellIs" priority="574" operator="lessThanOrEqual" aboveAverage="0" equalAverage="0" bottom="0" percent="0" rank="0" text="" dxfId="0">
      <formula>H77</formula>
    </cfRule>
  </conditionalFormatting>
  <conditionalFormatting sqref="X78">
    <cfRule type="cellIs" priority="575" operator="lessThanOrEqual" aboveAverage="0" equalAverage="0" bottom="0" percent="0" rank="0" text="" dxfId="0">
      <formula>H78</formula>
    </cfRule>
  </conditionalFormatting>
  <conditionalFormatting sqref="X80">
    <cfRule type="cellIs" priority="576" operator="lessThanOrEqual" aboveAverage="0" equalAverage="0" bottom="0" percent="0" rank="0" text="" dxfId="0">
      <formula>H80</formula>
    </cfRule>
  </conditionalFormatting>
  <conditionalFormatting sqref="X81">
    <cfRule type="cellIs" priority="577" operator="lessThanOrEqual" aboveAverage="0" equalAverage="0" bottom="0" percent="0" rank="0" text="" dxfId="0">
      <formula>H81</formula>
    </cfRule>
  </conditionalFormatting>
  <conditionalFormatting sqref="X82">
    <cfRule type="cellIs" priority="578" operator="lessThanOrEqual" aboveAverage="0" equalAverage="0" bottom="0" percent="0" rank="0" text="" dxfId="0">
      <formula>H82</formula>
    </cfRule>
  </conditionalFormatting>
  <conditionalFormatting sqref="X83">
    <cfRule type="cellIs" priority="579" operator="lessThanOrEqual" aboveAverage="0" equalAverage="0" bottom="0" percent="0" rank="0" text="" dxfId="0">
      <formula>H83</formula>
    </cfRule>
  </conditionalFormatting>
  <conditionalFormatting sqref="X86">
    <cfRule type="cellIs" priority="580" operator="lessThanOrEqual" aboveAverage="0" equalAverage="0" bottom="0" percent="0" rank="0" text="" dxfId="0">
      <formula>H86</formula>
    </cfRule>
  </conditionalFormatting>
  <conditionalFormatting sqref="X87">
    <cfRule type="cellIs" priority="581" operator="lessThanOrEqual" aboveAverage="0" equalAverage="0" bottom="0" percent="0" rank="0" text="" dxfId="0">
      <formula>H87</formula>
    </cfRule>
  </conditionalFormatting>
  <conditionalFormatting sqref="X88">
    <cfRule type="cellIs" priority="582" operator="lessThanOrEqual" aboveAverage="0" equalAverage="0" bottom="0" percent="0" rank="0" text="" dxfId="0">
      <formula>H88</formula>
    </cfRule>
  </conditionalFormatting>
  <conditionalFormatting sqref="X89">
    <cfRule type="cellIs" priority="583" operator="lessThanOrEqual" aboveAverage="0" equalAverage="0" bottom="0" percent="0" rank="0" text="" dxfId="0">
      <formula>H89</formula>
    </cfRule>
  </conditionalFormatting>
  <conditionalFormatting sqref="X91">
    <cfRule type="cellIs" priority="584" operator="lessThanOrEqual" aboveAverage="0" equalAverage="0" bottom="0" percent="0" rank="0" text="" dxfId="0">
      <formula>H91</formula>
    </cfRule>
  </conditionalFormatting>
  <conditionalFormatting sqref="X92">
    <cfRule type="cellIs" priority="585" operator="lessThanOrEqual" aboveAverage="0" equalAverage="0" bottom="0" percent="0" rank="0" text="" dxfId="0">
      <formula>H92</formula>
    </cfRule>
  </conditionalFormatting>
  <conditionalFormatting sqref="X93">
    <cfRule type="cellIs" priority="586" operator="lessThanOrEqual" aboveAverage="0" equalAverage="0" bottom="0" percent="0" rank="0" text="" dxfId="0">
      <formula>H93</formula>
    </cfRule>
  </conditionalFormatting>
  <conditionalFormatting sqref="X94">
    <cfRule type="cellIs" priority="587" operator="lessThanOrEqual" aboveAverage="0" equalAverage="0" bottom="0" percent="0" rank="0" text="" dxfId="0">
      <formula>H94</formula>
    </cfRule>
  </conditionalFormatting>
  <conditionalFormatting sqref="X95">
    <cfRule type="cellIs" priority="588" operator="lessThanOrEqual" aboveAverage="0" equalAverage="0" bottom="0" percent="0" rank="0" text="" dxfId="0">
      <formula>H95</formula>
    </cfRule>
  </conditionalFormatting>
  <conditionalFormatting sqref="X96">
    <cfRule type="cellIs" priority="589" operator="lessThanOrEqual" aboveAverage="0" equalAverage="0" bottom="0" percent="0" rank="0" text="" dxfId="0">
      <formula>H96</formula>
    </cfRule>
  </conditionalFormatting>
  <conditionalFormatting sqref="X97">
    <cfRule type="cellIs" priority="590" operator="lessThanOrEqual" aboveAverage="0" equalAverage="0" bottom="0" percent="0" rank="0" text="" dxfId="0">
      <formula>H97</formula>
    </cfRule>
  </conditionalFormatting>
  <conditionalFormatting sqref="X98">
    <cfRule type="cellIs" priority="591" operator="lessThanOrEqual" aboveAverage="0" equalAverage="0" bottom="0" percent="0" rank="0" text="" dxfId="0">
      <formula>H98</formula>
    </cfRule>
  </conditionalFormatting>
  <conditionalFormatting sqref="X99">
    <cfRule type="cellIs" priority="592" operator="lessThanOrEqual" aboveAverage="0" equalAverage="0" bottom="0" percent="0" rank="0" text="" dxfId="0">
      <formula>H99</formula>
    </cfRule>
  </conditionalFormatting>
  <conditionalFormatting sqref="Y100">
    <cfRule type="cellIs" priority="593" operator="lessThanOrEqual" aboveAverage="0" equalAverage="0" bottom="0" percent="0" rank="0" text="" dxfId="0">
      <formula>I100</formula>
    </cfRule>
  </conditionalFormatting>
  <conditionalFormatting sqref="Y11">
    <cfRule type="cellIs" priority="594" operator="lessThanOrEqual" aboveAverage="0" equalAverage="0" bottom="0" percent="0" rank="0" text="" dxfId="0">
      <formula>I11</formula>
    </cfRule>
  </conditionalFormatting>
  <conditionalFormatting sqref="Y15">
    <cfRule type="cellIs" priority="595" operator="lessThanOrEqual" aboveAverage="0" equalAverage="0" bottom="0" percent="0" rank="0" text="" dxfId="0">
      <formula>I15</formula>
    </cfRule>
  </conditionalFormatting>
  <conditionalFormatting sqref="Y17">
    <cfRule type="cellIs" priority="596" operator="lessThanOrEqual" aboveAverage="0" equalAverage="0" bottom="0" percent="0" rank="0" text="" dxfId="0">
      <formula>I17</formula>
    </cfRule>
  </conditionalFormatting>
  <conditionalFormatting sqref="Y25">
    <cfRule type="cellIs" priority="597" operator="lessThanOrEqual" aboveAverage="0" equalAverage="0" bottom="0" percent="0" rank="0" text="" dxfId="0">
      <formula>I25</formula>
    </cfRule>
  </conditionalFormatting>
  <conditionalFormatting sqref="Y27">
    <cfRule type="cellIs" priority="598" operator="lessThanOrEqual" aboveAverage="0" equalAverage="0" bottom="0" percent="0" rank="0" text="" dxfId="0">
      <formula>I27</formula>
    </cfRule>
  </conditionalFormatting>
  <conditionalFormatting sqref="Y28">
    <cfRule type="cellIs" priority="599" operator="lessThanOrEqual" aboveAverage="0" equalAverage="0" bottom="0" percent="0" rank="0" text="" dxfId="0">
      <formula>I28</formula>
    </cfRule>
  </conditionalFormatting>
  <conditionalFormatting sqref="Y29">
    <cfRule type="cellIs" priority="600" operator="lessThanOrEqual" aboveAverage="0" equalAverage="0" bottom="0" percent="0" rank="0" text="" dxfId="0">
      <formula>I29</formula>
    </cfRule>
  </conditionalFormatting>
  <conditionalFormatting sqref="Y31">
    <cfRule type="cellIs" priority="601" operator="lessThanOrEqual" aboveAverage="0" equalAverage="0" bottom="0" percent="0" rank="0" text="" dxfId="0">
      <formula>I31</formula>
    </cfRule>
  </conditionalFormatting>
  <conditionalFormatting sqref="Y32">
    <cfRule type="cellIs" priority="602" operator="lessThanOrEqual" aboveAverage="0" equalAverage="0" bottom="0" percent="0" rank="0" text="" dxfId="0">
      <formula>I32</formula>
    </cfRule>
  </conditionalFormatting>
  <conditionalFormatting sqref="Y36">
    <cfRule type="cellIs" priority="603" operator="lessThanOrEqual" aboveAverage="0" equalAverage="0" bottom="0" percent="0" rank="0" text="" dxfId="0">
      <formula>I36</formula>
    </cfRule>
  </conditionalFormatting>
  <conditionalFormatting sqref="Y37">
    <cfRule type="cellIs" priority="604" operator="lessThanOrEqual" aboveAverage="0" equalAverage="0" bottom="0" percent="0" rank="0" text="" dxfId="0">
      <formula>I37</formula>
    </cfRule>
  </conditionalFormatting>
  <conditionalFormatting sqref="Y38">
    <cfRule type="cellIs" priority="605" operator="lessThanOrEqual" aboveAverage="0" equalAverage="0" bottom="0" percent="0" rank="0" text="" dxfId="0">
      <formula>I38</formula>
    </cfRule>
  </conditionalFormatting>
  <conditionalFormatting sqref="Y40">
    <cfRule type="cellIs" priority="606" operator="lessThanOrEqual" aboveAverage="0" equalAverage="0" bottom="0" percent="0" rank="0" text="" dxfId="0">
      <formula>I40</formula>
    </cfRule>
  </conditionalFormatting>
  <conditionalFormatting sqref="Y41">
    <cfRule type="cellIs" priority="607" operator="lessThanOrEqual" aboveAverage="0" equalAverage="0" bottom="0" percent="0" rank="0" text="" dxfId="0">
      <formula>I41</formula>
    </cfRule>
  </conditionalFormatting>
  <conditionalFormatting sqref="Y44">
    <cfRule type="cellIs" priority="608" operator="lessThanOrEqual" aboveAverage="0" equalAverage="0" bottom="0" percent="0" rank="0" text="" dxfId="0">
      <formula>I44</formula>
    </cfRule>
  </conditionalFormatting>
  <conditionalFormatting sqref="Y45">
    <cfRule type="cellIs" priority="609" operator="lessThanOrEqual" aboveAverage="0" equalAverage="0" bottom="0" percent="0" rank="0" text="" dxfId="0">
      <formula>I45</formula>
    </cfRule>
  </conditionalFormatting>
  <conditionalFormatting sqref="Y46">
    <cfRule type="cellIs" priority="610" operator="lessThanOrEqual" aboveAverage="0" equalAverage="0" bottom="0" percent="0" rank="0" text="" dxfId="0">
      <formula>I46</formula>
    </cfRule>
  </conditionalFormatting>
  <conditionalFormatting sqref="Y47">
    <cfRule type="cellIs" priority="611" operator="lessThanOrEqual" aboveAverage="0" equalAverage="0" bottom="0" percent="0" rank="0" text="" dxfId="0">
      <formula>I47</formula>
    </cfRule>
  </conditionalFormatting>
  <conditionalFormatting sqref="Y48">
    <cfRule type="cellIs" priority="612" operator="lessThanOrEqual" aboveAverage="0" equalAverage="0" bottom="0" percent="0" rank="0" text="" dxfId="0">
      <formula>I48</formula>
    </cfRule>
  </conditionalFormatting>
  <conditionalFormatting sqref="Y50">
    <cfRule type="cellIs" priority="613" operator="lessThanOrEqual" aboveAverage="0" equalAverage="0" bottom="0" percent="0" rank="0" text="" dxfId="0">
      <formula>I50</formula>
    </cfRule>
  </conditionalFormatting>
  <conditionalFormatting sqref="Y51">
    <cfRule type="cellIs" priority="614" operator="lessThanOrEqual" aboveAverage="0" equalAverage="0" bottom="0" percent="0" rank="0" text="" dxfId="0">
      <formula>I51</formula>
    </cfRule>
  </conditionalFormatting>
  <conditionalFormatting sqref="Y53">
    <cfRule type="cellIs" priority="615" operator="lessThanOrEqual" aboveAverage="0" equalAverage="0" bottom="0" percent="0" rank="0" text="" dxfId="0">
      <formula>I53</formula>
    </cfRule>
  </conditionalFormatting>
  <conditionalFormatting sqref="Y55">
    <cfRule type="cellIs" priority="616" operator="lessThanOrEqual" aboveAverage="0" equalAverage="0" bottom="0" percent="0" rank="0" text="" dxfId="0">
      <formula>I55</formula>
    </cfRule>
  </conditionalFormatting>
  <conditionalFormatting sqref="Y56">
    <cfRule type="cellIs" priority="617" operator="lessThanOrEqual" aboveAverage="0" equalAverage="0" bottom="0" percent="0" rank="0" text="" dxfId="0">
      <formula>I56</formula>
    </cfRule>
  </conditionalFormatting>
  <conditionalFormatting sqref="Y61">
    <cfRule type="cellIs" priority="618" operator="lessThanOrEqual" aboveAverage="0" equalAverage="0" bottom="0" percent="0" rank="0" text="" dxfId="0">
      <formula>I61</formula>
    </cfRule>
  </conditionalFormatting>
  <conditionalFormatting sqref="Y67">
    <cfRule type="cellIs" priority="619" operator="lessThanOrEqual" aboveAverage="0" equalAverage="0" bottom="0" percent="0" rank="0" text="" dxfId="0">
      <formula>I67</formula>
    </cfRule>
  </conditionalFormatting>
  <conditionalFormatting sqref="Y69">
    <cfRule type="cellIs" priority="620" operator="lessThanOrEqual" aboveAverage="0" equalAverage="0" bottom="0" percent="0" rank="0" text="" dxfId="0">
      <formula>I69</formula>
    </cfRule>
  </conditionalFormatting>
  <conditionalFormatting sqref="Y70">
    <cfRule type="cellIs" priority="621" operator="lessThanOrEqual" aboveAverage="0" equalAverage="0" bottom="0" percent="0" rank="0" text="" dxfId="0">
      <formula>I70</formula>
    </cfRule>
  </conditionalFormatting>
  <conditionalFormatting sqref="Y72">
    <cfRule type="cellIs" priority="622" operator="lessThanOrEqual" aboveAverage="0" equalAverage="0" bottom="0" percent="0" rank="0" text="" dxfId="0">
      <formula>I72</formula>
    </cfRule>
  </conditionalFormatting>
  <conditionalFormatting sqref="Y75">
    <cfRule type="cellIs" priority="623" operator="lessThanOrEqual" aboveAverage="0" equalAverage="0" bottom="0" percent="0" rank="0" text="" dxfId="0">
      <formula>I75</formula>
    </cfRule>
  </conditionalFormatting>
  <conditionalFormatting sqref="Y76">
    <cfRule type="cellIs" priority="624" operator="lessThanOrEqual" aboveAverage="0" equalAverage="0" bottom="0" percent="0" rank="0" text="" dxfId="0">
      <formula>I76</formula>
    </cfRule>
  </conditionalFormatting>
  <conditionalFormatting sqref="Y77">
    <cfRule type="cellIs" priority="625" operator="lessThanOrEqual" aboveAverage="0" equalAverage="0" bottom="0" percent="0" rank="0" text="" dxfId="0">
      <formula>I77</formula>
    </cfRule>
  </conditionalFormatting>
  <conditionalFormatting sqref="Y78">
    <cfRule type="cellIs" priority="626" operator="lessThanOrEqual" aboveAverage="0" equalAverage="0" bottom="0" percent="0" rank="0" text="" dxfId="0">
      <formula>I78</formula>
    </cfRule>
  </conditionalFormatting>
  <conditionalFormatting sqref="Y80">
    <cfRule type="cellIs" priority="627" operator="lessThanOrEqual" aboveAverage="0" equalAverage="0" bottom="0" percent="0" rank="0" text="" dxfId="0">
      <formula>I80</formula>
    </cfRule>
  </conditionalFormatting>
  <conditionalFormatting sqref="Y81">
    <cfRule type="cellIs" priority="628" operator="lessThanOrEqual" aboveAverage="0" equalAverage="0" bottom="0" percent="0" rank="0" text="" dxfId="0">
      <formula>I81</formula>
    </cfRule>
  </conditionalFormatting>
  <conditionalFormatting sqref="Y82">
    <cfRule type="cellIs" priority="629" operator="lessThanOrEqual" aboveAverage="0" equalAverage="0" bottom="0" percent="0" rank="0" text="" dxfId="0">
      <formula>I82</formula>
    </cfRule>
  </conditionalFormatting>
  <conditionalFormatting sqref="Y83">
    <cfRule type="cellIs" priority="630" operator="lessThanOrEqual" aboveAverage="0" equalAverage="0" bottom="0" percent="0" rank="0" text="" dxfId="0">
      <formula>I83</formula>
    </cfRule>
  </conditionalFormatting>
  <conditionalFormatting sqref="Y86">
    <cfRule type="cellIs" priority="631" operator="lessThanOrEqual" aboveAverage="0" equalAverage="0" bottom="0" percent="0" rank="0" text="" dxfId="0">
      <formula>I86</formula>
    </cfRule>
  </conditionalFormatting>
  <conditionalFormatting sqref="Y87">
    <cfRule type="cellIs" priority="632" operator="lessThanOrEqual" aboveAverage="0" equalAverage="0" bottom="0" percent="0" rank="0" text="" dxfId="0">
      <formula>I87</formula>
    </cfRule>
  </conditionalFormatting>
  <conditionalFormatting sqref="Y88">
    <cfRule type="cellIs" priority="633" operator="lessThanOrEqual" aboveAverage="0" equalAverage="0" bottom="0" percent="0" rank="0" text="" dxfId="0">
      <formula>I88</formula>
    </cfRule>
  </conditionalFormatting>
  <conditionalFormatting sqref="Y89">
    <cfRule type="cellIs" priority="634" operator="lessThanOrEqual" aboveAverage="0" equalAverage="0" bottom="0" percent="0" rank="0" text="" dxfId="0">
      <formula>I89</formula>
    </cfRule>
  </conditionalFormatting>
  <conditionalFormatting sqref="Y91">
    <cfRule type="cellIs" priority="635" operator="lessThanOrEqual" aboveAverage="0" equalAverage="0" bottom="0" percent="0" rank="0" text="" dxfId="0">
      <formula>I91</formula>
    </cfRule>
  </conditionalFormatting>
  <conditionalFormatting sqref="Y92">
    <cfRule type="cellIs" priority="636" operator="lessThanOrEqual" aboveAverage="0" equalAverage="0" bottom="0" percent="0" rank="0" text="" dxfId="0">
      <formula>I92</formula>
    </cfRule>
  </conditionalFormatting>
  <conditionalFormatting sqref="Y93">
    <cfRule type="cellIs" priority="637" operator="lessThanOrEqual" aboveAverage="0" equalAverage="0" bottom="0" percent="0" rank="0" text="" dxfId="0">
      <formula>I93</formula>
    </cfRule>
  </conditionalFormatting>
  <conditionalFormatting sqref="Y94">
    <cfRule type="cellIs" priority="638" operator="lessThanOrEqual" aboveAverage="0" equalAverage="0" bottom="0" percent="0" rank="0" text="" dxfId="0">
      <formula>I94</formula>
    </cfRule>
  </conditionalFormatting>
  <conditionalFormatting sqref="Y95">
    <cfRule type="cellIs" priority="639" operator="lessThanOrEqual" aboveAverage="0" equalAverage="0" bottom="0" percent="0" rank="0" text="" dxfId="0">
      <formula>I95</formula>
    </cfRule>
  </conditionalFormatting>
  <conditionalFormatting sqref="Y96">
    <cfRule type="cellIs" priority="640" operator="lessThanOrEqual" aboveAverage="0" equalAverage="0" bottom="0" percent="0" rank="0" text="" dxfId="0">
      <formula>I96</formula>
    </cfRule>
  </conditionalFormatting>
  <conditionalFormatting sqref="Y97">
    <cfRule type="cellIs" priority="641" operator="lessThanOrEqual" aboveAverage="0" equalAverage="0" bottom="0" percent="0" rank="0" text="" dxfId="0">
      <formula>I97</formula>
    </cfRule>
  </conditionalFormatting>
  <conditionalFormatting sqref="Y98">
    <cfRule type="cellIs" priority="642" operator="lessThanOrEqual" aboveAverage="0" equalAverage="0" bottom="0" percent="0" rank="0" text="" dxfId="0">
      <formula>I98</formula>
    </cfRule>
  </conditionalFormatting>
  <conditionalFormatting sqref="Y99">
    <cfRule type="cellIs" priority="643" operator="lessThanOrEqual" aboveAverage="0" equalAverage="0" bottom="0" percent="0" rank="0" text="" dxfId="0">
      <formula>I99</formula>
    </cfRule>
  </conditionalFormatting>
  <hyperlinks>
    <hyperlink ref="O7" r:id="rId2" display="Link"/>
    <hyperlink ref="U7" r:id="rId3" display="Link"/>
    <hyperlink ref="AG7" r:id="rId4" display="Link"/>
    <hyperlink ref="AM7" r:id="rId5" display="Link"/>
    <hyperlink ref="O8" r:id="rId6" display="Link"/>
    <hyperlink ref="O9" r:id="rId7" display="Link"/>
    <hyperlink ref="O10" r:id="rId8" display="Link"/>
    <hyperlink ref="AM10" r:id="rId9" display="Link"/>
    <hyperlink ref="O11" r:id="rId10" display="Link"/>
    <hyperlink ref="U11" r:id="rId11" display="Link"/>
    <hyperlink ref="AA11" r:id="rId12" display="Link"/>
    <hyperlink ref="AG11" r:id="rId13" display="Link"/>
    <hyperlink ref="O12" r:id="rId14" display="Link"/>
    <hyperlink ref="U12" r:id="rId15" display="Link"/>
    <hyperlink ref="AG12" r:id="rId16" display="Link"/>
    <hyperlink ref="O13" r:id="rId17" display="Link"/>
    <hyperlink ref="U13" r:id="rId18" display="Link"/>
    <hyperlink ref="AG13" r:id="rId19" display="Link"/>
    <hyperlink ref="AM13" r:id="rId20" display="Link"/>
    <hyperlink ref="O14" r:id="rId21" display="Link"/>
    <hyperlink ref="U14" r:id="rId22" display="Link"/>
    <hyperlink ref="AG14" r:id="rId23" display="Link"/>
    <hyperlink ref="O15" r:id="rId24" display="Link"/>
    <hyperlink ref="U15" r:id="rId25" display="Link"/>
    <hyperlink ref="AA15" r:id="rId26" display="Link"/>
    <hyperlink ref="AG15" r:id="rId27" display="Link"/>
    <hyperlink ref="AM15" r:id="rId28" display="Link"/>
    <hyperlink ref="O16" r:id="rId29" display="Link"/>
    <hyperlink ref="U16" r:id="rId30" display="Link"/>
    <hyperlink ref="AG16" r:id="rId31" display="Link"/>
    <hyperlink ref="AM16" r:id="rId32" display="Link"/>
    <hyperlink ref="O17" r:id="rId33" display="Link"/>
    <hyperlink ref="U17" r:id="rId34" display="Link"/>
    <hyperlink ref="AA17" r:id="rId35" display="Link"/>
    <hyperlink ref="AG17" r:id="rId36" display="Link"/>
    <hyperlink ref="O18" r:id="rId37" display="Link"/>
    <hyperlink ref="U18" r:id="rId38" display="Link"/>
    <hyperlink ref="AG18" r:id="rId39" display="Link"/>
    <hyperlink ref="O19" r:id="rId40" display="Link"/>
    <hyperlink ref="U19" r:id="rId41" display="Link"/>
    <hyperlink ref="AG19" r:id="rId42" display="Link"/>
    <hyperlink ref="AM19" r:id="rId43" display="Link"/>
    <hyperlink ref="O20" r:id="rId44" display="Link"/>
    <hyperlink ref="U20" r:id="rId45" display="Link"/>
    <hyperlink ref="AG20" r:id="rId46" display="Link"/>
    <hyperlink ref="AM20" r:id="rId47" display="Link"/>
    <hyperlink ref="O21" r:id="rId48" display="Link"/>
    <hyperlink ref="U22" r:id="rId49" display="Link"/>
    <hyperlink ref="AG22" r:id="rId50" display="Link"/>
    <hyperlink ref="O23" r:id="rId51" display="Link"/>
    <hyperlink ref="U23" r:id="rId52" display="Link"/>
    <hyperlink ref="AG23" r:id="rId53" display="Link"/>
    <hyperlink ref="O25" r:id="rId54" display="Link"/>
    <hyperlink ref="U25" r:id="rId55" display="Link"/>
    <hyperlink ref="AA25" r:id="rId56" display="Link"/>
    <hyperlink ref="AG25" r:id="rId57" display="Link"/>
    <hyperlink ref="AM25" r:id="rId58" display="Link"/>
    <hyperlink ref="O26" r:id="rId59" display="Link"/>
    <hyperlink ref="U26" r:id="rId60" display="Link"/>
    <hyperlink ref="AG26" r:id="rId61" display="Link"/>
    <hyperlink ref="AM26" r:id="rId62" display="Link"/>
    <hyperlink ref="O27" r:id="rId63" display="Link"/>
    <hyperlink ref="AA27" r:id="rId64" display="Link"/>
    <hyperlink ref="AG27" r:id="rId65" display="Link"/>
    <hyperlink ref="AM27" r:id="rId66" display="Link"/>
    <hyperlink ref="O28" r:id="rId67" display="Link"/>
    <hyperlink ref="U28" r:id="rId68" display="Link"/>
    <hyperlink ref="AA28" r:id="rId69" display="Link"/>
    <hyperlink ref="AG28" r:id="rId70" display="Link"/>
    <hyperlink ref="AM28" r:id="rId71" display="Link"/>
    <hyperlink ref="O29" r:id="rId72" display="Link"/>
    <hyperlink ref="U29" r:id="rId73" display="Link"/>
    <hyperlink ref="AA29" r:id="rId74" display="Link"/>
    <hyperlink ref="AG29" r:id="rId75" display="Link"/>
    <hyperlink ref="AM29" r:id="rId76" display="Link"/>
    <hyperlink ref="O30" r:id="rId77" display="Link"/>
    <hyperlink ref="U30" r:id="rId78" display="Link"/>
    <hyperlink ref="AG30" r:id="rId79" display="Link"/>
    <hyperlink ref="AM30" r:id="rId80" display="Link"/>
    <hyperlink ref="O31" r:id="rId81" display="Link"/>
    <hyperlink ref="U31" r:id="rId82" display="Link"/>
    <hyperlink ref="AA31" r:id="rId83" display="Link"/>
    <hyperlink ref="AG31" r:id="rId84" display="Link"/>
    <hyperlink ref="AM31" r:id="rId85" display="Link"/>
    <hyperlink ref="O32" r:id="rId86" display="Link"/>
    <hyperlink ref="U32" r:id="rId87" display="Link"/>
    <hyperlink ref="AA32" r:id="rId88" display="Link"/>
    <hyperlink ref="AG32" r:id="rId89" display="Link"/>
    <hyperlink ref="AM32" r:id="rId90" display="Link"/>
    <hyperlink ref="O33" r:id="rId91" display="Link"/>
    <hyperlink ref="U33" r:id="rId92" display="Link"/>
    <hyperlink ref="AG33" r:id="rId93" display="Link"/>
    <hyperlink ref="O35" r:id="rId94" display="Link"/>
    <hyperlink ref="AG35" r:id="rId95" display="Link"/>
    <hyperlink ref="AM35" r:id="rId96" display="Link"/>
    <hyperlink ref="O36" r:id="rId97" display="Link"/>
    <hyperlink ref="U36" r:id="rId98" display="Link"/>
    <hyperlink ref="AA36" r:id="rId99" display="Link"/>
    <hyperlink ref="AG36" r:id="rId100" display="Link"/>
    <hyperlink ref="AM36" r:id="rId101" display="Link"/>
    <hyperlink ref="O37" r:id="rId102" display="Link"/>
    <hyperlink ref="U37" r:id="rId103" display="Link"/>
    <hyperlink ref="AA37" r:id="rId104" display="Link"/>
    <hyperlink ref="AG37" r:id="rId105" display="Link"/>
    <hyperlink ref="AM37" r:id="rId106" display="Link"/>
    <hyperlink ref="O38" r:id="rId107" display="Link"/>
    <hyperlink ref="AA38" r:id="rId108" display="Link"/>
    <hyperlink ref="AG38" r:id="rId109" display="Link"/>
    <hyperlink ref="O39" r:id="rId110" display="Link"/>
    <hyperlink ref="U39" r:id="rId111" display="Link"/>
    <hyperlink ref="AG39" r:id="rId112" display="Link"/>
    <hyperlink ref="AM39" r:id="rId113" display="Link"/>
    <hyperlink ref="O40" r:id="rId114" display="Link"/>
    <hyperlink ref="U40" r:id="rId115" display="Link"/>
    <hyperlink ref="AA40" r:id="rId116" display="Link"/>
    <hyperlink ref="AG40" r:id="rId117" display="Link"/>
    <hyperlink ref="AM40" r:id="rId118" display="Link"/>
    <hyperlink ref="O41" r:id="rId119" display="Link"/>
    <hyperlink ref="U41" r:id="rId120" display="Link"/>
    <hyperlink ref="AA41" r:id="rId121" display="Link"/>
    <hyperlink ref="AG41" r:id="rId122" display="Link"/>
    <hyperlink ref="O43" r:id="rId123" display="Link"/>
    <hyperlink ref="U43" r:id="rId124" display="Link"/>
    <hyperlink ref="AG43" r:id="rId125" display="Link"/>
    <hyperlink ref="AM43" r:id="rId126" display="Link"/>
    <hyperlink ref="O44" r:id="rId127" display="Link"/>
    <hyperlink ref="U44" r:id="rId128" display="Link"/>
    <hyperlink ref="AA44" r:id="rId129" display="Link"/>
    <hyperlink ref="AG44" r:id="rId130" display="Link"/>
    <hyperlink ref="AM44" r:id="rId131" display="Link"/>
    <hyperlink ref="O45" r:id="rId132" display="Link"/>
    <hyperlink ref="U45" r:id="rId133" display="Link"/>
    <hyperlink ref="AA45" r:id="rId134" display="Link"/>
    <hyperlink ref="AG45" r:id="rId135" display="Link"/>
    <hyperlink ref="AM45" r:id="rId136" display="Link"/>
    <hyperlink ref="O46" r:id="rId137" display="Link"/>
    <hyperlink ref="U46" r:id="rId138" display="Link"/>
    <hyperlink ref="AA46" r:id="rId139" display="Link"/>
    <hyperlink ref="AG46" r:id="rId140" display="Link"/>
    <hyperlink ref="AM46" r:id="rId141" display="Link"/>
    <hyperlink ref="O47" r:id="rId142" display="Link"/>
    <hyperlink ref="U47" r:id="rId143" display="Link"/>
    <hyperlink ref="AA47" r:id="rId144" display="Link"/>
    <hyperlink ref="AG47" r:id="rId145" display="Link"/>
    <hyperlink ref="AM47" r:id="rId146" display="Link"/>
    <hyperlink ref="O48" r:id="rId147" display="Link"/>
    <hyperlink ref="U48" r:id="rId148" display="Link"/>
    <hyperlink ref="AA48" r:id="rId149" display="Link"/>
    <hyperlink ref="AG48" r:id="rId150" display="Link"/>
    <hyperlink ref="AM48" r:id="rId151" display="Link"/>
    <hyperlink ref="O49" r:id="rId152" display="Link"/>
    <hyperlink ref="U49" r:id="rId153" display="Link"/>
    <hyperlink ref="AG49" r:id="rId154" display="Link"/>
    <hyperlink ref="O50" r:id="rId155" display="Link"/>
    <hyperlink ref="U50" r:id="rId156" display="Link"/>
    <hyperlink ref="AA50" r:id="rId157" display="Link"/>
    <hyperlink ref="AG50" r:id="rId158" display="Link"/>
    <hyperlink ref="O51" r:id="rId159" display="Link"/>
    <hyperlink ref="U51" r:id="rId160" display="Link"/>
    <hyperlink ref="AA51" r:id="rId161" display="Link"/>
    <hyperlink ref="AG51" r:id="rId162" display="Link"/>
    <hyperlink ref="AM51" r:id="rId163" display="Link"/>
    <hyperlink ref="O52" r:id="rId164" display="Link"/>
    <hyperlink ref="O53" r:id="rId165" display="Link"/>
    <hyperlink ref="U53" r:id="rId166" display="Link"/>
    <hyperlink ref="AA53" r:id="rId167" display="Link"/>
    <hyperlink ref="AG53" r:id="rId168" display="Link"/>
    <hyperlink ref="AM53" r:id="rId169" display="Link"/>
    <hyperlink ref="O54" r:id="rId170" display="Link"/>
    <hyperlink ref="O55" r:id="rId171" display="Link"/>
    <hyperlink ref="U55" r:id="rId172" display="Link"/>
    <hyperlink ref="AA55" r:id="rId173" display="Link"/>
    <hyperlink ref="AG55" r:id="rId174" display="Link"/>
    <hyperlink ref="O56" r:id="rId175" display="Link"/>
    <hyperlink ref="U56" r:id="rId176" display="Link"/>
    <hyperlink ref="AA56" r:id="rId177" display="Link"/>
    <hyperlink ref="AG56" r:id="rId178" display="Link"/>
    <hyperlink ref="AM56" r:id="rId179" display="Link"/>
    <hyperlink ref="O57" r:id="rId180" display="Link"/>
    <hyperlink ref="O58" r:id="rId181" display="Link"/>
    <hyperlink ref="U58" r:id="rId182" display="Link"/>
    <hyperlink ref="AG58" r:id="rId183" display="Link"/>
    <hyperlink ref="AM58" r:id="rId184" display="Link"/>
    <hyperlink ref="O59" r:id="rId185" display="Link"/>
    <hyperlink ref="AG59" r:id="rId186" display="Link"/>
    <hyperlink ref="O60" r:id="rId187" display="Link"/>
    <hyperlink ref="U60" r:id="rId188" display="Link"/>
    <hyperlink ref="AG60" r:id="rId189" display="Link"/>
    <hyperlink ref="AM60" r:id="rId190" display="Link"/>
    <hyperlink ref="O61" r:id="rId191" display="Link"/>
    <hyperlink ref="U61" r:id="rId192" display="Link"/>
    <hyperlink ref="AA61" r:id="rId193" display="Link"/>
    <hyperlink ref="AG61" r:id="rId194" display="Link"/>
    <hyperlink ref="AM61" r:id="rId195" display="Link"/>
    <hyperlink ref="O62" r:id="rId196" display="Link"/>
    <hyperlink ref="U62" r:id="rId197" display="Link"/>
    <hyperlink ref="AG62" r:id="rId198" display="Link"/>
    <hyperlink ref="O63" r:id="rId199" display="Link"/>
    <hyperlink ref="AG63" r:id="rId200" display="Link"/>
    <hyperlink ref="O64" r:id="rId201" display="Link"/>
    <hyperlink ref="AG64" r:id="rId202" display="Link"/>
    <hyperlink ref="AM64" r:id="rId203" display="Link"/>
    <hyperlink ref="O65" r:id="rId204" display="Link"/>
    <hyperlink ref="U65" r:id="rId205" display="Link"/>
    <hyperlink ref="AG65" r:id="rId206" display="Link"/>
    <hyperlink ref="O66" r:id="rId207" display="Link"/>
    <hyperlink ref="U66" r:id="rId208" display="Link"/>
    <hyperlink ref="AG66" r:id="rId209" display="Link"/>
    <hyperlink ref="O67" r:id="rId210" display="Link"/>
    <hyperlink ref="U67" r:id="rId211" display="Link"/>
    <hyperlink ref="AA67" r:id="rId212" display="Link"/>
    <hyperlink ref="AG67" r:id="rId213" display="Link"/>
    <hyperlink ref="O68" r:id="rId214" display="Link"/>
    <hyperlink ref="U68" r:id="rId215" display="Link"/>
    <hyperlink ref="AG68" r:id="rId216" display="Link"/>
    <hyperlink ref="AM68" r:id="rId217" display="Link"/>
    <hyperlink ref="O69" r:id="rId218" display="Link"/>
    <hyperlink ref="U69" r:id="rId219" display="Link"/>
    <hyperlink ref="AA69" r:id="rId220" display="Link"/>
    <hyperlink ref="AG69" r:id="rId221" display="Link"/>
    <hyperlink ref="AM69" r:id="rId222" display="Link"/>
    <hyperlink ref="O70" r:id="rId223" display="Link"/>
    <hyperlink ref="U70" r:id="rId224" display="Link"/>
    <hyperlink ref="AA70" r:id="rId225" display="Link"/>
    <hyperlink ref="AG70" r:id="rId226" display="Link"/>
    <hyperlink ref="AM70" r:id="rId227" display="Link"/>
    <hyperlink ref="O71" r:id="rId228" display="Link"/>
    <hyperlink ref="AG71" r:id="rId229" display="Link"/>
    <hyperlink ref="AM71" r:id="rId230" display="Link"/>
    <hyperlink ref="O72" r:id="rId231" display="Link"/>
    <hyperlink ref="AA72" r:id="rId232" display="Link"/>
    <hyperlink ref="AG72" r:id="rId233" display="Link"/>
    <hyperlink ref="O73" r:id="rId234" display="Link"/>
    <hyperlink ref="U73" r:id="rId235" display="Link"/>
    <hyperlink ref="AG73" r:id="rId236" display="Link"/>
    <hyperlink ref="AM73" r:id="rId237" display="Link"/>
    <hyperlink ref="O74" r:id="rId238" display="Link"/>
    <hyperlink ref="U74" r:id="rId239" display="Link"/>
    <hyperlink ref="AG74" r:id="rId240" display="Link"/>
    <hyperlink ref="AM74" r:id="rId241" display="Link"/>
    <hyperlink ref="O75" r:id="rId242" display="Link"/>
    <hyperlink ref="U75" r:id="rId243" display="Link"/>
    <hyperlink ref="AA75" r:id="rId244" display="Link"/>
    <hyperlink ref="AG75" r:id="rId245" display="Link"/>
    <hyperlink ref="AM75" r:id="rId246" display="Link"/>
    <hyperlink ref="O76" r:id="rId247" display="Link"/>
    <hyperlink ref="AA76" r:id="rId248" display="Link"/>
    <hyperlink ref="AG76" r:id="rId249" display="Link"/>
    <hyperlink ref="O77" r:id="rId250" display="Link"/>
    <hyperlink ref="U77" r:id="rId251" display="Link"/>
    <hyperlink ref="AA77" r:id="rId252" display="Link"/>
    <hyperlink ref="AG77" r:id="rId253" display="Link"/>
    <hyperlink ref="O78" r:id="rId254" display="Link"/>
    <hyperlink ref="U78" r:id="rId255" display="Link"/>
    <hyperlink ref="AA78" r:id="rId256" display="Link"/>
    <hyperlink ref="AG78" r:id="rId257" display="Link"/>
    <hyperlink ref="AM78" r:id="rId258" display="Link"/>
    <hyperlink ref="O80" r:id="rId259" display="Link"/>
    <hyperlink ref="U80" r:id="rId260" display="Link"/>
    <hyperlink ref="AA80" r:id="rId261" display="Link"/>
    <hyperlink ref="AG80" r:id="rId262" display="Link"/>
    <hyperlink ref="AM80" r:id="rId263" display="Link"/>
    <hyperlink ref="O81" r:id="rId264" display="Link"/>
    <hyperlink ref="U81" r:id="rId265" display="Link"/>
    <hyperlink ref="AA81" r:id="rId266" display="Link"/>
    <hyperlink ref="AG81" r:id="rId267" display="Link"/>
    <hyperlink ref="AM81" r:id="rId268" display="Link"/>
    <hyperlink ref="O82" r:id="rId269" display="Link"/>
    <hyperlink ref="U82" r:id="rId270" display="Link"/>
    <hyperlink ref="AA82" r:id="rId271" display="Link"/>
    <hyperlink ref="AG82" r:id="rId272" display="Link"/>
    <hyperlink ref="O83" r:id="rId273" display="Link"/>
    <hyperlink ref="AA83" r:id="rId274" display="Link"/>
    <hyperlink ref="AG83" r:id="rId275" display="Link"/>
    <hyperlink ref="AM83" r:id="rId276" display="Link"/>
    <hyperlink ref="O84" r:id="rId277" display="Link"/>
    <hyperlink ref="O85" r:id="rId278" display="Link"/>
    <hyperlink ref="U85" r:id="rId279" display="Link"/>
    <hyperlink ref="AA85" r:id="rId280" display="Link"/>
    <hyperlink ref="AG85" r:id="rId281" display="Link"/>
    <hyperlink ref="AM85" r:id="rId282" display="Link"/>
    <hyperlink ref="O86" r:id="rId283" display="Link"/>
    <hyperlink ref="AA86" r:id="rId284" display="Link"/>
    <hyperlink ref="AG86" r:id="rId285" display="Link"/>
    <hyperlink ref="O87" r:id="rId286" display="Link"/>
    <hyperlink ref="U87" r:id="rId287" display="Link"/>
    <hyperlink ref="AA87" r:id="rId288" display="Link"/>
    <hyperlink ref="AG87" r:id="rId289" display="Link"/>
    <hyperlink ref="O88" r:id="rId290" display="Link"/>
    <hyperlink ref="AA88" r:id="rId291" display="Link"/>
    <hyperlink ref="AM88" r:id="rId292" display="Link"/>
    <hyperlink ref="O89" r:id="rId293" display="Link"/>
    <hyperlink ref="U89" r:id="rId294" display="Link"/>
    <hyperlink ref="AA89" r:id="rId295" display="Link"/>
    <hyperlink ref="AG89" r:id="rId296" display="Link"/>
    <hyperlink ref="AM89" r:id="rId297" display="Link"/>
    <hyperlink ref="O90" r:id="rId298" display="Link"/>
    <hyperlink ref="U90" r:id="rId299" display="Link"/>
    <hyperlink ref="AA90" r:id="rId300" display="Link"/>
    <hyperlink ref="O91" r:id="rId301" display="Link"/>
    <hyperlink ref="U91" r:id="rId302" display="Link"/>
    <hyperlink ref="AA91" r:id="rId303" display="Link"/>
    <hyperlink ref="AG91" r:id="rId304" display="Link"/>
    <hyperlink ref="AM91" r:id="rId305" display="Link"/>
    <hyperlink ref="O92" r:id="rId306" display="Link"/>
    <hyperlink ref="AA92" r:id="rId307" display="Link"/>
    <hyperlink ref="AG92" r:id="rId308" display="Link"/>
    <hyperlink ref="O93" r:id="rId309" display="Link"/>
    <hyperlink ref="U93" r:id="rId310" display="Link"/>
    <hyperlink ref="AA93" r:id="rId311" display="Link"/>
    <hyperlink ref="AG93" r:id="rId312" display="Link"/>
    <hyperlink ref="AM93" r:id="rId313" display="Link"/>
    <hyperlink ref="O94" r:id="rId314" display="Link"/>
    <hyperlink ref="AA94" r:id="rId315" display="Link"/>
    <hyperlink ref="AM94" r:id="rId316" display="Link"/>
    <hyperlink ref="O95" r:id="rId317" display="Link"/>
    <hyperlink ref="AA95" r:id="rId318" display="Link"/>
    <hyperlink ref="O96" r:id="rId319" display="Link"/>
    <hyperlink ref="U96" r:id="rId320" display="Link"/>
    <hyperlink ref="AA96" r:id="rId321" display="Link"/>
    <hyperlink ref="AG96" r:id="rId322" display="Link"/>
    <hyperlink ref="AM96" r:id="rId323" display="Link"/>
    <hyperlink ref="O97" r:id="rId324" display="Link"/>
    <hyperlink ref="AA97" r:id="rId325" display="Link"/>
    <hyperlink ref="AM97" r:id="rId326" display="Link"/>
    <hyperlink ref="O98" r:id="rId327" display="Link"/>
    <hyperlink ref="U98" r:id="rId328" display="Link"/>
    <hyperlink ref="AA98" r:id="rId329" display="Link"/>
    <hyperlink ref="AG98" r:id="rId330" display="Link"/>
    <hyperlink ref="AM98" r:id="rId331" display="Link"/>
    <hyperlink ref="O99" r:id="rId332" display="Link"/>
    <hyperlink ref="U99" r:id="rId333" display="Link"/>
    <hyperlink ref="AA99" r:id="rId334" display="Link"/>
    <hyperlink ref="AG99" r:id="rId335" display="Link"/>
    <hyperlink ref="O100" r:id="rId336" display="Link"/>
    <hyperlink ref="U100" r:id="rId337" display="Link"/>
    <hyperlink ref="AA100" r:id="rId338" display="Link"/>
    <hyperlink ref="AG100" r:id="rId339" display="Link"/>
    <hyperlink ref="AM100" r:id="rId340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2017-08-16T02:48:21Z</dcterms:created>
  <dc:creator/>
  <dc:description/>
  <dc:language>en-US</dc:language>
  <cp:lastModifiedBy/>
  <dcterms:modified xsi:type="dcterms:W3CDTF">2017-08-15T23:53:43Z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