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700" tabRatio="791"/>
  </bookViews>
  <sheets>
    <sheet name="Totals by State" sheetId="7" r:id="rId1"/>
    <sheet name="CESCF 2011-2014" sheetId="4" r:id="rId2"/>
    <sheet name="Stateside data 2011-2014" sheetId="15" r:id="rId3"/>
    <sheet name="ABPP 2011-2014" sheetId="16" r:id="rId4"/>
    <sheet name="All Federal LA 2011-2014" sheetId="8" r:id="rId5"/>
    <sheet name="Federal LA pivot table" sheetId="13" r:id="rId6"/>
    <sheet name="Notes" sheetId="14" r:id="rId7"/>
  </sheets>
  <definedNames>
    <definedName name="_xlnm._FilterDatabase" localSheetId="4" hidden="1">'All Federal LA 2011-2014'!$A$1:$U$124</definedName>
    <definedName name="_xlnm._FilterDatabase" localSheetId="6" hidden="1">Notes!#REF!</definedName>
    <definedName name="_xlnm._FilterDatabase" localSheetId="2" hidden="1">'Stateside data 2011-2014'!$A$1:$P$920</definedName>
    <definedName name="Notes" localSheetId="4">#REF!</definedName>
    <definedName name="Notes" localSheetId="6">#REF!</definedName>
    <definedName name="Notes">#REF!</definedName>
    <definedName name="NPS" localSheetId="4">#REF!</definedName>
    <definedName name="NPS" localSheetId="6">#REF!</definedName>
    <definedName name="NPS">#REF!</definedName>
    <definedName name="_xlnm.Print_Area" localSheetId="0">'Totals by State'!$A$1:$H$57</definedName>
  </definedNames>
  <calcPr calcId="145621"/>
  <pivotCaches>
    <pivotCache cacheId="0" r:id="rId8"/>
    <pivotCache cacheId="1" r:id="rId9"/>
    <pivotCache cacheId="2" r:id="rId10"/>
    <pivotCache cacheId="3" r:id="rId11"/>
  </pivotCaches>
</workbook>
</file>

<file path=xl/calcChain.xml><?xml version="1.0" encoding="utf-8"?>
<calcChain xmlns="http://schemas.openxmlformats.org/spreadsheetml/2006/main">
  <c r="D58" i="7" l="1"/>
  <c r="E58" i="7" l="1"/>
  <c r="C58" i="7"/>
  <c r="F117" i="16"/>
  <c r="E117" i="16"/>
  <c r="F920" i="15"/>
  <c r="B58" i="7" s="1"/>
  <c r="D54" i="7"/>
  <c r="D53" i="7"/>
  <c r="D52" i="7"/>
  <c r="D51" i="7"/>
  <c r="D48" i="7"/>
  <c r="D47" i="7"/>
  <c r="D46" i="7"/>
  <c r="D41" i="7"/>
  <c r="D40" i="7"/>
  <c r="D36" i="7"/>
  <c r="D34" i="7"/>
  <c r="D33" i="7"/>
  <c r="D30" i="7"/>
  <c r="D29" i="7"/>
  <c r="D28" i="7"/>
  <c r="D25" i="7"/>
  <c r="D23" i="7"/>
  <c r="D18" i="7"/>
  <c r="D15" i="7"/>
  <c r="D14" i="7"/>
  <c r="D12" i="7"/>
  <c r="D11" i="7"/>
  <c r="D7" i="7"/>
  <c r="D6" i="7"/>
  <c r="D4" i="7"/>
  <c r="D5" i="7"/>
  <c r="D2" i="7"/>
  <c r="G32" i="7"/>
  <c r="G54" i="7"/>
  <c r="G49" i="7"/>
  <c r="G24" i="7"/>
  <c r="C53" i="7"/>
  <c r="C51" i="7"/>
  <c r="C46" i="7"/>
  <c r="C41" i="7"/>
  <c r="C39" i="7"/>
  <c r="C34" i="7"/>
  <c r="C36" i="7"/>
  <c r="C27" i="7"/>
  <c r="C28" i="7"/>
  <c r="C26" i="7"/>
  <c r="C23" i="7"/>
  <c r="C21" i="7"/>
  <c r="C20" i="7"/>
  <c r="C12" i="7"/>
  <c r="B11" i="7"/>
  <c r="B55" i="7"/>
  <c r="B54" i="7"/>
  <c r="B51" i="7"/>
  <c r="B49" i="7"/>
  <c r="B47" i="7"/>
  <c r="B45" i="7"/>
  <c r="B43" i="7"/>
  <c r="B41" i="7"/>
  <c r="B39" i="7"/>
  <c r="B37" i="7"/>
  <c r="B35" i="7"/>
  <c r="B33" i="7"/>
  <c r="B31" i="7"/>
  <c r="B29" i="7"/>
  <c r="B27" i="7"/>
  <c r="B25" i="7"/>
  <c r="B23" i="7"/>
  <c r="B21" i="7"/>
  <c r="B19" i="7"/>
  <c r="B16" i="7"/>
  <c r="B18" i="7"/>
  <c r="B13" i="7"/>
  <c r="B10" i="7"/>
  <c r="B7" i="7"/>
  <c r="B5" i="7"/>
  <c r="B3" i="7"/>
  <c r="B9" i="7"/>
  <c r="B53" i="7"/>
  <c r="B52" i="7"/>
  <c r="B50" i="7"/>
  <c r="B48" i="7"/>
  <c r="B46" i="7"/>
  <c r="B44" i="7"/>
  <c r="B42" i="7"/>
  <c r="B40" i="7"/>
  <c r="B38" i="7"/>
  <c r="B36" i="7"/>
  <c r="B34" i="7"/>
  <c r="B32" i="7"/>
  <c r="B30" i="7"/>
  <c r="B28" i="7"/>
  <c r="B26" i="7"/>
  <c r="B22" i="7"/>
  <c r="B24" i="7"/>
  <c r="B20" i="7"/>
  <c r="B17" i="7"/>
  <c r="B15" i="7"/>
  <c r="B14" i="7"/>
  <c r="B12" i="7"/>
  <c r="B8" i="7"/>
  <c r="B6" i="7"/>
  <c r="B4" i="7"/>
  <c r="B2" i="7"/>
  <c r="G58" i="7"/>
  <c r="B57" i="7" l="1"/>
  <c r="M124" i="8"/>
  <c r="K124" i="8"/>
  <c r="F55" i="7"/>
  <c r="F50" i="7"/>
  <c r="F45" i="7"/>
  <c r="F43" i="7"/>
  <c r="H43" i="7" s="1"/>
  <c r="F32" i="7"/>
  <c r="F24" i="7"/>
  <c r="F17" i="7"/>
  <c r="H17" i="7" s="1"/>
  <c r="F16" i="7"/>
  <c r="F13" i="7"/>
  <c r="H13" i="7" s="1"/>
  <c r="F10" i="7"/>
  <c r="H10" i="7" s="1"/>
  <c r="F9" i="7"/>
  <c r="H9" i="7" s="1"/>
  <c r="F3" i="7"/>
  <c r="G60" i="7"/>
  <c r="E41" i="7"/>
  <c r="E33" i="7"/>
  <c r="G35" i="7"/>
  <c r="G8" i="7"/>
  <c r="G29" i="7"/>
  <c r="G37" i="7"/>
  <c r="G22" i="7"/>
  <c r="G15" i="7"/>
  <c r="G12" i="7"/>
  <c r="G55" i="7"/>
  <c r="G52" i="7"/>
  <c r="G51" i="7"/>
  <c r="G47" i="7"/>
  <c r="G38" i="7"/>
  <c r="G23" i="7"/>
  <c r="G19" i="7"/>
  <c r="G7" i="7"/>
  <c r="G5" i="7"/>
  <c r="G3" i="7"/>
  <c r="E8" i="7"/>
  <c r="E35" i="7"/>
  <c r="G33" i="7"/>
  <c r="G26" i="7"/>
  <c r="G45" i="7"/>
  <c r="G44" i="7"/>
  <c r="G16" i="7"/>
  <c r="G18" i="7"/>
  <c r="G11" i="7"/>
  <c r="G53" i="7"/>
  <c r="G50" i="7"/>
  <c r="G48" i="7"/>
  <c r="G40" i="7"/>
  <c r="G34" i="7"/>
  <c r="G25" i="7"/>
  <c r="G21" i="7"/>
  <c r="G6" i="7"/>
  <c r="G4" i="7"/>
  <c r="G57" i="7" l="1"/>
  <c r="G59" i="7" s="1"/>
  <c r="G61" i="7" s="1"/>
  <c r="F35" i="7"/>
  <c r="H35" i="7" s="1"/>
  <c r="E57" i="7"/>
  <c r="E59" i="7" s="1"/>
  <c r="F8" i="7"/>
  <c r="H8" i="7" s="1"/>
  <c r="H3" i="7"/>
  <c r="H50" i="7"/>
  <c r="H55" i="7"/>
  <c r="H16" i="7"/>
  <c r="H45" i="7"/>
  <c r="H32" i="7"/>
  <c r="H24" i="7"/>
  <c r="A121" i="8" l="1"/>
  <c r="A90" i="8"/>
  <c r="A60" i="8"/>
  <c r="A113" i="8"/>
  <c r="A114" i="8"/>
  <c r="A89" i="8"/>
  <c r="A62" i="8"/>
  <c r="A21" i="8"/>
  <c r="A108" i="8"/>
  <c r="A72" i="8"/>
  <c r="A20" i="8"/>
  <c r="A71" i="8"/>
  <c r="A107" i="8"/>
  <c r="A19" i="8"/>
  <c r="A100" i="8"/>
  <c r="A63" i="8"/>
  <c r="A83" i="8"/>
  <c r="A84" i="8"/>
  <c r="A106" i="8"/>
  <c r="A54" i="8"/>
  <c r="A35" i="8"/>
  <c r="A40" i="8"/>
  <c r="A38" i="8"/>
  <c r="A92" i="8"/>
  <c r="A85" i="8"/>
  <c r="A43" i="8"/>
  <c r="A73" i="8"/>
  <c r="A23" i="8"/>
  <c r="A22" i="8"/>
  <c r="A102" i="8"/>
  <c r="J101" i="8"/>
  <c r="A101" i="8"/>
  <c r="J53" i="8"/>
  <c r="A53" i="8"/>
  <c r="A110" i="8"/>
  <c r="A42" i="8"/>
  <c r="A52" i="8"/>
  <c r="A3" i="8"/>
  <c r="A41" i="8"/>
  <c r="A109" i="8"/>
  <c r="A36" i="8"/>
  <c r="A2" i="8"/>
  <c r="A39" i="8"/>
  <c r="O75" i="8"/>
  <c r="L75" i="8"/>
  <c r="J75" i="8"/>
  <c r="A75" i="8"/>
  <c r="O74" i="8"/>
  <c r="L74" i="8"/>
  <c r="L124" i="8" s="1"/>
  <c r="J74" i="8"/>
  <c r="A74" i="8"/>
  <c r="A51" i="8"/>
  <c r="A45" i="8"/>
  <c r="A119" i="8"/>
  <c r="A59" i="8"/>
  <c r="A25" i="8"/>
  <c r="A56" i="8"/>
  <c r="A55" i="8"/>
  <c r="A24" i="8"/>
  <c r="A37" i="8"/>
  <c r="A111" i="8"/>
  <c r="A93" i="8"/>
  <c r="A61" i="8"/>
  <c r="A44" i="8"/>
  <c r="A87" i="8"/>
  <c r="A86" i="8"/>
  <c r="A50" i="8"/>
  <c r="O46" i="8"/>
  <c r="A46" i="8"/>
  <c r="A88" i="8"/>
  <c r="O77" i="8"/>
  <c r="A77" i="8"/>
  <c r="O76" i="8"/>
  <c r="A76" i="8"/>
  <c r="A57" i="8"/>
  <c r="A68" i="8"/>
  <c r="A9" i="8"/>
  <c r="A31" i="8"/>
  <c r="A8" i="8"/>
  <c r="A97" i="8"/>
  <c r="A122" i="8"/>
  <c r="A96" i="8"/>
  <c r="A91" i="8"/>
  <c r="A7" i="8"/>
  <c r="A12" i="8"/>
  <c r="A32" i="8"/>
  <c r="A11" i="8"/>
  <c r="A58" i="8"/>
  <c r="A10" i="8"/>
  <c r="A98" i="8"/>
  <c r="A69" i="8"/>
  <c r="A15" i="8"/>
  <c r="A14" i="8"/>
  <c r="A99" i="8"/>
  <c r="A33" i="8"/>
  <c r="A13" i="8"/>
  <c r="A4" i="8"/>
  <c r="A18" i="8"/>
  <c r="A17" i="8"/>
  <c r="A16" i="8"/>
  <c r="A34" i="8"/>
  <c r="A70" i="8"/>
  <c r="A116" i="8"/>
  <c r="A105" i="8"/>
  <c r="A67" i="8"/>
  <c r="A115" i="8"/>
  <c r="A65" i="8"/>
  <c r="A103" i="8"/>
  <c r="A95" i="8"/>
  <c r="A94" i="8"/>
  <c r="A64" i="8"/>
  <c r="A28" i="8"/>
  <c r="A27" i="8"/>
  <c r="A26" i="8"/>
  <c r="A5" i="8"/>
  <c r="R48" i="8"/>
  <c r="A48" i="8"/>
  <c r="R47" i="8"/>
  <c r="A47" i="8"/>
  <c r="A123" i="8"/>
  <c r="A120" i="8"/>
  <c r="A78" i="8"/>
  <c r="A29" i="8"/>
  <c r="A6" i="8"/>
  <c r="A117" i="8"/>
  <c r="A81" i="8"/>
  <c r="A80" i="8"/>
  <c r="A30" i="8"/>
  <c r="A118" i="8"/>
  <c r="A82" i="8"/>
  <c r="A49" i="8"/>
  <c r="A104" i="8"/>
  <c r="A112" i="8"/>
  <c r="A66" i="8"/>
  <c r="A79" i="8"/>
  <c r="F19" i="7"/>
  <c r="F15" i="7" l="1"/>
  <c r="H15" i="7" s="1"/>
  <c r="F29" i="7"/>
  <c r="H29" i="7" s="1"/>
  <c r="F37" i="7"/>
  <c r="H37" i="7" s="1"/>
  <c r="F33" i="7"/>
  <c r="H33" i="7" s="1"/>
  <c r="F31" i="7"/>
  <c r="H31" i="7" s="1"/>
  <c r="F44" i="7"/>
  <c r="H44" i="7" s="1"/>
  <c r="F47" i="7"/>
  <c r="H47" i="7" s="1"/>
  <c r="F52" i="7"/>
  <c r="H52" i="7" s="1"/>
  <c r="F7" i="7"/>
  <c r="H7" i="7" s="1"/>
  <c r="F18" i="7"/>
  <c r="H18" i="7" s="1"/>
  <c r="F14" i="7"/>
  <c r="H14" i="7" s="1"/>
  <c r="F22" i="7"/>
  <c r="H22" i="7" s="1"/>
  <c r="F30" i="7"/>
  <c r="H30" i="7" s="1"/>
  <c r="F38" i="7"/>
  <c r="H38" i="7" s="1"/>
  <c r="F40" i="7"/>
  <c r="H40" i="7" s="1"/>
  <c r="F42" i="7"/>
  <c r="H42" i="7" s="1"/>
  <c r="F48" i="7"/>
  <c r="H48" i="7" s="1"/>
  <c r="F49" i="7"/>
  <c r="H49" i="7" s="1"/>
  <c r="F54" i="7"/>
  <c r="H54" i="7" s="1"/>
  <c r="F25" i="7"/>
  <c r="H25" i="7" s="1"/>
  <c r="O124" i="8"/>
  <c r="J124" i="8"/>
  <c r="F5" i="7"/>
  <c r="H5" i="7" s="1"/>
  <c r="F21" i="7"/>
  <c r="H21" i="7" s="1"/>
  <c r="F26" i="7"/>
  <c r="H26" i="7" s="1"/>
  <c r="F27" i="7"/>
  <c r="H27" i="7" s="1"/>
  <c r="F36" i="7"/>
  <c r="H36" i="7" s="1"/>
  <c r="F41" i="7"/>
  <c r="H41" i="7" s="1"/>
  <c r="F51" i="7"/>
  <c r="H51" i="7" s="1"/>
  <c r="F2" i="7"/>
  <c r="H2" i="7" s="1"/>
  <c r="F12" i="7"/>
  <c r="H12" i="7" s="1"/>
  <c r="F20" i="7"/>
  <c r="H20" i="7" s="1"/>
  <c r="F23" i="7"/>
  <c r="H23" i="7" s="1"/>
  <c r="F28" i="7"/>
  <c r="H28" i="7" s="1"/>
  <c r="F34" i="7"/>
  <c r="H34" i="7" s="1"/>
  <c r="F39" i="7"/>
  <c r="H39" i="7" s="1"/>
  <c r="F46" i="7"/>
  <c r="H46" i="7" s="1"/>
  <c r="F53" i="7"/>
  <c r="H53" i="7" s="1"/>
  <c r="B59" i="7"/>
  <c r="F6" i="7"/>
  <c r="H6" i="7" s="1"/>
  <c r="F11" i="7"/>
  <c r="H11" i="7" s="1"/>
  <c r="F4" i="7"/>
  <c r="H4" i="7" s="1"/>
  <c r="C57" i="7"/>
  <c r="C59" i="7" s="1"/>
  <c r="H19" i="7"/>
  <c r="D57" i="7"/>
  <c r="D59" i="7" s="1"/>
  <c r="F57" i="7" l="1"/>
  <c r="H57" i="7"/>
  <c r="F106" i="4"/>
</calcChain>
</file>

<file path=xl/comments1.xml><?xml version="1.0" encoding="utf-8"?>
<comments xmlns="http://schemas.openxmlformats.org/spreadsheetml/2006/main">
  <authors>
    <author>JWhitler</author>
    <author>Peterson, Sarah E</author>
  </authors>
  <commentList>
    <comment ref="C1" authorId="0">
      <text>
        <r>
          <rPr>
            <b/>
            <sz val="9"/>
            <color indexed="81"/>
            <rFont val="Tahoma"/>
            <family val="2"/>
          </rPr>
          <t>JWhitler:</t>
        </r>
        <r>
          <rPr>
            <sz val="9"/>
            <color indexed="81"/>
            <rFont val="Tahoma"/>
            <family val="2"/>
          </rPr>
          <t xml:space="preserve">
Does not represent ranking number. FYs that do represent ranking by bureaus: BLM FY2013 (core only);  BLMFY2012;  FWS FY2012.</t>
        </r>
      </text>
    </comment>
    <comment ref="F1" authorId="0">
      <text>
        <r>
          <rPr>
            <b/>
            <sz val="9"/>
            <color indexed="81"/>
            <rFont val="Tahoma"/>
            <family val="2"/>
          </rPr>
          <t>JWhitler:</t>
        </r>
        <r>
          <rPr>
            <sz val="9"/>
            <color indexed="81"/>
            <rFont val="Tahoma"/>
            <family val="2"/>
          </rPr>
          <t xml:space="preserve">
 PDS for NPS FY2012 that referred to as "Focal Interagency" was listed as CLP.</t>
        </r>
      </text>
    </comment>
    <comment ref="H1" authorId="0">
      <text>
        <r>
          <rPr>
            <b/>
            <sz val="9"/>
            <color indexed="81"/>
            <rFont val="Tahoma"/>
            <family val="2"/>
          </rPr>
          <t>JWhitler:</t>
        </r>
        <r>
          <rPr>
            <sz val="9"/>
            <color indexed="81"/>
            <rFont val="Tahoma"/>
            <family val="2"/>
          </rPr>
          <t xml:space="preserve">
Congressional Districts may represent the districts that the federal unit falls under and not the specific location the proposed acquisition..</t>
        </r>
      </text>
    </comment>
    <comment ref="N1" authorId="0">
      <text>
        <r>
          <rPr>
            <b/>
            <sz val="9"/>
            <color indexed="81"/>
            <rFont val="Tahoma"/>
            <family val="2"/>
          </rPr>
          <t>JWhitler:</t>
        </r>
        <r>
          <rPr>
            <sz val="9"/>
            <color indexed="81"/>
            <rFont val="Tahoma"/>
            <family val="2"/>
          </rPr>
          <t xml:space="preserve">
Project sheets may not specifically identify the interest. Easements were noted when provided in the description.</t>
        </r>
      </text>
    </comment>
    <comment ref="K2" authorId="1">
      <text>
        <r>
          <rPr>
            <b/>
            <sz val="9"/>
            <color indexed="81"/>
            <rFont val="Tahoma"/>
            <family val="2"/>
          </rPr>
          <t>Peterson, Sarah E:</t>
        </r>
        <r>
          <rPr>
            <sz val="9"/>
            <color indexed="81"/>
            <rFont val="Tahoma"/>
            <family val="2"/>
          </rPr>
          <t xml:space="preserve">
Appropriation was $399,000. Reprogrammed to $99,000.</t>
        </r>
      </text>
    </comment>
    <comment ref="K3" authorId="1">
      <text>
        <r>
          <rPr>
            <sz val="9"/>
            <color indexed="81"/>
            <rFont val="Tahoma"/>
            <family val="2"/>
          </rPr>
          <t>Appropriation was $4,243,200. Reprogrammed to $4,143,000.</t>
        </r>
      </text>
    </comment>
    <comment ref="K22" authorId="1">
      <text>
        <r>
          <rPr>
            <b/>
            <sz val="9"/>
            <color indexed="81"/>
            <rFont val="Tahoma"/>
            <family val="2"/>
          </rPr>
          <t>Peterson, Sarah E:</t>
        </r>
        <r>
          <rPr>
            <sz val="9"/>
            <color indexed="81"/>
            <rFont val="Tahoma"/>
            <family val="2"/>
          </rPr>
          <t xml:space="preserve">
Appropriation was $3,994,000. Reprogrammed to $2,994,000.</t>
        </r>
      </text>
    </comment>
    <comment ref="K23" authorId="1">
      <text>
        <r>
          <rPr>
            <sz val="9"/>
            <color indexed="81"/>
            <rFont val="Tahoma"/>
            <family val="2"/>
          </rPr>
          <t>Received $1,000,000 through reprogramming.</t>
        </r>
      </text>
    </comment>
    <comment ref="K41" authorId="1">
      <text>
        <r>
          <rPr>
            <sz val="9"/>
            <color indexed="81"/>
            <rFont val="Tahoma"/>
            <family val="2"/>
          </rPr>
          <t xml:space="preserve">
Appropriation was $3,994,000. Reprogrammed to $2,398,000</t>
        </r>
      </text>
    </comment>
    <comment ref="K53" authorId="1">
      <text>
        <r>
          <rPr>
            <sz val="9"/>
            <color indexed="81"/>
            <rFont val="Tahoma"/>
            <family val="2"/>
          </rPr>
          <t>Appropriation was $2,746,000. Reprogrammed to $2,246,000.</t>
        </r>
      </text>
    </comment>
    <comment ref="K73" authorId="1">
      <text>
        <r>
          <rPr>
            <sz val="9"/>
            <color indexed="81"/>
            <rFont val="Tahoma"/>
            <family val="2"/>
          </rPr>
          <t>Received $1,500,000 through reprogramming.</t>
        </r>
      </text>
    </comment>
    <comment ref="J74" authorId="1">
      <text>
        <r>
          <rPr>
            <sz val="9"/>
            <color indexed="81"/>
            <rFont val="Tahoma"/>
            <family val="2"/>
          </rPr>
          <t xml:space="preserve">Budget requested $19,742,000 split between Blackfoot Valley CA and Rocky Mountain Front CA
</t>
        </r>
      </text>
    </comment>
    <comment ref="L74" authorId="1">
      <text>
        <r>
          <rPr>
            <sz val="9"/>
            <color indexed="81"/>
            <rFont val="Tahoma"/>
            <family val="2"/>
          </rPr>
          <t>Budget requested 30,685 acres split between Blackfoot Valley CA and Rocky Mountain Front CA</t>
        </r>
      </text>
    </comment>
    <comment ref="O74"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4" authorId="1">
      <text>
        <r>
          <rPr>
            <sz val="9"/>
            <color indexed="81"/>
            <rFont val="Tahoma"/>
            <family val="2"/>
          </rPr>
          <t xml:space="preserve">Budget request was $40,000 at full enacted level split between Blackfoot Valley CA and Rocky Mountain Front CA
</t>
        </r>
      </text>
    </comment>
    <comment ref="J75" authorId="1">
      <text>
        <r>
          <rPr>
            <sz val="9"/>
            <color indexed="81"/>
            <rFont val="Tahoma"/>
            <family val="2"/>
          </rPr>
          <t>Budget requested $19,742,000 split between Blackfoot Valley CA and Rocky Mountain Front CA</t>
        </r>
        <r>
          <rPr>
            <sz val="9"/>
            <color indexed="81"/>
            <rFont val="Tahoma"/>
            <family val="2"/>
          </rPr>
          <t xml:space="preserve">
</t>
        </r>
      </text>
    </comment>
    <comment ref="L75" authorId="1">
      <text>
        <r>
          <rPr>
            <sz val="9"/>
            <color indexed="81"/>
            <rFont val="Tahoma"/>
            <family val="2"/>
          </rPr>
          <t>Budget requested 30,685 acres split between Blackfoot Valley CA and Rocky Mountain Front CA</t>
        </r>
      </text>
    </comment>
    <comment ref="O75"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5" authorId="1">
      <text>
        <r>
          <rPr>
            <sz val="9"/>
            <color indexed="81"/>
            <rFont val="Tahoma"/>
            <family val="2"/>
          </rPr>
          <t xml:space="preserve">Budget request was $40,000 at full enacted level split between Blackfoot Valley CA and Rocky Mountain Front CA
</t>
        </r>
      </text>
    </comment>
    <comment ref="O76"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6" authorId="1">
      <text>
        <r>
          <rPr>
            <b/>
            <sz val="9"/>
            <color indexed="81"/>
            <rFont val="Tahoma"/>
            <family val="2"/>
          </rPr>
          <t>Peterson, Sarah E:</t>
        </r>
        <r>
          <rPr>
            <sz val="9"/>
            <color indexed="81"/>
            <rFont val="Tahoma"/>
            <family val="2"/>
          </rPr>
          <t xml:space="preserve">
Budget estimates $40,000/year for easement monitoring ocross units in the Crown of the Continent </t>
        </r>
      </text>
    </comment>
    <comment ref="O77"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7" authorId="1">
      <text>
        <r>
          <rPr>
            <b/>
            <sz val="9"/>
            <color indexed="81"/>
            <rFont val="Tahoma"/>
            <family val="2"/>
          </rPr>
          <t>Peterson, Sarah E:</t>
        </r>
        <r>
          <rPr>
            <sz val="9"/>
            <color indexed="81"/>
            <rFont val="Tahoma"/>
            <family val="2"/>
          </rPr>
          <t xml:space="preserve">
Budget estimates $40,000/year for easement monitoring ocross units in the Crown of the Continent </t>
        </r>
      </text>
    </comment>
    <comment ref="K102" authorId="1">
      <text>
        <r>
          <rPr>
            <sz val="9"/>
            <color indexed="81"/>
            <rFont val="Tahoma"/>
            <family val="2"/>
          </rPr>
          <t>Appropriation was $749,000. Reprogrammed to $249,000.</t>
        </r>
      </text>
    </comment>
    <comment ref="K109" authorId="1">
      <text>
        <r>
          <rPr>
            <sz val="9"/>
            <color indexed="81"/>
            <rFont val="Tahoma"/>
            <family val="2"/>
          </rPr>
          <t>Appropriated $1,198,000. 
Reprogrammed to $0.</t>
        </r>
      </text>
    </comment>
    <comment ref="K110" authorId="1">
      <text>
        <r>
          <rPr>
            <sz val="9"/>
            <color indexed="81"/>
            <rFont val="Tahoma"/>
            <family val="2"/>
          </rPr>
          <t>Appropriation was $2,561,000. Reprogrammed to $1,996,000</t>
        </r>
      </text>
    </comment>
  </commentList>
</comments>
</file>

<file path=xl/sharedStrings.xml><?xml version="1.0" encoding="utf-8"?>
<sst xmlns="http://schemas.openxmlformats.org/spreadsheetml/2006/main" count="9440" uniqueCount="4467">
  <si>
    <t>HI</t>
  </si>
  <si>
    <t>Pūpūkea Mauka Watershed and Habitat Protection Project, O'ahu Hawai'i</t>
  </si>
  <si>
    <t>OR</t>
  </si>
  <si>
    <t>Beaver Creek Forest Acquisition Project</t>
  </si>
  <si>
    <t>ID</t>
  </si>
  <si>
    <t>Spalding's Catchfly Conservation*</t>
  </si>
  <si>
    <t>TX</t>
  </si>
  <si>
    <t>Land Acquisition of Fries Ranch, Bandera County, Texas*</t>
  </si>
  <si>
    <t>WI</t>
  </si>
  <si>
    <t xml:space="preserve"> Dwarf Lake Iris Recovery Land Acquisition Project</t>
  </si>
  <si>
    <t>MI</t>
  </si>
  <si>
    <t>Mitchell’s Satyr Butterfly and Eastern Massasauga Rattlesnake Recovery Land Acquisition Project</t>
  </si>
  <si>
    <t>IA</t>
  </si>
  <si>
    <t>Indiana Bat Recovery Land Acquisition Project</t>
  </si>
  <si>
    <t>TN</t>
  </si>
  <si>
    <t>Scott’s Gulf: Protecting key habitat for endangered mammals, fish, mussels, and plants</t>
  </si>
  <si>
    <t>FL</t>
  </si>
  <si>
    <t xml:space="preserve">Conservation Easement for Florida Panther Dispersal Zone Project, Hendry County, FL </t>
  </si>
  <si>
    <t>GA</t>
  </si>
  <si>
    <t>Acquisition of the Ironstob Tract, within Raccoon Creek, a tributary to the Etowah River *</t>
  </si>
  <si>
    <t>VA</t>
  </si>
  <si>
    <t>Purchase of Lee County Cave Isopod Habitat, Mason Cave-Thompson Cave System and the Cedar Lirceus Autogenic Zone</t>
  </si>
  <si>
    <t>MD</t>
  </si>
  <si>
    <t>Acquisition of a Bog Turtle Site of Global Significance in Maryland*</t>
  </si>
  <si>
    <t>CO</t>
  </si>
  <si>
    <t>Pagosa Skyrocket Acquisition- Pagosa Springs*</t>
  </si>
  <si>
    <t>CA</t>
  </si>
  <si>
    <t>Metcalf Meadow</t>
  </si>
  <si>
    <t>Cameron Meadows Phase II</t>
  </si>
  <si>
    <t>San Diego Bay*</t>
  </si>
  <si>
    <t>WA</t>
  </si>
  <si>
    <t>Heart of the Cascades 2014</t>
  </si>
  <si>
    <t>Mountain View 4-O Ranch 2014</t>
  </si>
  <si>
    <t>Karner Blue Butterfly HCP Land Acquisition Project</t>
  </si>
  <si>
    <t>NC</t>
  </si>
  <si>
    <t>Red-Cockaded Woodpecker Longleaf Pine Ecosystem Protection and Corridors</t>
  </si>
  <si>
    <t>MT</t>
  </si>
  <si>
    <t>Haskill Basin Watershed Project</t>
  </si>
  <si>
    <t>Santa Clara Valley NCCP/HCP</t>
  </si>
  <si>
    <t xml:space="preserve">Shell Oil Company/Metropolitan Water District HCP </t>
  </si>
  <si>
    <t>Western Riverside County Multiple Species HCP*</t>
  </si>
  <si>
    <t>City of Carlsbad Habitat Management Plan</t>
  </si>
  <si>
    <r>
      <t>East Contra Costa County HCP/NCCP</t>
    </r>
    <r>
      <rPr>
        <sz val="12"/>
        <color rgb="FF000000"/>
        <rFont val="Cambria"/>
        <family val="1"/>
      </rPr>
      <t xml:space="preserve"> </t>
    </r>
  </si>
  <si>
    <t>Coachella Valley Multiple Species Habitat Conservation Plan *</t>
  </si>
  <si>
    <t>Region</t>
  </si>
  <si>
    <t>Name</t>
  </si>
  <si>
    <t>Type</t>
  </si>
  <si>
    <t>Fiscal year</t>
  </si>
  <si>
    <t>Funding</t>
  </si>
  <si>
    <t>States</t>
  </si>
  <si>
    <t>HCP Land Acquisition</t>
  </si>
  <si>
    <t>AL</t>
  </si>
  <si>
    <t>City of Carlsbad Habitat Management Plan (HMP), Northwest San Diego County Multiple Habitat Conservation Plan (MHCP), San Diego County, CA</t>
  </si>
  <si>
    <t>Coachella Valley MSHCP</t>
  </si>
  <si>
    <t>East Contra Costa County Habitat Conservation Plan</t>
  </si>
  <si>
    <t>East Contra Costa HCP/NCCP</t>
  </si>
  <si>
    <t>San Diego County MSHCP</t>
  </si>
  <si>
    <t>San Diego County Water Authority Subregional NCCP/HCP</t>
  </si>
  <si>
    <t>Western Riverside County MSHCP</t>
  </si>
  <si>
    <t>Western Riverside County Multiple Species Habitat Conservation Plan</t>
  </si>
  <si>
    <t>Perdido Key Beach Mouse Conservation</t>
  </si>
  <si>
    <t>Summer Haven &amp; Porpoise Point Parcels</t>
  </si>
  <si>
    <t>Stimson Forestlands Conservation Project</t>
  </si>
  <si>
    <t>Conservation of Threatened, Endangered, and Sensitive Fish</t>
  </si>
  <si>
    <t>NM</t>
  </si>
  <si>
    <t>OH</t>
  </si>
  <si>
    <t>OK</t>
  </si>
  <si>
    <t>Bald Hill Farm &amp; Mary's River</t>
  </si>
  <si>
    <t>Cobb Cavern Land Acquisition</t>
  </si>
  <si>
    <t>La Cantera (Canyon Ranch) HCPLA</t>
  </si>
  <si>
    <t>Utah Prairie Dog Land Acquisition - Johnson Bench</t>
  </si>
  <si>
    <t>UT</t>
  </si>
  <si>
    <t>Washington County HCP Desert Tortoise Acquisition</t>
  </si>
  <si>
    <t>Spotfin chub surveys</t>
  </si>
  <si>
    <t>I-90 Wildlife Corridor Phase V</t>
  </si>
  <si>
    <t>Methow Watershed, Phase 8</t>
  </si>
  <si>
    <t>Mountain View - 4-O Ranch</t>
  </si>
  <si>
    <t>Mountain View 4-O Ranch 2013</t>
  </si>
  <si>
    <t>Karner Blue Butterfly and Kirtland's Warbler HCP Land Acquisition - Central Sands</t>
  </si>
  <si>
    <t>Karner Blue Butterfly Land Acquisition</t>
  </si>
  <si>
    <t>Acquisition of the Hancock South Tract along the Little Cahaba River</t>
  </si>
  <si>
    <t>Recovery Land Acquisition</t>
  </si>
  <si>
    <t>AR</t>
  </si>
  <si>
    <t>Building a Conservation Corridor for Recovery of Federally Listed Species</t>
  </si>
  <si>
    <t>Longview Saline: Critical Land Acquisition for Recovery of Winged Mapleleaf, Pink Mucket, and Red-cockaded woodpecker</t>
  </si>
  <si>
    <t>AZ</t>
  </si>
  <si>
    <t>Triangle Bar Phase II</t>
  </si>
  <si>
    <t>Arrastre Canyon, Los Angeles</t>
  </si>
  <si>
    <t>Kelsey Ranch Conservation Easement Acquisition</t>
  </si>
  <si>
    <t>Ocean Meadows/ Devereux Slough</t>
  </si>
  <si>
    <t>Peninsular Bighorn Sheep</t>
  </si>
  <si>
    <t>San Diego Mountain Ranch</t>
  </si>
  <si>
    <t>Santa Cruz Long-toed Salamander RLA</t>
  </si>
  <si>
    <t>Shay Meadows Conservation Area Expansion</t>
  </si>
  <si>
    <t>Upper Sevenmile Creek Flow Restoration Easement</t>
  </si>
  <si>
    <t>Zayante Sandhills, Santa Cruz County</t>
  </si>
  <si>
    <t>Segelke-Carey Ranch Acquisition</t>
  </si>
  <si>
    <t>Tuttle Ranch Conservation Easement</t>
  </si>
  <si>
    <t>Chapman's Rhododendron RLA Grant Project in Gulf County, FL</t>
  </si>
  <si>
    <t>Lake Wales Ridge:  Acquisition of the Chillemi Parcel</t>
  </si>
  <si>
    <t>Listed Species Recovery on the Lake Wales Ridge Conservation Easement</t>
  </si>
  <si>
    <t>Acquisition of the Howell Tract within the Raccoon Creek basin to benefit Cherokee and Etowah darters</t>
  </si>
  <si>
    <t>Acquisition of the Ironstob-Braswell Mountain Tract within the Raccoon Creek Basin, a Tributary to the Etowah River in Paulding County</t>
  </si>
  <si>
    <t>East Maui Watershed Conservation Easement</t>
  </si>
  <si>
    <t>Kahuku Coastline Protection and Management: Helping Habitat for Hawaiian Hawksbill Turtles</t>
  </si>
  <si>
    <t>Kalauao Acquisition and Endangered Species Recovery</t>
  </si>
  <si>
    <t>Kukaiau Acquisition and Palila Habitat Restoration</t>
  </si>
  <si>
    <t>KY</t>
  </si>
  <si>
    <t>LA</t>
  </si>
  <si>
    <t>Chesapeake Bay Puritan Tiger Beetle Habitat Conservation</t>
  </si>
  <si>
    <t>ME</t>
  </si>
  <si>
    <t>MN</t>
  </si>
  <si>
    <t>MO</t>
  </si>
  <si>
    <t>Recovery and Protection for Karst Dependent Federally-Listed Species in Missouri</t>
  </si>
  <si>
    <t>Conservation of Habitat for the Spotfin Chub, Littlewing Pearlymussel, and Appalachian Elktoe</t>
  </si>
  <si>
    <t>Rough-leaved loosestrife Land acquisition near Boiling Springs Lakes Plant Conservation Preserve</t>
  </si>
  <si>
    <t>ND</t>
  </si>
  <si>
    <t>NE</t>
  </si>
  <si>
    <t>Land Acquisition for the Salt Creek Tiger Beetle in Lancaster County, NE</t>
  </si>
  <si>
    <t>Paradise Valley: Salt Creek Tiger Beetle RLA</t>
  </si>
  <si>
    <t>Recovery Land Acquisition for the Salt Creek Tiger Beetle</t>
  </si>
  <si>
    <t>Rowe Sanctuary Recovery Land Acquisition in Buffalo County</t>
  </si>
  <si>
    <t>NJ</t>
  </si>
  <si>
    <t>Sussex County Bog Turtle Recovery #1</t>
  </si>
  <si>
    <t>Sussex County Bog Turtle Recovery #2</t>
  </si>
  <si>
    <t>NV</t>
  </si>
  <si>
    <t>Willamette Valley</t>
  </si>
  <si>
    <t>Yamhill Oaks- Pugh Property</t>
  </si>
  <si>
    <t>Acquisition of a Bog Turtle Site of Global Significance</t>
  </si>
  <si>
    <t>PA</t>
  </si>
  <si>
    <t>PR</t>
  </si>
  <si>
    <t>SC</t>
  </si>
  <si>
    <t>Barker Tract RLA</t>
  </si>
  <si>
    <t>LPC Yoakum Dunes</t>
  </si>
  <si>
    <t>Solana Ranch Preserve RLA</t>
  </si>
  <si>
    <t>June Sucker Spawning and Stream Restoration in East Hobble Creek</t>
  </si>
  <si>
    <t>VT</t>
  </si>
  <si>
    <t>Camas Meadows Natural Area Preserve (NAP) In-Holdings</t>
  </si>
  <si>
    <t>Northern Blue Mountains Bull Trout Recovery</t>
  </si>
  <si>
    <t>Hine's Emerald Dragonfly RLA - Ridges Sanctuary</t>
  </si>
  <si>
    <t>Kirtland's Warbler Recovery Land Acquisition</t>
  </si>
  <si>
    <t>Prairie Bush Clover Recovery Land Acquisition, Borah Creek Prairie</t>
  </si>
  <si>
    <t>Prairie Bush Clover Recovery Land Acquisition, Smith Drumlin Prairie</t>
  </si>
  <si>
    <t>Acquisition of land in Cheat River Gorge</t>
  </si>
  <si>
    <t>WV</t>
  </si>
  <si>
    <t>State</t>
  </si>
  <si>
    <t>County</t>
  </si>
  <si>
    <t>ARKANSAS</t>
  </si>
  <si>
    <t>Washington</t>
  </si>
  <si>
    <t>Catoosa</t>
  </si>
  <si>
    <t>Cobb</t>
  </si>
  <si>
    <t>Whitfield</t>
  </si>
  <si>
    <t>Linn</t>
  </si>
  <si>
    <t>Boyle</t>
  </si>
  <si>
    <t>DeSoto</t>
  </si>
  <si>
    <t>Frederick</t>
  </si>
  <si>
    <t>MINNESOTA</t>
  </si>
  <si>
    <t>Yellow Medicine</t>
  </si>
  <si>
    <t>Jasper</t>
  </si>
  <si>
    <t>Newton</t>
  </si>
  <si>
    <t>Christian</t>
  </si>
  <si>
    <t>Lee</t>
  </si>
  <si>
    <t>Warren</t>
  </si>
  <si>
    <t>Claiborne</t>
  </si>
  <si>
    <t>Santa Fe</t>
  </si>
  <si>
    <t>Cumberland</t>
  </si>
  <si>
    <t>Johnston</t>
  </si>
  <si>
    <t>Lenoir</t>
  </si>
  <si>
    <t>Mayes</t>
  </si>
  <si>
    <t>Hamilton</t>
  </si>
  <si>
    <t>Williamson</t>
  </si>
  <si>
    <t>McNairy</t>
  </si>
  <si>
    <t>Henderson</t>
  </si>
  <si>
    <t>Loudoun</t>
  </si>
  <si>
    <t>Appomattox</t>
  </si>
  <si>
    <t>City of Leesburg</t>
  </si>
  <si>
    <t>Culpeper</t>
  </si>
  <si>
    <t>Henrico</t>
  </si>
  <si>
    <t>Spotsylvania</t>
  </si>
  <si>
    <t>Hanover</t>
  </si>
  <si>
    <t>Clark</t>
  </si>
  <si>
    <t>Rockingham</t>
  </si>
  <si>
    <t>Shenandoah</t>
  </si>
  <si>
    <t>Dinwiddie</t>
  </si>
  <si>
    <t>Prince Edward</t>
  </si>
  <si>
    <t>Prince William</t>
  </si>
  <si>
    <t>Orange</t>
  </si>
  <si>
    <t>Caroline</t>
  </si>
  <si>
    <t>City of Petersburg</t>
  </si>
  <si>
    <t>Chesterfield</t>
  </si>
  <si>
    <t>Jefferson</t>
  </si>
  <si>
    <t>ALABAMA</t>
  </si>
  <si>
    <t>ALASKA</t>
  </si>
  <si>
    <t>ARIZONA</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</si>
  <si>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</si>
  <si>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</si>
  <si>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</si>
  <si>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</si>
  <si>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</si>
  <si>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</si>
  <si>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</si>
  <si>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</si>
  <si>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</si>
  <si>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</si>
  <si>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</si>
  <si>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</si>
  <si>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</si>
  <si>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</si>
  <si>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</si>
  <si>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</si>
  <si>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</si>
  <si>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</si>
  <si>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</si>
  <si>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</si>
  <si>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</si>
  <si>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</si>
  <si>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</si>
  <si>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</si>
  <si>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</si>
  <si>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</si>
  <si>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</si>
  <si>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</si>
  <si>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</si>
  <si>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</si>
  <si>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</si>
  <si>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</si>
  <si>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</si>
  <si>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</si>
  <si>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</si>
  <si>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</si>
  <si>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</si>
  <si>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</si>
  <si>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</si>
  <si>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</si>
  <si>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</si>
  <si>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</si>
  <si>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</si>
  <si>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</si>
  <si>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</si>
  <si>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</si>
  <si>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</si>
  <si>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</si>
  <si>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</si>
  <si>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Grand Total:</t>
  </si>
  <si>
    <t>Adams</t>
  </si>
  <si>
    <t>FY</t>
  </si>
  <si>
    <t>ID No</t>
  </si>
  <si>
    <t>Agency</t>
  </si>
  <si>
    <t>Unit</t>
  </si>
  <si>
    <t>CORE/CLP</t>
  </si>
  <si>
    <t>Congress Dist</t>
  </si>
  <si>
    <t>FY Budget Req</t>
  </si>
  <si>
    <t>Enacted</t>
  </si>
  <si>
    <t>Req Acres</t>
  </si>
  <si>
    <t>Enacted Acres</t>
  </si>
  <si>
    <t>Interest</t>
  </si>
  <si>
    <t>Remaining Acres</t>
  </si>
  <si>
    <t>Inholding (Y/N)</t>
  </si>
  <si>
    <t>Description</t>
  </si>
  <si>
    <t>O&amp;M Startup</t>
  </si>
  <si>
    <t>O&amp;M Annual</t>
  </si>
  <si>
    <t>Notes</t>
  </si>
  <si>
    <t>NPS</t>
  </si>
  <si>
    <t>CLP</t>
  </si>
  <si>
    <t>Riverside and San Bernardino Counties</t>
  </si>
  <si>
    <t>Fee</t>
  </si>
  <si>
    <t>Y</t>
  </si>
  <si>
    <t>Mojave National Preserve</t>
  </si>
  <si>
    <t>San Bernardino County</t>
  </si>
  <si>
    <t>Core</t>
  </si>
  <si>
    <t>CA-2</t>
  </si>
  <si>
    <t>VA-1, VA-7</t>
  </si>
  <si>
    <t>TBD</t>
  </si>
  <si>
    <t>N/A</t>
  </si>
  <si>
    <t>Multiple</t>
  </si>
  <si>
    <t>Easement</t>
  </si>
  <si>
    <t>NH</t>
  </si>
  <si>
    <t>MA</t>
  </si>
  <si>
    <t>Grant</t>
  </si>
  <si>
    <t>Glacier NP</t>
  </si>
  <si>
    <t>MT-AL</t>
  </si>
  <si>
    <t>Flathead County</t>
  </si>
  <si>
    <t>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northern Rocky Mountains that encompasses national parks, national wilderness areas, national forests,
national wildlife refuges, and non-federal conservation lands that are either privately owned, or owned by
tribe, states and local governments. The full suite of native forest carnivores are found within the Crown,
including wolf, wolverine, pine marten, bobcat, black bears, and grizzlies. Included within the Crown of the
Continent is Glacier National Park that was established in 1910 and today contains over 1,000,000 acres
within its boundary in northern Montana. In establishing the Department of the Interior America’s Great
Outdoors Program, Secretary’s Order No. 3323 of September 12, 2012, designated Crown of the Continent
as a Landscape of National Significance.
Threat: Development in the Crown of the Continent will fragment threatened and endangered species
habitat. A male grizzly can occupy a home range of 300 square acres which can only be accommodated in
the vast spaces of this landscape.
Need: The funds are needed to acquire, from willing sellers, six parcels totaling 2.09 acres located in the
Big Prairie area of Glacier National Park along the North Fork of the Flathead River. These tracts have
very high resource value as riparian and floodplain landscapes, migration corridors and habitat. Four of
the tracts are completely surrounded by NPS-owned lands and some of the tracts are surrounded by the
park’s recommended wilderness area and are candidates for eventual addition to the wilderness system.
Development of the land would jeopardize wilderness resource values as well as the backcountry
character of the surrounding land.</t>
  </si>
  <si>
    <t>Sleeping Bear Dunes National Lakeshore</t>
  </si>
  <si>
    <t>MI-1</t>
  </si>
  <si>
    <t>Benzie and Leelanau Counties</t>
  </si>
  <si>
    <t>Description: The Act of October 21, 1970, authorized establishment of Sleeping Bear Dunes National
Lakeshore to protect and preserve outstanding natural resources along the mainland shore of Lake
Michigan and on certain nearby islands in Benzie and Leelanau Counties, Michigan.
Natural/Cultural Resources Associated with Proposal: The national lakeshore is a diverse landscape with
massive sand dunes, quiet rivers, sand beaches, beech-maple forests, clear lakes, and rugged bluffs
towering as high as 460 feet above Lake Michigan. Two offshore wilderness islands offer tranquility and
seclusion.
Threat: Congress recognized the importance of the natural features of the Sleeping Bear Dunes area of
Michigan in establishing the National Lakeshore in 1970. Acquisition is necessary to minimize or eliminate
the impact of constant threats, disturbances, past land use practices, increasing use and special
interests, and pressures of outside growth and development.
Need: The funds would be used to acquire, from willing sellers, fee interest in five tracts totaling 36.75
acres needed to prevent development that would adversely impact the national lakeshore. Three of the
tracts are improved with small homes, two of which are on the waterfront. It has been a recent practice of
landowners in the area to raze such homes and replace them with larger trophy homes complete with
swimming beach, patio, and boathouse. The remaining two tracts are undeveloped wooded land.
Acquisition is necessary to prevent development that would impair landscape continuity and to provide
visitor use and enjoyment of the waterfront.</t>
  </si>
  <si>
    <t>San Antonio Missions NHP</t>
  </si>
  <si>
    <t>TX-23, TX-35</t>
  </si>
  <si>
    <t>Bexar County</t>
  </si>
  <si>
    <t>Description: The Park was authorized November 10, 1978, to restore, preserve, and interpret the Spanish
Missions. The Act of November 28, 1990, added approximately 335 acres of land to the park.
Natural/Cultural Resources Associated with Proposal: Four Spanish frontier missions, part of a colonization
system that stretched across the Spanish Southwest in the 17th, 18th, and 19th centuries, are preserved here.
The San Antonio missions are historically and architecturally significant remnants of the Spanish quest for
lands and converts in the New World.
Threat: The missions exist amidst a backdrop of urban development. Acquisition is necessary to prevent
development that would threaten park resources.
Need: The funds are needed to acquire eight tracts totaling 40 acres of land that comprise the last
remaining piece of the Mission San Juan labores or farmlands that has not fallen prey to modern
development. The tracts contain amazing remnants of the San Juan Acequia. As the critical piece in the
overall plan to develop the Mission San Juan Spanish Colonial Demonstration Farm, the importance of
this property cannot be overstated. Acquisition would afford the opportunity to stem the tide of
neighboring development and protect the historic view shed forever. Additionally, acquisition would allow
the Service to control traffic on Villamain Road by making this a park road which is closed at night. This
area is currently subject to high speed car racing and vandalism at night.</t>
  </si>
  <si>
    <t>Congaree National Park</t>
  </si>
  <si>
    <t>SC-6</t>
  </si>
  <si>
    <t>Richland County</t>
  </si>
  <si>
    <t xml:space="preserve">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 The acquisition of six tracts totaling 355 acres at
Congaree National Park would protect significant river frontage and provide needed river access. </t>
  </si>
  <si>
    <t>Timucuan Ecological and Historic Preserve</t>
  </si>
  <si>
    <t>FL-4</t>
  </si>
  <si>
    <t>Duval County</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</si>
  <si>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Preserve.The
262-acre tract to be acquired at Timucuan Preserve would protect bottomland forest that is threatened by
degraded water quality an increased development pressure.</t>
  </si>
  <si>
    <t>Civil War Sesquicentennial Units</t>
  </si>
  <si>
    <t>various</t>
  </si>
  <si>
    <t>Fee/Easement</t>
  </si>
  <si>
    <t>Description: Funds provided in FY 2014 would be used for the federal acquisition, from willing sellers, of lands or interests in lands needed to preserve and protect Civil War battlefield sites located within the National Park System.
Need: For FY 2014, funding needs have been identified for many privately owned tracts at Civil War
battlefield sites within the National Park System. Some of these tracts have been acquired by NPS
partners who continue to hold the land in anticipation of federal acquisition. This funding request would
provide the flexibility necessary to acquire land at these battlefield sites as the need arises. Priority
funding needs for FY 2014 have been identified in Antietam National Battlefield, Cedar Creek and Belle
Grove National Historical Park, Chickamauga and Chattanooga National Military Park, Fort Scott National
Historic Site, Fort Donelson National Battlefield, Gettysburg National Military Park, Harpers Ferry National
Historical Park, Kennesaw Mountain National Battlefield Park, Manassas National Battlefield Park,
Monocacy National Battlefield, Pecos National Historical Park, Richmond National Battlefield Park,
Stones River National Battlefield, Vicksburg National Military Park, and Wilson’s Creek National
Battlefield.</t>
  </si>
  <si>
    <t>Virgin Islands National Park</t>
  </si>
  <si>
    <t>VI</t>
  </si>
  <si>
    <t>n/a</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</si>
  <si>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would be used to acquire a 3.35-acre tract formerly known as the Ortiz property, which
is presently leased by NPS from The Trust for Public Land, a nonprofit conservation organization. The
intention is to use a portion of this tract to provide off-road, safe parking for approximately 25 cars.
Presently, cars are parked along the road, damaging vegetation and creating safety issues with
pedestrians and a constricted roadway. The long-term benefit to visitors to this beach and to the park
would be immeasurable.</t>
  </si>
  <si>
    <t>Mojave NP, Joshua Tree NP</t>
  </si>
  <si>
    <t>CA-8, CA-36</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</si>
  <si>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The California Desert Southwest Focal Area is
comprised of Riverside, San Bernardino, San Diego and Imperial Counties located in Southern California.
The area features extensive wildlife corridors, miles of national trails, and 72 federally protected species.
Southern California contains two distinct deserts: the Sonoran Desert and the Mojave Desert. The Mojave
Desert occupies more than 25,000 square miles and receives less than six inches of rain per year. Plant
and animal life varies by elevation. Desert tortoises burrow in creosote bush flats, while the black and
yellow Scott’s oriole nests in Joshua trees higher up the slopes. Mule deer and bighorn sheep roam
among pinyon pine and juniper in the park’s many mountain ranges. Perennial vegetation is composed
mostly of low shrubs. To preserve and protect the desert wildlands of Southern California, the California
Desert Protection Act of 1994 established Mojave National Preserve as a unit of the National Park System
and revised the boundaries and designations of Death Valley National Park and Joshua Tree National Park
Threat: In the Mojave Desert, the wilderness portions of NPS units are threatened by growing residential
and commercial development and by increased use of recreational vehicles that damage the fragile
desert resources.
Need: The requested funds totaling $7,595,000 are needed to acquire 3,381.13 acres in Joshua Tree
National Park and 6,176.46 acres in Mojave National Preserve. Much of this land is located within or
adjacent to wilderness areas and has been acquired by The Mojave Desert Land Trust (MDLT) for
eventual conveyance to the United States, subject to the availability of federal acquisition funds. MDLT is
a small land trust and the costs to hold and maintain these lands are a significant drain on the MDLT
budget. Failure to acquire these tracts from MDLT would threaten this partnership effort which has
successfully protected many tracts of land at Mojave National Preserve and Joshua Tree National Park.</t>
  </si>
  <si>
    <t>Civil War Sesquicentennial</t>
  </si>
  <si>
    <t>NA</t>
  </si>
  <si>
    <t>Description: Funds provided in FY 2013 will be used for the Federal acquisition of lands or interests in
lands needed to preserve and protect Civil War battlefield sites located within the National Park System.
Need: There are many tracts available for acquisition that are privately owned, or are held by non-profit
partners, in the NPS’ Civil War battlefield parks. NPS partners have acquired and continue to hold, in
anticipation of Federal acquisition, lands within many core areas of Civil War battlefields located within
the National Park System. This funding request would provide the flexibility necessary to acquire land
within the battlefield as the need arises, with special emphasis on those units which are currently
commemorating the sesquicentennial anniversary of the particular battle. Priority needs exist at Fort
Donelson National Battlefield, Fredericksburg and Spotsylvania County Battlefields Memorial National
Military Park, Kennesaw Mountain National Battlefield Park, Pecos National Historical Park, Richmond
National Battlefield Park, and Shiloh National Military Park. These funds would be allocated to projects as
they are ready to be acquired, including due diligence requirements, land acquisition, and closing and
relocation activities.</t>
  </si>
  <si>
    <t>National Rivers And Trails Initiative</t>
  </si>
  <si>
    <t>"Pre-Acq
and 37"</t>
  </si>
  <si>
    <t xml:space="preserve">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t>
  </si>
  <si>
    <t>Funds paid for pre-acquisition work on some parcels, plus purchase of 37 acres.</t>
  </si>
  <si>
    <t xml:space="preserve">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t>
  </si>
  <si>
    <t>Petrified Forest National Park</t>
  </si>
  <si>
    <t>AZ-1</t>
  </si>
  <si>
    <t>Apache and Navajo Counties</t>
  </si>
  <si>
    <t xml:space="preserve">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
</t>
  </si>
  <si>
    <t>An estimated $315,000 would be needed to manage and maintain this land
and provide, via an agreement with the State, management of State lands currently checker boarded with
NPS land.</t>
  </si>
  <si>
    <t>Santa Monica Mountains National Recreation Area</t>
  </si>
  <si>
    <t>CA-23-24, CA-27-31</t>
  </si>
  <si>
    <t>Los Angeles and Ventura Counties</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</si>
  <si>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t>
  </si>
  <si>
    <t>Current,
on-going legal costs dealing with private landowners and development possibilities should be reduced over
the following couple of years, unless other legal issues arise.</t>
  </si>
  <si>
    <t>Glacier National Park</t>
  </si>
  <si>
    <t>Flathead and Glacier Counties</t>
  </si>
  <si>
    <t>Description: The Act of May 11, 1910, established Glacier National Park and today contains approximately
1,000,000 acres. A total of 415 acres remain privately owned at the park. Four collaborating agencies
(NPS, FWS, BLM, and FS) are working to take advantage of opportunities to build resiliency in ecological
systems and communities. Building ecological resiliency includes maintaining intact, interconnected
landscapes, and restoring fragmented or degraded (but restorable) habitats. They have been working
with NGO partners (including The Nature Conservancy, The Conservation Fund, Trust for Public Land,
local land trusts), local community groups such as the Blackfoot Challenge &amp; Rocky Mountain Front
Landowner Advisory Group and state &amp; county government officials, to tailor the federal acquisition
program in a way to achieve synergy between private rights, open space, traditional land uses and
conservation. This shared vision includes maintaining working ranches and forests by acquiring
conservation easements as well as acquiring lands in fee that will provide public access and enjoyment.
Natural/Cultural Resources Associated with Proposal: Executing the planned acquisitions in all four
agencies can contribute to species conservation, such as, grizzly bears, wolverine, lynx, goshawk, willow
flycatcher, sage grouse, sharp-tailed grouse, burrowing owl, Lewis' woodpecker, trumpeter swan, yellowbilled
cuckoo, cutthroat trout, arctic grayling, and Columbia spotted frog. The federal projects complement
the conservation goals of Montana Comprehensive Fish and Wildlife Conservation Strategy (State
Wildlife Action Plan) as well as other conservation plans including the Montana Partners in Flight,
threatened and endangered species recovery plans (bull trout, grizzly bears, lynx, gray wolf), Forest
Management Plans and agency general management and Departmental level strategic plans (i.e., Great
Northern Landscape Conservation Cooperative, etc).
Funds are requested for eight tracts. They include the Harrison Creek Tract, a prime example of upland,
riparian and floodplain wildlife habitat; Cracker Lake tracts, in a glacial basin that is the third largest private
holding in the park and the only mining patents in the park; Big Prairie tracts, along the North Fork of the
Flathead in the major migration corridor for grizzly bear, wolf and ungulates; and the Cummings Meadow
tract, which is home to many T&amp;E species and an intact riparian ecosystem, as well as the site of one of the
areas homesteads from the early 1900s.
Threat: If these tracts remain in private ownership, cabins and year-round housing may be developed,
floodplain manipulation or stream bank stabilization measures may be employed to decrease the impact
of natural flooding, migration corridors will be cut and displaced and ecosystems will be degraded. These
activities would jeopardize the natural resources, wilderness, and recreational values of the area.
Resource extraction, including logging or mining, is also likely on some of the properties. Large waterfront
parcels of private property are highly desirable and lack or difficulty of access has proven not to be a
deterrent to purchase and development. Parcels in areas within easy reach of existing infrastructure are
prime for development allowing further displacement of species, and riparian areas are desirable for
human use and development.
National Park Service FY 2013 Budget Justifications
LASA-16
Need: The funds are needed to acquire eight parcels, totaling 318 acres located in the park along the
North Fork and Middle Fork of the Flathead River about one mile upstream from the confluence with
Harrison Creek and in the Cummings Meadow area. These tracts have very high resource value as
upland, riparian, and floodplain landscapes and habitat. Some of the tracts are surrounded by the park’s
recommended wilderness area and are candidates for eventual addition to the wilderness system.
Development of the land would jeopardize wilderness resource values as well as the backcountry
character of the surrounding land.</t>
  </si>
  <si>
    <t xml:space="preserve">Mount Rainier National Park  </t>
  </si>
  <si>
    <t>WA-3, WA-8</t>
  </si>
  <si>
    <t>Lewis and Pierce Counties</t>
  </si>
  <si>
    <t>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
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"NPS Rustic"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
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
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t>
  </si>
  <si>
    <t>Grand Teton National Park</t>
  </si>
  <si>
    <t>WY</t>
  </si>
  <si>
    <t>WY-AL</t>
  </si>
  <si>
    <t>Teton County</t>
  </si>
  <si>
    <t xml:space="preserve">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
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
Threat: The development of these lands into further resort housing, or by individuals for trophy homes will destroy the integrity of the open space, the wildlife habitat and the migration corridors of the landscape.  
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t>
  </si>
  <si>
    <t>Big Cypress National Preserve</t>
  </si>
  <si>
    <t>FL-14, FL-20</t>
  </si>
  <si>
    <t>Collier, Dade, and Monroe Counties</t>
  </si>
  <si>
    <t xml:space="preserve">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
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
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
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t>
  </si>
  <si>
    <t>Estimated O&amp;M Costs/Savings: Once the restoration and reclamation of the lands are completed,
operational costs are expected to be incidental. Initial, non-recurring costs for the restoration and
reclamation are expected to about $955,000. About $740,000 would remove 37 camps, or about $20,000
per camp. An additional $255,000 would be needed to do restoration work such as fill removal from
wetlands, and restoring natural grade and hydrology in remote, road-less backcountry areas. However, with
this acquisition, pollution and exotic vegetation seed sources would be eliminated from non-Federal lands
and remove the maintenance needs for approximately 60 miles of owner-access to non-NPS lands
wilderness trails. This would result in an approximate one-time savings of $102,000.</t>
  </si>
  <si>
    <t>Everglades National Park</t>
  </si>
  <si>
    <t>FL-18, FL-25</t>
  </si>
  <si>
    <t xml:space="preserve">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
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
Need: The requested funds are needed to acquire six tracts containing 477.37 acres of land that will be flooded once bridge construction is complete. The tracts include three airboat operations sites, two radio tower sites, and the Florida Power and Light Company property. </t>
  </si>
  <si>
    <t>An initial cost of $2.275 million is required to clear the two radio tower sites. This would avert a $5.2 million cost to construct flood control structures.. Annual costs are estimated at $76,000.</t>
  </si>
  <si>
    <t>Description: The Act of December 3, 2004 (Public Law 108-430), revised the boundary of the park to include
an additional 125,000 acres of land, of which approximately 76,473 acres are privately owned. The act
authorized the Secretary of the Interior to acquire such privately owned land from a willing seller, by
donation, purchase with donated or appropriated funds, or exchange. The Service’s appropriation for 2010
included $4,575,000 for acquisition of Twin Buttes Ranch that was among the lands added to the park in
2004. This is the first funding to be directed to this project.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funds requested would be used to complete acquisition of Twin Buttes Ranch and NZ Milky
Ranch. The remainder would be obligated to commence acquisition of the Paulsell Ranch that includes
numerous significant cultural sites including rock art panels, as well as structures from the Puebloan
period of southwest. This property also includes nine miles of the Puerco River Riparian area. The Puerco
River Riparian Area provides crucial habitat for many of the species found in this area from insects and
rodents to raptors and migrating elk.
Letters of support for this project have been received by the cities of Holbrook and Winslow, Arizona, the
State of Arizona, Arizona Department of Fish and Wildlife, the Navajo Nation, the Hopi Tribe, and the
Society of Vertebrate Paleontology.
This acquisition will serve to protect riparian habitat and watershed resources and preserves an
overarching natural landscape and significant American cultural and historic resources.</t>
  </si>
  <si>
    <t>Golden Gate National Recreation Area</t>
  </si>
  <si>
    <t>CA-6, CA-8, CA-12, CA-14</t>
  </si>
  <si>
    <t>Marin, San Francisco and San Mateo Counties</t>
  </si>
  <si>
    <t>Description: Golden Gate National Recreation Area was authorized October 27, 1972, to preserve
outstanding historic, scenic, and recreational values. The Act of December 20, 2005 (Public Law 109-
131), revised the boundary to include approximately 4,500 acres of additional land known as the ‘Rancho
Corral de Tierra Additions’ and authorized the acquisition of those lands only from a willing seller. The
land features mountain peaks, coastal watersheds, threatened and endangered habitats, historic ranch
landscape and structures, and potential for recreational enjoyment related to trails. The tract provides a
key corridor to connect the Congressionally-designated Bay Area Ridge Trail with the California Coastal
Trail and is accessible to more than 6 million people who live within a one hour drive.
Natural/Cultural Resources Associated with Proposal: The national recreation area encompasses
shoreline areas of San Francisco, Marin, and San Mateo Counties, including ocean beaches, redwood
forest, lagoons, marshes, military properties, a cultural center at Fort Mason, and Alcatraz Island.
Threat: Intense pressure to develop open space in the San Francisco area threatens the integrity of the
national recreation area.
Need: In combination with previously appropriated funds, the requested funding level will be obligated to
complete the acquisition of a 4,076-acre, largely undeveloped parcel that was added to the national
recreation area in 2005. It is expected that the requested funds will permit acquisition of the final 1,500-
acre portion of the property. This property was privately owned until purchased for approximately $30
million in 2003 by Peninsula Open Space Trust, a non-profit conservation organization. In light of a
bargain sale offered by the Trust, the Federal share of the total acquisition cost is expected to be
approximately $15 million. The FY 2009 appropriation included $4,000,000 for the acquisition; the FY
2010 appropriation included an additional $5,000,000.
This acquisition project has seen strong local support. The matching funds raised by Peninsula Open
Space Trust are evidence of such support.
This acquisition will preserve an overarching natural landscape, in conjunction with NPS partners while
providing access to recreational opportunities and open space in a large urban environment.</t>
  </si>
  <si>
    <t>CA-25 and CA-41</t>
  </si>
  <si>
    <t>Description: The Act of October 31, 1994 established Mojave National Preserve and authorized acquisition
by donation, purchase, or exchange. As of December 31, 2009, the preserve contains a total of 1,535,199
acres, of which 26,703 acres are privately owned. .
Natural/Cultural Resources Associated with Proposal: The preserve protects the fragile habitat of the desert
tortoise, vast open spaces, and historic mining scenes such as the Kelso railroad depot.
Threat: Unchecked development threatens the significant natural, scenic, and archeological resources in the
core of the preserve and along the southern and eastern gateways.
Need: The requested funds will be used to acquire eight tracts totaling 846 acres that surround the park’s
main visitor use center within a significant designated historic district in the middle of the preserve. The
park’s enabling legislation recognized the importance of this historic district and specifically suggested
that the Kelso train depot be used as the new park’s central visitor center. The subject tracts carry a
threat of potential development that would destroy the historic scene and impact the district. Developers
for commercial and industrial uses are currently considering these parcels. In addition, due to natural
drainage in the vicinity of the historic depot, some private lands that lie between the depot and the
adjacent large desert wash may be instrumental to flood protection for the historic structures and other
historic resources.
This acquisition will serve to protect significant American cultural and historic resources and preserves an
overarching natural landscape in collaboration with other Federal agencies.</t>
  </si>
  <si>
    <t>CA-23, CA-24, CA-27, CA-31</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</si>
  <si>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$162,836,118 have been appropriated for land acquisition at the area. The State of
California and other conservation groups have also spent over $269.5 million for land acquisition within the
park boundaries. After fiscal year 2010, approximately 20,881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permit the acquisition of 16 tracts totaling 286.01 acres of land within the
national recreation area needed to ensure the preservation of the 9,000-acre core habitat area in Zuma
and Trancas Canyons. If these tracts are developed as residential properties, the damage to the local
ecosystem would be irreversible. Removal of the undisturbed shrub community will open the way for
establishment of invasive non-native plant species.
Letters of support for these acquisitions have been provided by 12 local city governments (cities of
Malibu, Thousand Oaks, Westlake Village, Santa Monica, Los Angeles, Calabasas, Agoura Hills, Hidden
Hills, Beverly Hills, Wooden Hills, San Fernando, and Camarillo), State Senator Fran Pavley, State
Assembly Member Julia Brownley, and Los Angeles County Supervisor Zev Yaroslavsky.
This acquisition will serve to preserve an overarching natural landscape and provide recreational
opportunities and access to open space in an urban environment.</t>
  </si>
  <si>
    <t>Catoctin Mountain Park</t>
  </si>
  <si>
    <t>MD-6</t>
  </si>
  <si>
    <t>Frederick and Washington Counties</t>
  </si>
  <si>
    <t>N</t>
  </si>
  <si>
    <t xml:space="preserve">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
Natural/Cultural Resources Associated with Proposal:  Part of the forested ridge that forms the eastern rampart of the Appalachian Mountains in Maryland, this mountain park has sparkling streams and panoramic vistas of the Monocacy Valley.  
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
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t>
  </si>
  <si>
    <t xml:space="preserve">Tract was included in the park via a minor boundary adjustment. It was an inholding at the time of purchase but not at the time of appropriation. Appropriation (4/11), boundary adjustment (2/12), purchase finalized (3/12) </t>
  </si>
  <si>
    <t xml:space="preserve">Home Of Franklin D. Roosevelt National Historic Site
</t>
  </si>
  <si>
    <t>NY</t>
  </si>
  <si>
    <t>NY-20</t>
  </si>
  <si>
    <t>Dutchess County</t>
  </si>
  <si>
    <t>Description: President Franklin D. Roosevelt’s home in Hyde Park, New York, was designated a national
historic site on January 15, 1944. A gift from President Roosevelt, the site then consisted of 33 acres
containing the home, outbuildings, and the grave site. The Secretary of the Interior accepted title to the site
on November 21, 1945. The site was formally dedicated on April 12, 1946, the first anniversary of the
President’s death.
Natural/Cultural Resources Associated with Proposal: The park preserves and protects the birthplace,
lifetime residence, and “Summer White House” of the 32nd President. The gravesites of President and Mrs.
Roosevelt are in the Rose Garden.
Threat: The estate home of Franklin D. Roosevelt formerly encompassed approximately 1,200 acres in
Hyde Park, New York. However, the national historic site today contains only 792 acres. Recognizing the
need to protect more of the original estate from development, legislation was enacted in 1998 to permit the
Federal acquisition of additional portions of the original estate. Public Law 105-364 of November 10, 1998,
authorized acquisition by purchase with donated or appropriated funds, by donation, or otherwise, of
lands and interests located in Hyde Park, New York, and owned by FDR or his family at the time of his
death. Such lands are to be added, upon acquisition, to the Home of Franklin D. Roosevelt National
Historic Site or Eleanor Roosevelt National Historic Site, as appropriate.
Need: For fiscal year 2011, funds in the amount of $1,575,000 are needed to acquire a 1.5-acre tract,
owned by the Franklin &amp; Eleanor Roosevelt Institute (FERI) that includes an historic structure built in the
1830's and later occupied by the Roosevelt family and owned by FDR at the time of his death. This
structure was renovated for use as a residence for FERI staff. The structure is visible from the FDR’s
home Springwood, a distance of only 650 feet. A change in land use or character would have a direct and
negative impact upon the park visitors' experience. The threat is imminent because the owner (FERI) has
put the property on the market. Once acquired, the National Park Service would enter into an agreement
with a non-profit or lease the house for a use compatible with the historic site, with revenues used to
support the exterior restoration of the building.
This acquisition will serve to protect significant American cultural and historic resources and preserves an
overarching natural landscape.</t>
  </si>
  <si>
    <t>Cuyahoga Valley NP</t>
  </si>
  <si>
    <t>OH-10, 11, 13, 14</t>
  </si>
  <si>
    <t>Cuyahoga and Summit Counties</t>
  </si>
  <si>
    <t>Description: Cuyahoga Valley National Recreation Area was established in 1974 and contains a total of
32,856 acres. Of the 4,893 privately owned acres at the recreation area, 1,424 acres have been identified
for acquisition after fiscal year 2010.
Natural/Cultural Resources Associated with Proposal: Cuyahoga Valley National Recreation Area is the last
major area of unspoiled green space near the heavily industrialized urban centers of northeast Ohio.
Cuyahoga Valley is biologically unique: a botanical crossroads between the central lowlands to the west
and the Appalachian Plateau to the east. The valley preserves numerous forested watersheds and open
grassy plateaus. There is relatively little development within the boundary of the recreation area.
Threat: With approximately five million people living within a one-hour drive of the recreation area, pressure
to develop previously undeveloped lands has increased. Highest priority is assigned to the acquisition of
undeveloped lands.
Need: The funds requested will be used to acquire a 418-acre undeveloped portion of the Blossom Music
Center, summer home of the world-renowned Cleveland Orchestra and a venue for pop concerts. The
Center property, owned by the Musical Arts Association in Cleveland, totals 780 acres, of which 583
acres are undeveloped and 197 acres are associated with the performance complex (amphitheater,
parking, visitor service facilities, support facilities, utility systems, etc.). The undeveloped portion is largely
natural forest land but does include two cell towers and 12 oil/gas wells. To date, the property, which is
zoned residential, has been managed in a manner generally compatible with the park. However, the
threat of a sale and development of this property would seriously impact the use of the property.
Public support for protecting this property from large-scale, residential development has been high.
Organizations who have expressed public support for NPS acquisition include the National Parks and
Conservation Association, the Western Reserve Land Conservancy and The Trust for Public Land (which
has been actively involved in the project). In addition, both major circulation newspapers in the area have
carried stories about the development threat and efforts to preserve the land. Both papers have published
editorials in strong support of Federal acquisition. The Cuyahoga Valley Regional Council of
Governments has also sent a letter in support of the acquisition; the Council represents the 15
communities (and associated school districts) in which the park lies.
This acquisition will serve to protect riparian habitat and watershed resources and preserves an
overarching natural landscape as well as providing access to recreational opportunities and open spaces
in an urban environment.</t>
  </si>
  <si>
    <t>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acres.  The FY 2010 request included $1,320,000 to acquire 410 acres, leaving 436 acres remaining to be acquired.
Natural/Cultural Resources Associated with Proposal: Acquisition of the Riverstone tract would connect
the two largest portions of the park together, protecting valuable wildlife migration corridors and providing
increased public access/safety across parklands.
Threat: There is significant interest in the subdivision and subsequent sale of this single large tract to
multiple parties. Meetings with local land trusts confirm the validity of specific interest in this tract for
subdivision. Such subdivision would greatly complicate future acquisition of resultant tracts. Logging and
residential development, resource poaching, and damaging recreational uses are the primary existing
threats to this forested land.
Need: The funds requested would be obligated to acquire a 436-acre tract, the final portion of the
Riverstone tract that was authorized for acquisition by Public Law 108-108 in 2003. The Riverstone tract
negotiations have taken place indirectly through an interested consortium of land trust/nonprofit
organizations, including The Trust for Public Land, the entity which has the property under contract.
Environmental groups and park neighbors widely support this acquisition. National nonprofits and the
park’s friends group also support the acquisition. Individual county council members have also expressed
support for acquisition (the park acquiring from willing sellers any lands</t>
  </si>
  <si>
    <t>Acadia National Park</t>
  </si>
  <si>
    <t>ME-1, ME-2</t>
  </si>
  <si>
    <t>Hancock and Knox Counties</t>
  </si>
  <si>
    <t>Conservation Easement</t>
  </si>
  <si>
    <t xml:space="preserve">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
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
Threat:  Little of New England's rockbound coast remains in public ownership, undeveloped and natural.  The primary threat to park resources is the development of previously undeveloped land, an action not compatible with preserving the natural and scenic resources of the area.
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
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t>
  </si>
  <si>
    <t xml:space="preserve">Fredericksburg And Spotsylvania County Battlefields Memorial National Military Park
</t>
  </si>
  <si>
    <t>Caroline, Orange, Spotsylvania, and
Stafford Counties</t>
  </si>
  <si>
    <t>Description: The Act of December 11, 1989 revised the boundary of the park to include an additional 1,300
acres and authorized the appropriation of funds necessary for land acquisition. The act revised the 1974
administrative boundary in accordance with the recommendations of the park's general management plan.
The Act of October 27, 1992 revised the boundary to include an additional 560 acres. Section 344 of Public
Law 105-83, the act making appropriations for the Department of the Interior for fiscal year 1998, stated
the sense of the Senate that “…Congress should give special priority to the preservation of Civil War
battlefields by making funds available for the purchase of threatened and endangered Civil War battlefield
sites.”
Natural/Cultural Resources Associated with Proposal: The park contains portions of four major Civil War
battlefields, Chatham Manor, Salem Church, and the historic building in which Stonewall Jackson died.
Threat: Due to its proximity to Washington, D.C., and Richmond, Virginia, the park is subject to intense
pressure for commercial and residential development.
Need: The funds requested will be used to acquire five tracts totaling 166.05 acres located along State
Route 20 in Orange County, Virginia, a road corridor targeted by County leaders for significant expansion
and development in coming years. These tracts constitute a major component of the landscape involved
in the maneuvers and fighting during the Battle of the Wilderness in May 1864. This is core battlefield
area. Once lost to development, these lands could not be recovered and restored.
This acquisition will serve to protect significant American cultural and historical areas and preserves an
overarching natural landscape while providing access to recreational opportunities and open space in
proximity to an urban environment.</t>
  </si>
  <si>
    <t>Voyageurs National Park</t>
  </si>
  <si>
    <t>MN-8</t>
  </si>
  <si>
    <t>Koochiching and St. Louis Counties</t>
  </si>
  <si>
    <t>Description: Voyageurs National Park was authorized January 1, 1971. The land acquisition program has
been underway since fiscal year 1972. Of the 218,200 acres comprising the park, only 1,155 acres remain
privately owned. Approximately 1,014 acres of privately owned land have been identified for acquisition
after fiscal year 2010.
Natural/Cultural Resources Associated with Proposal: The park was established to preserve and protect the
outstanding scenery, geological conditions, and waterway systems that constituted part of the historic route
of the voyageurs who contributed to the opening of the United States. The park contains more than 30 lakes
dotted with islands and surrounded by forests.
Threat: Threats of recreational and residential development require expeditious completion of the acquisition
program at the park.
Need: For fiscal year 2011, $366,500 are needed to acquire a 3.5-acre tract of privately owned land
located adjacent to an active bald eagle nesting site and near the primary gateway water entrance into
the north half of the park. Acquisition is necessary to permit the removal of structures to return the site to
a more natural condition and minimize disturbance to nesting activity. In addition the structures on site are
susceptible to use for continued hunting on the tract due to the absent landowner.
The tract was acquired in 2008 by the Parks and Trails Council of Minnesota, a non-profit conservation
organization. The intent of the Council’s action was to temporarily secure and hold ownership of the tract
until the appropriation of sufficient funds would permit Federal acquisition. Without assurance that such
an appropriation is forthcoming, the Council, due to financial hardship, may place the property on sale
again. Such a result would jeopardize the likelihood of future cooperative ventures with the Council.
This acquisition will serve to protect riparian habitat and watershed resources in conjunction with NPS
partners.</t>
  </si>
  <si>
    <t xml:space="preserve">Wind Cave National Park  </t>
  </si>
  <si>
    <t>SD</t>
  </si>
  <si>
    <t>SD-AL</t>
  </si>
  <si>
    <t>Custer County</t>
  </si>
  <si>
    <t>Description: Wind Cave National Park was established by the Act of January 9, 1903. The Act of September
21, 2005 (P.L. 109-71), authorized revision of the park boundary to include, upon acquisition, approximately
5,675 acres of additional land. Such acquisition may be made by donation, purchase from a willing seller
with donated funds, exchange, or transfer. Of the adjacent lands authorized in 2005 for addition to the park,
5,555 acres comprise two ranches owned by one family. The ranches share a nine-mile border with the
park.
Natural/Cultural Resources Associated with Proposal: Wind Cave National Park is the seventh oldest
national park and the first national park established to preserve a unique and extensive cave system and to
provide for visitor enjoyment thereof. In addition to the underground resources, the surface area preserves
a unique mixture of High Plains and Black Hills habitats with outstanding wildlife populations of many native
animals, including bison, elk, pronghorn, mule deer, and prairie dogs.
Threat: The sale and development of these lands adjacent to the park would result in the loss of wildlife
habitat and adversely affect the visual integrity of the park
Need: The funds requested would be obligated to acquire the 5,555-acre ranch property adjacent to the
park. It is estimated that the $8,557,000 will be needed to acquire the entire property. However, the actual
cost to acquire the property remains undetermined until an appraisal is obtained and approved. The
Conservation Fund is working closely with the National Park Service on this acquisition.
This acquisition will serve to preserve an overarching natural landscape in conjunction with NPS partners.</t>
  </si>
  <si>
    <t>U.S. Virgin Islands</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</si>
  <si>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requested funds will be obligated to complete the acquisition of Estate Maho Bay.
The Estate Maho Bay was originally a 419-acre property located on St. John’s Island within Virgin Islands
National Park. The ownership consisted of 11 undivided interests, three of which had been acquired by
the National Park Service. Following years of litigation and negotiations a partition was approved by the
court in 2007. Prior to the court partition, The Trust for Public Land (TPL) had acquired seven of the
remaining undivided interests. As the result of the court settlement the National Park Service received
114 acres as its share and approximately 98 acres will remain in private ownership with strict covenants
to prevent incompatible development. The remaining 207 acres are owned by TPL. TPL plans to make a
bargain sale of these lands to the National Park Service. While the value of the 207 acres that TPL holds
is estimated to be $18 million or more, they plan to make a phased sale of their holdings to the National
Park Service for only $9.5 million. The FY 2009 appropriation of $2,250,000 was obligated in April 2009 to
acquire a 26-acre portion of the TPL lands, leaving a balance of $7,250,000 needed to acquire the
remaining 181 acres. The FY 2010 appropriation included $2,250,000 to acquire a 91-acre portion of the
remainder. The present request for FY 2011, $3,750,000, will permit the acquisition of an additional 90
acres and thereby complete the Maho Bay acquisition.
This acquisition will serve to preserve an overarching natural landscape in conjunction with NPS partners.</t>
  </si>
  <si>
    <t>BLM</t>
  </si>
  <si>
    <t>Santa Rosa And San Jacinto Mountains National Monument</t>
  </si>
  <si>
    <t>Riverside</t>
  </si>
  <si>
    <t>CA-45</t>
  </si>
  <si>
    <t>ID-2</t>
  </si>
  <si>
    <t>OR-2</t>
  </si>
  <si>
    <t>Clackamas and Multnomah Counties</t>
  </si>
  <si>
    <t>North Platte River SRMA</t>
  </si>
  <si>
    <t>WY-1</t>
  </si>
  <si>
    <t>Natrona County</t>
  </si>
  <si>
    <t>Canyons Of The Ancients National Monument</t>
  </si>
  <si>
    <t>CO-3</t>
  </si>
  <si>
    <t>Montezuma County</t>
  </si>
  <si>
    <t>Jackson County</t>
  </si>
  <si>
    <t>MT-1</t>
  </si>
  <si>
    <t>Blackfoot River Watershed</t>
  </si>
  <si>
    <t>Missoula and Powell Counties</t>
  </si>
  <si>
    <t xml:space="preserve">Purpose: Protect exceptional biological diversity, wildlife habitat and rural landscapes from the impacts of residential subdivision. Prevent denial and loss of public access providing year-round recreational opportunities.
Purchase Opportunities: Funding request continues an ongoing phased acquisition of properties purchased and held by the partner for conveyance to federal and state agency partners.
Partner: The Nature Conservancy.
Cooperators: U.S. Fish and Wildlife Service, U.S. Forest Service, Montana Department of Fish, Wildlife and Parks, Montana Department of Natural Resource and Conservation, Blackfoot Challenge.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
The proposed acquisition, supported by the U.S. Fish and Wildlife Service and Montana Department of Fish, Wildlife and Parks is a component of Blackfoot Challenge and The Nature Conservancy’s broader Blackfoot Community Project.
</t>
  </si>
  <si>
    <t xml:space="preserve">Purpose
Purchase multiple private inholdings and edgeholdings to protect significant cultural, scenic, recreation and wildlife values and to preserve the integrity of the landscape.
Purchase
Opportunities
Multiple properties facing immediate threat from rural residential development, vandalism, and degrading land use practices.
</t>
  </si>
  <si>
    <t>California Coastal National Monument</t>
  </si>
  <si>
    <t>CA-1</t>
  </si>
  <si>
    <t>Mendocino County</t>
  </si>
  <si>
    <t xml:space="preserve">Purpose: Establish a contact area to provide for public education and interpretation of the multiple resource and recreational values associated with the Monument.
Purchase Opportunities: Two oceanfront edgeholding parcels are currently available from highly motivated willing sellers.  Coastal properties in California face immediate threat from commercial and rural residential development.
Partner: The Trust for Public Land.
Cooperators: U.S. Fish and Wildlife Service, The California Coastal Conservancy, California Department of Fish and Game, Wildlife Conservation Board, Coastwalk California.
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
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
</t>
  </si>
  <si>
    <t>California Wilderness</t>
  </si>
  <si>
    <t>CA-21, CA-22, CA-25, CA-41, CA-45, CA-51</t>
  </si>
  <si>
    <t>Imperial, Kern, Riverside,                   San Bernardino and Tulare Counties</t>
  </si>
  <si>
    <t xml:space="preserve">Partners: Mojave Desert Land Trust, Friends of the Desert Mountains, Wilderness Land Trust, Resources Legacy Fund Foundation.
Cooperators: The Wilderness Society, The California Wilderness Coalition, The Nature Conservancy, The Sierra Club, The Wildlands Conservancy, California State Lands Commission, California Native Plants Society, Pacific Crest Trail Association.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
</t>
  </si>
  <si>
    <t>Riverside County</t>
  </si>
  <si>
    <t xml:space="preserve">Partners Friends of the Desert Mountains, Coachella Valley Mountains Conservancy.
Cooperators U.S. Fish and Wildlife Service, U.S. Forest Service, California Department of Fish and Game, Coachella Valley Conservation Commission, Cities of Palm Desert, Palm Springs, Cathedral City, La Quinta, and Rancho Mirage, Agua Caliente Band of Cahuilla Indians.
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t>
  </si>
  <si>
    <t>Ironwood Forest National Monument</t>
  </si>
  <si>
    <t>AZ-7</t>
  </si>
  <si>
    <t>Pima County</t>
  </si>
  <si>
    <t>Purpose Consolidate landownership, prevent
residential development and mining and
provide long-term protection of
ecosystem, open space, species and
watershed values within the Monument.
Purchase
Opportunities
Several inholding parcels are currently
available from highly-motivated willing
sellers. Acquisition of these parcels
would provide an opportunity to
consolidate land ownership and further
the protection of Monument objects.
Partner Arizona Land and Water Trust.
Cooperators Tohono O’odham Nation, Pima County, Friends of Ironwood Forest.
Project
Description
Taking its name from one of the longest living trees in the Arizona desert, the 129,000-
acre Ironwood Forest National Monument is a true Sonoran Desert showcase. The
Ironwood is a very long-lived tree, with some specimens estimated to be more than
800 years old. Ironwood is a keystone species because it provides a nursery
environment of shade and protection that enables young seedlings of other species to
become established despite the harsh desert climate, where night-time lows can
exceed 105°F. Studies by the Arizona-Sonora Desert Museum have documented 560
plant species within the Monument. Resident birdwatchers have documented more
than 80 species of migratory and non-migratory birds. The Monument lies within the
scenic viewshed of the 1,210-mile Juan Bautista de Anza National Historic Trail, which
skirts its eastern boundary.
The proposal involves the acquisition of two properties from highly-motivated willing
sellers. The parcels have been proposed for residential development, however a
reduced demand for residential units now provides an opportunity to eliminate this
potential threat.
The Cocoraque parcel is within the Cocoraque Butte Archeological District which was
listed on the National Register of Historic Places in October 1975. More than
200 Hohokam and Paleoindian archaeological sites dated between 600 and 1450
(including many petroglyphs) have been identified on this parcel and within the
Monument.
The Waterman parcel provides habitat to a small population of Nichol Turk’s Head
cactus, occurring in localized limestone-rich areas. The Nichol Turk’s Head is a very
slow-growing cactus, taking 10 years to reach a height of 2-3 inches. It was listed as
an endangered plant in 1976 and has an approved recovery plan.</t>
  </si>
  <si>
    <t>Carrizo Plain National Monument</t>
  </si>
  <si>
    <t>CA-22</t>
  </si>
  <si>
    <t>Kern and San Luis Obispo Counties</t>
  </si>
  <si>
    <t xml:space="preserve">Purpose: Acquire private inholdings within the Carrizo Plain National Monument to consolidate ownership and protect outstanding biological and cultural values.
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The adjoining First Solar parcels are within the northern quadrant of the Monument and are nearly surrounded by BLM-managed public land.
</t>
  </si>
  <si>
    <t>Dominguez-Escalante National Conservation Area</t>
  </si>
  <si>
    <t>Delta, Mesa and Montrose Counties</t>
  </si>
  <si>
    <t xml:space="preserve">Purpose: Acquisition of critical inholdings to preserve habitat for threatened and endangered plants and fish, protect cultural, riparian and scenic values, and enhance recreational opportunities. 
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
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
</t>
  </si>
  <si>
    <t>Cascade-Siskiyou National Monument</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</si>
  <si>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</si>
  <si>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CA-1, CA-22, CA-25, CA-41, CA-51,</t>
  </si>
  <si>
    <t>Imperial, Kern, Lake, Mendocino, Napa,
San Bernardino and Tulare Counties</t>
  </si>
  <si>
    <t xml:space="preserve">Purpose: Consolidate public ownership within designated wilderness to preserve wilderness character, and increase opportunities for the public to experience primitive recreation.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
</t>
  </si>
  <si>
    <t>Humboldt and Mendocino Counties</t>
  </si>
  <si>
    <t xml:space="preserve">Purpose: Establish multiple contact areas to provide for public education and interpretation of the multiple resource and recreational values associated with the Monument.
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
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
</t>
  </si>
  <si>
    <t xml:space="preserve"> Edgeholding. Acquisition links Stornetta ACEC with the community of Point Arena.</t>
  </si>
  <si>
    <t>Blackfoot River Srma/Lewis And Clark National Historic Trail</t>
  </si>
  <si>
    <t xml:space="preserve">Purpose: Protect exceptional biological diversity, wildlife habitat and rural landscapes from the impacts of residential subdivision. Preservation of the Lewis and Clark National Historic Trail (NHT) corridor.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The proposed acquisition, supported by the Montana Department of Fish, Wildlife and Parks is a component of The Nature Conservancy’s broader Montana Legacy Project and is the final TNC-BLM acquisition in the project area. 
</t>
  </si>
  <si>
    <t xml:space="preserve">Cascade-Siskiyou National Monument </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</si>
  <si>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</si>
  <si>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 xml:space="preserve">Santa Rosa And San Jacinto Mountains National Monument </t>
  </si>
  <si>
    <t xml:space="preserve">Purpose: Consolidate land ownership pattern within the Monument to conserve significant scenic, recreational, and wilderness resources. Improve and increase recreational access/public use.
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
</t>
  </si>
  <si>
    <t>Upper Snake/South Fork Snake River ACEC/SMRA</t>
  </si>
  <si>
    <t>Bonneville, Fremont, Jefferson,
and Madison Counties</t>
  </si>
  <si>
    <t>Purpose: Conserve and enhance significant scenic, recreational and wildlife resources within the Snake River corridors, predominately through the acquisition of conservation easements.</t>
  </si>
  <si>
    <t>Trinity National Wild and Scenic River</t>
  </si>
  <si>
    <t>Trinity County</t>
  </si>
  <si>
    <t>Purpose: Consolidate, conserve, and enhance significant scenic, recreational, and wildlife resources and improve public  access within the Trinity National Wild and Scenic River corridor.</t>
  </si>
  <si>
    <t>Gunnison Gorge NCA</t>
  </si>
  <si>
    <t>Purpose: Consolidate ownership to protect fisheries, riparian, and cultural values and provide access and quality recreation experiences within the Gunnison River corridor.</t>
  </si>
  <si>
    <t>Upper Sacramento  River ACEC</t>
  </si>
  <si>
    <t>Tehama County</t>
  </si>
  <si>
    <t>Purpose Purchase multiple private inholdings within the boundary of the Upper Sacramento River Area of Critical Environmental Concern.</t>
  </si>
  <si>
    <t>CA-44</t>
  </si>
  <si>
    <t xml:space="preserve">Partner: Friends of the Desert Mountains.
Cooperators: U.S. Forest Service, California Department of Fish and Game, Cities of Palm Desert, Palm Springs, Cathedral City, City of Rancho Mirage, Agua Caliente Band of Cahuilla Indians, Coachella Valley Mountains Conservancy, The Nature Conservancy.
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Purpose
Conserve significant scenic, recreational, and wilderness resources within the Santa Rosa and San Jacinto Mountains National Monument. Increase recreational access/public use.
Purchase
Opportunities
Multiple properties facing immediate threat from high-density suburban/urban residential development and incompatible recreational use and demands.
</t>
  </si>
  <si>
    <t>Lesser Prairie Chicken Habitat ACEC</t>
  </si>
  <si>
    <t>NM-2</t>
  </si>
  <si>
    <t>Chaves County</t>
  </si>
  <si>
    <t>Purpose: Conserve and enhance critical habitat for the Lesser Prairie chicken and the Sand Dune lizard, both Federal candidate species.</t>
  </si>
  <si>
    <t xml:space="preserve">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</si>
  <si>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Purpose: Enhance public recreation opportunities and preserve riparian/wetland and endangered species habitat along the North Platte River.</t>
  </si>
  <si>
    <t>Sandy River/Oregon National Historic Trail</t>
  </si>
  <si>
    <t>OR-3/OR-5</t>
  </si>
  <si>
    <t>Purpose: Preservation of the Sandy/Salmon River gorge and interwoven Oregon National Historic Trail corridor, providing for the protection of open space, scenic, recreation, fisheries, and wildlife values.</t>
  </si>
  <si>
    <t xml:space="preserve">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PIain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t>
  </si>
  <si>
    <t xml:space="preserve">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
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t>
  </si>
  <si>
    <t xml:space="preserve">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t>
  </si>
  <si>
    <t>Chain-of-Lakes RMA/Lewis and Clark NHT</t>
  </si>
  <si>
    <t>Broadwater and Lewis and Clark Counties</t>
  </si>
  <si>
    <t>Purpose: Acquisition of multiple parcels within the Chain-of-Lakes Recreation Management Area/Lewis and Clark National Historic Trail.</t>
  </si>
  <si>
    <t>Snake River Rim Recreation Area/Oregon National Historic Trail</t>
  </si>
  <si>
    <t>Jerome County</t>
  </si>
  <si>
    <t>Purpose: Protect key properties to conserve open space, allow public recreational access, preserve an existing trail corridor and  provide environmental education  opportunities.</t>
  </si>
  <si>
    <t>FWS</t>
  </si>
  <si>
    <t>San Diego NWR</t>
  </si>
  <si>
    <t>CA-50, CA-51, CA-52</t>
  </si>
  <si>
    <t>San Diego</t>
  </si>
  <si>
    <t>ND;SD</t>
  </si>
  <si>
    <t>ND-AL, SD-AL</t>
  </si>
  <si>
    <t>Rappahannock River NWR</t>
  </si>
  <si>
    <t>VA-1</t>
  </si>
  <si>
    <t>Essex, King George, Caroline, Richmond, and Westmoreland </t>
  </si>
  <si>
    <t>Rocky Mountain Front CA</t>
  </si>
  <si>
    <t>Lewis and Clark, Pondera, and Teton Counties</t>
  </si>
  <si>
    <t>FL-12, FL-15, FL-16</t>
  </si>
  <si>
    <t>Polk, Osceola, Okeechobee, and Highlands Counties</t>
  </si>
  <si>
    <t>AR-1</t>
  </si>
  <si>
    <t>Jackson, Woodruff, Monroe and Prairie</t>
  </si>
  <si>
    <t xml:space="preserve">Silvio O. Conte National Fish and Wildlife Refuge  </t>
  </si>
  <si>
    <t>Highlands Conservation</t>
  </si>
  <si>
    <t>CT, NJ, NY, PA</t>
  </si>
  <si>
    <t>The Highlands Conservation Act (HCA) authorizes the Secretary of the Interior to work in partnership with the Secretary of Agriculture to provide financial ssistance to the Highland States (Connecticut, New
Jersey, New York, and Pennsylvania) for preservation and protection of high priority conservation land in the Highlands region. The purpose of the HCA is to: recognize the importance of the water, forest,
agricultural, wildlife, recreational, and cultural resources, and the national significance of the Highlands
region to the United States; to authorize the Secretary of the Interior to work in partnership with the
Secretary of Agriculture to provide funding for financial assistance to the Highland States to preserve and
protect high priority conservation land in the Highlands region; and to continue ongoing Forest Service
programs in the region. The Federal grant share of the cost of carrying out a land conservation partnership
project shall not exceed 50 percent of the total cost of the land conservation partnership project. The
Service works with the Highland States and other Federal agencies to determine how best to implement the
HCA.
Funding for Highlands projects will enable acquisition of parcels within the projects that have met the
criteria of the Highlands Act. These funds would complement state funds at a greater than 1:1 match, as
required by the Act. Although specific parcels and acreages are not available to date for FY 2012, funds
would be disbursed based on individual state interest in partnering for Highlands projects. Connecticut
anticipates purchasing lands within the 61,699 acre Shepaug River Headwaters Focus Area. The State of
New York plans to fund parcels within a 2,766 acre area of the East Hudson Highlands. New Jersey would
work in a 987 acre portion of the Twin Watershed project area and Pennsylvania is planning to acquire
parcels within a 375 acre section of South Mountain. All projects would meet funding match criteria.</t>
  </si>
  <si>
    <t>Blackfoot Valley CA</t>
  </si>
  <si>
    <t>Lewis and Clark, Missoula, and Powell Counties</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</si>
  <si>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Fund/Mellon Foundation, Blackfoot
Challenge, Montana Fish, Wildlife and Parks, Swan Ecosystem Center, Clark Fork Coalition, The
Confederated Salish and Kootenai Tribes, Missoula, Lake, Beaverhead, Lewis &amp; Clark County
Commissioners, Montana DNRC, Montana Wilderness Association, and Montana Audubon Society.
Project Description: Funds would be used to acquire perpetual conservation easements on
approximately 21,874 acres for the Rocky Mountain Front and Blackfoot Valley Conservation Area
portions of the Crown of the Continent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The Blackfoot Valley is one of the last, undeveloped river valley
systems in Western Montana. Red Rock Lakes NWR lies in the heart of the Centennial Valley and includes one of the largest wetland complexes in the Northern Rockies. There is increasing pressure to
subdivide and develop these landscapes for second home development and commercial uses. Protecting
these tracts would prevent fragmentation and preserve trust species habitat in some of the nation’s best
remaining intact ecosystems.</t>
  </si>
  <si>
    <t>O&amp;M: The Service estimates that annual monitoring and inspection of the 21,874 acres of easements
would require approximately 0.5 FTE of total staff time (approximately $20,000 per year).</t>
  </si>
  <si>
    <t>Dakota Grassland CA</t>
  </si>
  <si>
    <t>At large</t>
  </si>
  <si>
    <t>Purpose of Acquisition: Purchase perpetual wetland and grassland easements to protect wildlife habitats
of native grassland and associated wetlands located in the Prairie Pothole Region (PPR).
Project Cooperators: North Dakota Game and Fish Department, North Dakota Natural Resources Trust,
Ducks Unlimited, Inc., The Nature Conservancy, South Dakota Grassland Coalition, and private
landowners.
Project Description: Funds would be used to acquire perpetual conservation easements on
approximately 23,053 acres from multiple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 to maintain traditional farming and ranching
operations while fostering landscape-level conservation.</t>
  </si>
  <si>
    <t>O&amp;M: The Service anticipates spending a minimal amount for annual compliance over-flights, estimated
at less than $3,600 per year, which the Service would fund out of NWRS base funding.</t>
  </si>
  <si>
    <t>Everglades Headwaters NWR  and Conservation Area</t>
  </si>
  <si>
    <t xml:space="preserve">Purpose: of Acquisition:  To protect, restore, and conserve habitat for 278 federal and state listed species, including Florida panther, Florida black bear, Audubon’s crested caracara, Florida scrub jay, 
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t>
  </si>
  <si>
    <t>O&amp;M: The Service estimates annual costs of up to $25,000 for habitat management and restoration,
prescribed burning, and hunting and public use management.</t>
  </si>
  <si>
    <t>Longleaf Initiative: Okefenokee NWR</t>
  </si>
  <si>
    <t>FL-2, FL-4, GA-1</t>
  </si>
  <si>
    <t>Charlton, Ware, and Clinch counties, Georgia; Baker County, Florida</t>
  </si>
  <si>
    <t xml:space="preserve">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Project Cooperators:  Charleston County Greenbelt, The Nature Conservancy, Conservation Fund, Georgia Department of Natural Resources, Pee Dee Land Trust, American Rivers, Sam Shine Foundation
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
</t>
  </si>
  <si>
    <t>O&amp;M: The Service estimates annual costs of up to $100,000 for habitat management and restoration,
prescribed burning, and hunting and public use management. Acquisition may produce efficiency
improvements in Service law enforcement and boundary posting, which would reduce these costs. Costs
associated with restoration work could be offset by hunting fees or outside funding.</t>
  </si>
  <si>
    <t>Purpose of Acquisition: Purchase perpetual wetland and grassland easements to protect wildlife habitats
of native grassland and associated wetlands located in the Prairie Pothole Region (PPR).
Project Cooperators: North Dakota Game &amp; Fish Department, North Dakota Natural Resources Trust,
Ducks Unlimited, Inc., The Nature Conservancy, South Dakota Grassland Coalition, and private
landowners.
Project Description: Funds would be used to acquire perpetual conservation easements on
approximately 10,333 acres from 19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t>
  </si>
  <si>
    <t>O&amp;M: The Service anticipates spending a minimal amount for annual compliance over-flights, estimated
at less than $3,500 per year, which the Service would fund out of NWRS base funding.</t>
  </si>
  <si>
    <t>Dakota Tallgrass Prairie NWR</t>
  </si>
  <si>
    <t>Purpose of Acquisition: To protect the northern tallgrass prairie ecosystem and associated wildlife
species.
Project Cooperators: The Nature Conservancy and the local community.
Project Description: Funds would be used to acquire perpetual conservation easements on
approximately 1,020 acres of tallgrass prairie. Tallgrass prairie once covered 90 percent of the Dakotas,
but less than three percent remains. Habitat fragmentation and conversion to crop production are the
primary threats to this ecosystem. The Service plans to use grassland easements to protect 190,000 acres
of the remaining tallgrass prairie in the eastern Dakotas, including 25,000 acres in North Dakota and
165,000 acres in South Dakota. These easement acquisitions will help to maintain traditional ranching
operations while fostering landscape-level conservation.
The project area has a rich variety of plant, animal, and insect species including more than 147 species of
breeding birds ranging from neotropical migrants to waterfowl. Several candidate endangered species are
found within the tallgrass prairie ecosystem, including Baird’s sparrow, loggerhead shrike, ferruginous
hawk, and rare butterflies such as the Dakota skipper. The endangered western prairie fringed orchid also
occurs in the tallgrass prairie. These large blocks of grasslands help to buffer prairie ecosystems from
agricultural chemicals and invasive species, and provide the natural habitat mosaic required by prairiedependent
species. Existing prairie is a well-documented store of terrestrial carbon. Preventing
conversion with grassland easements ensures this sequestered carbon is maintained.</t>
  </si>
  <si>
    <t>O&amp;M: A minimal amount of resources would be needed for annual compliance over-flights, estimated at
less than $1,500, which would be funded out of NWRS base funding.</t>
  </si>
  <si>
    <t>Everglades Headwaters</t>
  </si>
  <si>
    <t xml:space="preserve">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t>
  </si>
  <si>
    <t>O&amp;M: Initial costs would include salary, start-up, and support funding for three permanent staff,
vehicles, office rental, and miscellaneous supplies estimated at $500,000. An office and visitor center
would be added at a one-time cost of $3,000,000.</t>
  </si>
  <si>
    <t>Flint Hills Legacy Conservation Area</t>
  </si>
  <si>
    <t>KS</t>
  </si>
  <si>
    <t>KS-1, KS-2, KS-4</t>
  </si>
  <si>
    <t>Butler, Chase, Chautauqua, Clay, Cowley, Dickinson, Elk, Geary, Greenwood, Harvey, Jackson, Lyon, Marion, Marshall, Morris, Pottawatomie, Riley, Shawnee, Washington, Woodson, and Waubansee</t>
  </si>
  <si>
    <t>Purpose of Acquisition: To protect the Flint Hills tallgrass prairie ecosystem and associated grasslanddependent
wildlife species.
Project Cooperators: The Nature Conservancy, the Kansas Land Trust, The Ranchland Trust of Kansas,
the Tallgrass Legacy Alliance, and the local community.
Project Description: Funds would be used to acquire perpetual conservation easements on
approximately 6,503 acres of tallgrass prairie. Tallgrass prairie is one of the most endangered ecosystems
in the United States, with less than four percent of the original acreage remaining. This project makes
exclusive use of conservation easements to protect 1,100,000 acres of the remaining tallgrass prairie in
the Flint Hills ecoregion in eastern Kansas from the threat of fragmentation. This fragmentation occurs as
the result of residential, commercial, and industrial development, as well as encroachment of woody
vegetation. Acquisition of perpetual conservation easements from willing sellers provides permanent
protection for tallgrass prairie ecosystems and fosters landscape level conservation, while helping to
maintain traditional ranching operations. Landowner interest is high, and the Service is currently
identifying lands for acquisition that contain high quality tallgrass habitat with minimal fragmentation and
woody vegetation encroachment. In addition to preserving some of the last remaining tallgrass prairie,
conservation easements would protect habitat that is important for the threatened Topeka shiner, as well
as a wide variety of grassland-dependent birds and other species.</t>
  </si>
  <si>
    <t>O&amp;M: Within the base funding for the Refuge System, the Service would use approximately $1,000 for
annual maintenance of the new acquisitions, mainly for easement enforcement.</t>
  </si>
  <si>
    <t>Valle de Oro NWR (vice Middle Rio Grande NWR)</t>
  </si>
  <si>
    <t>NM-1</t>
  </si>
  <si>
    <t>Bernalillo</t>
  </si>
  <si>
    <t>Purpose of Acquisition: The primary purpose is to “foster environmental awareness and outreach
programs and develop an informed and involved citizenry that will support fish and wildlife
conservation.” Other purposes include creating a refuge that is suitable for incidental fish and wildlifeoriented recreations development, the protection of natural resources, and the conservation of endangered
species or threatened species.
Project Cooperators: The Trust for Public Land, Bernalillo County, National Park Service, Bureau of
Reclamation, Bureau of Land Management, New Mexico State Parks Department, and various
foundations and corporations.
Project descriptions: Funds would be used to acquire fee title on 100 acres. The Refuge would be established on 570 acres of land within a 30-minute drive of 40 percent of the state’s population.
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
land will provide an additional connection on the east side of the Rio Grande for neo-tropical birds
migrating along the river’s bosque. The tract will also provide cover for terrestrial species that move north and south along the river.</t>
  </si>
  <si>
    <t>O&amp;M: The Service estimates $35,000 for initial posting and miscellaneous fencing of the tract.</t>
  </si>
  <si>
    <t>Neches River Nwr</t>
  </si>
  <si>
    <t>TX-5</t>
  </si>
  <si>
    <t>Cherokee</t>
  </si>
  <si>
    <t xml:space="preserve">Purpose: of Acquisition:  To protect important remnant bottomland habitat and associated habitats for migrating, wintering, and breeding waterfowl, and to protect the forest’s diverse biological values and wetland functions of water quality improvement and flood control. 
Project Cooperators: The Conservation Fund, the Texas Parks and Wildlife Department, and various
foundations and corporations.
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t>
  </si>
  <si>
    <t>O&amp;M: The Service estimates initial costs of $25,000 for posting and fencing.</t>
  </si>
  <si>
    <t>CT; NH; VT; MA</t>
  </si>
  <si>
    <t xml:space="preserve">CT-1, CT-2, CT-3, MA-1, MA-2, NH-2, VT-AL
</t>
  </si>
  <si>
    <t>Purpose of Acquisition: To protect fisheries and wildlife resources and provide public access to refuge
lands.
Project Cooperators: The Trust for Public Land, The Nature Conservancy, The Conservation Fund, and
the Kestrel Land Trust.
Project Description: Funds would be used to acquire fee title to approximately 1,041 acres from eight
owners. Acquisition of tracts within the Refuge’s Fort River Division would contribute toward the
protection of a large grassland project for the upland sandpiper and other grassland species. The Fort
River is the longest unobstructed tributary to the Connecticut River in Massachusetts, providing habitat
for the endangered dwarf wedge mussel and anadromous fish. In addition, acquisition of northern boreal
forest tracts in the Nulhegan Basin Division, and acquisition of wetland tracts in the Pondicherry
Division, would protect nesting songbirds and provide wildlife-dependent recreational and educational
opportunities.</t>
  </si>
  <si>
    <t>San Joaquin River Nwr</t>
  </si>
  <si>
    <t>CA-18</t>
  </si>
  <si>
    <t>San Joaquin, Stanislaus</t>
  </si>
  <si>
    <t>Purpose of Acquisition: To protect native grasslands and wetlands that are essential for long-term survival of the Aleutian Canada goose, and to protect a large piece of riparian habitat valuable to a variety of wildlife species.
Project Cooperators: State of California CALFED Bay Delta Grant Program.
Project Description: Funds would be used to acquire a perpetual conservation easement on
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t>
  </si>
  <si>
    <t>Upper Mississippi River NW&amp;FR</t>
  </si>
  <si>
    <t>IA; IL; MN; WI</t>
  </si>
  <si>
    <t xml:space="preserve">MN-1, IA-1 , IA-4, IL-16, IL-17, WI-3
</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</si>
  <si>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the
Minnesota DNR, Wisconsin DNR, Iowa DNR, Illinois DNR, and Friends of the Upper Mississippi
Refuge.
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t>
  </si>
  <si>
    <t>O&amp;M: The Service estimates an initial cost of $10,000 for restoration and enhancement work (spraying,
mowing, burning, and fencing supplies and signage), which the Service would fund from Refuge base
funding.</t>
  </si>
  <si>
    <t>Northern Tallgrass Prairie Nwr</t>
  </si>
  <si>
    <t>IA; MN</t>
  </si>
  <si>
    <t xml:space="preserve">MN-1, MN-2, MN-7, IA-2, IA-3, IA-4, IA-5
</t>
  </si>
  <si>
    <t>Purpose: of Acquisition:  To protect, restore, and enhance the remaining northern tallgrass prairie habitats and associated wildlife species.
Project Cooperators: Minnesota Department of Natural Resources (DNR), Iowa Department of Natural
Resources, Ducks Unlimited, Pheasants Forever, The Nature Conservancy, Minnesota Waterfowl
Association, several county conservation boards, and several local Chambers of Commerce.
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
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t>
  </si>
  <si>
    <t>O&amp;M: Annual operation and maintenance costs are expected to be approximately $30,000 for initial
restoration and enhancement work (spraying, mowing, burning, and signage).</t>
  </si>
  <si>
    <t>Grasslands WMA</t>
  </si>
  <si>
    <t>Merced</t>
  </si>
  <si>
    <t>Purpose of Acquisition: To protect important wintering area for the Pacific Flyway waterfowl
populations.
Project Cooperators: State of California.
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t>
  </si>
  <si>
    <t>Red Rock Lakes NWR</t>
  </si>
  <si>
    <t>ID/MT</t>
  </si>
  <si>
    <t>Beaverhead</t>
  </si>
  <si>
    <t>Recast Ops Plan</t>
  </si>
  <si>
    <t>Fee &amp; easement</t>
  </si>
  <si>
    <t>Purpose of Acquisition: To provide for long-term viability of fish and wildlife habitat on a large
landscape basis in the Greater Yellowstone Ecosystem. In addition, the project would protect, restore and
enhance native wet meadows, wetlands, uplands and mountain foothills for migratory birds, including
waterfowl, and other wildlife. Additional lands would be available for wildlife-dependent public uses
(hunting, fishing, wildlife observation and photography, and environmental education and interpretation)
for present and future generations of Americans. Protection of this landscape would also preserve the key
wilderness values of the refuge and surrounding view shed of the Centennial Valley.
Project Cooperators: The Nature Conservancy, Montana Fish, Wildlife and Parks, Beaverhead County
Commissioners, Bureau of Land Management, and Greater Yellowstone Coordinating Council.
Project Description: The Service would use the requested funds to purchase 670 acres that would be for
the initial phase of a multi-year acquisition effort to acquire one of the most important tracts remaining
within Red Rock Lakes NWR. The Elizabeth Grazing Association tract includes nearly 1 mile on both
sides of Red Rock Creek that supplies most of the water for the Red Rock Lakes NWR wetland complex.
Acquisition of this property would enable the Service to restore this portion of Red Rock Creek (from
overgrazing) and improve water quality in Upper Red Rock Lake on the refuge. The Centennial Valley,
like much of western Montana, is threatened by subdivision and demand for second home development
that is creeping west from Yellowstone Park and the Henry’s Lake portion of northern Idaho (this tract
could easily be developed into recreational home sites). The subject property includes a large riparian
wetland complex that provides habitat for 21 species of waterfowl and 35 species of other wetlanddependent
birds. Acquisition of this tract would expand opportunities for wildlife-dependent forms of
public recreation on the east end of the refuge.</t>
  </si>
  <si>
    <t>O &amp; M: The Service would spend a minimal amount for easement monitoring and inspections, fencing, and boundary posting, estimated
at less than $10,000 per year, which the Service would fund out of Refuge System base funding.</t>
  </si>
  <si>
    <t>Nisqually NWR</t>
  </si>
  <si>
    <t>WA-3, WA-9</t>
  </si>
  <si>
    <t>Thurston, Pierce</t>
  </si>
  <si>
    <t xml:space="preserve">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
Project Cooperators: Ducks Unlimited, The Nature Conservancy, the Friends of Nisqually National
Wildlife Refuge, the Cascade Land Conservancy, and the Capitol Land Trust.
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t>
  </si>
  <si>
    <t>O&amp;M: The Service will initially use approximately $18,000 for fencing and posting refuge and tract
boundaries. Base refuge funds will be used for these expenses.</t>
  </si>
  <si>
    <t>St. Vincent NWR</t>
  </si>
  <si>
    <t>FL-2</t>
  </si>
  <si>
    <t>Franklin</t>
  </si>
  <si>
    <t>Purpose: of Acquisition:  To restore and manage sensitive habitats along St. Vincent Sound for migratory birds, neotropical migratory songbirds, wintering waterfowl, arctic peregrine falcon, and bald eagle, among others.
Project Cooperator: The Trust for Public Land
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t>
  </si>
  <si>
    <t>O&amp;M: The Service estimates initial costs of $20,000 for boundary marking which the Service would
fund from Refuge System base funding. There may be an initial dredging/rehabilitation cost which the
Service would also fund from Refuge System base funding.</t>
  </si>
  <si>
    <t>Longleaf Pine Okefenokee NWR</t>
  </si>
  <si>
    <t>FL-4, GA-1</t>
  </si>
  <si>
    <t>Purpose: of Acquisition:  To conserve and protect virgin bottomland hardwood migratory bird habitat and to prevent detrimental impacts caused by development on wetland habitat.
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</si>
  <si>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 Montana Fish, Wildlife and
Parks, Teton County Commission, Pondera County Commission, Lewis &amp; Clark County Commission,
Montana Wilderness Association, and Montana Audubon Society.
Project Description: Funds would be used to acquire perpetual conservation easements on
approximately 30,685 acres for the Rocky Mountain Front, Blackfoot Valley, and Swan Valley
Conservation Areas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Swan Valley provides habitat for a rich diversity of species in an
ecologically intact landscape, and is one of the few places in the lower 48 states where the full
assemblage of large, mammalian carnivores still exists. Blackfoot Valley is one of the last, undeveloped
river valley systems in Western Montana. There is increasing pressure to subdivide and develop this
landscape. Protecting these tracts with conservation easements would prevent fragmentation and preserve
trust species habitat in some of the nation’s best remaining intact ecosystems.</t>
  </si>
  <si>
    <t>O&amp;M: The Service estimates that annual monitoring and inspection of the 30,685 easement acres would
require approximately 0.5 FTE of total staff time (approximately $40,000 per year).</t>
  </si>
  <si>
    <t>CT; NJ; NY; PA</t>
  </si>
  <si>
    <t>No Project Data Sheet. Budget request spreadsheet indicates this was project that had $0 in the request.</t>
  </si>
  <si>
    <t>Alaska Maritime NWR</t>
  </si>
  <si>
    <t>AK</t>
  </si>
  <si>
    <t>AK-AL</t>
  </si>
  <si>
    <t>Kenai Peninsula, Kodiak Island</t>
  </si>
  <si>
    <t>Purpose of Acquisition: To conserve and restore seabird colonies and contribute to landscape scale
conservation within the Western Alaska Landscape Conservation Cooperative.
Project Cooperators: Alaska Native Corporations, State of Alaska
Project Description: The Service would use funds to acquire two islands. The smaller of the islands, Flat
Island, only 13 acres in size, supports regionally significant seabird colonies. At least five species nest here,
including about 30,000 tufted puffins and small colonies of common murres, black-legged kittiwakes,
glaucous-winged gulls, and black oystercatchers. Cherni Island is a 600-acre island that supports 11 seabird
species, including large nesting populations of double-crested, red-faced, and pelagic cormorants (about
2,500 birds).
These islands provided habitat for large concentrations of burrow-nesting seabirds. However, the presence
of introduced predators has been detrimental to these vulnerable species. Acquiring these island habitats in
their entirety would enable the Service to provide long-term protection of seabird colonies, remove
introduced predators if necessary, restrict incompatible uses, and restore seabird habitat.</t>
  </si>
  <si>
    <t>Silvio O. Conte Nwr</t>
  </si>
  <si>
    <t xml:space="preserve">CT-1, CT-2, CT-3, MA-1, MA-2, NH-2, VT-AL
</t>
  </si>
  <si>
    <t>Purpose of Acquisition: To protect fisheries and wildlife resources and provide public access to refuge
lands.
Project Cooperators: The Trust for Public Land and The Nature Conservancy.
Project Description: Funds would acquire fee title to tracts in the Fort River Division that would
contribute towards the protection of a large grassland project. Recovery and long-term viability of habitats
for the upland sandpiper, dwarf wedge mussel, and fish which rely on the longest, unobstructed tributary to
the Connecticut River in Massachusetts. Tracts in the Nulhegan Basin Division of the northern boreal
forest and associated wetland complex in Vermont and tracts in the Salmon Brook Division in Connecticut
will provide wildlife-dependent recreation and education opportunities.</t>
  </si>
  <si>
    <t>PDS requested $6M</t>
  </si>
  <si>
    <t>Laguna Atascosa NWR</t>
  </si>
  <si>
    <t>TX-27, TX-28</t>
  </si>
  <si>
    <t>Cameron, Willacy</t>
  </si>
  <si>
    <t>Purpose of Acquisition: To protect essential habitat for numerous endangered species and resting area for
migratory waterfowl.
Project Cooperators: The Nature Conservancy, Audubon Society, and The Conservation Fund.
Project Description: Funds would acquire fee title to 343 acres of essential habitat for endangered
species and resting area for migratory waterfowl. The Refuge provides much needed resting habitat of
scrub brush and wetlands for neotropical birds migrating north in the spring after crossing the Gulf of
Mexico. As the largest protection area of natural habitat left in the Lower Rio Grande Valley, the Refuge
draws a multitude of wildlife, including redhead ducks, sandhill cranes, and a mix of wildlife found
nowhere else. In addition, the Refuge provides recreational opportunities for photography and bird
watching that are strongly supported by the local community.</t>
  </si>
  <si>
    <t>O&amp;M: The Service would require $5,000 for fencing and re-vegetating cropland to reestablish brushland.
Funds would come from the Refuge System base funding.</t>
  </si>
  <si>
    <t>St. Marks NWR</t>
  </si>
  <si>
    <t>Wakulla, Jefferson, and Taylor</t>
  </si>
  <si>
    <t>Purpose of Acquisition: Conserve and enhance populations of threatened, endangered, rare and imperiled
plants and animals and their native habitats. Provide suitable black bear habitat, including corridors and
links to major population center habitat. Provide high-quality habitat for migratory birds, shorebirds,
waterbirds, and marshbirds. Provide public recreation opportunities for hunting and fishing.
Project Cooperators: The Nature Conservancy, Florida Chapter of the Wildlife Society, The Florida
Natural Areas Inventory, St. Marks Refuge Association, Florida Trail Association, Blue Goose Alliance,
Apalachee Audobon Society, and Florida Wildlife Federation.
Project Description: Funds would acquire fee title to approximately 2,350 acres owned by The Nature
Conservancy. Acquisition of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was designated an Important Bird Area and a Land Management Research and Demonstration Site
for Longleaf Pine Ecosystems, and it is a key segment of the Florida National Scenic Trail.</t>
  </si>
  <si>
    <t>O&amp;M: The Service estimates annual costs of $5,000 for Service signage, boundary markings, and fencing,
which the Service would fund out of Refuge System base funding.</t>
  </si>
  <si>
    <t>Cache River NWR</t>
  </si>
  <si>
    <t xml:space="preserve">Purpose of Acquisition: To protect fisheries and wildlife resources and provide public access to refuge
lands.
Project Cooperators: The Wildlife Federation, The Nature Conservancy, The Conservation Fund,
Audubon Society, and Arkansas Game and Fish Commission.
Project Description: Funding would acquire fee title to approximately 1,700 acres of a 3,100-acre
property from The Conservation Fund. This would be a phased acquisition as funding becomes available.
This tract contains some of the best quality and last remaining old growth hardwood forest in the area. This
acquisition would contribute greatly to the Cache River project area, which encompasses some of the
largest remaining contiguous blocks of bottomland hardwood forest in the Lower Mississippi Valley and
some of the largest remaining expanses of forested wetlands on any tributary within the Mississippi Alluvial
Valley. The area is considered the most important wintering area for mallards in North America, and one of
the most important for pintails, teal, Canada geese, and other migratory waterfowl. The wetland and
aquatic habitats of the Cache/Lower White Rivers ecosystem support 52 species of mammals, 232 species
of birds, 48 species of reptiles and amphibians, and approximately 95 species of freshwater fish.
</t>
  </si>
  <si>
    <t>O&amp;M: To properly mark the boundary for 1700 acres the Service would have an initial cost of
approximately $5,000 for signs, posts, rivets, nails, paint, and boundary tags which the Service would fund
from Refuge System base funding. Once initially marked, annual costs would be &lt;$300 for maintenance.</t>
  </si>
  <si>
    <t>Savannah NWR</t>
  </si>
  <si>
    <t>SC-1</t>
  </si>
  <si>
    <t>Chatham and Effingham counties, Georgia;  Jasper County in South Carolina</t>
  </si>
  <si>
    <t>Purpose of Acquisition:  To conserve and protect virgin bottomland hardwood migratory bird habitat and to prevent detrimental impacts caused by development in wetlands habitat.
Project Cooperators:  The Trust for Public Land Project Description:  Funding would acquire fee title to approximately 100 acres of a 388-acre property 
from The Trust for Public Land.  This would be a phased acquisition as funding becomes available.  The 
addition of this tract would complement the Refuge by adding the highly productive ecotone between the 
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king rails, American alligators, and wood duck.  This acquisition would provide road access to the adjacent 
2,000-acre Abercorn Island, which is currently only accessible by boat.  Having road access to Abercorn 
Island would allow the Service to increase public use activities at the Refuge and provide easier access for 
refuge maintenance and law enforcement.</t>
  </si>
  <si>
    <t>O&amp;M: The Service estimates annual costs of $3,000 for Service signage, boundary markings, and fencing
which the Service would fund from Refuge System base funding.</t>
  </si>
  <si>
    <t>Lower Suwannee NWR</t>
  </si>
  <si>
    <t>Dixie, Levy</t>
  </si>
  <si>
    <t>Purpose of Acquisition: To preserve and protect fish and wildlife habitat for the benefit of waterfowl,
shore and wading birds, neotropical migratory birds, and at least 11 federally endangered species including
the Gulf sturgeon and West Indian manatee.
Project Cooperators: The Nature Conservancy, The Conservation Fund, and Lower Suwannee Water
Management District.
Project Description: Funding this project would preserve and protect approximately 667 acres of fish and
wildlife habitat for the benefit of waterfowl, shore and wading birds, neotropical migratory birds, and at
least 11 federally endangered species including the Gulf sturgeon and West Indian manatee. The subject
property includes habitats of upland scrub, hardwood hammock, marshes, and tributaries of the Suwannee
River, the last remaining river where significant spawning migrations of Gulf sturgeon still occur. This
inholding abuts the Refuge’s highest public use and recreation area, and if not acquired by the Service,
residential homes could be built on the property.</t>
  </si>
  <si>
    <t>Lower Rio Grande Valley NWR</t>
  </si>
  <si>
    <t>TX-15, TX-27, TX-28</t>
  </si>
  <si>
    <r>
      <t>Cameron</t>
    </r>
    <r>
      <rPr>
        <sz val="9"/>
        <color rgb="FF000000"/>
        <rFont val="Arial"/>
        <family val="2"/>
      </rPr>
      <t>, </t>
    </r>
    <r>
      <rPr>
        <sz val="9"/>
        <color rgb="FF0B0080"/>
        <rFont val="Arial"/>
        <family val="2"/>
      </rPr>
      <t>Hidalgo</t>
    </r>
    <r>
      <rPr>
        <sz val="9"/>
        <color rgb="FF000000"/>
        <rFont val="Arial"/>
        <family val="2"/>
      </rPr>
      <t>, </t>
    </r>
    <r>
      <rPr>
        <sz val="9"/>
        <color rgb="FF0B0080"/>
        <rFont val="Arial"/>
        <family val="2"/>
      </rPr>
      <t>Starr</t>
    </r>
    <r>
      <rPr>
        <sz val="9"/>
        <color rgb="FF000000"/>
        <rFont val="Arial"/>
        <family val="2"/>
      </rPr>
      <t>,</t>
    </r>
    <r>
      <rPr>
        <sz val="9"/>
        <color rgb="FF0B0080"/>
        <rFont val="Arial"/>
        <family val="2"/>
      </rPr>
      <t>Zapata</t>
    </r>
  </si>
  <si>
    <t>Purpose of Acquisition: To protect native subtropical brush lands and protect, enhance, and restore other
adjacent lands to protect the diverse biotic communities of the area.
Project Cooperators: The Nature Conservancy, The Conservation Fund, National Audubon Society,
Ducks Unlimited, and North American Butterfly Association.
Project Description: Funding would acquire a portion of a 3,000-acre conservation easement on land that
comprises the best acreage available for the Refuge from willing sellers. The project has 11 distinct biotic
communities, which provide habitat for resident and migrating species of birds, butterflies, and mammals.
Nearly 400 species of birds, 300 species of butterflies, and 1,100 species of plans have been noted in the
four-county project area. The area not only provides an important migration corridor for neotropical
migratory bird species, but also provides sanctuary for a number of endangered species of plants and
animals, including the piping plover, northern aplomado falcon, ocelot, and jaguarandi.</t>
  </si>
  <si>
    <t>O&amp;M: The Service anticipates minimal expenses beyond an initial $10,000 for signage and posting of
easement acreage which the Service would fund from Refuge System base funding.</t>
  </si>
  <si>
    <t>Upper Mississippi River Nw&amp;Fr</t>
  </si>
  <si>
    <t>MN-1, IA-1 IA-4
IL-16, IL-17,WI-3</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</si>
  <si>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Minnesota Department of Natural Resources (DNR), Wisconsin DNR, Iowa DNR, Illinois DNR, and
Friends of the Upper Mississippi Refuge.
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
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t>
  </si>
  <si>
    <t>O&amp;M: The Service estimates an initial cost of $10,000 for restoration and enhancement work (spraying,
mowing, burning, and fencing supplies and signage) which the Service would fund from Refuge base
funding.</t>
  </si>
  <si>
    <t>Waccamaw NWR</t>
  </si>
  <si>
    <t>Horry, Georgetown, and Marion</t>
  </si>
  <si>
    <t>Purpose of Acquisition: To preserve and protect bottomland hardwood forest providing habitat for
colonial nesting birds, neotropical birds, wintering waterfowl, and old-growth pine communities supporting
populations of red-cockaded woodpeckers.
Project Cooperators: The Nature Conservancy, Waccamaw Audubon Society, National Fish and Wildlife
Foundation, Town and Country Garden Club, SEEWEE Association, Historic Ricefields, South Carolina
Department of Transportation, and South Carolina Coastal Conservation League.
Project Description: Funding would acquire fee title to three tracts comprising approximately 500 acres.
Acquisition of these tracts would protect the upper watershed of a unique black water seep that runs into the
Refuge and is important to several rare salamander species found in only a few isolated locations in Horry
County, South Carolina. These properties offer a diverse wetland and open lake complex that, if properly
managed, would provide important foraging habitat for federally-endangered wood storks, which have a
rookery less than a mile from the tract, and other wintering waterfowl. With this funding, the Service
would continue acquisition of approximately 200 lots owned by willing sellers in the Paradise Point
subdivision on Sandy Island. The lots would be allowed to revert back to tidal freshwater wetland and
forested habitats to protect water quality and prevent erosion on the south side of Sandy Island.</t>
  </si>
  <si>
    <t>Ernest F. Hollings ACE Basin NWR</t>
  </si>
  <si>
    <t xml:space="preserve">Charleston, Beaufort, Colleton, and Hampton </t>
  </si>
  <si>
    <t>Purpose of Acquisition: To protect and enhance habitat that is used extensively by endangered species,
wading birds, shorebirds, migratory waterfowl, raptors, and other migratory birds.
Project Cooperators: Ducks Unlimited and The Nature Conservancy.
Project Description: Funding would allow the Service to acquire 582 fee acres of the last-remaining
inholdings on Jehossee Island. The acquisition would protect the habitat of several migratory, endangered,
and threatened species including the peregrine falcon, Eskimo curlew, and leatherback, Kemp’s ridley, and
hawksbill sea turtles. The Refuge helps protect the largest undeveloped estuary along the Atlantic coast
with rich bottomland hardwood and fresh and salt water marsh, which offer food and cover to at least 17
species of waterfowl, such as pintail, mallard, wood ducks, as well as bald eagles, wood storks, herons,
egrets, and ibis.</t>
  </si>
  <si>
    <t>San Joaquin River NWR</t>
  </si>
  <si>
    <t>Purpose of Acquisition: To protect native grasslands and wetlands essential for long-term survival of the
Aleutian Canada goose. It will also protect a large piece of riparian habitat valuable to a variety of wildlife
species.
Project Cooperators: State of California CALFED Bay Delta Grant Program
Project Description: Funds would acquire 482 acres in a perpetual conservation easement. The property
is predominantly native, irrigated pasture. The biggest threat is residential development and the conversion
from grasslands and wetlands habitat to croplands, orchards, or dairy operations that provide little or no
benefit to wildlife. The acquisition of this perpetual conservation easement would provide long-term
viability to the grassland and wetland ecosystem and provide a safe haven for migratory birds and other
wildlife species.</t>
  </si>
  <si>
    <t>Purpose of Acquisition: To protect an important wintering area for the Pacific Flyway waterfowl
populations.
Project Cooperators: State of California
Project Description: Funds would acquire eight perpetual conservation easements on approximately 1,415
total acres. These properties are predominantly low-lying irrigated pasture. The biggest threat is residential
development and the conversion from grasslands, wetlands, and riparian habitat to croplands, orchards, or
dairy operations that provide little or no benefit to wildlife. The acquisition of these perpetual conservation
easements would provide long-term</t>
  </si>
  <si>
    <t>Purpose of Acquisition: To provide for long-term viability of fish and wildlife habitat on a large
landscape in the Northern Continental Divide Ecosystem. These conservation easements would preserve
habitat with existing ecosystem functions and maintain traditional rural economies for future generations.
Project Cooperators: The Nature Conservancy, The Conservation Fund, Montana Fish, Wildlife and
Parks, Teton County Commission, Pondera County Commission, Lewis &amp; Clark County Commission,
Montana Wilderness Association, and Montana Audubon Society.
Project Description: Funds would acquire 19,277 acres in permanent conservation easement. The
properties border existing protected lands (either Service or TNC easements or other Federal lands) and
provide important habitat for grizzly bears and grassland-dependent species including migratory birds.
The Rocky Mountain Front is considered by experts to be one of the best intact ecosystems remaining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</si>
  <si>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O&amp;M: The Service estimates annual costs of $4,000 for maintenance of the new acquisitions, mainly for
easement enforcement, which the Service would fund from Refuge System base funding.</t>
  </si>
  <si>
    <t>Everglades Headwaters NWR/CA</t>
  </si>
  <si>
    <t>Reprogramming</t>
  </si>
  <si>
    <t>Purpose of Acquisition:  To protect, restore, and conserve habitat for 278 federal and state listed species, the headwaters, groundwater recharge and watershed, and improve water quantity and quality in the Everglades Watershed.</t>
  </si>
  <si>
    <t>O&amp;M: Startup would include salary, vehicles, office rental and miscellaneous supplies estimated at $500,000.</t>
  </si>
  <si>
    <t>Purpose of Acquisition:  To protect wildlife habitats of native grassland and associated wetlands located in the Prairie Pothole Region.</t>
  </si>
  <si>
    <t>O&amp;M: Annual compliance over-flights.</t>
  </si>
  <si>
    <t>Purpose of Acquisition:  To foster environmental awareness and outreach programs and develop an informed and involved citizenry that will support fish and wildlife conservation.</t>
  </si>
  <si>
    <t xml:space="preserve">O&amp;M: Initial costs would include initial posting and miscellaneous fencing of the boundaries.
</t>
  </si>
  <si>
    <t xml:space="preserve"> </t>
  </si>
  <si>
    <t>Purpose of Acquisition:  To acquire slash pine and shrub bog flatwood communities which are important components of the vast adjoining upland and estuarine systems.
Project Cooperators: The Nature Conservancy, the Trust for Public Land, and the St. Marks Refuge
Association.
Project Description: The Service would use funds to acquire fee title to approximately 750 acres of
property owned by TNC.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has been designated an Important Bird Area, a Land Management Research and Demonstration
Site for Longleaf Pine Ecosystems, and is a key segment of the Florida National Scenic Trail.</t>
  </si>
  <si>
    <t>Silvio O. Conte NWR</t>
  </si>
  <si>
    <t>VT at large, NH-2, MA-1, MA-2, CT-1, CT-2, CT-3</t>
  </si>
  <si>
    <t>Purpose of Acquisition: To protect fisheries and wildlife resources and provide public access to refuge
lands.
Project Cooperators: Trust for Public Lands and The Nature Conservancy
Project Description: The Service would use funds to acquire fee title for tracts in the Fort River division
from private land owners, TPL, or the TNC that would contribute to the protection of a large grassland
project. Recovery and long-term viability of habitats for the upland sandpiper, dwarf wedge mussel, and
many fish species, rely on the longest, unobstructed tributary to the Connecticut River in Massachusetts.
Tracts in the Nulhegan Basin Division of the northern boreal forest and associated wetland complex and
tracts in the</t>
  </si>
  <si>
    <t>MN-1, IA-1, IA-4, IL-16, IL-17, WI-3</t>
  </si>
  <si>
    <t>Purpose of Acquisition: To protect, restore, and manage grassland and wetland habitat for migratory
birds, including waterfowl, resident wildlife, and public recreation.
Project Cooperators: U.S. Army Corps of Engineers, Ducks Unlimited, The Nature Conservancy,
Minnesota Department of Natural Resources (DNR), Wisconsin DNR, Iowa DNR, Illinois DNR, Friends
of the Upper Mississippi Refuge.
Project Description: The Service would use funds to acquire fee title of approximately 625 acres in the
Upper Mississippi National Wildlife and Fish Refuge from private landowners. The Refuge consists of
wooded islands, sandbars, deep water, wet meadows and other wetlands. The Refuge extends 260 miles
down the Mississippi River.
The Refuge is a critical feeding and resting corridor for waterfowl and other birds in the Mississippi
Flyway. Up to 500,000 canvasback ducks and 30,000 tundra swans use portions of the Refuge during
migration. A wide variety of other wildlife species are also present, including 306 bird, 119 fish, 42
mussel, and 45 reptile and amphibian. The Refuge is important habitat for the Federally endangered
Higgins' Eye pearly mussel. The numerous and extensive wetland complexes in the Refuge perform
many functions, such as flood control and nutrient recycling.</t>
  </si>
  <si>
    <t>O&amp;M Costs: Annual costs would be approximately $7,000 for initial restoration and enhancement work,
which the Service would fund out of Refuge System base funding.</t>
  </si>
  <si>
    <t>Purpose of Acquisition: To protect existing native, subtropical brush lands and protect, enhance and
restore other adjacent lands to protect the diverse biotic communities of the Lower Rio Grande Valley.
Project Cooperators: The Nature Conservancy, The Conservation Fund, National Audubon Society,
Ducks Unlimited, North American Butterfly Association
Project Description: The funding would be used to acquire fee title to four tracts of land, comprising an
estimated 1,401 acres, from willing sellers. These tracts of land comprise the best lands for the refuge
that are available for acquisition. The project area has 11 distinct biotic communities, which provide
habitat for resident and migrating species of birds, butterflies and mammals. Almost 400 species of birds
and 300 species of butterflies have been noted in the four county project area. The project also has over
1,100 species of plants. The area not only provides an important migration corridor for neo-tropical
migratory bird species, but it also provides sanctuary for a number of endangered species of plants and
animals. The latter include the piping plover, northern aplomado falcon, ocelot and jaguarandi.
The tracts would provide recreational opportunities for hunting, fishing, and bird watching.</t>
  </si>
  <si>
    <t>Purpose of Acquisition: To protect the northern tallgrass prairie ecosystem and associated wildlife
species.
Project Cooperators: The Nature Conservancy and the local community
Project Description: This project makes exclusive use of grassland easements to protect 190,000 acres
of tallgrass prairie in the Dakotas. The project would protect a maximum 5,000 acres of remaining native
prairie within northeastern Brown County, South Dakota, and an additional 185,000 acres identified in a
large project boundary of eastern South Dakota and southeast North Dakota. Protection of the prairie
would be accomplished through the acquisition of perpetual grassland easements from willing sellers.</t>
  </si>
  <si>
    <t>O &amp; M: A minimal amount of resources would be needed for annual compliance over-flights, estimated
at less than $1,000, which would be funded out of Refuge System base funding.</t>
  </si>
  <si>
    <t>North Dakota WMA</t>
  </si>
  <si>
    <t xml:space="preserve">ND-AL  </t>
  </si>
  <si>
    <t>Purpose of Acquisition: Purchase perpetual easements to protect native grassland and associated
wetlands ecosystem located in the crucial wildlife habitat area of the Prairie Pothole Region (PPR).
Project Cooperators: North Dakota Game &amp; Fish Department, North Dakota Natural Resources Trust,
Ducks Unlimited, and TheNature Conservancy. Landowner interest remains strong.
Project Description: The requested funds would allow the Service to acquire 14,286 acres in fee title
from multiple owners for perpetual easements and allow the land to remain in native grassland to keep the
ecosystem intact. There is a backlog of over 100 willing sellers to keep land in native grassland habitat.
The Prairie Pothole Region (PPR) ecosystem contains native mixed-grass prairie intermingled with high
densities of temporary, semi-permanent and permanent wetlands and supports some of the highest
breeding waterfowl and shorebird populations in North America, including the endangered piping plover.
The grassland easement prevents the conversion of grassland and primarily focuses on large blocks of
native grassland habitat. This landscape level ecosystem protection maintains the natural habitat,
provides long-term viability, and improves its health for the benefit of wildlife and people; while at the
same time allows private ownership with restricted uses.
Habitat fragmentation remains the greatest threat to PPR habitat. Conversion of grassland to cropland for
bio-fuels production and loss of Conservation Reserve Program acres diminishes the natural function of
the PPR ecosystem and its productivity for wildlife. Grassland loss rates in some areas have reached two
percent a year. With the protection afforded by perpetual grassland easements, this highly productive yet
fragile ecosystem would remain intact, preserving habitat where biological communities can flourish.</t>
  </si>
  <si>
    <t>O &amp; M: The Service anticipates spending a minimal amount for annual compliance over-flights,
estimated at less than $2,000 per year, which the Service would fund out of Refuge System base funding.</t>
  </si>
  <si>
    <t>Blackwater NWR</t>
  </si>
  <si>
    <t>MD-1</t>
  </si>
  <si>
    <t>Dorchester</t>
  </si>
  <si>
    <t>Purpose of Acquisition: To protect high quality habitat for the threatened American bald eagle,
Delmarva fox squirrel and other endangered species, along with nesting and wintering habitat for
migratory waterfowl, colonial waterbirds, shorebirds, and forest interior dwelling bird species.
Project Cooperators: The Conservation Fund
Project Description: The requested funds of $2,500,000 for FY 2011 would provide the refuge with fee
title to the remainder of the funding needed for a 1,065-acre tract in the area of the Refuge referred to as
Russell Swamp and two parcels on the northern border of the Refuge boundary totaling 450 acres. These
tracts consist mainly of forested wetlands interspersed with tidal waters, ponds and marsh. Both these
areas provide excellent habitat for migratory birds, such as Osprey, Black and Wood Ducks, Canada
Geese, marsh and water birds, the Bald Eagle, as well as foraging opportunities for the Peregrine Falcon.
It is also excellent habitat for the endangered Delmarva fox squirrel.
The areas are important to Federal and state endangered and threatened species and many migratory bird
species. Acquisition of these areas would also expand opportunities for wildlife-dependent forms of
public recreation.</t>
  </si>
  <si>
    <t>Purpose of Acquisition: To preserve and protect bottomland hardwood forest providing habitat for
colonial nesting birds, Neotropical birds, wintering waterfowl, and old growth pine communities
supporting populations of red-cockaded woodpeckers.
Project Cooperators: The Nature Conservancy, Waccamaw Audubon Society, National Fish and
Wildlife Foundation, Town and Country Garden Club, SEEWEE Association, Historic Ricefields, SC
Department of Transportation and South Carolina Coastal Conservation League.
Project Description: Funding would allow the Refuge to complete the multiple year fee title acquisition,
of the Long Tract. This tract would allow the Refuge to protect the upper watershed of a unique black
water seep that runs into the Refuge and is important to several rare salamander species found in only a
few isolated locations in Horry County, South Carolina. This property also offers a diverse wetland and
open lake complex that, if managed, can provide important foraging habitat for the Federally endangered
wood storks, which have a rookery less than a mile from the tract, as well as for other wintering
waterfowl. In addition, this funding would allow the refuge to continue acquisition of approximately 200
lots in the Paradise Point subdivision on Sandy Island, which are individually owned by willing sellers.
The lots would then be allowed to revert to tidal freshwater wetland and forested habitats for the
protection of water quality and erosion on the south side of Sandy Island.</t>
  </si>
  <si>
    <t>Purpose of Acquisition: To protect native grasslands and wetlands essential for the long-term survival of
the Aleutian Canada goose. It would also protect a large piece of riparian habitat valuable to a variety of
wildlife species.
Project Cooperators: State of California CALFED Bay Delta Grant Program
Project Description: The Service would use funds to acquire a conservation easement on two tracts
consisting of approximately 208 acres, from private landowners. These properties are predominantly
native, irrigated pasture and would be protected by means of a perpetual conservation easement. The
biggest threat to this habitat is residential development and the conversion from grasslands and wetlands
habitat to croplands, orchards, or dairy operations that would provide little or no benefit to wildlife. The
acquisition of these properties would provide long-term viability to the grassland and wetland ecosystem
as well as provide a safe haven for migratory birds and other wildlife species.</t>
  </si>
  <si>
    <t>San Bernard NWR-Austin's Woods Unit</t>
  </si>
  <si>
    <t>TX-14</t>
  </si>
  <si>
    <t>Brazoria, Fort Bend, Matagorda and Wharton Counties</t>
  </si>
  <si>
    <t>Purpose of Acquisition: To protect important remnant bottomland hardwood and associated habitats for
migrating, wintering and breeding waterfowl.
Project Cooperators: The Trust for Public Land, The National Fish and Wildlife Foundation, The
Nature Conservancy, various foundations, and corporations
Project Description: The funding would provide for acquisition of 1,844 acres of prime land from
within a larger parcel of 4,471 acres of wetland area, known as Eagle Nest Lake. The acquisition of fee
simple title of this tract directly supports a productive and valuable wetland complex providing wintering,
wading birds, Neotropical migratory birds and other wetland dependent wildlife species. Thousands of
waterfowl winter in the area, including mottled ducks, mallards, pintails, gadwalls, widgeons, Northern
shovelers, blue and green-winged teal, black bellied whistling ducks, and ruddy ducks. The proposed
acquisition is within the Mid-Coast initiative of the Gulf Coast Joint Venture of the North American
Waterfowl Management Plan.</t>
  </si>
  <si>
    <t>O&amp;M: The Service estimates O &amp; M costs at $10,000 per year, which the Service would fund out of
Refuge System base funding. The bottomland habitat listed for acquisition does not require extensive
management. Costs would be mainly for boundary posting and maintenance.</t>
  </si>
  <si>
    <t>Purpose of Acquisition: To provide for long-term viability of fish and wildlife habitat on a large
landscape basis in the Northern Continental Divide Ecosystem. These conservation easements would
preserve habitat where existing biological communities are functioning well and maintain the traditional
rural economies for present and future generations.
Project Cooperators: The Nature Conservancy, The Conservation Fund, Montana Fish, Wildlife and
Parks, Teton County Commission, Pondera County Commission and Lewis &amp; Clark County Commission,
Montana Wilderness Association, and Montana Audubon Society.
Project Description: The Service would use the requested funds to acquire conservation easements on
five tracts totaling 17,545 acres. Each of these properties border existing protected lands (either Service
or TNC easements or other Federal lands) and include important habitat for grizzly bears and other
grassland dependent species including migratory birds.
The Rocky Mountain Front is considered by experts to be one of the best remaining intact, ecosystems
left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</si>
  <si>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 &amp; M: Within the base funding for the Refuge System, the Service would use approximately $2,000 for
annual maintenance of the new acquisitions, mainly for easement enforcement.</t>
  </si>
  <si>
    <t>Purpose of Acquisition: To protect important wintering area for the Pacific Flyway waterfowl
populations.
Project Cooperators: State of California
Project Description: The Service would use funds to acquire fee title for five tracts consisting of
approximately 1,648 acres. These properties are predominantly low lying, with a portion of, irrigated
pasture and the Service would protect them by means of a perpetual conservation easement. The biggest
threat is residential development and the conversion from grasslands, wetlands, and riparian habitat to
croplands, orchards, or dairy operations that would provide little or no benefit to wildlife. The acquisition
of these properties would provide long-term viability to the grassland ecosystem as well as provide a safe
haven for migratory birds and other wildlife species.</t>
  </si>
  <si>
    <t>O &amp; M: The Service would spend a minimal amount for easement monitoring and inspections, estimated
at less than $10,000 per year, which the Service would fund out of Refuge System base funding.</t>
  </si>
  <si>
    <t>Balcones Canyonlands NWR</t>
  </si>
  <si>
    <t>TX-21</t>
  </si>
  <si>
    <t>Travis, Burnet, Williamson</t>
  </si>
  <si>
    <t>Purpose of Acquisition: To protect essential habitat for 2 endangered neotropical migratory bird
species, endangered cave dwelling invertebrates and important riparian habitat in one of the Nation’s
unique and biologically diverse areas. The project area is one of the fastest growing and developing areas
in the country and these remnant habitats are eminently threatened by development.
Project Cooperators: The Nature Conservancy, Trust for Public Land
Project Description: Purchase fee title of this 750-acre tract would protect essential habitat for
preservation of endangered species, particularly the Golden-cheeked warbler. This is an area of very high
development and is one of the last large remaining ranches that could be obtained to protect the
endangered species and their habitat. The Edwards Plateau is internationally recognized for its unique
flora, fauna, and karst systems. It has the highest level of plant endemism of any ecoregion in Texas and
ranks third in number of rare plants, with 100 of the 400 Texas endemic plants occurring in that region
two endangered species, the Golden-cheeked warbler and the Black-capped Vireo nest in Central Texas in
this area. This is an opportunity for purchase of great importance.</t>
  </si>
  <si>
    <t>O &amp; M: The estimated annual operation and maintenance cost associated with this acquisition is $1,000,
which the Service would fund out of Refuge System base funding. Minimal costs might include fencing,
posting and staking.</t>
  </si>
  <si>
    <t>Purpose of Acquisition: To resume the U. S. Fish and Wildlife Service’s (Service) participation in an
extremely successful federal, state and local land conservation partnership.
Project Cooperators: State of California and Trust for Public Lands
Project Description: The San Diego National Wildlife Refuge (NWR) was established to protect and
manage key habitat for several endangered, threatened, and rare species, and to provide a Federal
contribution to the regional Multiple Species Conservation Plan (MSCP). The funding would provide for
the acquisition of fee title for four tracts consisting of approximately 80 acres. The acquisition of these
lands would continue the Service’s efforts to cooperate with more than a dozen local jurisdictions, the
California Department of Fish and Game, and many private landowners to permanently protect 172,000
acres of natural habitat within a 582,000-acre planning area. This partnership would assist in the recovery
efforts of listed species by restoring habitat on acquired lands and provide wildlife experiences and
environmental education opportunities for nearly 3 million people that live in the area. Refuge land
acquisitions not only help meet Federal, State and local natural resource goals, but may also reduce the
need for additional listings under the Federal and State Endangered Species Acts.</t>
  </si>
  <si>
    <t>O &amp; M Costs: The Service estimates that the annual costs and any associated restoration costs would be
$197,500, which the Service would fund out of Refuge System base funding.</t>
  </si>
  <si>
    <t>Upper Ouachita NWR</t>
  </si>
  <si>
    <t>LA-5</t>
  </si>
  <si>
    <t>Morehouse Parish</t>
  </si>
  <si>
    <t>Purpose of Acquisition: To preserve wintering habitat for mallards, pintails and wood ducks, and to
contribute to the goals of the Lower Mississippi River Valley Ecosystem, the North American Waterfowl
Management Plan and the Red-cockaded Woodpecker Recovery Plan.
Project Cooperators: None at this time.
Project Description: Funding would provide for the fee title acquisition of approximately 1,200 acres
of land, a portion of a 3,875-acre tract that the Service has leased since 1997. Currently the property is
cropland in rice production. Acquisition and management of this property would contribute to the goals
of the refuge through the management of habitat for migratory waterfowl, neotropical migratory birds and
other wildlife. This property is contiguous to approximately 13,000 acres of refuge lands, which lie east
of the Ouachita River. Acquisition of this tract would provide additional habitat for large numbers of
wintering waterfowl, which visit this refuge annually.</t>
  </si>
  <si>
    <t>Umbagog NWR (Lake Umbagog National Wildlife Refuge)</t>
  </si>
  <si>
    <t>NH, ME</t>
  </si>
  <si>
    <t>NH-2, ME-2</t>
  </si>
  <si>
    <t>Coos County New Hampshire and Oxford County Maine</t>
  </si>
  <si>
    <t>Purpose of Acquisition: To protect fisheries and wildlife resources and provide public access to refuge
lands.
Project Cooperators: Trust for Public Lands
Project Description: The proposed addition of 2,000 acres of fee title purchased from private
landowners includes forested, shrub, and bog-like wetlands dominated by spruce, fir, and alder, several
beaver ponds with associated marsh and wet meadow, and adjacent cut-over forestland in various stages
of regrowth. The Lake Umbagog NWR project area focuses on one of the largest freshwater wetland
complexes in New England. The lake and tributaries are bordered by extensive palustrine, lacustrine, and
riverine wetlands recognized as some of the finest wildlife habitat in New Hampshire and Maine, and
designated a priority North American Waterfowl Management Plan site. Wildlife values include
waterfowl production and migration habitat, with a large amount of forested wetland important for black
ducks and cavity nesters such as wood ducks, common goldeneye, and common and hooded mergansers.
Ring-necked ducks, blue- and green-winged teal, and mallards also nest here, and the refuge functions as
a staging area during migration for scaup, scoters, Canada geese, and others. The first bald eagle nest in
New Hampshire since 1949 is located here, and the area is noted for its high density of nesting ospreys.</t>
  </si>
  <si>
    <t>Purpose of Acquisition: To protect forested bluffs above the river shore that support high densities of
eagles. To provide nesting and roosting habitat for bald eagles, waterfowl and other migratory birds.
Project Cooperators: The Conservation Fund, Trust for Public Land, Chesapeake Bay Foundation.
Project Description: The requested funds of $1,000,000 for FY 2011 would allow the fee acquisition of
a portion of a parcel in the Fones Cliff area of the Rappahannock River. Fones Cliff area is listed among
the highest priorities for conservation in the Land Protection Plan. These forested bluffs reach heights of
nearly 100 feet above the river shore and support high concentrations of bald eagles throughout the year.
Surveys conducted by boat during winter months show the highest densities of eagles, ranging from 141
to 395 eagles along a 30-mile stretch, with Fones Cliff consistently supporting dozens of birds.
Many other migratory bird species use the forests, swamps, and steep ravines found on the property,
several of which are listed as species of conservation concern by the Service or the Commonwealth of
Virginia. They include Louisiana waterthrush, ovenbird, prothonotary warbler, Kentucky warbler,
worm-eating warbler, yellow-throated vireo, wood thrush, scarlet tanager, chuck-will’s widow and whippoor-
will, all of which are confirmed breeders on the refuge.</t>
  </si>
  <si>
    <t>O &amp; M: The Service estimates annual O&amp;M costs at $1,000 for Service signage, boundary markings, and
fencing if applicable, which the Service would fund out of Refuge System base funding.</t>
  </si>
  <si>
    <t>Bear River MBR</t>
  </si>
  <si>
    <t>UT-1</t>
  </si>
  <si>
    <t>Box Elder</t>
  </si>
  <si>
    <t>Purpose of Acquisition: To protect migratory waterfowl habitat and delta wetlands. Migratory birds,
waterfowl, shorebirds, as well as resident wildlife, depend on the refuge for feeding, breeding, and as a
staging area. The refuge serves a vital role in the Bear River delta ecosystem by protecting, developing
and managing over 41,000 acres of wetlands.
Project Cooperators: Trust for Public Lands, Western Rivers Conservancy, Ducks Unlimited, Friends
of the Bear River Migratory Bird Refuge.
Project Description: The requested funds would partially fund acquisition of fee title of 500 acres from
a 700-acre tract owned by a private landowner with an appraised value of $2,100,000. The property
features large wetlands, marshland, grasslands, riparian areas and grain fields that would benefit
migratory birds and shore birds. Water rights are included in the acquisition. The property is an
important part of the Refuge’s marshland ecosystem and would allow for more efficient use of water
resources on adjacent Refuge lands, as well as long-term viability and health of wildlife habitat. The area
is important to migratory bird species using both the Central and Pacific flyways, conserving habitat
where biological communities would flourish.</t>
  </si>
  <si>
    <t>O &amp; M: The Service would spend a minimal amount for boundary posting and signage, estimated at less
than $10,000 per year, which the Service would fund out of Refuge System base funding.</t>
  </si>
  <si>
    <t>earmark</t>
  </si>
  <si>
    <t>(complete if known)</t>
  </si>
  <si>
    <t>Edwin B. Forsythe NWR</t>
  </si>
  <si>
    <t>NJ-2</t>
  </si>
  <si>
    <t>Atlantic, Ocean</t>
  </si>
  <si>
    <t>Purpose of Acquisition: To protect long term viability of habitat important to Atlantic brant and other waterfowl and waterb irds.</t>
  </si>
  <si>
    <t>Canaan Valley NWR</t>
  </si>
  <si>
    <t>WV-1</t>
  </si>
  <si>
    <t>Tucker</t>
  </si>
  <si>
    <t>Row Labels</t>
  </si>
  <si>
    <t>Grand Total</t>
  </si>
  <si>
    <t>Total All Sources</t>
  </si>
  <si>
    <t>Sum of Enacted</t>
  </si>
  <si>
    <t>Sum of Enacted Acres</t>
  </si>
  <si>
    <t>FL; GA</t>
  </si>
  <si>
    <t>GA; SC</t>
  </si>
  <si>
    <t>Multi-state projects:</t>
  </si>
  <si>
    <t>* Highlands Conservation Grants</t>
  </si>
  <si>
    <t>Not captured in state-by-state total</t>
  </si>
  <si>
    <t>Listed as Grants; not captured in state-by-state total for federal LA</t>
  </si>
  <si>
    <t>Field</t>
  </si>
  <si>
    <t>Congress Dist.</t>
  </si>
  <si>
    <t>Congressional Districts may represent the districts that fall in the federal unit and are not specific to the location of the proposed acquisition.</t>
  </si>
  <si>
    <t>May represent states that fall under the federal unit and are not specific to the location of the proposed acquisition.</t>
  </si>
  <si>
    <t>Collaborative Landscape Proposals (CLP) were incorporated into the budget proposal process starting in FY2013.</t>
  </si>
  <si>
    <t xml:space="preserve">The amount of funds requested in the PDS. </t>
  </si>
  <si>
    <t>Does not represent ranking number.</t>
  </si>
  <si>
    <t>Disclaimer:</t>
  </si>
  <si>
    <t>About the Data:</t>
  </si>
  <si>
    <t>Other:</t>
  </si>
  <si>
    <t xml:space="preserve">Federal land acquisition data was complied by directly copying and pasting information from the DOI project data sheets included in bureau budget greenbooks, and from enacted funding bills. Data was complied from April 2014 to April 2016. Data were reviwed and corrected where necessary by bureau realty division staff and DOI budget office staff. Grant data was provided by grant program offices. </t>
  </si>
  <si>
    <t xml:space="preserve">This inventory provides a general index of funding requested and enacted for LWCF projects and does not represent a completed list of accomplishments. It excludes specifics that fall under such categories as emergency and hardships cases and some earmarks. In addition, it will not note situations such as when a willing seller has had change of heart and funds are used elsewhere within a unit.  </t>
  </si>
  <si>
    <t xml:space="preserve">For projects listing more than one state, a proportionate amount of total enacted funding was included in each state's total. </t>
  </si>
  <si>
    <t>TOTALS</t>
  </si>
  <si>
    <t>Check multi-state total</t>
  </si>
  <si>
    <t>Reference only: Check totals</t>
  </si>
  <si>
    <t>Grant Number</t>
  </si>
  <si>
    <t>Fiscal Year</t>
  </si>
  <si>
    <t>Element Name</t>
  </si>
  <si>
    <t>Grant Status</t>
  </si>
  <si>
    <t>Obligation Amount</t>
  </si>
  <si>
    <t>Grant Type</t>
  </si>
  <si>
    <t>Sponsor Name</t>
  </si>
  <si>
    <t>Project Description</t>
  </si>
  <si>
    <t>Park Name</t>
  </si>
  <si>
    <t>Park County</t>
  </si>
  <si>
    <t>Park CD.</t>
  </si>
  <si>
    <t>Park Total Acres</t>
  </si>
  <si>
    <t>TANANA LAKES RECREATION AREA: PHASE 3</t>
  </si>
  <si>
    <t>A</t>
  </si>
  <si>
    <t>D</t>
  </si>
  <si>
    <t>BOROUGH OF FAIRBANKS NORTH STAR</t>
  </si>
  <si>
    <t>TANANA LAKES RECREATION AREA</t>
  </si>
  <si>
    <t>FAIRBANKS NORTH STAR</t>
  </si>
  <si>
    <t>SKATER'S LAKE PARK</t>
  </si>
  <si>
    <t>METLAKATLA INDIAN COMMUNITY</t>
  </si>
  <si>
    <t>PRINCE OF WALES HYDER</t>
  </si>
  <si>
    <t>JOHNSON LAKE SRA WEST CAMGROUND UPGRADE</t>
  </si>
  <si>
    <t>R</t>
  </si>
  <si>
    <t>ALASKA DIVISION OF PARKS</t>
  </si>
  <si>
    <t>Develop the West campground loop road with 14 new campsites. Create gravel trails and a group camp site. Install gate and barrier rocks, relocate toilet, and improve the boat launch area.</t>
  </si>
  <si>
    <t>JOHNSON LAKE STATE RECREATION AREA</t>
  </si>
  <si>
    <t>KENAI PENINSULA</t>
  </si>
  <si>
    <t>SELDOVIA WILDERNESS PARK UPGRADE AND EXPANSION</t>
  </si>
  <si>
    <t>CITY OF SELDOVIA</t>
  </si>
  <si>
    <t>SELDOVIA WILDERNESS PARK</t>
  </si>
  <si>
    <t>FINGER LAKE SRA: PHASE 2</t>
  </si>
  <si>
    <t>FINGER LAKE STATE RECREATION AREA</t>
  </si>
  <si>
    <t>Matanuska Susitna</t>
  </si>
  <si>
    <t>KAREN HORNADAY HILLSIDE PARK IMPROVEMENTS</t>
  </si>
  <si>
    <t>CITY OF HOMER</t>
  </si>
  <si>
    <t>Improve drainage and trail/road access within park and campground, develop a new day use area, establish a campground host site, and install ADA-accessible sites.</t>
  </si>
  <si>
    <t>KAREN A HORNADAY HILLSIDE PARK</t>
  </si>
  <si>
    <t>Kenai Peninsula</t>
  </si>
  <si>
    <t>PINKY'S PARK</t>
  </si>
  <si>
    <t>CITY OF BETHEL</t>
  </si>
  <si>
    <t xml:space="preserve">Improve a previously 6(f)-protected 21- acre park in Bethel, AK with a new multi-purpose sports field and associated short driveway / small parking lot; a new “high tunnel” (green house) for the community garden; site furnishings; extensions of the existing boardwalk and on-ground trail network ; and installation of several viewing/exercise platforms scattered along the trails. The grant envisions expanding the current 21 acre 6(f) boundary by five acres on the west/northern boundaries. </t>
  </si>
  <si>
    <t>Bethel</t>
  </si>
  <si>
    <t>FINGER LAKE SRA: PHASE 3</t>
  </si>
  <si>
    <t>ALASKA DIVISION OF PARKS AND OUTDOOR RECREATION</t>
  </si>
  <si>
    <t>Re-align the existing campground road, refurbish existing campsites, and develop new campground extension loop and trail.</t>
  </si>
  <si>
    <t>CHEROKEE LITTLE ROCK CITY PARK DEVELOPMENT PHASE I</t>
  </si>
  <si>
    <t>C</t>
  </si>
  <si>
    <t>CHEROKEE COUNTY</t>
  </si>
  <si>
    <t>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t>
  </si>
  <si>
    <t>LITTLE ROCK CITY PARK</t>
  </si>
  <si>
    <t>CHEROKEE</t>
  </si>
  <si>
    <t>A&amp;F RAILWAY CORRIDOR ACQUISITION</t>
  </si>
  <si>
    <t>CITY OF GENEVA</t>
  </si>
  <si>
    <t>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t>
  </si>
  <si>
    <t>ALABAMA-FLORIDA RAIL TRAIL</t>
  </si>
  <si>
    <t>GENEVA</t>
  </si>
  <si>
    <t>OAK MOUNTAIN STATE PARK</t>
  </si>
  <si>
    <t>SHELBY COUNTY</t>
  </si>
  <si>
    <t>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"back country" experience in the park for the disabled.</t>
  </si>
  <si>
    <t>SHELBY</t>
  </si>
  <si>
    <t>LAKE GUNTERSVILLE STATE PARK IMPROVEMENTS</t>
  </si>
  <si>
    <t>AL DEPT OF CONSERVATION &amp; NAT RESOURES STATE PARKS DIV</t>
  </si>
  <si>
    <t>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t>
  </si>
  <si>
    <t>LAKE GUNTERSVILLE STATE PARK</t>
  </si>
  <si>
    <t>MARSHALL</t>
  </si>
  <si>
    <t>TOP TRAILS PARK ACCESS ROAD DEVELOPMENT</t>
  </si>
  <si>
    <t>PUBLIC PARK AUTHORITY</t>
  </si>
  <si>
    <t>This grant will help improve and construct the access roads at T.O.P. Park in Talladega County, Alabama. Entrance /Exit roads of the park will be graveled to make the more inviting to guests and to keep down slip and runoff.</t>
  </si>
  <si>
    <t>TOP TRAILS PARK</t>
  </si>
  <si>
    <t>TALLADEGA</t>
  </si>
  <si>
    <t>MOUNTAIN BIKE PUMP TRACK</t>
  </si>
  <si>
    <t>TUSCALOOSA COUNTY</t>
  </si>
  <si>
    <t>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t>
  </si>
  <si>
    <t>MUNNY SOKOL PARK</t>
  </si>
  <si>
    <t>TUSCALOOSA</t>
  </si>
  <si>
    <t>TROY RECREATION SPORTSPLEX PLAYGROUND DEVELOPMENT</t>
  </si>
  <si>
    <t>CITY OF TROY</t>
  </si>
  <si>
    <t>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t>
  </si>
  <si>
    <t>TROY RECREATION SPORTSPLEX</t>
  </si>
  <si>
    <t>PIKE</t>
  </si>
  <si>
    <t>PIONEER CABIN FOR PRIMITIVE CAMPING</t>
  </si>
  <si>
    <t>AL DEPT. OF CONS &amp; NATURAL RESOURCES, STATE PARKS DIVISION</t>
  </si>
  <si>
    <t>The scope of the project includes building a primitive cabin in the primitive camping area inside the park. Parking for the primitive area is already established and can be used to care for the needs of the occupants of the cabin.</t>
  </si>
  <si>
    <t>DESOTO STATE PARK</t>
  </si>
  <si>
    <t>DE KALB</t>
  </si>
  <si>
    <t>SPORTSMAN'S LAKE PARK SPLASH PAD DEVELOPMENT</t>
  </si>
  <si>
    <t>CULLMAN COUNTY COMMISSION</t>
  </si>
  <si>
    <t>This grant will fund the development of a splash pad at an existing, well-established 125+/- acres park. This will be an asset to the park as it will increase visitation to the park and does not require a life guard on duty during hours of operation.</t>
  </si>
  <si>
    <t>SPORTSMAN'S LAKE PARK</t>
  </si>
  <si>
    <t>CULLMAN</t>
  </si>
  <si>
    <t>SOUTHSIDE PARK AQUATIC PLAYGROUND DEVELOPMENT</t>
  </si>
  <si>
    <t>CITY OF PHENIX CITY</t>
  </si>
  <si>
    <t>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t>
  </si>
  <si>
    <t>SOUTHSIDE PARK</t>
  </si>
  <si>
    <t>RUSSELL</t>
  </si>
  <si>
    <t>TOWN CREEK PARK PLAYGROUND DEVELOPMENT</t>
  </si>
  <si>
    <t>TOWN OF TOWN CREEK</t>
  </si>
  <si>
    <t>Grant will help fund the installment of new playground equipment on a new rubberized playground surface at in existing 40+/- acres park in the Town of Town Creek. The playground equipment will be safe for all children and will provide public benefits for many years to come.</t>
  </si>
  <si>
    <t>TOWN CREEK PARK</t>
  </si>
  <si>
    <t>LAWRENCE</t>
  </si>
  <si>
    <t>EVERY CHILD'S PLAYGROUND</t>
  </si>
  <si>
    <t>CITY OF GUNTERSVILLE</t>
  </si>
  <si>
    <t>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t>
  </si>
  <si>
    <t>CIVITAN PARK</t>
  </si>
  <si>
    <t>LITTLE SHADES CREEK BRIDGE I</t>
  </si>
  <si>
    <t>CITY OF VESTAVIA HILLS</t>
  </si>
  <si>
    <t>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t>
  </si>
  <si>
    <t>McCALLUM PARK</t>
  </si>
  <si>
    <t>JEFFERSON</t>
  </si>
  <si>
    <t>HAYDEN COMMUNITY PARK DEVELOPMENT</t>
  </si>
  <si>
    <t>TOWN OF HAYDEN</t>
  </si>
  <si>
    <t>This grant will fund a new park (16.0± acres) in the Town of Hayden. Development will include expanding the artesian spring pond for fishing, developing a trail around the property, installing a playground, splash pad, basketball court and related support facilities.</t>
  </si>
  <si>
    <t>HAYDEN COMMUNITY PARK</t>
  </si>
  <si>
    <t>BLOUNT</t>
  </si>
  <si>
    <t>TAYLOR WALKING TRAIL PARK IMPROVEMENTS</t>
  </si>
  <si>
    <t>CITY OF TAYLOR</t>
  </si>
  <si>
    <t>Grant will fund the further development of the existing 14.517+/- acres Taylor Walking Trail Park by constructing accessible restroom facilities and a splash pad, a musch safer alternative that a pool. Visitors of all ages and abilities will benefit from this development.</t>
  </si>
  <si>
    <t>TAYLOR WALKING TRAIL PARK</t>
  </si>
  <si>
    <t>HOUSTON</t>
  </si>
  <si>
    <t>GLENCOE SPLASH PAD DEVELOPMENT</t>
  </si>
  <si>
    <t>CITY OF GLENCOE</t>
  </si>
  <si>
    <t>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t>
  </si>
  <si>
    <t>WILSON (GLENCOE CITY) PARK</t>
  </si>
  <si>
    <t>ETOWAH</t>
  </si>
  <si>
    <t>CULPEPPER PARK PLAYGROUND DEVELOPMENT-PHASE II</t>
  </si>
  <si>
    <t>CITY OF DALEVILLE</t>
  </si>
  <si>
    <t>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t>
  </si>
  <si>
    <t>R.A. CULPEPPER PARK</t>
  </si>
  <si>
    <t>DALE</t>
  </si>
  <si>
    <t>PASSIVE PARK FOR PEOPLE WITH DOGS</t>
  </si>
  <si>
    <t>CITY OF DOTHAN</t>
  </si>
  <si>
    <t>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t>
  </si>
  <si>
    <t>EASTGATE PARK</t>
  </si>
  <si>
    <t>PHIL CAMPBELL SPLASH PAD PROJECT</t>
  </si>
  <si>
    <t>TOWN OF PHIL CAMPBELL</t>
  </si>
  <si>
    <t>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t>
  </si>
  <si>
    <t>PHIL CAMPBELL SWIMMING POOL PARK</t>
  </si>
  <si>
    <t>FRANKLIN</t>
  </si>
  <si>
    <t>AUTAUGA CREEK PARK DEVELOPMENT</t>
  </si>
  <si>
    <t>CITY OF PRATTVILLE</t>
  </si>
  <si>
    <t>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t>
  </si>
  <si>
    <t>AUTAUGA CREEK PARK</t>
  </si>
  <si>
    <t>AUTAUGA</t>
  </si>
  <si>
    <t>FOUNDER'S PARK AMPHITHEATER STAGE DEVELOPMENT</t>
  </si>
  <si>
    <t>CITY OF DECATUR</t>
  </si>
  <si>
    <t>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t>
  </si>
  <si>
    <t>FOUNDERS PARK</t>
  </si>
  <si>
    <t>MORGAN</t>
  </si>
  <si>
    <t>NORTH COURTLAND COMMUNITY PARK DEVELOPMENT</t>
  </si>
  <si>
    <t>TOWN OF NORTH COURTLAND</t>
  </si>
  <si>
    <t>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t>
  </si>
  <si>
    <t>COURTLAND COMMUNITY PARK</t>
  </si>
  <si>
    <t>ASHFORD RECREATION PARK DEVELOPMENT</t>
  </si>
  <si>
    <t>CITY OF ASHFORD</t>
  </si>
  <si>
    <t>This grant will enhance the existing 9.92+/- acres recreation facilities, Ashford Recreation Park, by adding a new playground area that will include modern playground equipment, benches and a pavilion with picnic tables.</t>
  </si>
  <si>
    <t>ASHFORD RECREATION PARK</t>
  </si>
  <si>
    <t>PALISADES PARK AMPHITHEATER RENOVATION</t>
  </si>
  <si>
    <t>BLOUNT COUNTY COMMISSION</t>
  </si>
  <si>
    <t>This grant will be used to renovate an existing 80 person amphitheater at Palisades Park. This project will help on the demand for providing outdoor activities by making the amphitheater more safe for use.</t>
  </si>
  <si>
    <t>PALISADES PARK</t>
  </si>
  <si>
    <t>FAIRHOPE MUNICIPAL PARK UPGRADES</t>
  </si>
  <si>
    <t>CITY OF FAIRHOPE</t>
  </si>
  <si>
    <t>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t>
  </si>
  <si>
    <t>FAIRHOPE MUNICIPAL PARK</t>
  </si>
  <si>
    <t>BALDWIN</t>
  </si>
  <si>
    <t>IDER TOWN PARK PLAYGROUND IMPROVEMENTS</t>
  </si>
  <si>
    <t>TOWN OF IDER</t>
  </si>
  <si>
    <t>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t>
  </si>
  <si>
    <t>IDER TOWN PARK</t>
  </si>
  <si>
    <t>LOCUST FORK TOWN PARK IMPROVEMENTS</t>
  </si>
  <si>
    <t>TOWN OF LOCUST PARK</t>
  </si>
  <si>
    <t>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t>
  </si>
  <si>
    <t>LOCUST FORK PARK</t>
  </si>
  <si>
    <t>BRINDLEY MOUNTAIN PARK IMPROVEMENTS</t>
  </si>
  <si>
    <t>MORGAN COUNTY COMMISSION</t>
  </si>
  <si>
    <t>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t>
  </si>
  <si>
    <t>BRINDLEY MOUNTAIN PARK</t>
  </si>
  <si>
    <t>COALING TOWN PARK SPLASH PAD</t>
  </si>
  <si>
    <t>TOWN OF COALING</t>
  </si>
  <si>
    <t>The Town of Coaling will construct a splash pad on land adjacent to the existing Coaling Town Park.</t>
  </si>
  <si>
    <t>TOWN OF COALING SPLASH PAD PARK</t>
  </si>
  <si>
    <t>WEST END PARK PLAYGROUND RENOVATION</t>
  </si>
  <si>
    <t>CITY OF NEWTON</t>
  </si>
  <si>
    <t>The City of Clanton will remove old and unsafe playground equipment from West End Park (E.M. Henry Park) and install new playground equipment to include a safety surface to help prevent injury if someone falls.</t>
  </si>
  <si>
    <t>WEST END PARK</t>
  </si>
  <si>
    <t>Chilton</t>
  </si>
  <si>
    <t>TURNER PARK PLAYGROUND RENOVATION</t>
  </si>
  <si>
    <t>CITY OF ATHENS</t>
  </si>
  <si>
    <t>The City of Athens will renovate the Kids Dugout Playground to make it an all-inclusive playground by adding a handicap accessible area and improving the aging facility.</t>
  </si>
  <si>
    <t>KIDS DUGOUT AT THE SPORTSPLEX</t>
  </si>
  <si>
    <t>Limestone</t>
  </si>
  <si>
    <t>FARMINGTON SPORTS COMPLEX</t>
  </si>
  <si>
    <t>CITY OF FARMINGTON</t>
  </si>
  <si>
    <t>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t>
  </si>
  <si>
    <t>CREEKSIDE PARK</t>
  </si>
  <si>
    <t>ARCHEY FORK PARK IMPROVEMENTS</t>
  </si>
  <si>
    <t>CITY OF CLINTON</t>
  </si>
  <si>
    <t>The city of Clinton (Van Buren County, Arkansas) will utilize a Land and Water Conservation Fund grant to assist in lighting two ballfields and making accessibility improvements to the walking trail at the 15.19-acre Archey Ford Park.</t>
  </si>
  <si>
    <t>ARCHEY FORK PARK</t>
  </si>
  <si>
    <t>VAN BUREN</t>
  </si>
  <si>
    <t>FOUSHEE CAVE NATURAL AREA</t>
  </si>
  <si>
    <t>AR NATURAL HERITAGE COMM.</t>
  </si>
  <si>
    <t>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t>
  </si>
  <si>
    <t>FOUSHEE CAVE NATRUAL AREA</t>
  </si>
  <si>
    <t>INDEPENDENCE</t>
  </si>
  <si>
    <t>DEVIL'S EYEBROW NATURAL AREA</t>
  </si>
  <si>
    <t>DEPT. OF ARKANSAS HERITAGE</t>
  </si>
  <si>
    <t>Acquire 200 acres of ecologically sensitive land for the creation of the Devil’s Eyebrow Natural Area. The property is located in Benton County near Garfield.</t>
  </si>
  <si>
    <t>BENTON</t>
  </si>
  <si>
    <t>MONTICELLO MULTI-PARK DEVELOPMENT</t>
  </si>
  <si>
    <t>CITY OF MONTICELLO</t>
  </si>
  <si>
    <t>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t>
  </si>
  <si>
    <t>MONTICELLO SPORTS COMPLEX</t>
  </si>
  <si>
    <t>Drew</t>
  </si>
  <si>
    <t>PINE BLUFF PARK IMPROVEMENTS</t>
  </si>
  <si>
    <t>CITY OF PINE BLUFF</t>
  </si>
  <si>
    <t>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t>
  </si>
  <si>
    <t>TOWNSEND PARK</t>
  </si>
  <si>
    <t>JORDAN PARK</t>
  </si>
  <si>
    <t>DREW</t>
  </si>
  <si>
    <t>BURLINGTON PARK</t>
  </si>
  <si>
    <t>MCCLOY PARK</t>
  </si>
  <si>
    <t>OSCEOLA SPLASH PAD</t>
  </si>
  <si>
    <t>CITY OF OSCEOLA</t>
  </si>
  <si>
    <t>The city of Osceola (Mississippi County) will develop the 2.45-acre East Side Park. The grant scope includes the construction of an accessible splash pad as a replacement for the existing city swimming pool. The new water feature will include interactive fountains, sprays, and jets.</t>
  </si>
  <si>
    <t>EAST SIDE PARK</t>
  </si>
  <si>
    <t>IVRA CLARK PARK TRAIL</t>
  </si>
  <si>
    <t>CITY OF CAMDEN</t>
  </si>
  <si>
    <t>Improve the 2.32-acre Clark Park by constructing a ¼ mile exercise trail and a new parking lot.</t>
  </si>
  <si>
    <t>IVRA CLARK PARK</t>
  </si>
  <si>
    <t>OUACHITA</t>
  </si>
  <si>
    <t>LAKE SARACEN PARK</t>
  </si>
  <si>
    <t>QUITMAN CITY PARK IMPROVEMENTS</t>
  </si>
  <si>
    <t>CITY OF QUITMAN</t>
  </si>
  <si>
    <t>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t>
  </si>
  <si>
    <t>QUITMAN CITY PARK</t>
  </si>
  <si>
    <t>Cleburne</t>
  </si>
  <si>
    <t>SEARCY SPORTS COMPLEX IMPROVEMENTS</t>
  </si>
  <si>
    <t>CITY OF SEARCY</t>
  </si>
  <si>
    <t>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t>
  </si>
  <si>
    <t>SEARCY SPORTS COMPLEX</t>
  </si>
  <si>
    <t>WHITE</t>
  </si>
  <si>
    <t>NEWPORT POOL HOUSE RENOVATION</t>
  </si>
  <si>
    <t>CITY OF NEWPORT</t>
  </si>
  <si>
    <t>Newport will renovate the pool house within the 29.48-acre George Kell Park.</t>
  </si>
  <si>
    <t>GEORGE KELL PARK</t>
  </si>
  <si>
    <t>JACKSON</t>
  </si>
  <si>
    <t>ARKANSAS STATE PARKS - DELTA HERITAGE TRAIL</t>
  </si>
  <si>
    <t>AR STATE PARKS</t>
  </si>
  <si>
    <t>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t>
  </si>
  <si>
    <t>DELTA HERITAGE TRAIL</t>
  </si>
  <si>
    <t>PHILLIPS</t>
  </si>
  <si>
    <t>CABOT SPORTS COMPLEX IMPROVEMENTS</t>
  </si>
  <si>
    <t>CITY OF CABOT</t>
  </si>
  <si>
    <t>Improve the Cabot Sports Complex by constructing pavilions and shade structures, batting cages and warm-up tunnels, and a playground plus installing field lighting for the largest ball field.</t>
  </si>
  <si>
    <t>CABOT SPORTS COMPLEX</t>
  </si>
  <si>
    <t>LONOKE</t>
  </si>
  <si>
    <t>HILARY JONES ELK EDUCATION CENTER DEVELOPMENT</t>
  </si>
  <si>
    <t>AR GAME &amp; FISH COMM.</t>
  </si>
  <si>
    <t>Develop the Hillary Jones ELK Education Center. The Center will contain restroom facilities, be universally accessible, and provide a staging area for groups.</t>
  </si>
  <si>
    <t>HILARY JONES ELK EDUCATION CENTER</t>
  </si>
  <si>
    <t>NEWTON</t>
  </si>
  <si>
    <t>LITTLE ROCK ZOO - ARKANSAS FARM EXHIBIT</t>
  </si>
  <si>
    <t>CITY OF LITTLE ROCK</t>
  </si>
  <si>
    <t>Construct the Arkansas Farm Exhibit within the Little Rock Zoo which will contain a children's playground.</t>
  </si>
  <si>
    <t>LITTLE ROCK ZOO</t>
  </si>
  <si>
    <t>Pulaski</t>
  </si>
  <si>
    <t>LAKE HAVASU STATE PARK BOAT RAMP AT WINDSOR BEACH</t>
  </si>
  <si>
    <t>ARIZONA STATE PARKS</t>
  </si>
  <si>
    <t>Arizona State Parks will further develop Lake Havasu State Park by constructing a new boat launch ramp, parking areas, a boat wash area, and restroom facilities at Windsor Beach-Unit 4 in the southern end of the park.</t>
  </si>
  <si>
    <t>LAKE HAVASU STATE PARK</t>
  </si>
  <si>
    <t>Mohave</t>
  </si>
  <si>
    <t>LAKE HAVASU STATE PARK SUPPORT FACILITIES</t>
  </si>
  <si>
    <t>Construct 2 restroom buildings, 2 restroom/shower buildings, and 1 restroom/concession building at Lake Havasu State Park.</t>
  </si>
  <si>
    <t>ELECTRIFY RV CAMPSITES AT 3 STATE PARKS</t>
  </si>
  <si>
    <t>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t>
  </si>
  <si>
    <t>CATALINA STATE PARK</t>
  </si>
  <si>
    <t>Pima</t>
  </si>
  <si>
    <t>BUCKSKIN MOUNTAIN STATE PARK</t>
  </si>
  <si>
    <t>La Paz</t>
  </si>
  <si>
    <t>LOST DUTCHMAN STATE PARK</t>
  </si>
  <si>
    <t>Pinal</t>
  </si>
  <si>
    <t>SALTON SEA SRA - IRONWOOD TRAIL IMPROVEMENTS</t>
  </si>
  <si>
    <t>CA DEPARTMENT OF PARKS AND RECREATION</t>
  </si>
  <si>
    <t>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t>
  </si>
  <si>
    <t>SALTON SEA STATE RECREATION AREA</t>
  </si>
  <si>
    <t>IMPERIAL</t>
  </si>
  <si>
    <t>MONTANA DE ORO STATE PARK - BLUFF TRAIL IMPROVEMEN</t>
  </si>
  <si>
    <t>Improve 8,000 linear feet of the existing Bluff Trail at Montana De Ord State Park to meet accessibility standards and provide outdoor recreation opportunities to people with disabilities. It will also replace two restrooms and install ADA compliant parking.</t>
  </si>
  <si>
    <t>MONTANA DE ORO STATE PARK</t>
  </si>
  <si>
    <t>SAN LUIS OBISPO</t>
  </si>
  <si>
    <t>SAMUEL P. TAYLOR SP - SOUTH CREEK TRAIL IMP.</t>
  </si>
  <si>
    <t>This project will improve .75 miles of trail to meet accessibility standards and provide outdoor recreation opportunities to people with disabilities.</t>
  </si>
  <si>
    <t>SAMUEL P. TAYLOR STATE PARK</t>
  </si>
  <si>
    <t>MARIN</t>
  </si>
  <si>
    <t>MCLAREN PARK TRAIL CONNECTOR TRAIL PROJECT</t>
  </si>
  <si>
    <t>CITY AND COUNTY OF SAN FRANCISCO</t>
  </si>
  <si>
    <t>This trail connector project will provide welcoming and safe access to trails and pathway into McLaren Park from the Crocker-Amazon, Excelsior, Visitacion Valley, and Sunnydale neighborhoods.</t>
  </si>
  <si>
    <t>MCLAREN PARK</t>
  </si>
  <si>
    <t>San Francisco</t>
  </si>
  <si>
    <t>CASWELL MEMORIAL SP - LOOP NATURE TRAIL IMPROVEMEN</t>
  </si>
  <si>
    <t>Provide .8 linear miles of trail at Caswell Memorial State Park to meet accessibility standards and provide outdoor recreation opportunities for people with disabilities.</t>
  </si>
  <si>
    <t>CASWELL MEMORIAL STATE PARK</t>
  </si>
  <si>
    <t>SAN JOAQUIN</t>
  </si>
  <si>
    <t>ABALONE COVE SHORELINE PARK IMPROVEMENT PROJECT</t>
  </si>
  <si>
    <t>CITY OF RANCHO PALOS VERDES</t>
  </si>
  <si>
    <t>This trail and facilities project will improve an underutilized coastal park with incredibal potential for enhanced recreational opportunities and views unlike any others in the metropolitan Los Angeles area.</t>
  </si>
  <si>
    <t>ABALONE COVE SHORELINE PARK</t>
  </si>
  <si>
    <t>LOS ANGELES</t>
  </si>
  <si>
    <t>FRUITVALE NORRIS PARK UNIVERSAL PLAYGROUND</t>
  </si>
  <si>
    <t>NORTH OF THE RIVER RECREATION AND PARK DISTRICT</t>
  </si>
  <si>
    <t>This playground development project in Bakersfield will be developed as an inclusive facility that meets ADA requirements. It will be the first such accessible playground for an area with a population of over 500,000.</t>
  </si>
  <si>
    <t>FRUITVALE NORRIS PARK</t>
  </si>
  <si>
    <t>KERN</t>
  </si>
  <si>
    <t>LIVE OAK RECREATIONAL TRAIL PHASE 3</t>
  </si>
  <si>
    <t>CITY OF LIVE OAK</t>
  </si>
  <si>
    <t>The installation of this pedestrian and bicycle trail will greatly improve access to public parks and recreation resources in Live Oak.</t>
  </si>
  <si>
    <t>LIVE OAK RECREATIONAL TRAIL</t>
  </si>
  <si>
    <t>SUTTER</t>
  </si>
  <si>
    <t>THE TRACKS AT BREA ACQUISITION</t>
  </si>
  <si>
    <t>CITY OF BREA</t>
  </si>
  <si>
    <t>Acquire approximately 3.6 acres of land for the Tracks at Brea. This will eventually be part of a 3.8 mile hike and bike trail that uses an abandoned railroad bed.</t>
  </si>
  <si>
    <t>THE TRACKS AT BREA</t>
  </si>
  <si>
    <t>EL CORTE DE MADERA CREEK TRAIL PROJECT</t>
  </si>
  <si>
    <t>MIDPENINSULA REGIONAL OPEN SPACE DISTRICT</t>
  </si>
  <si>
    <t>Construct approximately 1 mile of trail, signage, and support facilities at El Corte de Madera Open Space Preserve.</t>
  </si>
  <si>
    <t>EL CORTE DE MADERA OPEN SPACE PRESERVE</t>
  </si>
  <si>
    <t>SAN MATEO</t>
  </si>
  <si>
    <t>SYCAMORE VALLEY SHADY SLOPE TRAIL BRIDGE</t>
  </si>
  <si>
    <t>EAST BAY REGIONAL PARK DISTRICT</t>
  </si>
  <si>
    <t>Construct approximately 45 foot long bridge on the Shady Slope Trail over an exisiting steep-sided drainage.</t>
  </si>
  <si>
    <t>SYCAMORE VALLEY REGIONAL OPEN SPACE PRESERVE</t>
  </si>
  <si>
    <t>CONTRA COSTA</t>
  </si>
  <si>
    <t>GRAND VIEW TRAIL LINK</t>
  </si>
  <si>
    <t>CITY OF DIAMOND BAR</t>
  </si>
  <si>
    <t>Develop approximately 2,488 feet existing hard pan Grand View Trail Link at Summitridge Park by constructing a foot bridge, landscape tie steps with lodge pole fencing in one area to mitigate slope, and install benches and signage.</t>
  </si>
  <si>
    <t>SUMMITRIDGE PARK</t>
  </si>
  <si>
    <t>SANTEE LAKES CAMPGROUND PLAYGROUND PROJECT</t>
  </si>
  <si>
    <t>PADRE DAM MUNICIPAL WATER DISTRICT</t>
  </si>
  <si>
    <t>Construct a playground expansion of approximately 2,075 square feet with additional playground structures.</t>
  </si>
  <si>
    <t>SANTEE LAKES RECREATION PRESERVE</t>
  </si>
  <si>
    <t>SAN DIEGO</t>
  </si>
  <si>
    <t>CRYSTAL SPRINGS REGIONAL TRAIL SOUTH OF THE DAM</t>
  </si>
  <si>
    <t>SAN MATEO COUNTY</t>
  </si>
  <si>
    <t>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t>
  </si>
  <si>
    <t>CRYSTAL SPRINGS REGIONAL TRAIL</t>
  </si>
  <si>
    <t>San Mateo</t>
  </si>
  <si>
    <t>LIVE OAK PARK AMPHITHEATER</t>
  </si>
  <si>
    <t>SAN DIEGO COUNTY</t>
  </si>
  <si>
    <t>Construct an outdoor classroom, an approximate 1,035 LF pedestrian/bicycle path and support facilities.</t>
  </si>
  <si>
    <t>LIVE OAK PARK</t>
  </si>
  <si>
    <t>OUTDOOR NATURE INTERPRETIVE CENTER AREA HIKING TRA</t>
  </si>
  <si>
    <t>PLEASANT VALLEY RECREATION AND PARK DISTRICT</t>
  </si>
  <si>
    <t>Construct an outdoor nature interpretive center with education pavilion platform, an approximately 300 yard long connector trail, and support facilities.</t>
  </si>
  <si>
    <t>CAMARILLO GROVE PARK</t>
  </si>
  <si>
    <t>VENTURA</t>
  </si>
  <si>
    <t>JOHNNY CARSON PARK TRAIL AND NATURE EDUCATION PROJ</t>
  </si>
  <si>
    <t>CITY OF BURBANK</t>
  </si>
  <si>
    <t>Construct approximately 0.5 mile long decomposed granite loop trail, secondary trails, improve the existing trail bridge and install educational signage.</t>
  </si>
  <si>
    <t>JOHNNY CARSON PARK</t>
  </si>
  <si>
    <t>BARKER PARK WALKING PATH</t>
  </si>
  <si>
    <t>CITY OF WASCO</t>
  </si>
  <si>
    <t>Construct approximately 1,166 linear foot long walking/jogging path.</t>
  </si>
  <si>
    <t>BARKER PARK</t>
  </si>
  <si>
    <t>SHADE STRUCTURE AT PAMELA MONTEROSSO TRAILHEAD</t>
  </si>
  <si>
    <t>CITY OF MODESTO</t>
  </si>
  <si>
    <t>Construct a shade structure on concrete pad with benches.</t>
  </si>
  <si>
    <t>PAMELA MONTEROSSO PARK</t>
  </si>
  <si>
    <t>STANISLAUS</t>
  </si>
  <si>
    <t>PIERSON PARK COVERED PICNIC AREA DEVELOPMENT</t>
  </si>
  <si>
    <t>MCKINLEYVILLE COMMUNITY SERVICES DISTRICT</t>
  </si>
  <si>
    <t>Construct a covered group picnic area.</t>
  </si>
  <si>
    <t>PIERSON PARK</t>
  </si>
  <si>
    <t>HUMBOLDT</t>
  </si>
  <si>
    <t>SANGER COMMUNITY CENTER PARK DEVELOPMENT</t>
  </si>
  <si>
    <t>CITY OF SANGER</t>
  </si>
  <si>
    <t>Construct a 1200 linear foot walking path with life course, picnic areas with lighting, and landscaping of the newly constructed skate park area.</t>
  </si>
  <si>
    <t>SANGER COMMUNITY CENTER PARK</t>
  </si>
  <si>
    <t>FRESNO</t>
  </si>
  <si>
    <t>BRENTWOOD PARK DEVELOPMENT</t>
  </si>
  <si>
    <t>CITY OF COSTA MESA</t>
  </si>
  <si>
    <t>Construct approximately 0.25 mile decomposed granite loop trail, a picnic area, outdoor fitness stations, approximate 5,000 SF concrete work, electrical and lighting, landscaping and support facilities.</t>
  </si>
  <si>
    <t>BRENTWOOD PARK</t>
  </si>
  <si>
    <t>ORANGE</t>
  </si>
  <si>
    <t>ALEX ROAD SKATEPARK</t>
  </si>
  <si>
    <t>CITY OF OCEANSIDE</t>
  </si>
  <si>
    <t>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t>
  </si>
  <si>
    <t>MCGRATH STATE BEACH SEWER SYSTEM PROJECT</t>
  </si>
  <si>
    <t>Remove and replace an exisiting sewer system in a very popular beach park. Replacement of this system will keep the park from being closed to the public.</t>
  </si>
  <si>
    <t>MCGRATH STATE BEACH</t>
  </si>
  <si>
    <t>SUMMITRIDGE PARK SOUTHERN TRAIL VISTA</t>
  </si>
  <si>
    <t>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t>
  </si>
  <si>
    <t>MARK WEST CREEK REG PARK &amp; OPEN SPACE PRESERVE ACQ</t>
  </si>
  <si>
    <t>SONOMA COUNTY REGIONAL PARKS DEPARTMENT</t>
  </si>
  <si>
    <t>Acquire approximately 83.7 acres at Mark West Creek Regional Park and Open Space Preserve.</t>
  </si>
  <si>
    <t>MARK WEST CREEK REGIONAL PARK</t>
  </si>
  <si>
    <t>SONOMA</t>
  </si>
  <si>
    <t>POINT MUGU STATE PARK SYCAMORE CANYON CAMPGROUND</t>
  </si>
  <si>
    <t>Construct approximately 5 cabins with trenched utilities and an ADA trail with habitat restoration for areas disturbed by campground construction.</t>
  </si>
  <si>
    <t>POINT MUGU STATE PARK</t>
  </si>
  <si>
    <t>Ventura</t>
  </si>
  <si>
    <t>POINT PINOLE GIANT RECREATION UNIT PICNIC AREA</t>
  </si>
  <si>
    <t>Construction of a new picnic area including turf play area, new trees, shade structure, drinking fountain, picnic tables and benches, trail, parking lot and restroom.</t>
  </si>
  <si>
    <t>POINT PINOLE REGIONAL SHORELINE</t>
  </si>
  <si>
    <t>Contra Costa</t>
  </si>
  <si>
    <t>DAIRY MART PONDS OVERLOOK</t>
  </si>
  <si>
    <t>COUNTY OF SAN DIEGO DEPT OF PARKS</t>
  </si>
  <si>
    <t>Construct a new overlook area and interpretive components in the Tijuana River Valley Regional Park.</t>
  </si>
  <si>
    <t>TIJUANA RIVER VALLEY REGIONAL PARK</t>
  </si>
  <si>
    <t>MCLAREN BIKE PARK, PHASE I</t>
  </si>
  <si>
    <t>SAN FRANCISCO PARK AND RECREATION DEPT.</t>
  </si>
  <si>
    <t>Construct new multiple use bike trails and amenities including picnic areas and signage in McLaren Bike Park in the City of San Francisco.</t>
  </si>
  <si>
    <t>RANCHO JURUPA PARK DEVELOPMENT</t>
  </si>
  <si>
    <t>RIVERSIDE COUNTY</t>
  </si>
  <si>
    <t>Construct a disc golf course expansion, tent camping area, campground improvement, trails and picnic shelter/amphitheater.</t>
  </si>
  <si>
    <t>RANCHO JURUPA PARK</t>
  </si>
  <si>
    <t>TRACKS AT BREA DEVELOPMENT</t>
  </si>
  <si>
    <t>Construct an approximate 0.8 mile long dual-tread bicycle and pedestrian trail on former railroad right-of-way between Brea Blvd. and State College Blvd. with parking and trail entrances.</t>
  </si>
  <si>
    <t>BARNES PARK FITNESS ZONE PROJECT</t>
  </si>
  <si>
    <t>CITY OF BALDWIN PARK</t>
  </si>
  <si>
    <t>Construct a new outdoor fitness zone with shared structure and walking trail markers in Barnes Park.</t>
  </si>
  <si>
    <t>BARNES PARK</t>
  </si>
  <si>
    <t>GARRAHAN PARK OUTDOOR FITNESS PROJECT</t>
  </si>
  <si>
    <t>BOULDER CREEK RECREATION AND PARK DISTRICT</t>
  </si>
  <si>
    <t>Installation of new outdoor fitness equipment at eleven locations along an existing trail.</t>
  </si>
  <si>
    <t>GARRAHAN PARK</t>
  </si>
  <si>
    <t>SANTA CRUZ</t>
  </si>
  <si>
    <t>PAUL REVERE PARK DEVELOPMENT</t>
  </si>
  <si>
    <t>CITY OF ANAHEIM</t>
  </si>
  <si>
    <t>Construct a new park to include gazebo, picnic area, landscape, volleyball court, children's playground, and walking path.</t>
  </si>
  <si>
    <t>PAUL REVERE PARK</t>
  </si>
  <si>
    <t>LAKE DEL VALLE STATE RECREATION AREA CAMPGROUND</t>
  </si>
  <si>
    <t>Replace the existing campground restroom building #9 with a new pre-fabricated ADA compliant restroom and adjacent sidewalk and parking at Digger Flats Campground.</t>
  </si>
  <si>
    <t>DEL VALLE REGIONAL PARK</t>
  </si>
  <si>
    <t>Alameda</t>
  </si>
  <si>
    <t>PICO PARK RENOVATION AND ENHANCEMENT PROJECT</t>
  </si>
  <si>
    <t>CITY OF PICO RIVERA</t>
  </si>
  <si>
    <t>Development of a new jogging track, exercise stations, picnic shelter and related amenities.</t>
  </si>
  <si>
    <t>PICO PARK</t>
  </si>
  <si>
    <t>UNITING THE HILLSIDE NATURAL AREA ACQUISITION</t>
  </si>
  <si>
    <t>CITY OF EL CERRITO</t>
  </si>
  <si>
    <t>Acquisition of ~8.08-acres at Hillside Natural Areas to connect and expand existing park land to 102.54 acres located in the City of El Cerrito.</t>
  </si>
  <si>
    <t>HILLSIDE NATURAL AREA</t>
  </si>
  <si>
    <t>SEVENTH STREET PARK ACQUISITION</t>
  </si>
  <si>
    <t>CITY OF HUGHSON</t>
  </si>
  <si>
    <t>Acquire approximately 20 acres to create the new 7th Street Park.</t>
  </si>
  <si>
    <t>SEVENTH STREET PARK</t>
  </si>
  <si>
    <t>DUNLAP NEIGHBORHOOD PARK ACQUISITION</t>
  </si>
  <si>
    <t>CITY OF YUCAIPA</t>
  </si>
  <si>
    <t>Acquisition of approximately 5 acres of land for neighborhood park.</t>
  </si>
  <si>
    <t>DUNLAP NEIGHBORHOOD PARK</t>
  </si>
  <si>
    <t>RIVERSIDE</t>
  </si>
  <si>
    <t>POINT PINOLE FISHING PIER IMPROVEMENTS</t>
  </si>
  <si>
    <t>Fishing pier renovation, new ADA restroom constructed in place of old one, ADA parking and walkways to pier, picnic areas, drainage systems and other minor support amenities at the Point Pinole Fishing Pier in the City of Richmond.</t>
  </si>
  <si>
    <t>TUOLUMNE RIVER REGIONAL PARK GATEWAY</t>
  </si>
  <si>
    <t>Construct approximately 4,100 linear feet of trail, pedestrian bridge and fishing deck at Tuolumne River Regional Park in the City of Modesto.</t>
  </si>
  <si>
    <t>TUOLUMNE RIVER REGIONAL PARK</t>
  </si>
  <si>
    <t>Stanislaus</t>
  </si>
  <si>
    <t>CRYSTAL SPRINGS REGIONAL TRAIL SOUTH OF HIGHWAY 92</t>
  </si>
  <si>
    <t>Develop Crystal Springs trail by constructing approx. 0.9 mile long and 10 foot wide paved trail with habitat fence, restroom and support facilities.</t>
  </si>
  <si>
    <t>ARROYO VISTA RECREATIONAL TRAIL</t>
  </si>
  <si>
    <t>CITY OF MOORPARK</t>
  </si>
  <si>
    <t>Construct a new pedestrain trail with fitness stations, a new bike trail, and new ADA pathways in Arroyo Vista Park in the city of Moorpark.</t>
  </si>
  <si>
    <t>ARROYO VISTA PARK</t>
  </si>
  <si>
    <t>FARMERSVILLE PARK DEVELOPMENT</t>
  </si>
  <si>
    <t>CITY OF FARMERSVILLE</t>
  </si>
  <si>
    <t>Construct a new approximate 1/2 mile walking trail loop and pedestrian bridge over an existing man-made irrigation canal with interpretive signange and trees, picnic areas with shade structures, and soccer field and renovate existing baseball fields and restroom at Farmersville Park in Farmersville.</t>
  </si>
  <si>
    <t>FARMERSVILLE PARK</t>
  </si>
  <si>
    <t>TULARE</t>
  </si>
  <si>
    <t>YELLEN PARK CREATION PROJECT</t>
  </si>
  <si>
    <t>CITY OF PALMDALE</t>
  </si>
  <si>
    <t>Create the new Yellen Park. Construct a new multi-purpose field with lighting, adventure-themed playground, picnic areas, pathways and bikeways, restroom, site landscaping and irrigation, and parking lot.</t>
  </si>
  <si>
    <t>YELLEN PARK</t>
  </si>
  <si>
    <t>The Tracks at Brea Development</t>
  </si>
  <si>
    <t>Create the new Tracks at Brea Trail which will include construction of a new trail, landscaping, educational signage and benches.</t>
  </si>
  <si>
    <t>SOUTH REINWAY AVENUE RECREATIONAL PARK &amp; TRAILHEAD</t>
  </si>
  <si>
    <t>CITY OF WATERFORD</t>
  </si>
  <si>
    <t>Create a new South Reinway Avenue Recreational Park and Trailhead. Project would include the construction of a new wildlife viewing platform and stairs, an access road, parking lot, restrooms, exercise stations, and a picnic area.</t>
  </si>
  <si>
    <t>SOUTH REINWAY AVENUE RECREATIONAL PARK</t>
  </si>
  <si>
    <t>CASA VERDE PARK - TRAILS AND PLAYGROUNDS</t>
  </si>
  <si>
    <t>CITY OF UNION CITY</t>
  </si>
  <si>
    <t>Renovate an existing trail, playgrounds and sports courts at Casa Verde Park in the City of Union City.</t>
  </si>
  <si>
    <t>CASA VERDE PARK</t>
  </si>
  <si>
    <t>ALAMEDA</t>
  </si>
  <si>
    <t>NEWMAN SKATE PLAZA DEVELOPMENT</t>
  </si>
  <si>
    <t>CITY OF NEWMAN</t>
  </si>
  <si>
    <t>Construct a new skate plaza at Lions Park.</t>
  </si>
  <si>
    <t>LIONS PARK</t>
  </si>
  <si>
    <t>RYNO PARK PLAYGROUND DEVELOPMENT</t>
  </si>
  <si>
    <t>CITY OF CERES</t>
  </si>
  <si>
    <t>Construct a new playground, picnic pavillion, and basketball court in Ryno Park.</t>
  </si>
  <si>
    <t>SAM RYNO PARK</t>
  </si>
  <si>
    <t>SAN MIGUEL COMMUNITY PARK</t>
  </si>
  <si>
    <t>COUNTY OF SAN LUIS OBISPO</t>
  </si>
  <si>
    <t>Expand San Miguel Community Park and construct a new soccer/multi-use sports field and new park pathways.</t>
  </si>
  <si>
    <t>SAN MUGUEL COMMUNITY PARK</t>
  </si>
  <si>
    <t>MONTEREY</t>
  </si>
  <si>
    <t>VETERAN'S MEMORIAL PARK AMPHITHEATER</t>
  </si>
  <si>
    <t>CITY OF CHOWCHILLA</t>
  </si>
  <si>
    <t>Construct a new amphitheater stage at Veteran's Memorial Park.</t>
  </si>
  <si>
    <t>VETERAN'S MEMORIAL PARK</t>
  </si>
  <si>
    <t>MADERA</t>
  </si>
  <si>
    <t>Noe Valley Town Square Park Development</t>
  </si>
  <si>
    <t>Create the new Noe Valley Town Square Park in the City of San Francisco. Construct new plaza, children's play area with site furnishings, lighting and landscaping.</t>
  </si>
  <si>
    <t>NOE VALLEY TOWN SQUARE PARK</t>
  </si>
  <si>
    <t>SAN FRANCISCO</t>
  </si>
  <si>
    <t>DEL VALLE CAMPGROUND RESTROOMS AND ACCESS</t>
  </si>
  <si>
    <t>Replacement of dilapidated campground restroom/shower buildings at Campgrounds #10 &amp; #20 with new prefabricated ADA compliant versions with ADA access routes at Del Valle Regional Park.</t>
  </si>
  <si>
    <t>MENDOCINO WOODLANDS STATE PARK</t>
  </si>
  <si>
    <t>Renovate wastewater systems.</t>
  </si>
  <si>
    <t>Mendocino</t>
  </si>
  <si>
    <t>TEMESCAL FISHING PIER IMPROVEMENTS</t>
  </si>
  <si>
    <t>A development project to renovate two existing fishing piers, repair existing erosion protection around landing of a third pier, improve existing parking spaces, make ADA restroom improvements and construct ADA picnic area.</t>
  </si>
  <si>
    <t>TEMESCAL REGIONAL RECREATION AREA</t>
  </si>
  <si>
    <t>MUELLER PARK BEAUTIFICATION</t>
  </si>
  <si>
    <t>CITY OF REEDLEY</t>
  </si>
  <si>
    <t>Construct a new walking trail connecting multiple existing recreational features, new picnic areas and renovate picnic pavilion, renovate existing playground including replacment shade structure, install new lighting, and renovate restroom.</t>
  </si>
  <si>
    <t>MUELLER PARK</t>
  </si>
  <si>
    <t>DOG OFF-LEASH AREA AT CHERRY CREEK STATE PARK</t>
  </si>
  <si>
    <t>STATE OF COLORADO</t>
  </si>
  <si>
    <t>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t>
  </si>
  <si>
    <t>CHERRY CREEK STATE PARK</t>
  </si>
  <si>
    <t>ARAPAHOE</t>
  </si>
  <si>
    <t>COTTONWOOD CREEK TRAIL - SAFE PASSAGE</t>
  </si>
  <si>
    <t>CITY OF COLORADO SPRINGS</t>
  </si>
  <si>
    <t>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t>
  </si>
  <si>
    <t>COTTONWOOD CREEK TRAIL</t>
  </si>
  <si>
    <t>EL PASO</t>
  </si>
  <si>
    <t>29TH TO 32ND STREET ANIMAS RIVER TRAIL</t>
  </si>
  <si>
    <t>CITY OF DURANGO</t>
  </si>
  <si>
    <t>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t>
  </si>
  <si>
    <t>ANIMAS RIVER TRAIL</t>
  </si>
  <si>
    <t>LA PLATA</t>
  </si>
  <si>
    <t>MEMORIAL PARK</t>
  </si>
  <si>
    <t>FOSSIL CREEK TRAIL AT EAST TRILBY ROAD</t>
  </si>
  <si>
    <t>CITY OF FORT COLLINS</t>
  </si>
  <si>
    <t>Fort Collins (Larimer County) will construct 1.68 miles of new concrete pathway along the Fossil Creek Trail. This project is a component of a long-term venture that will eventually stretch 27 miles from Fort Collins to Loveland.</t>
  </si>
  <si>
    <t>FOSSIL CREEK TRAIL</t>
  </si>
  <si>
    <t>LARIMER</t>
  </si>
  <si>
    <t>RANGELY TRAILS PROGRAM</t>
  </si>
  <si>
    <t>TOWN OF RANGELY</t>
  </si>
  <si>
    <t>The Town of Rangely (Rio Blanco County) will construct a one-mile trail along a right-of-way known as the Royden Ditch and into Elks Park.</t>
  </si>
  <si>
    <t>ELKS PARK</t>
  </si>
  <si>
    <t>RIO BLANCO</t>
  </si>
  <si>
    <t>CASTLE ROCK HANGMAN'S GULCH TRAIL</t>
  </si>
  <si>
    <t>TOWN OF CASTLE ROCK</t>
  </si>
  <si>
    <t>The Town of Castle Rock (Douglas County) will construct one mile of the Hangman's Gulch Trail.</t>
  </si>
  <si>
    <t>HANGMAN'S GULCH TRAIL</t>
  </si>
  <si>
    <t>DOUGLAS</t>
  </si>
  <si>
    <t>PAGOSA SPRINGS 6TH STREET RIVER WALK TRAIL</t>
  </si>
  <si>
    <t>TOWN OF PAGOSA SPRINGS</t>
  </si>
  <si>
    <t>The Town of Pagosa Springs (Archuleta County) will construct a 900-foot trail that runs along the San Juan River in downtown Pagosa Springs.</t>
  </si>
  <si>
    <t>6th STREET RIVER WALK TRAIL</t>
  </si>
  <si>
    <t>ARCHULETA</t>
  </si>
  <si>
    <t>ROYDEN DITCH TRAIL</t>
  </si>
  <si>
    <t>GYPSUM TO DOTSERO TRAIL PHASE II</t>
  </si>
  <si>
    <t>EAGLE COUNTY</t>
  </si>
  <si>
    <t>Eagle County will construct 2.3 miles of the Gypsum to Dotsero trail in western Eagle County. The scope includes paving a 10-foot wide trail with 1-foot shoulders.</t>
  </si>
  <si>
    <t>GYPSUM TO DOTSERO TRAIL</t>
  </si>
  <si>
    <t>EAGLE</t>
  </si>
  <si>
    <t>AHI MULTI TRAILS PROJECT</t>
  </si>
  <si>
    <t>BOULDER COUNTY</t>
  </si>
  <si>
    <t>Boulder County will construct 5.2 miles of new trail located on the AHI Open Space Complex.</t>
  </si>
  <si>
    <t>AHI OPEN SPACE COMPLEX</t>
  </si>
  <si>
    <t>BOULDER</t>
  </si>
  <si>
    <t>LYONS ST. VRAIN CORRIDOR TRAIL RECOVERY PROJECT</t>
  </si>
  <si>
    <t>TOWN OF LYONS</t>
  </si>
  <si>
    <t>The city of Lyons will utilize a Land and Water Conservation Fund grant to assist in reconstructing the 0.96-mile Lyons St. Vrain Corridor trail which was destroyed in a massive September 2013 flood. The grant scope includes reconstruction of the original trail and a 0.7-mile extension.</t>
  </si>
  <si>
    <t>ST. VRAIN CORRIDOR TRAIL</t>
  </si>
  <si>
    <t>CT</t>
  </si>
  <si>
    <t>Hammonasset Beach State Park Nature Center</t>
  </si>
  <si>
    <t>Department of Energy &amp; Environmental Protection</t>
  </si>
  <si>
    <t>HAMMONASSET BEACH STATE PARK</t>
  </si>
  <si>
    <t>NEW HAVEN</t>
  </si>
  <si>
    <t>Facility Upgrades at Four State Recreation Sites</t>
  </si>
  <si>
    <t>State of CT - Department of Energy &amp; Environment</t>
  </si>
  <si>
    <t>Upgrades to (4) state recreation sites. Salt Rock State Campgrounds, Hopeville Pond State Park, Chatfield Hollow State Park and Dinosaur Park. Construction for all of four state parks are inlcuded.</t>
  </si>
  <si>
    <t>HOPEVILLE POND STATE PARK</t>
  </si>
  <si>
    <t>NEW LONDON</t>
  </si>
  <si>
    <t>Chatfield Hollow State Park</t>
  </si>
  <si>
    <t>MIDDLESEX</t>
  </si>
  <si>
    <t>Salt Rock State Campground</t>
  </si>
  <si>
    <t>DINOSAUR STATE PARK</t>
  </si>
  <si>
    <t>HARTFORD</t>
  </si>
  <si>
    <t>DC</t>
  </si>
  <si>
    <t>Randall Recreation Center Improvement</t>
  </si>
  <si>
    <t>DC - Department of Parks &amp; Recreation</t>
  </si>
  <si>
    <t>Renovation of Randall Plaza to create a more inviting and active space. Improvements will include new landscaping, new hard-scaping, skating area and signage.</t>
  </si>
  <si>
    <t>Randall Recreation Center</t>
  </si>
  <si>
    <t>DE</t>
  </si>
  <si>
    <t>Brandywine Creek State Park - Rocky Run Acq.</t>
  </si>
  <si>
    <t>Delaware State Parks</t>
  </si>
  <si>
    <t>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t>
  </si>
  <si>
    <t>BRANDYWINE CREEK STATE PARK</t>
  </si>
  <si>
    <t>NEW CASTLE</t>
  </si>
  <si>
    <t>Auburn Heights Preserve - Acquisition</t>
  </si>
  <si>
    <t>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t>
  </si>
  <si>
    <t>Auburn Heights Preserve</t>
  </si>
  <si>
    <t>Cape Henlopen State Park - Primitive Cabins</t>
  </si>
  <si>
    <t>DNREC - Div of Parks and Recreation</t>
  </si>
  <si>
    <t>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t>
  </si>
  <si>
    <t>SUSSEX</t>
  </si>
  <si>
    <t>TUCKER RANCH PARK</t>
  </si>
  <si>
    <t>CITY OF WINTER GARDEN</t>
  </si>
  <si>
    <t>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t>
  </si>
  <si>
    <t>TUCKER RANCH RECREATION AND NATURE COMPLEX</t>
  </si>
  <si>
    <t>GEORGETOWN RIVERFRONT PARK</t>
  </si>
  <si>
    <t>PUTNAM COUNTY</t>
  </si>
  <si>
    <t>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t>
  </si>
  <si>
    <t>PUTNAM</t>
  </si>
  <si>
    <t>PALM AIRE PARK PARCEL</t>
  </si>
  <si>
    <t>CITY OF POMPANO BEACH</t>
  </si>
  <si>
    <t>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t>
  </si>
  <si>
    <t>PALM AIRE PARK</t>
  </si>
  <si>
    <t>BROWARD</t>
  </si>
  <si>
    <t>EGAN PARK ADDITION</t>
  </si>
  <si>
    <t>CITY OF ST. PETE BEACH</t>
  </si>
  <si>
    <t>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t>
  </si>
  <si>
    <t>EGAN PARK</t>
  </si>
  <si>
    <t>PINELLAS</t>
  </si>
  <si>
    <t>BLACK BEAR WILDERNESS AREA</t>
  </si>
  <si>
    <t>SEMINOLE COUNTY</t>
  </si>
  <si>
    <t>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t>
  </si>
  <si>
    <t>SEMINOLE</t>
  </si>
  <si>
    <t>INLAND GROVES PARK</t>
  </si>
  <si>
    <t>CITY OF CLERMONT</t>
  </si>
  <si>
    <t>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t>
  </si>
  <si>
    <t>LAKE</t>
  </si>
  <si>
    <t>INLAND GROVES PARK PHASE II</t>
  </si>
  <si>
    <t>Grant funds will be used to develop the second phase of a 217+/- acres new park in the City of Clemont. There are no passive recreation parks within a 25 minute drive of Clemont community and within walking distance of historic downtown Clemont.</t>
  </si>
  <si>
    <t>TRAILHEAD PRESERVE</t>
  </si>
  <si>
    <t>CITY OF FELLSMERE</t>
  </si>
  <si>
    <t>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t>
  </si>
  <si>
    <t>INDIAN RIVER</t>
  </si>
  <si>
    <t>JOHN PRINCE MEMORIAL PARK PHASE IV</t>
  </si>
  <si>
    <t>PALM BEACH COUNTY</t>
  </si>
  <si>
    <t>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t>
  </si>
  <si>
    <t>JOHN PRINCE MEMORIAL PARK</t>
  </si>
  <si>
    <t>PALM BEACH</t>
  </si>
  <si>
    <t>C.S. LEE PARK</t>
  </si>
  <si>
    <t>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t>
  </si>
  <si>
    <t>FORD STREET PRESERVE AT SHADY OAKS PARK</t>
  </si>
  <si>
    <t>CITY OF FORT MYERS</t>
  </si>
  <si>
    <t>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t>
  </si>
  <si>
    <t>SHADY OAKS PARK</t>
  </si>
  <si>
    <t>LEE</t>
  </si>
  <si>
    <t>GRANDVIEW PARK</t>
  </si>
  <si>
    <t>CITY OF ST. PETERSBURG</t>
  </si>
  <si>
    <t>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t>
  </si>
  <si>
    <t>GRANDVEIW PARK</t>
  </si>
  <si>
    <t>LEWIS LANDING PARK</t>
  </si>
  <si>
    <t>CITY OF FORT LAUDERDALE</t>
  </si>
  <si>
    <t>Grant funds will be used to develop an 1.25± new park in the City of Fort Lauderdale. The project will result in public access to the largest river in the City. Development will include gazebo/picnic facilities, dock, walking trail, and other related support facilities.</t>
  </si>
  <si>
    <t>FCT-II PARK</t>
  </si>
  <si>
    <t>Grant funds will be used to assist the City of Fellsmere to acquire 41.54+/- acres of land to develop as a new park. Future development will include a hiking trail, picnic facility, nature/observation boardwalk, and other related support facilities.</t>
  </si>
  <si>
    <t>WATERFRONT PARK</t>
  </si>
  <si>
    <t>CITY OF SEMINOLE</t>
  </si>
  <si>
    <t>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t>
  </si>
  <si>
    <t>PINE GLADES NATURAL AREA TRAIL</t>
  </si>
  <si>
    <t>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t>
  </si>
  <si>
    <t>PINE GLADES NATURAL AREA</t>
  </si>
  <si>
    <t>Brevard</t>
  </si>
  <si>
    <t>MOBBLY BAYOU WILDERNESS PRESERVE</t>
  </si>
  <si>
    <t>CITY OF OLDSMAR</t>
  </si>
  <si>
    <t>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t>
  </si>
  <si>
    <t>BAREFOOT BAY COMMUNITY PARK ENHANCEMENTS</t>
  </si>
  <si>
    <t>BAREFOOT BAY RECREATION DISTRICT</t>
  </si>
  <si>
    <t>This grant will assist in improving the 40 acre Community Center Park. The grant scope includes enhancing the playground, tennis court, and a basketball court plus constructing a fishing pier, a nature observation deck, multi-purpose trail, parking and general landscaping</t>
  </si>
  <si>
    <t>COMMUNITY CENTER PARK</t>
  </si>
  <si>
    <t>BREVARD</t>
  </si>
  <si>
    <t>ACREAGE COMMUNITY PARK PH 1</t>
  </si>
  <si>
    <t>INDIN TRAIL IMPROVEMENT DISTRICT</t>
  </si>
  <si>
    <t>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t>
  </si>
  <si>
    <t>MAINLANDS PARK</t>
  </si>
  <si>
    <t>CITY OF TAMARAC</t>
  </si>
  <si>
    <t>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t>
  </si>
  <si>
    <t>MAINLAND PARK</t>
  </si>
  <si>
    <t>SIMS PARK</t>
  </si>
  <si>
    <t>CITY OF NRE PORT RICHEY</t>
  </si>
  <si>
    <t>This grant will assist New Port Richey with improving Sims Park. The grant scope includes the construction of a picnic area, trails, a nature observation platform; renovation of boating facilities, an amphitheater, playground and restrooms.</t>
  </si>
  <si>
    <t>PASCO</t>
  </si>
  <si>
    <t>ANCHORAGE PARK</t>
  </si>
  <si>
    <t>VILLAGE OF NORTH PALM BEACH</t>
  </si>
  <si>
    <t>This grant will assist the Village of North Beach with renovating 20+/- acres Anchorage Park. The grant scope includes a multi-use trail, picnic, multiple kayak launches, a nature observation deck, general landscaping, and lighting</t>
  </si>
  <si>
    <t>LAKE MAGGIORE PARK IMPROVEMENTS</t>
  </si>
  <si>
    <t>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t>
  </si>
  <si>
    <t>SEVILLA ESTATES PARK</t>
  </si>
  <si>
    <t>TOWN OF MIAMI LAKES</t>
  </si>
  <si>
    <t>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t>
  </si>
  <si>
    <t>NW 170TH STREET GREENWAY</t>
  </si>
  <si>
    <t>MIAMI-DADE</t>
  </si>
  <si>
    <t>WILLOWS PARK</t>
  </si>
  <si>
    <t>VILLAGE OF ROYAL PALM BEACH</t>
  </si>
  <si>
    <t>This grant will assist the Village of Royal Palm Beach with improving the 10-acre Willows Park by constructing a fishing pier, a hiking trail and a fitness trail; adding picnic facilities; and renovating a baseball field and tennis courts; plus general landscaping</t>
  </si>
  <si>
    <t>REITER PARK</t>
  </si>
  <si>
    <t>CITY OF LONGWOOD</t>
  </si>
  <si>
    <t>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t>
  </si>
  <si>
    <t>BICENTENNIAL PARK-CITY OF RIVIERA BEACH</t>
  </si>
  <si>
    <t>CITY OF RIVIERA BEACH</t>
  </si>
  <si>
    <t>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t>
  </si>
  <si>
    <t>BICENTENNIAL PARK</t>
  </si>
  <si>
    <t>Palm Beach</t>
  </si>
  <si>
    <t>INTRACOASTAL PARK</t>
  </si>
  <si>
    <t>CITY OF SUNNY ISLES BEACH</t>
  </si>
  <si>
    <t>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t>
  </si>
  <si>
    <t>INTRACOSTAL PARK</t>
  </si>
  <si>
    <t>SANFORD MARINA DAY BOAT SLIPS</t>
  </si>
  <si>
    <t>CITY OF SANFORD</t>
  </si>
  <si>
    <t>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t>
  </si>
  <si>
    <t>SEVILLA ESTATE PARKS</t>
  </si>
  <si>
    <t>TUCKER RANCH HERITAGE PARK</t>
  </si>
  <si>
    <t>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t>
  </si>
  <si>
    <t>DAVIE WETLAND PRESERVE</t>
  </si>
  <si>
    <t>TOWN OF DAVIE</t>
  </si>
  <si>
    <t>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t>
  </si>
  <si>
    <t>Broward</t>
  </si>
  <si>
    <t>PINE TRAIL PARK</t>
  </si>
  <si>
    <t>CITY OF PARKLAND</t>
  </si>
  <si>
    <t>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t>
  </si>
  <si>
    <t>PINE TRAILS PARK</t>
  </si>
  <si>
    <t>DORAL PARK NORTH</t>
  </si>
  <si>
    <t>CITY OF DORAL</t>
  </si>
  <si>
    <t>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t>
  </si>
  <si>
    <t>COASTLINE PARK</t>
  </si>
  <si>
    <t>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t>
  </si>
  <si>
    <t>Seminole</t>
  </si>
  <si>
    <t>CURRY ISLAND TRAILHEAD</t>
  </si>
  <si>
    <t>GLADES COUNTY</t>
  </si>
  <si>
    <t>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t>
  </si>
  <si>
    <t>CURRY ISLANF TRAILHEAD</t>
  </si>
  <si>
    <t>GLADES</t>
  </si>
  <si>
    <t>PEPPER PARK RENOVATIONS</t>
  </si>
  <si>
    <t>ST. LUCIE COUNTY</t>
  </si>
  <si>
    <t>St. Lucie will renovate fishing piers, picnic pavilion and resurface the parking area of Pepper Park. Pepper Park is a 155-acre park that is located along the Atlantic Ocean and the Indian River Lagoon.</t>
  </si>
  <si>
    <t>Saint Lucie</t>
  </si>
  <si>
    <t>KEATON BEACH COASTAL PARK</t>
  </si>
  <si>
    <t>TAYLOR COUNTY</t>
  </si>
  <si>
    <t>Taylor County proposes new development of a playground, unpaved nature and hiking trail, parking facilities, picnic pavilion, boardwalk and wildlife observation deck. The project will also include installation of habitat signage.</t>
  </si>
  <si>
    <t>TAYLOR</t>
  </si>
  <si>
    <t>WOODLEA REGIONAL SPORTS COMPLEX EXPANSION</t>
  </si>
  <si>
    <t>CITY OF TAVARES</t>
  </si>
  <si>
    <t>The city of Tavares proposes to develop baseball fields, multi-purpose field, several access points to enter the park, and an abundance of parking to accommodate a variety of outdoor recreational activities.</t>
  </si>
  <si>
    <t>Lake</t>
  </si>
  <si>
    <t>BAGDAD MILL SITE TRAIL</t>
  </si>
  <si>
    <t>SANTA ROSA COUNTY</t>
  </si>
  <si>
    <t>Santa Rosa County proposes to develop a new kayak launch area, trail historical signage, picnic facilities, boardwalk, fishing pier, landscaping, parking and lighting.</t>
  </si>
  <si>
    <t>SANTA ROSA</t>
  </si>
  <si>
    <t>HAMPTON PINES PARK IMPROVEMENTS</t>
  </si>
  <si>
    <t>CITY OF NORTH LAUDERDALE</t>
  </si>
  <si>
    <t>The City of North Lauderdale will develop a new off-road bike trail and renovate a pedestrian trail, floating dock, fencing, parking, lighting, landscaping and restroom</t>
  </si>
  <si>
    <t>HAMPTON PINES PARK</t>
  </si>
  <si>
    <t>LEGACY PARK</t>
  </si>
  <si>
    <t>CITY OF VENICE</t>
  </si>
  <si>
    <t>Proposal to develop an observation deck, picnic facility, kayak/canoe,horseshoe court and access road on a 10.35 acre site in Sarasota County.</t>
  </si>
  <si>
    <t>SARASOTA</t>
  </si>
  <si>
    <t>LAKE IDAMERE PARK</t>
  </si>
  <si>
    <t>LAKE COUNTY</t>
  </si>
  <si>
    <t>Lake county proposes this project will provide children of all abilities the opportunity for physical exercise and camaraderie with other children. This project will develop ADA accessible ball field, picnic pavilion, mini track, shade structure, security lighting, parking and landscaping.</t>
  </si>
  <si>
    <t>COMMERCE CITY PARK (WATERWORKS)</t>
  </si>
  <si>
    <t>CITY OF COMMERCE</t>
  </si>
  <si>
    <t>Grant funds will be used to aid the City of Commerce to acquire approximately 44+/- acres which will create a new recreation area. This tract of land will lend itself very well to the development of facilities for both active and passive recreational activities.</t>
  </si>
  <si>
    <t>COMMERCE COMMUNITY PARK</t>
  </si>
  <si>
    <t>Banks</t>
  </si>
  <si>
    <t>MOORE'S BRIDGE PARK</t>
  </si>
  <si>
    <t>CARROLL COUNTY</t>
  </si>
  <si>
    <t>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t>
  </si>
  <si>
    <t>MOORE'S BRODGE PARK</t>
  </si>
  <si>
    <t>CARROLL</t>
  </si>
  <si>
    <t>WESTSIDE PARK-MIRACLE LEAGUE FIELD</t>
  </si>
  <si>
    <t>WHITFIELD COUNTY</t>
  </si>
  <si>
    <t>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t>
  </si>
  <si>
    <t>WESTSIDE PARK-MIRCLE LEAGUE PARK</t>
  </si>
  <si>
    <t>WAR HILL PARK</t>
  </si>
  <si>
    <t>DAWSON COUNTY</t>
  </si>
  <si>
    <t>Grant funds will be used to enhance the renovation at this 108+/- acre site of War HIll Park. The renovation will include the resurfacing of all parking areas and roadways within the park. This site is leased to Dawson County for a period of 25 years.</t>
  </si>
  <si>
    <t>DAWSON</t>
  </si>
  <si>
    <t>RUTLEDGE CITY PARK</t>
  </si>
  <si>
    <t>CITY OF RUTLEDGE</t>
  </si>
  <si>
    <t>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t>
  </si>
  <si>
    <t>HALPREN PARK</t>
  </si>
  <si>
    <t>CITY OF DORAVILLE</t>
  </si>
  <si>
    <t>Grant funds will be used to enhance the renovation of the 4.24+/- acre park site of Halpren Park. Renoavation at Halpren Park will include new picnic tables, picnic pads, playground equipment, walking trails, and natural areas.</t>
  </si>
  <si>
    <t>DeKalb</t>
  </si>
  <si>
    <t>CHARLES MILTON DANIEL PARK</t>
  </si>
  <si>
    <t>CITY OF MORROW</t>
  </si>
  <si>
    <t>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t>
  </si>
  <si>
    <t>CLAYTON</t>
  </si>
  <si>
    <t>YELLOW RIVER PARK</t>
  </si>
  <si>
    <t>CITY OF PORTERDALE</t>
  </si>
  <si>
    <t>Grant funds will be used to acquire 2.5+/- acres of land. Future development of Yellow River Park will include active and passive recreational opportunities such as walking, running and biking on a proposed 3 mile multi-use trail.</t>
  </si>
  <si>
    <t>THOMSON CITY PARK</t>
  </si>
  <si>
    <t>MCDUFFIE COUNTY</t>
  </si>
  <si>
    <t>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t>
  </si>
  <si>
    <t>McDuffie</t>
  </si>
  <si>
    <t>TUGALOO STATE PARK CAMPGROUND</t>
  </si>
  <si>
    <t>GA DEPT OF NATURAL RESOURCES</t>
  </si>
  <si>
    <t>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t>
  </si>
  <si>
    <t>TUGALOO STATE PARK</t>
  </si>
  <si>
    <t>BROADDUS-DURKAN SOCCER COMPLEX</t>
  </si>
  <si>
    <t>CITY OF DALTON</t>
  </si>
  <si>
    <t>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t>
  </si>
  <si>
    <t>WHITFIELD</t>
  </si>
  <si>
    <t>TEMPLE PARK EXPANSION</t>
  </si>
  <si>
    <t>CITY OF TEMPLE</t>
  </si>
  <si>
    <t>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t>
  </si>
  <si>
    <t>Carroll</t>
  </si>
  <si>
    <t>MAIN STREET PARK</t>
  </si>
  <si>
    <t>CITY OF MOULTRIE</t>
  </si>
  <si>
    <t>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t>
  </si>
  <si>
    <t>Colquitt</t>
  </si>
  <si>
    <t>SILVER COMET TRAIL LINEAR PARK</t>
  </si>
  <si>
    <t>CITY OF POWDER SPRINGS</t>
  </si>
  <si>
    <t>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t>
  </si>
  <si>
    <t>HUNT EDUCATIONAL &amp; CUTURAL PARK</t>
  </si>
  <si>
    <t>CITY OF FORT VALLEY</t>
  </si>
  <si>
    <t>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t>
  </si>
  <si>
    <t>HUNT EDUCATIONAL &amp; CULTURAL</t>
  </si>
  <si>
    <t>Peach</t>
  </si>
  <si>
    <t>CITY POND PARK-MIRACLE LEAGUE COMPLEX</t>
  </si>
  <si>
    <t>CITY OF COVINGTON</t>
  </si>
  <si>
    <t>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t>
  </si>
  <si>
    <t>CITY POND PARK</t>
  </si>
  <si>
    <t>WILLS PARK-CITY POOL</t>
  </si>
  <si>
    <t>CITY OF ALPHARETTA</t>
  </si>
  <si>
    <t>Grant funds will be used for the enhanced renovation development of swimming facilities at this 3.08+/- acre park site of Wills Park. This site will make for a splash pad that is ADA compliant, while still providing a water feature for young children and those who are young at heart.</t>
  </si>
  <si>
    <t>WILLS PARK</t>
  </si>
  <si>
    <t>Fulton</t>
  </si>
  <si>
    <t>LUCY ROSS PARK (AKA) BEE TREE PARK</t>
  </si>
  <si>
    <t>CITY OF NASHVILLE</t>
  </si>
  <si>
    <t>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t>
  </si>
  <si>
    <t>Berrien</t>
  </si>
  <si>
    <t>DNR PARK PLAYGROUND</t>
  </si>
  <si>
    <t>GEORGIA DEPARTMENT OF NATURAL RESOURCES</t>
  </si>
  <si>
    <t>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t>
  </si>
  <si>
    <t>F D ROOSEVELT STATE PARK</t>
  </si>
  <si>
    <t>HARRIS</t>
  </si>
  <si>
    <t>FORT MOUNTAIN STATE PARK</t>
  </si>
  <si>
    <t>MURRAY</t>
  </si>
  <si>
    <t>SWEETWATER CREEK STATE PARK</t>
  </si>
  <si>
    <t>RED TOP MOUNTAIN STATE PARK</t>
  </si>
  <si>
    <t>BARTOW</t>
  </si>
  <si>
    <t>REED BINGHAM STATE PARK</t>
  </si>
  <si>
    <t>COOK</t>
  </si>
  <si>
    <t>DON CARTER STATE PARK</t>
  </si>
  <si>
    <t>HALL</t>
  </si>
  <si>
    <t>GORDONIA-ALATAMAHA STATE PARK</t>
  </si>
  <si>
    <t>TATTNALL</t>
  </si>
  <si>
    <t>LAURA WALKER STATE PARK</t>
  </si>
  <si>
    <t>WARE</t>
  </si>
  <si>
    <t>SKIDAWAY ISLAND STATE PARK</t>
  </si>
  <si>
    <t>CHATHAM</t>
  </si>
  <si>
    <t>JAMES FLOYD STATE PARK</t>
  </si>
  <si>
    <t>CHATTOOGA</t>
  </si>
  <si>
    <t>INDIAN SPRINGS STATE PARK</t>
  </si>
  <si>
    <t>BUTTS</t>
  </si>
  <si>
    <t>ELIJAH CLARK STATE PARK</t>
  </si>
  <si>
    <t>LINCOLN</t>
  </si>
  <si>
    <t>CITY PARK PLAYGROUND</t>
  </si>
  <si>
    <t>CITY OF MAYSVILLE</t>
  </si>
  <si>
    <t>Grant funds will be used for the development of sports and playfields, trails, picnic areas, and support facilities at this 40 +/- acre sit of City Park development. This newly created site will be a great asset to the community. The short term benefit will be that the children in the community will have a place to go for physical exercise. The long term benefit will be good health improvements for the citizens of Maysville.</t>
  </si>
  <si>
    <t>CITY PARK</t>
  </si>
  <si>
    <t>BANKS</t>
  </si>
  <si>
    <t>DUNCAN PARK</t>
  </si>
  <si>
    <t>CITY OF FAIRBURN</t>
  </si>
  <si>
    <t>Grant funds will be used for the rehabilitation of a portion of the 142+/- acres at Duncan Park. This rehabilitation will include multiple parking areas and three observation decks. The rehabilitated parking areas are located at the tennis courts, the lower basketball courts and the upper basketball courts. The observation decks are located around the lake at the park. The citizens of Fairburn will have a renewed sense of pride and a desire to visit this site upon completion.</t>
  </si>
  <si>
    <t>FULTON</t>
  </si>
  <si>
    <t>VICTOR LORD PARK</t>
  </si>
  <si>
    <t>BARROW COUNTY</t>
  </si>
  <si>
    <t>Grant funds will be used for the renovation development of lighting for baseball fields’ #8-11 at this 66+/- acre site of Victor Lord Park. Dated poles and lighting will be removed and there will be new light poles, lights and electrical installed at the fields of 8-11. These new lights will be a major improvement providing maximum visibility on the ball fields. This rehabilitation is for lighting, which will improve the safety of the participants at the park.</t>
  </si>
  <si>
    <t>Barrow</t>
  </si>
  <si>
    <t>BIG CREEK GREENWAY</t>
  </si>
  <si>
    <t>Grant funds will be used for the renovation of a small portion/section of a trail at this 61.38+/- acre site of Big Creek Greenway. Although the renovation is a portion of the trail, the renovation will go a long way towards making the entire trail accessible for all users, no matter where they enter the trial system. Families will enjoy the trail whether they are taking leisurely scrolls, jogging, bicycling or just enjoying nature.</t>
  </si>
  <si>
    <t>LAKE VARNER/CORNISH CREEK PARK</t>
  </si>
  <si>
    <t>NEWTON COUNTY</t>
  </si>
  <si>
    <t>Grant funds will be used for the rehabilitation of the playground area and fishing pier at this 58+/- acre site of Lake Varner/Cornish Creek Park. This site is listed as one of the top fishing reservoirs in Georgia. Those with and without special needs will use the accessible docks. This project promotes family fun and outdoor activities in a safe environment.</t>
  </si>
  <si>
    <t>HANDLEY PARK</t>
  </si>
  <si>
    <t>TOWN OF TYRONE</t>
  </si>
  <si>
    <t>Grant funds will be used for the renovation development of soccer fields at this 40.8+/- acre site of Handley Park. This project will give the Town of Tyrone the ability to offer soccer to more age groups. This project will also increase the ability for the Town of Tyrone to have reciprocal playing from neighboring associations, as extra fields are necessart for tournaments and clinics.</t>
  </si>
  <si>
    <t>FAYETTE</t>
  </si>
  <si>
    <t>HENDERSON FALLS PARK</t>
  </si>
  <si>
    <t>CITY OF TOCCOA</t>
  </si>
  <si>
    <t>Grant funds will be used for phase I renovation of tennis courts and support facilities within the 25+/- acre site of Henderson Falls Park. Proposed improvements will eliminate safety threats posed by a deteriorating observation deck, absence of railing above the falls, antiquated wiring and inadequate landscape lighting. Resurfacing asphalt will improve accessibility ans aesthetics.</t>
  </si>
  <si>
    <t>Stephens</t>
  </si>
  <si>
    <t>RONALD REAGAN PARK</t>
  </si>
  <si>
    <t>GWINNETT COUNTY</t>
  </si>
  <si>
    <t>Grant funds will be used for rehabilitation of a skate-park and support facilities within this 24.6+/- acre site. The new design of the park will increase the capacity and make it more attractive to skateboarders; and will alleviate the drainage problems at the dog-park to eliminate the area from being too muddy to use after the rain.</t>
  </si>
  <si>
    <t>GWINNETT</t>
  </si>
  <si>
    <t>BARBER PARK</t>
  </si>
  <si>
    <t>GRADY COUNTY</t>
  </si>
  <si>
    <t>Grant funds will be used for the renovation of lighting of baseball fields within the 15.3 acre site of Barber Park. The new lights will replace the less energy efficient lights on the wooden poles that were erected in 1982. The short term benefits of the rehab will be an increase in safety and better field utiliztion. The long term benefits of this rehab will be loser operating costs, more touraments and healthier children.</t>
  </si>
  <si>
    <t>Grady</t>
  </si>
  <si>
    <t>WHITEWATER CREEKPARK</t>
  </si>
  <si>
    <t>MACON COUNTY</t>
  </si>
  <si>
    <t>Grant funds will be used for the renovation development of the campground area to include tot lot equipment, and support facilities at this 14 +/- acre site of Whitewater Creek Park. The short term public benefits will be the promotion of more outdoor recreation activities that will enhance the health and welfare of the community. The long term benefits include more exposure for the county which will bring in tourism and stimulate other community growth.</t>
  </si>
  <si>
    <t>WHITEWATER CREEK PARK</t>
  </si>
  <si>
    <t>MACON</t>
  </si>
  <si>
    <t>BULLOCH COUNTY</t>
  </si>
  <si>
    <t>Grant funds will be used for the rehabilitation of the tennis courts, playground area, picnic areas and support facilities at this 12.21+/- acre site of Memorial Park. A part of the renovation for this project will include making all of the facilities handicapped accessible. This rehab along with site lighting will open up new opportunities for the citizens of Bulloch County. Rehabilitation of this centrally located facility will also reinstate a source of pride in this important public facility.</t>
  </si>
  <si>
    <t>Bulloch</t>
  </si>
  <si>
    <t>DAVIS WADE AND WHEELER PARKS</t>
  </si>
  <si>
    <t>CITY OF DOUGLAS</t>
  </si>
  <si>
    <t>Grant funds will be used for the renovation of tennis courts within Davis Wade Park, which is 7.32+/- acres; and within Wheeler Park, which is 9+/- acres. The proposed rehabilitation improvements for Davis Wade Park include the base preparation, construction, paving and surfacing of six courts and the installation of new lights around four of the courts. The rehab improvements will add value to the park by increasing the usability of the courts resulting in increased attendance at the park. The proposed rehabilitation improvements for Wheeler Park include the base preparation, construction, paving and surfacing of two courts. Nestled in the heart of an established Douglas neighborhood, Wheeler Park is a destination park for many in the community.</t>
  </si>
  <si>
    <t>Coffee</t>
  </si>
  <si>
    <t>Grant funds will be used for the renovation development of a playground area at this 4.24+/- acre site of Halpren Park. This renovation will provide a safe, constructive environment for children to play. The City strives to provide areas for play and exercise for the children of the community. As a result of this action, numerous goals will be achieved for the parks and the recreation mission, as well as, bigger goals for a healthy, well-balanced child population.</t>
  </si>
  <si>
    <t>URBANA PARK</t>
  </si>
  <si>
    <t>CITY OF BRUNSWICK</t>
  </si>
  <si>
    <t>Grant funds will be used for the renovation development of tot lot/playground equipment and basketball courts at this .99+/- acre site of Urbana Park. This site will be a great asset to the community. The short and long-term benefits will be that the children in the community will have a place to go for physical exercise. This site will also improve the health for the citizens of Brunswick.</t>
  </si>
  <si>
    <t>GLYNN</t>
  </si>
  <si>
    <t>GU</t>
  </si>
  <si>
    <t>DPR GUAM SPORTS COMPLEX SEATING</t>
  </si>
  <si>
    <t>GOVERNMENT OF GUAM</t>
  </si>
  <si>
    <t>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t>
  </si>
  <si>
    <t>GUAM SPORTS COMPLEX</t>
  </si>
  <si>
    <t>ALA WAI COMMUNITY PARK, OAHU</t>
  </si>
  <si>
    <t>CITY AND COUNTY OF HONOLULU</t>
  </si>
  <si>
    <t>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t>
  </si>
  <si>
    <t>ALA WAI COMMUNITY PARK</t>
  </si>
  <si>
    <t>HONOLULU</t>
  </si>
  <si>
    <t>ULUPO HEIAU STATE HISTORICAL PARK</t>
  </si>
  <si>
    <t>HI DEPARTMENT OF LAND AND NATURAL RESOURCES</t>
  </si>
  <si>
    <t>Funds acquisition of 4 acres for inclusion into the existing LWCF boundary of the “Ulupo Heiau State Historical Park” (15-00106). Heiaus are traditional Hawaiian temples to treat illness, make offerings, ask for help, etc. Will provide an additional open space buffer for the park, more parking on an already developed lot used by the public, and secure public access for scenic views of the adjacent Kawainui Marsh (15-00115) which is the largest wetland in Hawaii and is deemed a “wetland of international importance”.</t>
  </si>
  <si>
    <t>ULUPO HEIAU STATE HISTORIC SITE</t>
  </si>
  <si>
    <t>Honolulu</t>
  </si>
  <si>
    <t>HILO BAYFRONT TRAILS - PHASE 1</t>
  </si>
  <si>
    <t>COUNTY OF HAWAII</t>
  </si>
  <si>
    <t>Funds construction of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(#15-00167). The overall project area is within an urban coastal zone and the combined effort intends to provide a new network of safe, off-road multi-use paths and other visitor facilities for bicyclists and pedestrians.</t>
  </si>
  <si>
    <t>MO’OHEAU COUNTY PARK</t>
  </si>
  <si>
    <t>KAIWI STATE SCENIC SHORELINE</t>
  </si>
  <si>
    <t>HI DEPARTMENT OF NATURAL RESOURCES - STATE PARKS</t>
  </si>
  <si>
    <t>Funds improvements and renovations to the Kaiwi State Scenic Shoreline’s popular Makapu’u Road which leads to a well-known scenic lighthouse. Specifically, the LWCF grant would fund: Stabilization of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t>
  </si>
  <si>
    <t>WAILOA RIVER STATE PARK</t>
  </si>
  <si>
    <t>HI DEPARTMENT OF NATURAL RESOURCES-STATE PARKS</t>
  </si>
  <si>
    <t>Funds improvements and renovations to existing facilities: 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(to be funded through #15-00168). The combined effort intends to provide a new network of safe, off-road multi-use paths and other visitor facilities for bicyclists and pedestrians in the urban coastal town of Hilo.</t>
  </si>
  <si>
    <t>Hawaii</t>
  </si>
  <si>
    <t>DAKINS LAKE EXPANSION-DAKINS TRUST PROPERTY</t>
  </si>
  <si>
    <t>STORY COUNTY</t>
  </si>
  <si>
    <t>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t>
  </si>
  <si>
    <t>DAKINS LAKE COUNTY PARK</t>
  </si>
  <si>
    <t>Story</t>
  </si>
  <si>
    <t>JESTER PARK ACCESS IMPROVEMENTS</t>
  </si>
  <si>
    <t>POLK COUNTY</t>
  </si>
  <si>
    <t>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t>
  </si>
  <si>
    <t>JESTER PARK</t>
  </si>
  <si>
    <t>POLK</t>
  </si>
  <si>
    <t>LAKE DARLING LODGE/BEACH PARKING LOT EXPANSION</t>
  </si>
  <si>
    <t>DEPT. OF NATURAL RESOURCES</t>
  </si>
  <si>
    <t>The Iowa Department of Natural Resources will replace and expand the Lake Darling State Park beach access parking lot. This particular lot will also serve the park lodge constructed in 2008.</t>
  </si>
  <si>
    <t>LAKE DARLING STATE PARK</t>
  </si>
  <si>
    <t>LAKE ANITA SHOWER BUILDINGS</t>
  </si>
  <si>
    <t>The Iowa Department of Natural Resources will remove and the replace two shower building/restroom facilities at Lake Anita State Park. The existing facilities are more than 44 years old and are beyond reasonable repair.</t>
  </si>
  <si>
    <t>LAKE ANITA STATE PARK</t>
  </si>
  <si>
    <t>CASS</t>
  </si>
  <si>
    <t>DEERWOOD PARK PLAYGROUND IMPROVEMENTS</t>
  </si>
  <si>
    <t>CITY OF EVANSDALE</t>
  </si>
  <si>
    <t>Evansdale will develop a new playground at Deerwood Park. The City continues replacing outdoor recreation facilities here that were damaged by the 2008 Cedar River flood.</t>
  </si>
  <si>
    <t>DEERWOOD PARK</t>
  </si>
  <si>
    <t>Black Hawk</t>
  </si>
  <si>
    <t>RENWICK PARK IMPROVEMENTS</t>
  </si>
  <si>
    <t>CITY OF RENWICK</t>
  </si>
  <si>
    <t>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t>
  </si>
  <si>
    <t>RENWICK CITY PARK</t>
  </si>
  <si>
    <t>PLAYGROUND IMPROVEMENTS</t>
  </si>
  <si>
    <t>CITY OF CLARE</t>
  </si>
  <si>
    <t>Clare will construct a new playground structure at City Park. The existing playground equipment is dilapidated and unsafe for use.</t>
  </si>
  <si>
    <t>WEBSTER</t>
  </si>
  <si>
    <t>POOL RENOVATION</t>
  </si>
  <si>
    <t>CITY OF POSTVILLE</t>
  </si>
  <si>
    <t>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t>
  </si>
  <si>
    <t>LULL'S PARK</t>
  </si>
  <si>
    <t>ALLAMAKEE</t>
  </si>
  <si>
    <t>E.B. LYONS INTREPRETIVE AREA ADDITION</t>
  </si>
  <si>
    <t>CITY OF DUBUQUE</t>
  </si>
  <si>
    <t>The city of Dubuque (Dubuque County) will acquire (by purchase) a 52-acre farmstead as an addition to the E.B. Lyons Interpretive Area and develop a picnic area, natural area, and comfort station.</t>
  </si>
  <si>
    <t>E.B. LYONS PARK</t>
  </si>
  <si>
    <t>Dubuque</t>
  </si>
  <si>
    <t>BRUSHY CREEK BEACH DEVELOPMENT</t>
  </si>
  <si>
    <t>The Iowa Department of Natural Resources will improve the access road and beach parking lot at Brushy Creek State Recreation Area.</t>
  </si>
  <si>
    <t>BRUSHY CREEK STATE RECREATION AREA</t>
  </si>
  <si>
    <t>Webster</t>
  </si>
  <si>
    <t>DEERWOOD PARK CAMPGROUND IMPROVEMENT PHASE I</t>
  </si>
  <si>
    <t>The city of Evansdale (Black Hawk County) will develop RV campground pads and a sanitary sewer and water service system at Deerwood Park.</t>
  </si>
  <si>
    <t>LEOPOLD RECREATION AREA ACQUISITION</t>
  </si>
  <si>
    <t>DES MOINES COUNTY CONSERVATION BOARD</t>
  </si>
  <si>
    <t>The Des Moines County Conservation Board will acquire 235.0 acres to create the Leopold Recreation Area on the northern outskirts of Burlington.</t>
  </si>
  <si>
    <t>LEOPOLD RECREATION AREA</t>
  </si>
  <si>
    <t>DES MOINES</t>
  </si>
  <si>
    <t>BRUSHY CREEK SRA BEACH DEVELOPMENT PHASE II</t>
  </si>
  <si>
    <t>The Iowa DNR will construct a beach concession building, utilities, and a sidewalk plus finish paving the beach parking at Brushy Creek State Recreation Area.</t>
  </si>
  <si>
    <t>BOTNA BEND PARK IMPROVEMENTS</t>
  </si>
  <si>
    <t>POTTAWATTAMIE COUNTY</t>
  </si>
  <si>
    <t>The Pottawattamie County (Iowa) Conservation Board will utilize a Land and Water Conservation Fund grant to assist in the construction of a 25 unit RV campground and water trail access site at Botna Bend County Park near the city of Hancock.</t>
  </si>
  <si>
    <t>BOTNA BEND COUNTY PARK</t>
  </si>
  <si>
    <t>POTTAWATTAMIE</t>
  </si>
  <si>
    <t>FORT DES MOINES PARK OUTDOOR CLASSROOM</t>
  </si>
  <si>
    <t>POLK COUNTY CONSERVATION BOARD</t>
  </si>
  <si>
    <t>The Polk County Conservation Board will develop outdoor recreational and educational facilities at Fort Des Moines Park. The grant scope includes natural area improvements (e.g., prairie planting and restored wetland) that will help improve water quality of the pond; construction of an amphitheater, a three-season shelter, a connecting trail system with fitness component, a bird blind, vault toilets, utilities, educational kiosks, and an entrance from County Line Road with a paved parking lot.</t>
  </si>
  <si>
    <t>FORT DES MOINES PARK</t>
  </si>
  <si>
    <t>DAKINS LAKE EXPANSION PHASE II</t>
  </si>
  <si>
    <t>The Story County Conservation Board (Iowa) will construct a shower/restroom facility at the campground and a shelter/restroom facility at the day-use area within Dakins Lake County Park near Zearing.</t>
  </si>
  <si>
    <t>PAUL COMMUNITY PARK</t>
  </si>
  <si>
    <t>CITY OF PAUL</t>
  </si>
  <si>
    <t>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t>
  </si>
  <si>
    <t>MINIDOKA</t>
  </si>
  <si>
    <t>FARRAGUT WATER TOWER</t>
  </si>
  <si>
    <t>ID DEPARTMENT OF PARKS AND RECREATION</t>
  </si>
  <si>
    <t>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t>
  </si>
  <si>
    <t>FARRAGUT STATE PARK</t>
  </si>
  <si>
    <t>KOOTENAI</t>
  </si>
  <si>
    <t>AMERICAN FALLS SKATE PARK</t>
  </si>
  <si>
    <t>CITY OF AMERICAN FALLS</t>
  </si>
  <si>
    <t>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t>
  </si>
  <si>
    <t>LEE STREET PARK</t>
  </si>
  <si>
    <t>Power</t>
  </si>
  <si>
    <t>MAJESTIC PARK DEVELOPMENT</t>
  </si>
  <si>
    <t>CITY OF RATHDRUM</t>
  </si>
  <si>
    <t>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t>
  </si>
  <si>
    <t>MAJESTIC PARK</t>
  </si>
  <si>
    <t>Kootenai</t>
  </si>
  <si>
    <t>THREE ISLAND CROSSING SP RESTROOM RENOVATION</t>
  </si>
  <si>
    <t>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t>
  </si>
  <si>
    <t>THREE ISLAND CROSSING STATE PARK</t>
  </si>
  <si>
    <t>Elmore</t>
  </si>
  <si>
    <t>EAGLE ISLAND STATE PARK SHELTERS</t>
  </si>
  <si>
    <t>Construct 3 group picnic shelters, including paths, electric service, design and contract administration.</t>
  </si>
  <si>
    <t>EAGLE ISLAND STATE PARK</t>
  </si>
  <si>
    <t>Ada</t>
  </si>
  <si>
    <t>BANCROFT MEMORIAL PARK</t>
  </si>
  <si>
    <t>CITY OF BANCROFT</t>
  </si>
  <si>
    <t>Install playground including equipment, surfacing and concrete, equipment, labor and professional fees.</t>
  </si>
  <si>
    <t>Caribou</t>
  </si>
  <si>
    <t>WOOD RIVER TRAIL SYSTEM</t>
  </si>
  <si>
    <t>BLAINE COUNTY RECREATION DISTRICT</t>
  </si>
  <si>
    <t>Funds renovation of four sections of the current Wood River Trail System in Blaine County, ID, including asphalt removal/replacement, design/engineering, and project management. LWCF has funded sections of this trail previously (16-00451, 16-00461, 16-00471). The grant sponsor has control and tenure via a variety of easements and other property interest tools.</t>
  </si>
  <si>
    <t>WOOD RIVER TRAILS</t>
  </si>
  <si>
    <t>Blaine</t>
  </si>
  <si>
    <t>IL</t>
  </si>
  <si>
    <t>THE GROVE ADDITION</t>
  </si>
  <si>
    <t>GLENVIEW PARK DIST.</t>
  </si>
  <si>
    <t>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t>
  </si>
  <si>
    <t>THE GROVE</t>
  </si>
  <si>
    <t>MUIRHEAD ACQUISITION BOWES CREEK</t>
  </si>
  <si>
    <t>KANE COUNTY FOREST PRESERVE DIST.</t>
  </si>
  <si>
    <t>The Kane County Forest Preserve District will acquire 142.5 acres to create the Bowes Creek Woods. Much of the new park is in wetlands, so its future development is envisioned to include trails and general support facilities.</t>
  </si>
  <si>
    <t>BOWES-CREEK WOODS</t>
  </si>
  <si>
    <t>KANE</t>
  </si>
  <si>
    <t>CASEY PROPERTY ACQUISITION</t>
  </si>
  <si>
    <t>JOLIET PARK DIST.</t>
  </si>
  <si>
    <t>The Joliet Park District will acquire 108.8 acres for the creation of Beane Homestead Park. Future development includes soccer, softball, and baseball fields plus trails within a forest setting.</t>
  </si>
  <si>
    <t>BEANE HOMESTEAD PARK</t>
  </si>
  <si>
    <t>WILL</t>
  </si>
  <si>
    <t>MOSSVILLE SOCCER COMPLEX</t>
  </si>
  <si>
    <t>PEORIA PARK DIST.</t>
  </si>
  <si>
    <t>The Peoria Park District will improve the Mossville Soccer Complex by constructing soccer fields, a lacrosse/cricket field, shade structures, and walking paths, plus the installation of bio-swales.</t>
  </si>
  <si>
    <t>PEORIA</t>
  </si>
  <si>
    <t>YORKTOWN GOLF COURSE ACQUISITION</t>
  </si>
  <si>
    <t>VILLAGE OF SHILOH</t>
  </si>
  <si>
    <t>The Village of Shiloh (St. Clair County) will utilize a Land and Water Conservation Fund grant to assist in acquiring a 37.2-acre private golf course for public outdoor recreation use.</t>
  </si>
  <si>
    <t>YORKTOWN GOLF COURSE</t>
  </si>
  <si>
    <t>SAINT CLAIR</t>
  </si>
  <si>
    <t>WILMETTE AVENUE ACQUISITION</t>
  </si>
  <si>
    <t>WESTMONT PARK DISTRICT</t>
  </si>
  <si>
    <t>The Westmont Park District will acquire 4.51 acres to create Wilmette Park.</t>
  </si>
  <si>
    <t>WILMETTE PARK</t>
  </si>
  <si>
    <t>DUPAGE</t>
  </si>
  <si>
    <t>MOHAWK SCHOOL SITE ACQUISITION</t>
  </si>
  <si>
    <t>BENSENVILLE PARK DISTRICT</t>
  </si>
  <si>
    <t>The Bensenville Park District (DuPage County, Illinois) will utilize a Land and Water Conservation Fund grant to assist in acquiring 4.06 acres for the creation of Mohawk Park.</t>
  </si>
  <si>
    <t>MOHAWK PARK</t>
  </si>
  <si>
    <t>BEACH-OAK PARK ADDITION</t>
  </si>
  <si>
    <t>COMMUNITY PARK DISTRICT OF LA GRANGE PARK</t>
  </si>
  <si>
    <t>The Community Park District of La Grange Park (Cook County) will utilize a Land and Water Conservation Fund grant to assist in acquiring 0.138 acre as an addition to the 0.6-acre Beach-Oak Park.</t>
  </si>
  <si>
    <t>BEACH-OAK PARK</t>
  </si>
  <si>
    <t>ANTOS WOODS ACQUISITION</t>
  </si>
  <si>
    <t>The Forest Preserve District of Kane County will utilize a Land and Water Conservation Fund grant to assist in acquiring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t>
  </si>
  <si>
    <t>ANTOS WOODS PARK</t>
  </si>
  <si>
    <t>TINLEY CREEK PRESERVE - VILLA SANTA MARIA</t>
  </si>
  <si>
    <t>COOK COUNTY FOREST PRESERVE DIST.</t>
  </si>
  <si>
    <t>The Forest Preserve District of Cook County will utilize a Land and Water Conservation Fund grant to assist in acquiring 29.3 acres as an addition to the Tinley Creek Preserve. Future development may include trails, picnic facilities, and restrooms.</t>
  </si>
  <si>
    <t>TINLEY CREEK PRESERVE</t>
  </si>
  <si>
    <t>YOUTH CAMPUS PARK ACQUISITION</t>
  </si>
  <si>
    <t>PARK RIDGE PARK DISTRICT</t>
  </si>
  <si>
    <t>The Park Ridge Park District (Cook County, Illinois) will utilize a Land and Water Conservation Fund grant to assist in acquiring 11.35 acres for the creation of Youth Campus Park. Future development may include a splash pad, playground, a picnic shelter, an amphitheater, looped trail, paddle ball tennis courts, general purpose playfields, landscaping, and parking.</t>
  </si>
  <si>
    <t>YOUTH CAMPUS PARK</t>
  </si>
  <si>
    <t>ST. BONIFACE ACQUISITION</t>
  </si>
  <si>
    <t>TINLEY PARK PARK DISTRICT</t>
  </si>
  <si>
    <t>The Tinley Park Park District (Cook County, Illinois) will utilize a Land and Water Conservation Fund grant to assist in acquiring 4.62 acre of land for the creation of a public outdoor recreation area which will include a baseball field, a lacrosse field, a playground, and parking.</t>
  </si>
  <si>
    <t>ST. BONIFACE PARK</t>
  </si>
  <si>
    <t>BUDD STREET PARK</t>
  </si>
  <si>
    <t>VILLAGE OF RIVER GROVE</t>
  </si>
  <si>
    <t>The village of River Grove (Cook County, Illinois) will acquire a 0.13 acre parcel, in fee simple title, for the creation of a passive park. The residential structure occupying the property will be demolished and future development plans for this neighborhood park include a butterfly garden, rain garden, picnic shelters, exercise stations, benches, and landscaping.</t>
  </si>
  <si>
    <t>IN</t>
  </si>
  <si>
    <t>WILL DETMER PARK</t>
  </si>
  <si>
    <t>MONROE COUNTY PARK BOARD</t>
  </si>
  <si>
    <t>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t>
  </si>
  <si>
    <t>MONROE</t>
  </si>
  <si>
    <t>ALTHERR PARK</t>
  </si>
  <si>
    <t>MONTICELLO PARK BOARD</t>
  </si>
  <si>
    <t>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t>
  </si>
  <si>
    <t>ZIONSVILLE PARK</t>
  </si>
  <si>
    <t>ZIONSVILLE PARK BOARD</t>
  </si>
  <si>
    <t>The Zionsville (Boone County, Indiana) Park Board will utilize a Land and Water Conservation Fund grant to assist in the acquisition and development of 10 acres located in Zionsville. The grant scope includes the construction of a trailhead for the 3.5 mile Rail Trail.</t>
  </si>
  <si>
    <t>BOONE</t>
  </si>
  <si>
    <t>BECKENHOLDT PARK PHASE II</t>
  </si>
  <si>
    <t>GREENFIELD PARK &amp; RECREATION BOARD</t>
  </si>
  <si>
    <t>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t>
  </si>
  <si>
    <t>BECKENHOLDT PARK</t>
  </si>
  <si>
    <t>HANCOCK</t>
  </si>
  <si>
    <t>ARCHBOLD WILSON MEMORIAL PARK</t>
  </si>
  <si>
    <t>OSSIAN PARK BOARD</t>
  </si>
  <si>
    <t>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t>
  </si>
  <si>
    <t>WELLS</t>
  </si>
  <si>
    <t>BIG WALNUT COMMUNITY PARK, PHASE II</t>
  </si>
  <si>
    <t>GREENCASTLE PARK BOARD</t>
  </si>
  <si>
    <t>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t>
  </si>
  <si>
    <t>BIG WALNUT COMMUNITY PARK</t>
  </si>
  <si>
    <t>WHITE RIVER GREENWAY</t>
  </si>
  <si>
    <t>MORGAN COUNTY PARK BOARD</t>
  </si>
  <si>
    <t>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t>
  </si>
  <si>
    <t>RIVERSIDE GARDEN PARK</t>
  </si>
  <si>
    <t>LEO-CEDARVILLE PARK BOARD</t>
  </si>
  <si>
    <t>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t>
  </si>
  <si>
    <t>ALLEN</t>
  </si>
  <si>
    <t>MACGREGOR PARK PHASE III</t>
  </si>
  <si>
    <t>WASHINGTON TOWNSHIP PARK BOARD</t>
  </si>
  <si>
    <t>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t>
  </si>
  <si>
    <t>MACGREGOR PARK</t>
  </si>
  <si>
    <t>ROBE ANN PARK IMPROVEMENT PROJECT</t>
  </si>
  <si>
    <t>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t>
  </si>
  <si>
    <t>ROBE ANN PARK</t>
  </si>
  <si>
    <t>Putnam</t>
  </si>
  <si>
    <t>OAK RIDGE PRAIRIE COUNTY PARK</t>
  </si>
  <si>
    <t>LAKE COUNTY PARK BOARD</t>
  </si>
  <si>
    <t>The Lake County Park Board will acquire 102 acres of surplus railroad property from CSX that will add to the existing Oak Ridge County Park and construct a new trail.</t>
  </si>
  <si>
    <t>DALLAS LAKE PARK</t>
  </si>
  <si>
    <t>LAGRANGE COUNTY PARK BOARD</t>
  </si>
  <si>
    <t>The LaGrange County Park Board will acquire 44.25 acres of new park land adjacent to the existing 96-acre Dallas Lake Park and construct a limestone trail with a boardwalk throughout the enlarged park, a picnic shelter, a restroom, and an additional parking lot.</t>
  </si>
  <si>
    <t>Lagrange</t>
  </si>
  <si>
    <t>TEIBEL NATURE PARK</t>
  </si>
  <si>
    <t>SCHERERVILLE PARK BOARD</t>
  </si>
  <si>
    <t>The Schererville Park Board will acquire 40 acres through donation and construct a picnic area, playground, trail, natural area, and parking.</t>
  </si>
  <si>
    <t>BODENHORN PARK</t>
  </si>
  <si>
    <t>LAPEL PARK BOARD</t>
  </si>
  <si>
    <t>The Lapel Park Board will acquire 19 acres of new parkland through donation and construct two baseball diamonds, two softball diamonds, a concession stand/storage facility, a parking facility, a playground, open spaces, and a walking trail.</t>
  </si>
  <si>
    <t>MADISON</t>
  </si>
  <si>
    <t>ROUSH PARK</t>
  </si>
  <si>
    <t>BLUFFTON PARK BOARD</t>
  </si>
  <si>
    <t>The Bluffton Parks and Recreation Board will acquire 6.5 acres, through donation, as an addition to Roush Park, enlarging the park to 10.9 acres. The grant scope includes the installation of a splash pad, walking trail, renovations to a large pavilion, replacement of a shelter, an additional parking lot, burying overhead electric lines, additional park benches and picnic tables, and tree planting.</t>
  </si>
  <si>
    <t>Wells</t>
  </si>
  <si>
    <t>HILLSDALE STATE PARK CAMPGROUND DEVELOPMENT</t>
  </si>
  <si>
    <t>DEPT. OF WILDLIFE &amp; PARKS</t>
  </si>
  <si>
    <t>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t>
  </si>
  <si>
    <t>HILLSDALE STATE PARK</t>
  </si>
  <si>
    <t>Miami</t>
  </si>
  <si>
    <t>ELK CITY STATE PARK CABIN DEVELOPMENT</t>
  </si>
  <si>
    <t>The Kansas Department of Wildlife, Parks and Tourism will construct rustic cabins, utilities, a road, and parking within the 857-acre Elk City State Park. This park is adjacent to the Elk City Reservoir and the 12,000-acre Elm City State Wildlife Area in Montgomery County.</t>
  </si>
  <si>
    <t>ELK CITY STATE PARK</t>
  </si>
  <si>
    <t>MONTGOMERY</t>
  </si>
  <si>
    <t>GARVIN PARK PLAYGROUND</t>
  </si>
  <si>
    <t>CITY OF AUGUSTA</t>
  </si>
  <si>
    <t>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t>
  </si>
  <si>
    <t>GARVIN PARK</t>
  </si>
  <si>
    <t>Butler</t>
  </si>
  <si>
    <t>HILLSDALE CAMPGROUND IMPROVEMENTS PHASE III</t>
  </si>
  <si>
    <t>The Kansas Department of Wildlife, Parks and Tourism will construct a new campground at Hillsdale State Park in Miami County. The improvements include sewer, water and electrical hook ups, an interior paved road, parking, and camper pads.</t>
  </si>
  <si>
    <t>43rd AVENUE PARK DEVELOPMENT</t>
  </si>
  <si>
    <t>CITY OF HUTCHINSON</t>
  </si>
  <si>
    <t>The city of Hutchinson (Reno County) will improve the 62-acre 43rd Avenue Park by installing barrier free play structures and constructing trails.</t>
  </si>
  <si>
    <t>43rd AVENUE PARK</t>
  </si>
  <si>
    <t>Reno</t>
  </si>
  <si>
    <t>PRAIRIE DOG STATE PARK CAMPGROUND DEVELOPMENT</t>
  </si>
  <si>
    <t>The Kansas Department of Wildlife, Parks and Tourism will utilize a Land and Water Conservation Fund grant to assist in constructing 27 campsites at 2 campgrounds within Prairie Dog State Park in Norton County. The grant scope includes constructing a new 20-unit campground with each unit providing 50-amp electrical service, water, and sewer hookups, making this the first campground within the park to offer sewer service. At another site, 50-amp electrical service and water hookups will be added to seven existing primitive campsites. Additional work includes a campground road, culverts, fencing, septic tanks, electrical transformers, and landscaping.</t>
  </si>
  <si>
    <t>PRAIRIE DOG STATE PARK</t>
  </si>
  <si>
    <t>Norton</t>
  </si>
  <si>
    <t>EL DORADO STATE PARK SHOWERHOUSE DEVELOPMENT</t>
  </si>
  <si>
    <t>The Kansas Department of Wildlife, Parks and Tourism will utilize a Land and Water Conservation Fund grant to assist in constructing two shower houses buildings within El Dorado State Park in Butler County.</t>
  </si>
  <si>
    <t>EL DORADO STATE PARK</t>
  </si>
  <si>
    <t>WILLIAMSTOWN MARINA DOCK</t>
  </si>
  <si>
    <t>CITY OF WILLIAMSTOWN</t>
  </si>
  <si>
    <t>Grant funds will be used to replace a previous dock that was utilized as boat slips for boaters using the Lake at this existing 335+/- acres site of Marina Dock. This dock will serve hundreds of recreational users for many years.</t>
  </si>
  <si>
    <t>WILLIAMSTOWN LAKE</t>
  </si>
  <si>
    <t>GRANT</t>
  </si>
  <si>
    <t>MIKE MILLER COUNTY PARK WATER SPRAYPAD</t>
  </si>
  <si>
    <t>MARSHALL COUNTY FISCAL COURT</t>
  </si>
  <si>
    <t>Grant funds will be used to enhance the existing 83.7+/- acres of Mike Miller Park. This site will consist of a zero depth water spray pad which will have a flat concrete surface and will have four to six water spray elements.</t>
  </si>
  <si>
    <t>MIKE MILLER COUNTY PARK</t>
  </si>
  <si>
    <t>MONTICELLO/WAYNE CO. PARK PUTT PUTT AND SHELTER</t>
  </si>
  <si>
    <t>WAYNE COUNTY FISCAL COURT</t>
  </si>
  <si>
    <t>Grant funds will be used to enhance this existing 81.7+/- acres of Monticello/Wayne County Park. This site will consist of the construction of an 18 hole putt-putt golf course and the renovation of two picnic shelters. The County has received several previous L&amp;WCF monies in the past.</t>
  </si>
  <si>
    <t>MONTICELLO/WAYNE COUNTY PARK</t>
  </si>
  <si>
    <t>WAYNE</t>
  </si>
  <si>
    <t>OXFORD ROAD PARK</t>
  </si>
  <si>
    <t>CITY OF GEORGETOWN</t>
  </si>
  <si>
    <t>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t>
  </si>
  <si>
    <t>SCOTT</t>
  </si>
  <si>
    <t>MUNFORDVILLE SPORTS COMPLEX PHASE II</t>
  </si>
  <si>
    <t>CITY OF MUNFORDVILLE</t>
  </si>
  <si>
    <t>Grant funds will be used to develop a 20+/- acre newly created site in the City of Munfordville. Munfordville Sports Complex will provide a complex that will host soccer leagues for handicapped youth, as well as, regional tournments.</t>
  </si>
  <si>
    <t>MUNFORDVILLE SPORTS COMPLEX</t>
  </si>
  <si>
    <t>HART</t>
  </si>
  <si>
    <t>BALLARD COUNTY RECREATIONAL PARK IMPROVEMENTS</t>
  </si>
  <si>
    <t>BALLARD COUNTY FISCAL COURT</t>
  </si>
  <si>
    <t>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t>
  </si>
  <si>
    <t>BALLARD COUNTY PARK</t>
  </si>
  <si>
    <t>BALLARD</t>
  </si>
  <si>
    <t>RIVERSIDE PARK PARKING LOT &amp; RV HOOKUPS</t>
  </si>
  <si>
    <t>CITY OF DAWSON SPRINGS</t>
  </si>
  <si>
    <t>Grant funds will be used to enhance the existing 12+/- acres of Riverside Park. This project proposes to install raised electrical outlets, lights, as well as RV hookups. The project match will be donated through in-kind cash donations.</t>
  </si>
  <si>
    <t>RIVERSIDE PARK</t>
  </si>
  <si>
    <t>HOPKINS</t>
  </si>
  <si>
    <t>STRINGTOWN PARK WELLNESS PROJECT</t>
  </si>
  <si>
    <t>CITY OF FLORENCE</t>
  </si>
  <si>
    <t>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t>
  </si>
  <si>
    <t>STRINGTOWN PARK</t>
  </si>
  <si>
    <t>BEE SPRING PARK</t>
  </si>
  <si>
    <t>EDMONSON COUNTY FISCAL COURT</t>
  </si>
  <si>
    <t>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t>
  </si>
  <si>
    <t>EDMONSON</t>
  </si>
  <si>
    <t>CALHOUN MEMORIAL PARK</t>
  </si>
  <si>
    <t>CITY OF CALHOUN</t>
  </si>
  <si>
    <t>Grant funds will be used to develop this newly created recreation area of 1.3+/- acres of Calhoun Memorial Park. This site will include a passive park area that will provide picnic facilities and other passive recreational opportunities.</t>
  </si>
  <si>
    <t>MCLEAN</t>
  </si>
  <si>
    <t>GERMANTOWN PARK</t>
  </si>
  <si>
    <t>CITY OF GERMANTOWN</t>
  </si>
  <si>
    <t>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t>
  </si>
  <si>
    <t>BRACKEN</t>
  </si>
  <si>
    <t>OLIVERIO PARK</t>
  </si>
  <si>
    <t>CITY OF ASHLAND</t>
  </si>
  <si>
    <t>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t>
  </si>
  <si>
    <t>BOYD</t>
  </si>
  <si>
    <t>ELKTON-TODD COUNTY PARK IMPROVEMENTS</t>
  </si>
  <si>
    <t>CITY OF ELKTON</t>
  </si>
  <si>
    <t>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t>
  </si>
  <si>
    <t>ELKTON-TODD COUNTY PARK</t>
  </si>
  <si>
    <t>TODD</t>
  </si>
  <si>
    <t>ROBERTSON COUNTY LIONS CLUB PARK</t>
  </si>
  <si>
    <t>ROBERTSON COUNTY FISCAL COURT</t>
  </si>
  <si>
    <t>Grant funds will be used to enhance the existing 4+/- acres of Robertson County Park. This site will consist of the renovation of an existing concession stand/building; and it will be an asset to the facility especially during baseball/softball games</t>
  </si>
  <si>
    <t>ROBERTSON</t>
  </si>
  <si>
    <t>EDDYVILLE POOL REPAIRS</t>
  </si>
  <si>
    <t>CITY OF EDDYVILLE</t>
  </si>
  <si>
    <t>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t>
  </si>
  <si>
    <t>EDDYVILLE CITY PARK</t>
  </si>
  <si>
    <t>LYON</t>
  </si>
  <si>
    <t>BULLITT COUNTY SWIMMING POOL RENOVATION</t>
  </si>
  <si>
    <t>BULLITT COUNTY FISCAL COURT</t>
  </si>
  <si>
    <t>Grant funds will be used to enhance this existing 1+/- acre park site of Bullitt County Swimming Pool. Renovation is needed to continue providing outdoor recreational activities to the community. The renovations will make this site more inviting to the community.</t>
  </si>
  <si>
    <t>SHEPHERDSVILLE PUBLIC SWIMMING POOL</t>
  </si>
  <si>
    <t>BULLITT</t>
  </si>
  <si>
    <t>COVE SPRING II PAVILION AND ARCHERY</t>
  </si>
  <si>
    <t>CITY OF FRANKFORT</t>
  </si>
  <si>
    <t>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t>
  </si>
  <si>
    <t>COVE SPRING PARK</t>
  </si>
  <si>
    <t>BERT T COMBS PARK IMPROVEMENTS</t>
  </si>
  <si>
    <t>CITY OF MANCHESTER</t>
  </si>
  <si>
    <t>Grant funds will be used for the development of support facilities at this +/- acre site for Bert T. combs Park. The support facilities will be used to support the RV campsite ares, and will be an asset to the recreational area.</t>
  </si>
  <si>
    <t>BERT T. COMBS PARK</t>
  </si>
  <si>
    <t>CLAY</t>
  </si>
  <si>
    <t>LEROY ROWE MEMORIAL PARK IMPROVEMENTS</t>
  </si>
  <si>
    <t>CITY OF RUSSELL SPRINGS</t>
  </si>
  <si>
    <t>Grant funds will be used for the development of comfort stations and family/group picnic areas at this 80+/- acre site of Leroy Rowe Memorial Park. These facilities will be great assets to the park and they will have long term benefits to the citizens of Russell Springs.</t>
  </si>
  <si>
    <t>LEROY ROWE MEMORIAL PARK</t>
  </si>
  <si>
    <t>LAKE REBA HANDICAP ACCESSIBLE PLAYGROUND</t>
  </si>
  <si>
    <t>CITY OF RICHMOND</t>
  </si>
  <si>
    <t>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t>
  </si>
  <si>
    <t>LAKE REBA PARK</t>
  </si>
  <si>
    <t>LAKE CUMBERLAND RECREATIONAL CENTER</t>
  </si>
  <si>
    <t>RUSSELL COUNTY FISCAL COURT</t>
  </si>
  <si>
    <t>Grant funds will be used for the development of comfort stations at this 66+/- acre site of Lake Cumberland Recreation Area. This comfort station will be a great support facility for this recreational area.</t>
  </si>
  <si>
    <t>SHELBY TRAILS PARK STABLE ADDITION</t>
  </si>
  <si>
    <t>SHELBY COUNTY FISCAL COURT</t>
  </si>
  <si>
    <t>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t>
  </si>
  <si>
    <t>SHELBY TRAILS PARK</t>
  </si>
  <si>
    <t>SANDY LEE WATKINS COUNTY PARK LAKE</t>
  </si>
  <si>
    <t>HENDERSON COUNTY FISCAL COURT</t>
  </si>
  <si>
    <t>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t>
  </si>
  <si>
    <t>SANDY LEE WATKINS COUNTY PARK</t>
  </si>
  <si>
    <t>HENDERSON</t>
  </si>
  <si>
    <t>LACENTER CITY PARK REVITALIZATION</t>
  </si>
  <si>
    <t>CITY OF LACENTER</t>
  </si>
  <si>
    <t>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t>
  </si>
  <si>
    <t>LACENTER CITY PARK</t>
  </si>
  <si>
    <t>THOMPSON PARK SPLASH AREA</t>
  </si>
  <si>
    <t>CITY OF BARBOURVILLE</t>
  </si>
  <si>
    <t>Grant funds will be used at the 4+/- acre site of Thompson Park. This site will consist of a splash area with a raindrop mushroom water attraction and an 8' tulip sprayer along with park benches. This project will add recreational opportunities for the citizens of Barbourville.</t>
  </si>
  <si>
    <t>THOMPSON PARK</t>
  </si>
  <si>
    <t>KNOX</t>
  </si>
  <si>
    <t>PENNTRILE MOUNTAIN BIKING TRAINING AREA</t>
  </si>
  <si>
    <t>CHRISTIAN COUNTY FISCAL COURT</t>
  </si>
  <si>
    <t>Grant funds will be used for the development of a mountain biking area at this 4+ acre site for Pennyrile Biking Area. The area is a trial of obstacle courses using soil, soil mounds, rock, wood/limbs for jumps and other natural material to construct a training trail.</t>
  </si>
  <si>
    <t>PENNTRILE STATE RESORT PARK</t>
  </si>
  <si>
    <t>CHRISTIAN</t>
  </si>
  <si>
    <t>PAINTSVILLE PLAYGROUND PROJECT</t>
  </si>
  <si>
    <t>CITY OF PAINTSVILLE</t>
  </si>
  <si>
    <t>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t>
  </si>
  <si>
    <t>ESCOM CHANDLER PARK</t>
  </si>
  <si>
    <t>JOHNSON</t>
  </si>
  <si>
    <t>CROSS CREEK PARK PHASE II</t>
  </si>
  <si>
    <t>CITY OF MIDDLETOWN</t>
  </si>
  <si>
    <t>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t>
  </si>
  <si>
    <t>CROSS CREEK PARK</t>
  </si>
  <si>
    <t>PIKEVILLE BOB AMOS PARK HORSE RIDING AREA</t>
  </si>
  <si>
    <t>CITY OF PIKEVILLE</t>
  </si>
  <si>
    <t>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t>
  </si>
  <si>
    <t>BOB AMOS PARK</t>
  </si>
  <si>
    <t>JERRY ZUEHL MEMORIAL SKATE PARK</t>
  </si>
  <si>
    <t>CITY OF LIVERMORE</t>
  </si>
  <si>
    <t>Grant funds will be used for the development of a Skate Park at this .25+/- of an acre site for Jerry Zuehl Memorial Skate Park. This truely is a community project; and this facility will be a great asset to the Park. This site will have long term benefits to the citizens of Livermore.</t>
  </si>
  <si>
    <t>RIVERFRON PARK-JERRY ZUEHL MEMORIAL SKATE PARK</t>
  </si>
  <si>
    <t>DOVER CITY PARK IMPROVEMENTS</t>
  </si>
  <si>
    <t>CITY OF DOVER</t>
  </si>
  <si>
    <t>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t>
  </si>
  <si>
    <t>DOVER CITY PARK</t>
  </si>
  <si>
    <t>MASON</t>
  </si>
  <si>
    <t>MARION/CRITTENDEN COUNTY PARK TRACK</t>
  </si>
  <si>
    <t>CITY OF MARION</t>
  </si>
  <si>
    <t>Grant funds will be used for the renovation of a track facility at this 32.36+/- acre site of Marion/Crittenden County Park. This walking track will provide the community, especially the handicapped citizens, a nice, safe place to walk, jog and run.</t>
  </si>
  <si>
    <t>MARION/CRITTENDEN COUNTY PARK</t>
  </si>
  <si>
    <t>CRITTENDEN</t>
  </si>
  <si>
    <t>DAWSON SPRINGS CITY PARK UPGRADES</t>
  </si>
  <si>
    <t>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t>
  </si>
  <si>
    <t>DAWSON SPRINGS CITY PARK</t>
  </si>
  <si>
    <t>CALVERT CITY COUNTRY CLUB TENNIS COURT</t>
  </si>
  <si>
    <t>CITY OF CALVERT CITY</t>
  </si>
  <si>
    <t>Grant funds will be used for the renovation development of sports and playfields and support facilities at the .319+/- acre site of Calvert City Tennis Court. These facilities will be great assets to the Park and they will have long term benefits to the citizens of Calvert City.</t>
  </si>
  <si>
    <t>CALVERT CITY COUNTRY CLUB</t>
  </si>
  <si>
    <t>HAWESVILLE RIVERFRONT PARK</t>
  </si>
  <si>
    <t>CITY OF HAWESVILLE</t>
  </si>
  <si>
    <t>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t>
  </si>
  <si>
    <t>WOODEN BRIDGE PARK RESTROOM</t>
  </si>
  <si>
    <t>CITY OF ISLAND</t>
  </si>
  <si>
    <t>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t>
  </si>
  <si>
    <t>WOODEN BRIDGE PARK</t>
  </si>
  <si>
    <t>WENDELL MOORE PARK</t>
  </si>
  <si>
    <t>OLDHAM COUNTY FISCAL COURT</t>
  </si>
  <si>
    <t>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t>
  </si>
  <si>
    <t>OLDHAM</t>
  </si>
  <si>
    <t>LONDON-LAUREL WELLNESS PARK</t>
  </si>
  <si>
    <t>LAUREL COUNTY FISCAL COURT</t>
  </si>
  <si>
    <t>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t>
  </si>
  <si>
    <t>LAUREL</t>
  </si>
  <si>
    <t>HERB BOTTS NATURE PARK AMPHITHEATER</t>
  </si>
  <si>
    <t>MONTGOMERY COUNTY FISCAL COURT</t>
  </si>
  <si>
    <t>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t>
  </si>
  <si>
    <t>HERB BOTTS PARK</t>
  </si>
  <si>
    <t>DAWSON SPRINGS CITY PARK PLAYGROUND</t>
  </si>
  <si>
    <t>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t>
  </si>
  <si>
    <t>GASLIGHT SPLASH PARK</t>
  </si>
  <si>
    <t>CITY OF JEFFERSONTOWN</t>
  </si>
  <si>
    <t>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t>
  </si>
  <si>
    <t>GASLIGHT RECREATIONAL AREA</t>
  </si>
  <si>
    <t>DOUTHITT PARK SPLASH PARK</t>
  </si>
  <si>
    <t>CITY OF JACKSON</t>
  </si>
  <si>
    <t>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t>
  </si>
  <si>
    <t>DOUTHITT PARK</t>
  </si>
  <si>
    <t>BREATHITT</t>
  </si>
  <si>
    <t>GORDON PARK PLAYGROUND PARK</t>
  </si>
  <si>
    <t>CITY OF CROFTON</t>
  </si>
  <si>
    <t>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t>
  </si>
  <si>
    <t>GORDON PARK</t>
  </si>
  <si>
    <t>WARREN C. WALKER PARK POOL RENOVATION</t>
  </si>
  <si>
    <t>CITY OF DOUGLASS HILLS</t>
  </si>
  <si>
    <t>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t>
  </si>
  <si>
    <t>WARREN C. WALKER PARK</t>
  </si>
  <si>
    <t>KUTTAWA LAKE BARKLEY AMPHITHEATER</t>
  </si>
  <si>
    <t>CITY OF KUTTAWA</t>
  </si>
  <si>
    <t>Grant funds will be used for the development of an amphitheater and support facilities at this 16 +/- acre site of Kuttawa Lake Barkley Amphitheater. This ampitheater will consist of the construction of a six-level seating area. Each level will have a "grassy" base allowing for attendees to bring lawn chairs or blankets. This site will be a great asset to the community, as well as, to the citizens of Kuttawa.</t>
  </si>
  <si>
    <t>LAKE BARKLEY/KUTTAWA RECREATIONAL AREA</t>
  </si>
  <si>
    <t>BATTLE OF PUNCHEON PARK PICNIC SHELTER</t>
  </si>
  <si>
    <t>MAGOFFIN COUNTY FISCAL COURT</t>
  </si>
  <si>
    <t>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t>
  </si>
  <si>
    <t>BATTLE OF PUNCHEON CULTURAL AND HERITAGE PARK</t>
  </si>
  <si>
    <t>MAGOFFIN</t>
  </si>
  <si>
    <t>RIVER FRONT CITY PARK IMPROVEMENT</t>
  </si>
  <si>
    <t>CITY OF HYDEN</t>
  </si>
  <si>
    <t>Grant funds will be used for the development of an amphitheater/band shell at this 4.3+/- acre site of River Front City Park. This amphitheater will enable the City of Hyden to host plays, musical events, and other events where local performers can display their talents. This site will be a great asset to the community, as well as, to the citizens of Hyden.</t>
  </si>
  <si>
    <t>RIVER FRONT CITY PARK</t>
  </si>
  <si>
    <t>LESLIE</t>
  </si>
  <si>
    <t>PEMBROKE PLAYGROUND PROJECT</t>
  </si>
  <si>
    <t>CITY OF PEMBROKE</t>
  </si>
  <si>
    <t>PEMBROKE CITY PARK</t>
  </si>
  <si>
    <t>WASHINGTON PARISH ACQUISITION</t>
  </si>
  <si>
    <t>WASHINGTON PARISH RECREATION DISTRICT #1</t>
  </si>
  <si>
    <t>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t>
  </si>
  <si>
    <t>WASHINGTON PARISH RECREATION COMPLEX</t>
  </si>
  <si>
    <t>ZEMURRAY PARK RENOVATIONS</t>
  </si>
  <si>
    <t>CITY OF HAMMOND</t>
  </si>
  <si>
    <t>Grant funds will be used for the further development of the existing 34.0+/- of donated land at Zemurray Park. This project seeks to make greater use of the pond feature for fishing and small boats while also serving as a passive recreation element.</t>
  </si>
  <si>
    <t>ZEMURRAY PARK</t>
  </si>
  <si>
    <t>TANGIPAHOA</t>
  </si>
  <si>
    <t>WILLIAM T. POLK CITY PARK</t>
  </si>
  <si>
    <t>CITY OF VIDALIA</t>
  </si>
  <si>
    <t>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t>
  </si>
  <si>
    <t>CONCORDIA</t>
  </si>
  <si>
    <t>STEPHENSVILLE RECREATION COMPLEX IMPROVEMENTS</t>
  </si>
  <si>
    <t>SAINT MARTIN RECREATION DISTRICT #1</t>
  </si>
  <si>
    <t>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t>
  </si>
  <si>
    <t>STEPHENSVILLE PARK</t>
  </si>
  <si>
    <t>SAINT MARTIN</t>
  </si>
  <si>
    <t>PUNK SMITH PARK IMPROVEMENTS</t>
  </si>
  <si>
    <t>TOWN OF WALKER</t>
  </si>
  <si>
    <t>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t>
  </si>
  <si>
    <t>PUNK SMITH PARK</t>
  </si>
  <si>
    <t>LIVINGSTON</t>
  </si>
  <si>
    <t>WASHINGTON PARISH RECREATION</t>
  </si>
  <si>
    <t>WASHINTON PARISH RECREATION DISTRICT 1</t>
  </si>
  <si>
    <t>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t>
  </si>
  <si>
    <t>WILLIAM TO. POLK CITY PARK</t>
  </si>
  <si>
    <t>The grant will assist City of Vidalia in the development of a pond overflow, pond aeration, a bridge and walkway, and a fishing pier. the pond beach and spray park will allow the public to participate in water activities that do not now exist in this area.</t>
  </si>
  <si>
    <t>DR. WILLIAM T. POLK CITY PARK</t>
  </si>
  <si>
    <t>RATHBORNE PARK IMPROVEMENTS</t>
  </si>
  <si>
    <t>ST. CHARLES PARISH GOVERNMENT</t>
  </si>
  <si>
    <t>The St. Charles Parish will further develop Rathborne Park to create ballfields, basketball courts, picnic and restroom facilities, benches and lighting for the ballfields, trails, pavillion and fitness stations in the park.</t>
  </si>
  <si>
    <t>RATHBORNE PARK DEVELOPMENT</t>
  </si>
  <si>
    <t>SAINT CHARLES</t>
  </si>
  <si>
    <t>CASSIDY SPRAY PARK AND CANOE LAUNCH</t>
  </si>
  <si>
    <t>CITY OF BOGALUSA</t>
  </si>
  <si>
    <t>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t>
  </si>
  <si>
    <t>CASSIDY PARK</t>
  </si>
  <si>
    <t>TERREBONNE COMMUNITY PARK ACQUISITION AND DEVELOPM</t>
  </si>
  <si>
    <t>TERREBONNE PARISH CONSOLIDATED GOVERNMENT</t>
  </si>
  <si>
    <t>The Terrebonne Parish Consolidated Government proposes a combination project that will acquire +/- 39.9 acres and the development of Terrebonne Community Park, located within Terrebonne Parish. This proposed action will extend LWCF 6(f) protect to the existing +/-114.3 acres, and the entire +/-154.2 acres will be set aside for LWCF 6(f) designation.</t>
  </si>
  <si>
    <t>TERREBONNE COMMUNITY PARK</t>
  </si>
  <si>
    <t>Terrebonne</t>
  </si>
  <si>
    <t>COQUILLE PARK PLAYGROUND</t>
  </si>
  <si>
    <t>St. Tammany Recreation District # 14</t>
  </si>
  <si>
    <t>This is a proposal for the development of +/- 130 acres of land (Coquille Park) north of Interstate 12 and east of Highway 1077 within the city limits of Covington, in St. Tammany Parish. The proposed project will include the development of a custom designed play hill, side play areas, a tot-lot. Development will consist of Sports and Playfields, Picnic Area, and Support Facility.</t>
  </si>
  <si>
    <t>COQUILLE PARK</t>
  </si>
  <si>
    <t>SAINT TAMMANY</t>
  </si>
  <si>
    <t>ZEMURRAY POND AND PARK IMPROVEMENTS</t>
  </si>
  <si>
    <t>This is a proposal to improve and renovate Zemurray Park located within the city limits of Hammond Tangipahoa Parish. The proposed project will include Zemurry Pond Improvements, installing a pond aeration system. ADA-accessible fishing stations, a new toddler playground, and splash park, expanding and rebuilding picnic pavilions, basketball area improvements, swimming pool and locker room improvements.</t>
  </si>
  <si>
    <t>ZEMURRAY POND PARK IMPROVEMENTS</t>
  </si>
  <si>
    <t>Tangipahoa</t>
  </si>
  <si>
    <t>Goodwill Park Playground</t>
  </si>
  <si>
    <t>Town of Holliston</t>
  </si>
  <si>
    <t>Goodwill Park</t>
  </si>
  <si>
    <t>Nason Conservation Land</t>
  </si>
  <si>
    <t>Town of Boxford</t>
  </si>
  <si>
    <t>The project shall consist of the acquisition in fee simple of 46.0+/ acres of land know as Nason Property for conservation an passive public outdoor recreation purposes for the town of Boxford.</t>
  </si>
  <si>
    <t>Nason Conservation Area</t>
  </si>
  <si>
    <t>ESSEX</t>
  </si>
  <si>
    <t>Norwottuck/Mass Central Rail Trail</t>
  </si>
  <si>
    <t>City of Northampton</t>
  </si>
  <si>
    <t>Construction of a new 0.35 mile rail trail on the city-owned Mill River Greenway; granite blocks will be added to provide resting spots, and a natural history interpretive and wayfinding signage program will be undertaken.</t>
  </si>
  <si>
    <t>HAMPSHIRE</t>
  </si>
  <si>
    <t>Ralsco Park</t>
  </si>
  <si>
    <t>City of Brockton</t>
  </si>
  <si>
    <t>The project shall consist of the construction of a new park with ADA compliant walkways, a large lawn area, a sitting area and small open field.</t>
  </si>
  <si>
    <t>PLYMOUTH</t>
  </si>
  <si>
    <t>Puffer's Pond</t>
  </si>
  <si>
    <t>Town of Amherst</t>
  </si>
  <si>
    <t>The renovation to include resurfacing of the perimeter trail; the installation of an informational kiosk, accessible trail and seating area, and a handrail into the water at North Beach; a new safety fence will be installed near the dam.</t>
  </si>
  <si>
    <t>Varney Park</t>
  </si>
  <si>
    <t>Town of Chelmsford</t>
  </si>
  <si>
    <t>Renovation of Varney Park to include ADA accessibility improvements, construction of basketball court, seating areas, bike rack,improved grading &amp; drainage, exterior and interior to the field/bathhouse, a new boat dock and nature trail.</t>
  </si>
  <si>
    <t>Newtowne Neck State Park</t>
  </si>
  <si>
    <t>This park is 776 acres of woodlands, wetlands, a tidal pond, and seven miles of sand beaches on the Chesapeake Bay development will include hiking, biking, equestrian trails, tent and RV camping, mini cabins, swimming motor boat access picnicing and shelters.</t>
  </si>
  <si>
    <t>SAINT MARYS</t>
  </si>
  <si>
    <t>Trout Run Acquisition</t>
  </si>
  <si>
    <t>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t>
  </si>
  <si>
    <t>Cunningham Falls State Park</t>
  </si>
  <si>
    <t>FREDERICK</t>
  </si>
  <si>
    <t>Camden Hills State Park Acquisition Project</t>
  </si>
  <si>
    <t>Maine Bureau of Parks and Lands</t>
  </si>
  <si>
    <t>Camden Hills State Park</t>
  </si>
  <si>
    <t>Town of Ft. Kent - Riverside Park</t>
  </si>
  <si>
    <t>Town of Ft. Kent</t>
  </si>
  <si>
    <t>Riverside Park</t>
  </si>
  <si>
    <t>AROOSTOOK</t>
  </si>
  <si>
    <t>Frenchville Recreation Park Renovation Project</t>
  </si>
  <si>
    <t>Town of Frenchville</t>
  </si>
  <si>
    <t>Frenchville Recreation Park</t>
  </si>
  <si>
    <t>Town of St. Albans Community Playground</t>
  </si>
  <si>
    <t>Town of St. Albans</t>
  </si>
  <si>
    <t>Batchelder Memorial Playground</t>
  </si>
  <si>
    <t>SOMERSET</t>
  </si>
  <si>
    <t>Town of Topsham - Head of Tide Park</t>
  </si>
  <si>
    <t>Town of Topsham</t>
  </si>
  <si>
    <t>Head of Tide Park</t>
  </si>
  <si>
    <t>SAGADAHOC</t>
  </si>
  <si>
    <t>Colburn House State Historic Site Infrastructure</t>
  </si>
  <si>
    <t>Colburn House Historic Site</t>
  </si>
  <si>
    <t>KENNEBEC</t>
  </si>
  <si>
    <t>Town of Camden Snowmaking Expansion Project</t>
  </si>
  <si>
    <t>Town of Camden</t>
  </si>
  <si>
    <t>Expansion of the snowmaking capabilites at the Camden Snow Bowl along with a beginner ski are and new chair lift. The project is located at an existing LWCF funded site.</t>
  </si>
  <si>
    <t>Camden Snow Bowl</t>
  </si>
  <si>
    <t>Lamoine State Park Campground Dumping Station</t>
  </si>
  <si>
    <t>State of ME, Bureau of Parks and Lands</t>
  </si>
  <si>
    <t>The state will be putting in a dumping station for disposal of gray and black water tanks of RV's that stay at Lamoine State Park along with improvements for easy access to site.</t>
  </si>
  <si>
    <t>Lamoine State Park</t>
  </si>
  <si>
    <t>Standish Johnson Park Playground Project</t>
  </si>
  <si>
    <t>Town of Standish</t>
  </si>
  <si>
    <t>Construction of a new playground at Johnson Field, an existing LWCF funded project with multiple recreational opportunities.</t>
  </si>
  <si>
    <t>Johnson Field Playground</t>
  </si>
  <si>
    <t>CUMBERLAND</t>
  </si>
  <si>
    <t>Pittsfield Hathorn Park Renovations Project</t>
  </si>
  <si>
    <t>Town of Pittsfield</t>
  </si>
  <si>
    <t>Will install a new playground, new walkways. Renovate the public restrooms, reconstruct a parking area, put up new fencing and make improvements to the existing gazebo.</t>
  </si>
  <si>
    <t>Pittsfield Hathorn Park</t>
  </si>
  <si>
    <t>Vassalboro Recreational Filed Improvements</t>
  </si>
  <si>
    <t>Town of Vassalboro</t>
  </si>
  <si>
    <t>The town of Vassalboro will be putting new drainage in the recreational fields, putting in walkways/bridges in to the field area to make it handicapped accessible, and making improvements to the restrooms.</t>
  </si>
  <si>
    <t>Vassalboro Recreational Field</t>
  </si>
  <si>
    <t>Old Orchard Beach - Skate Park Project</t>
  </si>
  <si>
    <t>Town of Old Orchard Beach</t>
  </si>
  <si>
    <t>Construction of skate park/BMK Bike complex in the town of Old Orchard Beach. Develop a parking area and walkways. Site improvements and landscaping.</t>
  </si>
  <si>
    <t>Old Orchard Beach Skate Park</t>
  </si>
  <si>
    <t>YORK</t>
  </si>
  <si>
    <t>Sebago Lake State Park Infrastructure Improvement</t>
  </si>
  <si>
    <t>The Bureau of Parks and Lands will be making improvements to the outdated and unsafe sewer pumping stations. The project will also include a new water holding tank or sandblasting and painting the exisiting water storage tank.</t>
  </si>
  <si>
    <t>Sebago Lake State Park</t>
  </si>
  <si>
    <t>Colonial Pemaquid Pier Restoration Project</t>
  </si>
  <si>
    <t>The Bureau of Parks &amp; Lands will be rehabilitating an existing pier at Colonial Pemaquid State Historic Site. Work will include removing some decking, replacing pylons supporting the deck, replacing decking in need of replacing and required clean up and landscaping.</t>
  </si>
  <si>
    <t>Colonial Pemaquid Historic Park</t>
  </si>
  <si>
    <t>Warren Island State Park - Group Picnic Shelter</t>
  </si>
  <si>
    <t>The Bureau of Parks and Lands will be constructing a group picnic shelter facility at Warren Island State Park. Project includes transport of material to island, construction of the shelter and access improvements to the shelter.</t>
  </si>
  <si>
    <t>Warren Island State Park</t>
  </si>
  <si>
    <t>Jackson Beach Improvement Project</t>
  </si>
  <si>
    <t>Town of Hermon</t>
  </si>
  <si>
    <t>Project includes improvements to the access road, parking lot, changing room, and a new ADA bathroom and infrastructure, picnic tables, grills, fishing wharf, shelter area, and a ADA pathway to the fishing pier.</t>
  </si>
  <si>
    <t>Jackson Beach Park</t>
  </si>
  <si>
    <t>PENOBSCOT</t>
  </si>
  <si>
    <t>Damariscotta Lake State Park Playground</t>
  </si>
  <si>
    <t>State of ME, Dept of Agriculture, Div of Parks and Lands</t>
  </si>
  <si>
    <t>Replacement of old unsafe playground with a new playground at Damariscotta Lake State Park. Work includes demolition of old playground and installation of the new playground.</t>
  </si>
  <si>
    <t>DAMARISCOTTA LAKE STATE PARK</t>
  </si>
  <si>
    <t>Lincoln</t>
  </si>
  <si>
    <t>Washington Street Recreation Complex Redevelopment</t>
  </si>
  <si>
    <t>City of Brewer</t>
  </si>
  <si>
    <t>Renovation of 2 baseball fields, install a paved walking path, create a new youth soccer field, a new playground, renovate the parking area, install benches, picnic tables, and restroom facilities.</t>
  </si>
  <si>
    <t>Washington Steet Recreation Complex</t>
  </si>
  <si>
    <t>Carrabassett Valley Pool Renovation Project</t>
  </si>
  <si>
    <t>Town of Carrabassett Valley</t>
  </si>
  <si>
    <t>The town will demolish its old swimming pool and bath house and construct a new pool which will be larger and ADA. The bathhouse will also be rebuilt to ADA standards and include showers, pumping station, toilets and changing areas.</t>
  </si>
  <si>
    <t>River Park</t>
  </si>
  <si>
    <t>Town of Houlton - Just for Kids Playground</t>
  </si>
  <si>
    <t>Town of Houlton</t>
  </si>
  <si>
    <t>The playground project will consist of renovating and updating the existing playground equipment that is in need of repair and replacement.</t>
  </si>
  <si>
    <t>HOULTON COMMUNITY PARK</t>
  </si>
  <si>
    <t>Aroostook</t>
  </si>
  <si>
    <t>Winslow Halifax Park Improvement Project</t>
  </si>
  <si>
    <t>Town of Winslow</t>
  </si>
  <si>
    <t>There will be several improvement made including the entrance &amp; parking lot relocation and stone dust sidewalk, a welcoming display area and a sidewalk to River outlook.</t>
  </si>
  <si>
    <t>Fort Halifax Park</t>
  </si>
  <si>
    <t>LUDINGTON STATE PARK ELECTRICAL IMPROVEMENTS</t>
  </si>
  <si>
    <t>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t>
  </si>
  <si>
    <t>LUDINGTON STATE PARK</t>
  </si>
  <si>
    <t>HOLLAND STATE PARK CAMPGROUND RESTROOM REPLACEMENT</t>
  </si>
  <si>
    <t>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t>
  </si>
  <si>
    <t>HOLLAND STATE PARK</t>
  </si>
  <si>
    <t>OTTAWA</t>
  </si>
  <si>
    <t>ROBERTS PARK SOCCER FIELDS</t>
  </si>
  <si>
    <t>THOMAS TOWNSHIP</t>
  </si>
  <si>
    <t>Thomas Township (Saginaw County, Michigan) will utilize a Land and Water Conservation Fund grant to assist in three new soccer fields and an accessible pathway from the parking lot to the fields at the 48.28-acre Roberts Park.</t>
  </si>
  <si>
    <t>ROBERTS PARK</t>
  </si>
  <si>
    <t>SAGINAW</t>
  </si>
  <si>
    <t>WHEATLEY PARK REDEVELOPMENT</t>
  </si>
  <si>
    <t>CITY OF INKSTER</t>
  </si>
  <si>
    <t>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t>
  </si>
  <si>
    <t>WHEATLEY PARK</t>
  </si>
  <si>
    <t>UNIVERSALLY ACCESSIBLE DESIGNED REST AREAS</t>
  </si>
  <si>
    <t>TOWNSHIP OF GERRISH</t>
  </si>
  <si>
    <t>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t>
  </si>
  <si>
    <t>GERRISH COMMUNITY PARK</t>
  </si>
  <si>
    <t>ROSCOMMON</t>
  </si>
  <si>
    <t>LACRONE PARK IMPROVEMENT</t>
  </si>
  <si>
    <t>CITY OF KALAMAZOO</t>
  </si>
  <si>
    <t>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t>
  </si>
  <si>
    <t>LACRONE PARK</t>
  </si>
  <si>
    <t>KALAMAZOO</t>
  </si>
  <si>
    <t>BATH CHARTER TOWNSHIP-WISWASSER PARK PLAYGROUND</t>
  </si>
  <si>
    <t>TOWNSHIP OF BATH</t>
  </si>
  <si>
    <t>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t>
  </si>
  <si>
    <t>WISWASSER PARK</t>
  </si>
  <si>
    <t>CLINTON</t>
  </si>
  <si>
    <t>ROTHCHILD PARK DEVELOPMENT</t>
  </si>
  <si>
    <t>CITY OF SPRINGFIELD</t>
  </si>
  <si>
    <t>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t>
  </si>
  <si>
    <t>ROTHCHILD PARK</t>
  </si>
  <si>
    <t>CALHOUN</t>
  </si>
  <si>
    <t>MONITOR TOWNSHIP PARK IMPROVEMENTS</t>
  </si>
  <si>
    <t>TOWNSHIP OF MONITOR</t>
  </si>
  <si>
    <t>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t>
  </si>
  <si>
    <t>MONITOR TOWNSHIP PARK</t>
  </si>
  <si>
    <t>BAY</t>
  </si>
  <si>
    <t>TOWNSHIP PARK MULTI-PURPOSE PAVILION</t>
  </si>
  <si>
    <t>TOWNSHIP OF PLYMOUTH</t>
  </si>
  <si>
    <t>Plymouth Township (Wayne County) will improve the 63.12 acre Plymouth Township Park by constructing a pavilion with restrooms and a fireplace; a drinking fountain; a picnic area; and, an accessible walking path.</t>
  </si>
  <si>
    <t>PLYMOUTH TOWNSHIP PARK</t>
  </si>
  <si>
    <t>CRAWFORD COUNTY SPORTS COMPLEX</t>
  </si>
  <si>
    <t>CRAWFORD COUNTY</t>
  </si>
  <si>
    <t>Crawford County will improve the 54.95 acre Crawford County Sports Complex in Grayling by constructing accessible paths and undertaking general site work.</t>
  </si>
  <si>
    <t>CRAWFORD</t>
  </si>
  <si>
    <t>RICHLAND TOWNSHIP PARK IMPROVEMENTS</t>
  </si>
  <si>
    <t>TOWNSHIP OF RICHLAND</t>
  </si>
  <si>
    <t>Richland Township will improve the 37-acre Richland Township Park by constructing a 9-hole Frisbee golf course, fitness stations along an existing trail, a sand volleyball court, shuffleboard courts, and a parking lot.</t>
  </si>
  <si>
    <t>RICHLAND TOWNSHIP PARK</t>
  </si>
  <si>
    <t>MONA LAKE PARK IMPROVEMENTS PHASE II</t>
  </si>
  <si>
    <t>CITY OF MUSKEGON HEIGHTS</t>
  </si>
  <si>
    <t>Muskegon Heights (Muskegon County, Michigan) will develop bike and walking paths, basketball courts, tennis courts, and a playground within the 32.22-acre Mona Lake Park.</t>
  </si>
  <si>
    <t>MONA LAKE PARK</t>
  </si>
  <si>
    <t>MUSKEGON</t>
  </si>
  <si>
    <t>TOWNSHIP RECREATION COMPLEX PAVILION</t>
  </si>
  <si>
    <t>LAKETOWN TOWNSHIP</t>
  </si>
  <si>
    <t>Laketown Township (Allegan County) will improve the 10.2 acre Township Recreation Complex in Holland by constructing accessible paths, which will connect to a larger county trail network.</t>
  </si>
  <si>
    <t>TOWNSHIP RECREATION COMPLEX</t>
  </si>
  <si>
    <t>ALLEGAN</t>
  </si>
  <si>
    <t>NORTH LAKE PARK EDUCATION ENHANCEMENT PROJECT</t>
  </si>
  <si>
    <t>CHARTER TOWNSHIP OF LINCOLN</t>
  </si>
  <si>
    <t>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t>
  </si>
  <si>
    <t>NORTH LAKE PARK</t>
  </si>
  <si>
    <t>BAYFRONT PHASE I: CLINCH PARK BEACH</t>
  </si>
  <si>
    <t>CITY OF TRAVERSE CITY</t>
  </si>
  <si>
    <t>Traverse City will construct a new bathhouse/restroom building within the 4.47-acre Clinch Park.</t>
  </si>
  <si>
    <t>CLINCH PARK</t>
  </si>
  <si>
    <t>GRAND TRAVERSE</t>
  </si>
  <si>
    <t>WATERWAYS TRAIL AND LAUNCH RENOVATION</t>
  </si>
  <si>
    <t>TOWNSHIP OF BRIDGETON</t>
  </si>
  <si>
    <t>Bridgeton Township (Newaygo County, Michigan) will develop an accessible waterway trail by installing an “EZ” boat launch and docking system on the Muskegon River. This park site is also designated as Public Fishing Site 62-11 by the Michigan Conservation Department.</t>
  </si>
  <si>
    <t>BRIDGETON RIVER LAUNCH PARK</t>
  </si>
  <si>
    <t>Newaygo</t>
  </si>
  <si>
    <t>WARREN DUNES PARK-WIDE INFRASTRUCTURE DEVELOPMENT</t>
  </si>
  <si>
    <t>The Michigan DNR, Parks and Recreation Division, will remove and replace the main restroom and concessions building in the beach day-use area at Warren Dunes State Park. This 1,952-acre state park is located along the eastern shore of Lake Michigan in Berrien County.</t>
  </si>
  <si>
    <t>WARREN DUNES STATE PARK</t>
  </si>
  <si>
    <t>BLUEBERRY RIDGE WARMING HUT</t>
  </si>
  <si>
    <t>TOWNSHIP OF SANDS</t>
  </si>
  <si>
    <t>Sands Township will improve the Blueberry Ridge Pathway by constructing a warming hut.</t>
  </si>
  <si>
    <t>BLUEBERRY RIDGE PATHWAY</t>
  </si>
  <si>
    <t>MARQUETTE</t>
  </si>
  <si>
    <t>MEINERT PARK ACCESSIBLE PLAYGROUND</t>
  </si>
  <si>
    <t>MUSKEGON COUNTY</t>
  </si>
  <si>
    <t>Muskegon County will renovate the 183-acre Meinert Park along Lake Michigan by installing accessible playground equipment and constructing an accessible sidewalk.</t>
  </si>
  <si>
    <t>MEINERT PARK</t>
  </si>
  <si>
    <t>Muskegon</t>
  </si>
  <si>
    <t>WILLIAMS NATURE PARK IMPROVEMENTS</t>
  </si>
  <si>
    <t>TOWNSHIP OF DAVISON</t>
  </si>
  <si>
    <t>Davison Township will construct a pavilion, a restroom facility, a grand entrance*, a special landscaping area*, and other amenities at the Williams Nature Park, an environmentally significant 102-acre property along the Kearsley Creek. •The Grand Entrance feature will be constructed along the existing access drive near the entrance from Atherton Road. The feature will be the primary entry gateway to the park, welcoming visitors and providing important park information. It is envisioned that the grand entrance will include an "arch" sign spanning the drive and supported by stone columns. Other smaller informational signs may be installed in this area, along with trees, shrubs and other plantings. A gate may be installed to prevent access to the park when the park is closed. •A Special Landscaping Area will be established near the existing park entrance from Atherton Road. This landscaping area will be designed to increase the proposed park's visibility and make it easily recognizable as a public recreation area. The landscaping area will consist of various trees, shrubs and other primarily native species plantings, in addition to certain hardscape elements such as stones and/or retaining wall features.</t>
  </si>
  <si>
    <t>WILLIAMS NATURE PARK</t>
  </si>
  <si>
    <t>GENESEE</t>
  </si>
  <si>
    <t>ROTARY PARK PLAY AREA</t>
  </si>
  <si>
    <t>CITY OF MANISTEE</t>
  </si>
  <si>
    <t>The city of Manistee (Manistee County) will improve First Street Beach/Douglas Park by constructing a universally accessible playground. This park is Manistee’s largest and most diverse recreation area and sits along the Lake Michigan shoreline.</t>
  </si>
  <si>
    <t>DOUGLAS PARK</t>
  </si>
  <si>
    <t>Manistee</t>
  </si>
  <si>
    <t>GLASSMAN PARK DEVELOPMENT</t>
  </si>
  <si>
    <t>TOWNSHIP OF NEW BUFFALO</t>
  </si>
  <si>
    <t>New Buffalo Township (Berrien County, Michigan) will 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t>
  </si>
  <si>
    <t>GLASSMAN PARK</t>
  </si>
  <si>
    <t>BERRIEN</t>
  </si>
  <si>
    <t>LEWIS ANSTED COMMUNITY PARK</t>
  </si>
  <si>
    <t>TOWNSHIP OF BEDFORD</t>
  </si>
  <si>
    <t>Bedford Township (Monroe County, Michigan) will improve Lewis Ansted Park by constructing a natural area, a fishing pond, a sledding hill, picnic areas, and a hiking/biking trail.</t>
  </si>
  <si>
    <t>CANNON TOWNSHIP CENTER PARK DEVELOPMENT</t>
  </si>
  <si>
    <t>CANNON TOWNSHIP</t>
  </si>
  <si>
    <t>Cannon Township, Michigan, will construct accessible parking, a picnic shelter with several picnic tables, an open play lawn, and a universally designed nature trail within Center Park.</t>
  </si>
  <si>
    <t>CENTER PARK</t>
  </si>
  <si>
    <t>KENT</t>
  </si>
  <si>
    <t>RANGE LIGHT PARK EXPANSION</t>
  </si>
  <si>
    <t>TOWNSHIP OF PRESQUE ISLE</t>
  </si>
  <si>
    <t>Presque Isle Township will 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t>
  </si>
  <si>
    <t>RANGE LIGHT PARK</t>
  </si>
  <si>
    <t>PRESQUE ISLE</t>
  </si>
  <si>
    <t>BEULAH WATERFRONT PARK</t>
  </si>
  <si>
    <t>VILLAGE OF BEULAH</t>
  </si>
  <si>
    <t>The village of Beulah (Benzie County, Michigan) will utilize a Land and Water Conservation Fund grant to assist in improving and increasing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The village will upgrade the existing beach retaining wall to include seating and will add a low water volume irrigation system to the park lawn including drip irrigation to the installed park trees.</t>
  </si>
  <si>
    <t>Benzie</t>
  </si>
  <si>
    <t>BAY COUNTY RIVERWALK RAIL TRAIL IMPROVEMENTS</t>
  </si>
  <si>
    <t>TOWNSHIP OF PORTSMOUTH</t>
  </si>
  <si>
    <t>The Township of Portsmouth (Bay County) will resurface approximately 4,600 feet of the Bay County Riverwalk – Rail Trail. The project scope also includes replacement of existing fencing, a new picnic table, a trash container, and a picnic pad.</t>
  </si>
  <si>
    <t>BAY COUNTY RIVERWALK RAIL TRAIL</t>
  </si>
  <si>
    <t>LONGYEAR PARK IMPROVEMENTS</t>
  </si>
  <si>
    <t>CITY OF IRONWOOD</t>
  </si>
  <si>
    <t>The city of Ironwood (Gogebic County) will construct an accessible playground, with a "poured in place" safety surface, at Longyear Park. The City will also replace and add asphalt pathways for access to the playground area and add portable restroom to the site.</t>
  </si>
  <si>
    <t>LONGYEAR PARK</t>
  </si>
  <si>
    <t>GOGEBIC</t>
  </si>
  <si>
    <t>HAWLEY STREET MULTI-USE PATHWAY EXTENSION</t>
  </si>
  <si>
    <t>CITY OF MARQUETTE</t>
  </si>
  <si>
    <t>Marquette (Marquette County) will extend the Hawley Street Multi-Use Pathway by 2,500 feet which will provide non-motorized access to the Kaufman Sports Complex, Tourist Park, and the Tourist Park campground.</t>
  </si>
  <si>
    <t>HAWLEY STREET TRAIL</t>
  </si>
  <si>
    <t>FAYETTE HISTORIC STATE PARK TOILET/SHOWER BUILDING</t>
  </si>
  <si>
    <t>The Michigan Department of Natural Resources will utilize a Land and Water Conservation Fund grant to assist the Parks and Recreation Division in constructing a new universally accessible toilet/shower building, an on-site sewage treatment system, and a sanitation station for the campground at Fayette Historic State Park.</t>
  </si>
  <si>
    <t>FAYETTE HISTORIC STATE PARK</t>
  </si>
  <si>
    <t>DELTA</t>
  </si>
  <si>
    <t>CAMP PETOSEGA PLAYGROUND</t>
  </si>
  <si>
    <t>EMMET COUNTY</t>
  </si>
  <si>
    <t>Emmet County, Michigan, will renovate Camp Petosega by raising the area of the playground and volleyball courts above flood level and replacing these facilities at their same location.</t>
  </si>
  <si>
    <t>CAMP PETOSEGA</t>
  </si>
  <si>
    <t>EMMET</t>
  </si>
  <si>
    <t>FORD LAKE PARK IMPROVEMENTS</t>
  </si>
  <si>
    <t>TOWNSHIP OF YPSILANTI</t>
  </si>
  <si>
    <t>Ypsilanti Township will utilize a Land and Water Conservation Fund grant to assist in removing six tennis courts and replacing these with five new tennis courts. The grant scope includes netting and fencing for the courts, a paved pathway from the parking lot to the tennis courts, and general landscaping.</t>
  </si>
  <si>
    <t>FORD LAKE PARK</t>
  </si>
  <si>
    <t>Washtenaw</t>
  </si>
  <si>
    <t>P.J. HOFFMASTER LAKE MICHIGAN OBSERVATION ACCESS</t>
  </si>
  <si>
    <t>The Michigan DNR will replace several observation platforms along Lake Michigan within P.J. Hoffmaster State Park and replacing the stairway boardwalk system accessing these platforms from the Gillette Visitor Center.</t>
  </si>
  <si>
    <t>P. J. HOFFMASTER STATE PARK</t>
  </si>
  <si>
    <t>AUBURN CITY PARK IMPROVEMENTS</t>
  </si>
  <si>
    <t>CITY OF AUBURN</t>
  </si>
  <si>
    <t>The city of Auburn (Bay County) will improve City Park by creating fishing opportunities. The grant scope includes dredging the park’s pond and constructing fishing platforms.</t>
  </si>
  <si>
    <t>AUBURN CITY PARK</t>
  </si>
  <si>
    <t>BERNIE RIVERS FIELD PARK RENOVATION</t>
  </si>
  <si>
    <t>CITY OF NEGAUNEE</t>
  </si>
  <si>
    <t>The city of Negaunee (Marquette County) will improve Bernie Rivers Field Park by renovating the baseball field and basketball court, constructing a parking lot and sidewalks, and installing accessible playground equipment and fitness equipment.</t>
  </si>
  <si>
    <t>BERNIE RIVERS FIELD PARK</t>
  </si>
  <si>
    <t>LESLIE COMMUNITY POOL RENOVATION</t>
  </si>
  <si>
    <t>CITY OF LESLIE</t>
  </si>
  <si>
    <t>The city of Leslie (Ingham County) will renovate two swimming pools and a bathhouse containing locker rooms, bathrooms, a concession area.</t>
  </si>
  <si>
    <t>LESLIE COMMUNITY POOL</t>
  </si>
  <si>
    <t>INGHAM</t>
  </si>
  <si>
    <t>BERTRAM CHAIN OF LAKES REGIONAL PARK</t>
  </si>
  <si>
    <t>WRIGHT COUNTY</t>
  </si>
  <si>
    <t>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t>
  </si>
  <si>
    <t>WRIGHT</t>
  </si>
  <si>
    <t>FORESTVILLE STATE PARK</t>
  </si>
  <si>
    <t>The Minnesota Department of Natural Resources will acquire 454 acres as an addition to the 2,973-acre Forestville State Park near Preston in Fillmore County.</t>
  </si>
  <si>
    <t>FILLMORE</t>
  </si>
  <si>
    <t>WHITEWATER STATE PARK</t>
  </si>
  <si>
    <t>The Minnesota Department of Natural Resources will acquire 16 acres as an addition to the 2,700-acre Whitewater State Park.</t>
  </si>
  <si>
    <t>Winona</t>
  </si>
  <si>
    <t>SPLIT ROCK LIGHTHOUSE STATE PARK</t>
  </si>
  <si>
    <t>WILLIAM O'BRIEN STATE PARK</t>
  </si>
  <si>
    <t>The Minnesota DNR will acquire an additional 96.8 acres at William O’Brien State Park. This 1,850-acre park is located along the banks of the St. Croix River approximately one hour from the Twin Cities.</t>
  </si>
  <si>
    <t>UNIVERSITY OF MINNESOTA LANDSCAPE ARBORETUM</t>
  </si>
  <si>
    <t>Carver</t>
  </si>
  <si>
    <t>OLD MILL STATE PARK</t>
  </si>
  <si>
    <t>Marshall</t>
  </si>
  <si>
    <t>HEARTLAND STATE TRAIL</t>
  </si>
  <si>
    <t>Hubbard</t>
  </si>
  <si>
    <t>PINE BEND BLUFF STATE NATURAL AREA</t>
  </si>
  <si>
    <t>Dakota</t>
  </si>
  <si>
    <t>PENNINGTON BOG STATE NATURAL AREA</t>
  </si>
  <si>
    <t>Beltrami</t>
  </si>
  <si>
    <t>ATHLETIC COMPLEX ACQUISITION</t>
  </si>
  <si>
    <t>Monticello (Wright County) will acquire 40 acres as an addition to their Athletic Complex.</t>
  </si>
  <si>
    <t>MONTICELLO ATHLETIC COMPLEX</t>
  </si>
  <si>
    <t>Wright</t>
  </si>
  <si>
    <t>SAKATAH SINGING HILLS STATE TRAIL</t>
  </si>
  <si>
    <t>MULTI-COUNTY</t>
  </si>
  <si>
    <t>LAKE WINONA PARK</t>
  </si>
  <si>
    <t>CITY OF WINONA</t>
  </si>
  <si>
    <t>Winona will improve Lake Winona Park by constructing an accessible transfer system for launching canoes and kayaks onto East Lake Winona.</t>
  </si>
  <si>
    <t>WINONA</t>
  </si>
  <si>
    <t>STEINBERG NATURE CENTER</t>
  </si>
  <si>
    <t>CITY OF BLUE EARTH</t>
  </si>
  <si>
    <t>Blue Earth will construct new picnic areas and general support facilities at the 33-acre Steinberg Nature Center located 1/4 mile east of Blue Earth on County Road 16.</t>
  </si>
  <si>
    <t>FARIBAULT</t>
  </si>
  <si>
    <t>GREENFIELD EAST PARK</t>
  </si>
  <si>
    <t>CITY OF SHAKOPEE</t>
  </si>
  <si>
    <t>Shakopee (Scott County) will improve the 12.5-acre Greenfield East Park by constructing a picnic shelter with restrooms and a warming area.</t>
  </si>
  <si>
    <t>SKYVIEW PARK</t>
  </si>
  <si>
    <t>CITY OF INVER GROVE HEIGHTS</t>
  </si>
  <si>
    <t>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t>
  </si>
  <si>
    <t>DAKOTA</t>
  </si>
  <si>
    <t>TOWN PARK</t>
  </si>
  <si>
    <t>DEER RIVER TOWNSHIP</t>
  </si>
  <si>
    <t>Deer River Township (Itasca County) will construct a shelter and restroom facility within Town Park near the community of Deer River.</t>
  </si>
  <si>
    <t>ITASCA</t>
  </si>
  <si>
    <t>DOUGLAS COUNTY</t>
  </si>
  <si>
    <t>Douglas County will construct lighted horseshoe courts and a picnic shelter with restrooms at Memorial Park within the community of Alexandria.</t>
  </si>
  <si>
    <t>DENNISON CITY PARK</t>
  </si>
  <si>
    <t>CITY OF DENNISON</t>
  </si>
  <si>
    <t>Dennison will remove and replace unsafe playground equipment within the 0.7-acre City Park.</t>
  </si>
  <si>
    <t>GOODHUE</t>
  </si>
  <si>
    <t>STAN HOLMASS MEMORIAL PARK</t>
  </si>
  <si>
    <t>CITY OF NEWFOLDEN</t>
  </si>
  <si>
    <t>Newfolden (Marshall County) will improve Stan Holmass Memorial Park with a new playground, a new hiking trail through the park’s natural area, and accessible pathways throughout the park.</t>
  </si>
  <si>
    <t>EASTWOOD ESTATES PARK</t>
  </si>
  <si>
    <t>CITY OF JANESVILLE</t>
  </si>
  <si>
    <t>Janesville will improve the 0.25-acre Eastwood Estates Park with new walkways, general landscaping, and a half basketball court. This neighborhood park was created in 2006 with a playground as its only feature.</t>
  </si>
  <si>
    <t>WASECA</t>
  </si>
  <si>
    <t>SPIRIT LAKE PARK</t>
  </si>
  <si>
    <t>CITY OF MENAHGA</t>
  </si>
  <si>
    <t>Menahga will rehabilitate Spirit Lake Beach Park to improve safety, accessibility, and visitor services. The grant scope includes a boat/canoe access site, walking trail, picnic area, and beach.</t>
  </si>
  <si>
    <t>Wadena</t>
  </si>
  <si>
    <t>MONTICELLO ATHLETIC COMPLEX EXPANSION</t>
  </si>
  <si>
    <t>The city of Monticello (Wright County) will acquire 10.6 acres to expand the Athletic Complex for future development of sports and playfields. Upon acquisition the park will expand to 50.6 acres.</t>
  </si>
  <si>
    <t>LOWER ADRIAN PARK</t>
  </si>
  <si>
    <t>CITY OF ADRIAN</t>
  </si>
  <si>
    <t>The city of Adrian will utilize a Land and Water Conservation Fund grant to assist in improving the 50-acre Lower Adrian Park by replacing outdated, unsafe playground equipment and constructing accessible parking and an access route to the playground.</t>
  </si>
  <si>
    <t>Nobles</t>
  </si>
  <si>
    <t>CITY OF ROCKFORD</t>
  </si>
  <si>
    <t>The city of Rockford will utilize a Land and Water Conservation Fund grant to assist in improving Riverside Park by replacing a substandard park building with a picnic shelter and restroom building.</t>
  </si>
  <si>
    <t>CENTRAL PARK</t>
  </si>
  <si>
    <t>CITY OF CANBY</t>
  </si>
  <si>
    <t>The city of Canby will utilize a Land and Water Conservation Fund grant to assist in improving Central Park by replacing outdated, unsafe playground equipment and construction an accessible route to playground.</t>
  </si>
  <si>
    <t>YELLOW MEDICINE</t>
  </si>
  <si>
    <t>SWIMMING POOL PARK</t>
  </si>
  <si>
    <t>The city of Canby will utilize a Land and Water Conservation Fund grant to assist in improving Swimming Pool Park by replacing outdated, unsafe playground equipment, constructing an accessible route to the playground, and renovating the swimming pool (install a lift chair, water side and climbing wall).</t>
  </si>
  <si>
    <t>MEMORIAL PARK WALKING TRAIL EXTENSION</t>
  </si>
  <si>
    <t>CITY OF OWENSVILLE</t>
  </si>
  <si>
    <t>The city of Owensville (Missouri) will extend an existing trail within the 95-acre Memorial Park. The grant scope provides section 6(f)(3) protection to an additional 60 acres of park land.</t>
  </si>
  <si>
    <t>Gasconade</t>
  </si>
  <si>
    <t>MALDEN R-1 BALLFIELD AMENITIES</t>
  </si>
  <si>
    <t>MALDEN R-1 SCHOOL DISTRICT</t>
  </si>
  <si>
    <t>The Malden R-1 School District (Missouri) will construct a picnic shelter with a restroom facility at the District’s recently opened 20-acre baseball complex.</t>
  </si>
  <si>
    <t>DISTRICT BASEBALL/SOFTBALL COMPLEX</t>
  </si>
  <si>
    <t>DUNKLIN</t>
  </si>
  <si>
    <t>MCQUIRE PARK PLAYGROUND</t>
  </si>
  <si>
    <t>CITY OF LINN</t>
  </si>
  <si>
    <t>Linn will construct a playground within the 15.7-acre McGuire Park.</t>
  </si>
  <si>
    <t>MCQUIRE PARK</t>
  </si>
  <si>
    <t>GASCONADE</t>
  </si>
  <si>
    <t>UNIVERSALLY ACCESSIBLE PLAYGROUND</t>
  </si>
  <si>
    <t>CITY OF ST. CHARLES</t>
  </si>
  <si>
    <t>The city of St. Charles (Missouri) will construct an accessible playground within the 14-acre Jaycee Park.</t>
  </si>
  <si>
    <t>JAYCEES PARK</t>
  </si>
  <si>
    <t>SENIOR OUTDOOR RECREATION PROJECT</t>
  </si>
  <si>
    <t>CITY OF HAYTI</t>
  </si>
  <si>
    <t>Hayti will improve the 10-acre City Park by constructing an interior park trail with 21 exercise stations and accessible parking and adding a park bench, water fountain, and general landscaping.</t>
  </si>
  <si>
    <t>HAYTI CITY PARK</t>
  </si>
  <si>
    <t>PEMISCOT</t>
  </si>
  <si>
    <t>HOUSTON SOCCER FIELDS</t>
  </si>
  <si>
    <t>CITY OF HOUSTON</t>
  </si>
  <si>
    <t>Houston will improve the 7-acre Rutherford Park by constructing one regulation size soccer field and an accessible parking area plus adding three picnic tables, fencing, park signage, and general landscaping.</t>
  </si>
  <si>
    <t>RUTHERFORD PARK</t>
  </si>
  <si>
    <t>DON WARDEN PARK PROJECT</t>
  </si>
  <si>
    <t>CITY OF WEST PLAINS</t>
  </si>
  <si>
    <t>The city of West Plains (Howell County, Missouri) will construct a walking trail, picnic facilities, an amphitheater, and general support facilities within the 2-acre Don Walden Park.</t>
  </si>
  <si>
    <t>DON WARDEN PARK</t>
  </si>
  <si>
    <t>HOWELL</t>
  </si>
  <si>
    <t>LAKE SHOW ME MULTI USE TRAIL</t>
  </si>
  <si>
    <t>CITY OF MEMPHIS</t>
  </si>
  <si>
    <t>Memphis will improve the 250-acre Show Me Park by constructing a restroom and extending the interior park trail to connect two campgrounds.</t>
  </si>
  <si>
    <t>LAKE SHOW ME</t>
  </si>
  <si>
    <t>SCOTLAND</t>
  </si>
  <si>
    <t>SPORTS COMPLEX IMPROVEMENTS</t>
  </si>
  <si>
    <t>CITY OF WARSAW</t>
  </si>
  <si>
    <t>Warsaw will improve the 27.5-acre Bledsoe Ferry Sports Complex by constructing a trail and renovating existing play fields and basic supports facilities.</t>
  </si>
  <si>
    <t>BLEDSOE FERRY PARK</t>
  </si>
  <si>
    <t>LEA MCKEIGHAN PARK VOLLEYBALL COURT RENOVATION</t>
  </si>
  <si>
    <t>CITY OF LEE'S SUMMIT</t>
  </si>
  <si>
    <t>The city of Lee’s Summit (Missouri) will renovate the existing sand volleyball courts within the 22-acre Lea McKeighan Park.</t>
  </si>
  <si>
    <t>LEA MCKEIGHAN PARK</t>
  </si>
  <si>
    <t>AVA CITY PARK RENOVATION AND IMPROVEMENTS</t>
  </si>
  <si>
    <t>CITY OF AVA</t>
  </si>
  <si>
    <t>The city of Ava (Douglas County, Missouri) will renovate the existing restroom facility and construct a new 50’ x 100’ skate park component within the 20-acre Ava City Park.</t>
  </si>
  <si>
    <t>AVA PUBLIC PARK</t>
  </si>
  <si>
    <t>Douglas</t>
  </si>
  <si>
    <t>TENNIS COURT RENOVATION</t>
  </si>
  <si>
    <t>CITY OF RAYTOWN</t>
  </si>
  <si>
    <t>The city of Raytown (Jackson County, Missouri) will renovate the tennis courts within the 14.25-acre Sarah Coleman-Livengood Park.</t>
  </si>
  <si>
    <t>SARAH COLEMAN-LIVENGOOD PARK</t>
  </si>
  <si>
    <t>MATTHEWS CITY PARK IMPROVEMENTS</t>
  </si>
  <si>
    <t>CITY OF MATTHEWS</t>
  </si>
  <si>
    <t>The city of Matthews (Missouri) will renovate the existing basketball court and playground within the 14-acre City Park.</t>
  </si>
  <si>
    <t>NEW MADRID</t>
  </si>
  <si>
    <t>PARR HILL TRAIL RENOVATION AND EXTENSION</t>
  </si>
  <si>
    <t>CITY OF JOPLIN</t>
  </si>
  <si>
    <t>Joplin will improve the 12.6 acre Parr Hill Park by renovating and extending a trail and constructing new picnic areas and playgrounds.</t>
  </si>
  <si>
    <t>PARR HILL TRAIL</t>
  </si>
  <si>
    <t>JASPER</t>
  </si>
  <si>
    <t>JAYCEE PARK RENOVATION</t>
  </si>
  <si>
    <t>CITY OF KIRKSVILLE</t>
  </si>
  <si>
    <t>Kirksville will renovate the 4.4-acre Jaycee Park by replacing the playground equipment, installing a safety impact surface, and constructing accessible sidewalks.</t>
  </si>
  <si>
    <t>JAYCEE PARK</t>
  </si>
  <si>
    <t>ADAIR</t>
  </si>
  <si>
    <t>WILDKAT TRACK RENOVATION</t>
  </si>
  <si>
    <t>KING CITY R-I SCHOOL DIST.</t>
  </si>
  <si>
    <t>The King City R-1 School District (King City, Missouri) will renovate and expand a walking trail within the community.</t>
  </si>
  <si>
    <t>WILDKAT TRACK</t>
  </si>
  <si>
    <t>GENTRY</t>
  </si>
  <si>
    <t>SCHOOL/COMMUNITY PARK RENOVATION</t>
  </si>
  <si>
    <t>RISCO R-II SCHOOLS</t>
  </si>
  <si>
    <t>The city of Risco (Missouri) will renovate the playground within the 20-acre Community Park.</t>
  </si>
  <si>
    <t>SCHOOL PLAYGROUND</t>
  </si>
  <si>
    <t>NORTHWEST SPORTS COMPLEX PLAYGROUND DEVELOPMENT</t>
  </si>
  <si>
    <t>JEFFERSON COUNTY</t>
  </si>
  <si>
    <t>Jefferson County will construct a playground within the Northwest Sports Complex.</t>
  </si>
  <si>
    <t>NORTHWEST SPORTS COMPLEX</t>
  </si>
  <si>
    <t>ST. LOUIS FOX PARK SPRAY GROUND</t>
  </si>
  <si>
    <t>CITY OF ST. LOUIS</t>
  </si>
  <si>
    <t>The city of Saint Louis, Missouri, will utilize a Land and Water Conservation Fund grant to construct a water “spray garden” within Fox Park. The new design incorporates a filtration and recirculation system that utilizes rain water to the greatest extent practicable.</t>
  </si>
  <si>
    <t>FOX PARK</t>
  </si>
  <si>
    <t>SAINT LOUIS CITY</t>
  </si>
  <si>
    <t>THOMPSON CAMPGROUND SHOWER HOUSE</t>
  </si>
  <si>
    <t>CITY OF MOBERLY</t>
  </si>
  <si>
    <t>The city of Moberly (Randolph County) will construct an energy efficient, water conserving, and accessible shower house at the Thompson Campground within Rothwell Park.</t>
  </si>
  <si>
    <t>ROTHWELL PARK</t>
  </si>
  <si>
    <t>Randolph</t>
  </si>
  <si>
    <t>CARTERVILLE MULTI-USE RECREATIONAL FACILITIES</t>
  </si>
  <si>
    <t>CITY OF CARTERVILLE</t>
  </si>
  <si>
    <t>The city of Carterville will utilize a Land and Water Conservation Fund grant to assist in acquiring, through donation, 18 acres to create Garrett Park and undertake the initial development which will include a walking trail, playground equipment, fencing and backstop for a ball field, skate park equipment, and parking.</t>
  </si>
  <si>
    <t>GARRETT PARK</t>
  </si>
  <si>
    <t>BUCK PARK DISC GOLF COURSE</t>
  </si>
  <si>
    <t>The city of West Plains will develop an 18-basket Frisbee disc golf course and repair the interior park road, parking lot, restroom, and park pavilion.</t>
  </si>
  <si>
    <t>BUCK PARK</t>
  </si>
  <si>
    <t>WILDWOOD GREENWAY PHASE VI TRAIL DEVELOPMENT</t>
  </si>
  <si>
    <t>CITY OF WILDWOOD</t>
  </si>
  <si>
    <t>The city of Wildwood will construct a 1/3-mile trail and support facilities through the 65-acre Community Park.</t>
  </si>
  <si>
    <t>WILDWOOD COMMUNITY PARK</t>
  </si>
  <si>
    <t>SAINT LOUIS</t>
  </si>
  <si>
    <t>DYER PARK LAKE VENITA TRAIL EXPANSION PROJECT</t>
  </si>
  <si>
    <t>CITY OF ODESSA</t>
  </si>
  <si>
    <t>The city of Odessa will utilize a Land and Water Conservation Fund grant to assist in constructing 1,340 linear feet of 10-foot wide asphalt trail within the 52-acre Dyer Park.</t>
  </si>
  <si>
    <t>DYER PARK</t>
  </si>
  <si>
    <t>LAFAYETTE</t>
  </si>
  <si>
    <t>MEMORIAL PARK RENOVATIONS</t>
  </si>
  <si>
    <t>CITY OF BELTON</t>
  </si>
  <si>
    <t>The city of Belton will utilize a Land and Water Conservation Fund grant to assist in renovating one park shelter and constructing one shelter and two restrooms within the 36-acre Memorial Park. The grant scope includes sidewalks, lighting, and picnic tables.</t>
  </si>
  <si>
    <t>Cass</t>
  </si>
  <si>
    <t>RAISBECK NATURE TRAIL</t>
  </si>
  <si>
    <t>CITY OF PECULIAR</t>
  </si>
  <si>
    <t>The city of Peculiar, Missouri, will construct a 0.75 mile nature trail within the 29.8-acre Raisbeck Park. The grant scope includes the trail, bridges, and split rail fence.</t>
  </si>
  <si>
    <t>RAISBECK PARK</t>
  </si>
  <si>
    <t>SOCCER PARK PLAYGROUND EQUIPMENT</t>
  </si>
  <si>
    <t>The city of Jackson (Cape Girardeau County) will construct a playground, borders, and fall zone (safety) material at Soccer Park. This park contains 11 soccer fields in varying sizes to accommodate differing age groups, but there is no area for families with children for general play.</t>
  </si>
  <si>
    <t>SOCCER PARK</t>
  </si>
  <si>
    <t>Cape Girardeau</t>
  </si>
  <si>
    <t>MILLER J. FIELDS SPRAYGROUND</t>
  </si>
  <si>
    <t>The city of Lee’s Summit will construct a spray pad within the 18.7-acre Miller J. Fields Park. The grant scope includes grading, site work, utilities, concrete pad, spray features, pump system, and shade furnishings.</t>
  </si>
  <si>
    <t>MILLER J. FIELDS PARK</t>
  </si>
  <si>
    <t>TROY MIDDLE SCHOOL TENNIS COURTS AND TRAIL</t>
  </si>
  <si>
    <t>LINCOLN COUNTY R-III SCHOOL DISTRICT</t>
  </si>
  <si>
    <t>The Lincoln County R-III School District will construct 4 tennis courts (fencing, nets, and striping) and a 1-mile, 6’ wide crushed limestone trail around the Troy Middle School campus.</t>
  </si>
  <si>
    <t>TROY MIDDLE SCHOOL TRAIL</t>
  </si>
  <si>
    <t>SOUTH ELEMENTARY PLAYGROUND EQUIPMENT</t>
  </si>
  <si>
    <t>ELDON R-1 SCHOOL DISTRICT</t>
  </si>
  <si>
    <t>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t>
  </si>
  <si>
    <t>SOUTH ELEMENTARY PLAYGROUND</t>
  </si>
  <si>
    <t>MILLER</t>
  </si>
  <si>
    <t>NORTHWEST MISSOURI OUTDOOR CLASSROOM</t>
  </si>
  <si>
    <t>NORTHWEST MISSOURI STATE UNIVERSITY</t>
  </si>
  <si>
    <t>Northwest Missouri State University in Maryville will renovate and expand its playground into a cross-curricular Outdoor Classroom.</t>
  </si>
  <si>
    <t>NORTHWEST MISSOURI STATE UNIVERSITY OUTDOOR CLASSROOM</t>
  </si>
  <si>
    <t>NODAWAY</t>
  </si>
  <si>
    <t>NORTH EAST MISSOURI ACCESSIBLE PLAYGROUND</t>
  </si>
  <si>
    <t>KIRKSVILLE R-III SCHOOL DISTRICT</t>
  </si>
  <si>
    <t>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t>
  </si>
  <si>
    <t>KIRKSVILLE R-III SCHOOL PARK</t>
  </si>
  <si>
    <t>MOERA MOZINGO LAKE PARK BOAT DOCK RENOVATION</t>
  </si>
  <si>
    <t>CITY OF MARYVILLE</t>
  </si>
  <si>
    <t>The city of Maryville will improve the boat dock, sidewalk, and parking area at Moera Mozingo Lake Park.</t>
  </si>
  <si>
    <t>MOERA MOZINGA LAKE PARK</t>
  </si>
  <si>
    <t>Nodaway</t>
  </si>
  <si>
    <t>HYDE PARK BASEBALL COMPLEX</t>
  </si>
  <si>
    <t>CITY OF ST. JOSEPH</t>
  </si>
  <si>
    <t>St. Joseph (Buchanan County, Missouri) will renovate the Hyde Park ball fields with fencing, backstops, dugouts, restrooms, concession area, bleachers, press box, score boards, grading, and lighting.</t>
  </si>
  <si>
    <t>HYDE PARK</t>
  </si>
  <si>
    <t>Buchanan</t>
  </si>
  <si>
    <t>WESTOFF PARK TENNIS COURT RENOVATION</t>
  </si>
  <si>
    <t>CITY OF O'FALLON</t>
  </si>
  <si>
    <t>The city of O’Fallon will utilize a Land and Water Conservation Fund grant to the renovate tennis courts at the 65-acre Westhoff Park.</t>
  </si>
  <si>
    <t>WESTOFF PARK</t>
  </si>
  <si>
    <t>Saint Charles</t>
  </si>
  <si>
    <t>WESTBORO - CANTERBURY TRAIL REDEVELOPMENT</t>
  </si>
  <si>
    <t>CITY OF LIBERTY</t>
  </si>
  <si>
    <t>The city of Belton will improve the Westboro - Canterbury Greenway by renovating 2 miles of trail and parking lots.</t>
  </si>
  <si>
    <t>WESTBORO - CANTERBURY GREENWAY</t>
  </si>
  <si>
    <t>LEGACY PARK PHASE II MULTI-SPORT FIELD</t>
  </si>
  <si>
    <t>CITY OF COTTLEVILLE</t>
  </si>
  <si>
    <t>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t>
  </si>
  <si>
    <t>PROCTOR PARK RESTORATION</t>
  </si>
  <si>
    <t>CITY OF CALIFORNIA</t>
  </si>
  <si>
    <t>The city of California, Missouri, will renovate the 35-acre Proctor Park by replacing the shelter/restroom building and playground equipment and adding utilities.</t>
  </si>
  <si>
    <t>PROCTOR PARK</t>
  </si>
  <si>
    <t>Moniteau</t>
  </si>
  <si>
    <t>FROG HOLLOW GREENWAY PEDESTRIAN AND BICYCLE BRIDGE</t>
  </si>
  <si>
    <t>CITY OF JEFFERSON CITY</t>
  </si>
  <si>
    <t>Jefferson City, Missouri, will install a bridge connecting the Jefferson City Greenway to the 26.5-acre West Edgewood Nature Area.</t>
  </si>
  <si>
    <t>WEST EDGEWOOD NATURE AREA</t>
  </si>
  <si>
    <t>COLE</t>
  </si>
  <si>
    <t>ROUBIDOUX PARK ADA PATHWAY ENHANCEMENT</t>
  </si>
  <si>
    <t>CITY OF WAYNESVILLE</t>
  </si>
  <si>
    <t>The city of Waynesville, Missouri, will upgrade the trail within Roubidoux Park. The grant scope includes an 8’ x 2200’ concrete trail and accessible trailhead parking.</t>
  </si>
  <si>
    <t>ROUBIDOUX PARK</t>
  </si>
  <si>
    <t>MCCOY PARK INCLUSIVE PLAYGROUND</t>
  </si>
  <si>
    <t>CITY OF INDEPENDENCE</t>
  </si>
  <si>
    <t>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t>
  </si>
  <si>
    <t>McCOY PARK</t>
  </si>
  <si>
    <t>Jackson</t>
  </si>
  <si>
    <t>PLAYGROUND EQUIPMENT FOR DEVELOPMENTALLY DELAYED</t>
  </si>
  <si>
    <t>CITY OF CARUTHERSVILLE</t>
  </si>
  <si>
    <t>The city of Caruthersville (Pemiscot County, Missouri) will install new universally accessible playground equipment within French Park.</t>
  </si>
  <si>
    <t>FRENCH PARK</t>
  </si>
  <si>
    <t>MILLAR PARK TRAIL IMPROVEMENTS</t>
  </si>
  <si>
    <t>CITY OF UNIVERSITY CITY</t>
  </si>
  <si>
    <t>University City, Missouri, will widen and lengthen the trail within the 12-acre Millar Park. The grant scope also includes adding lighting, landscaping, a rain garden, and drinking fountains.</t>
  </si>
  <si>
    <t>MILLAR PARK</t>
  </si>
  <si>
    <t>SALISBURY BASKETBALL COURT RENOVATION PROJECT</t>
  </si>
  <si>
    <t>CITY OF SALISBURY</t>
  </si>
  <si>
    <t>The Salisbury Park Board will renovate the basketball court at City Park. The grant scope includes new court surfacing and lighting, landscaping, and handicap parking.</t>
  </si>
  <si>
    <t>CHARITON</t>
  </si>
  <si>
    <t>VIOLA BLECHLE PARK PLAYGROUND</t>
  </si>
  <si>
    <t>CITY OF PERRYVILLE</t>
  </si>
  <si>
    <t>The city of Perryville will renovate the 8-acre Viola Blechle Park. The grant scope includes the installation of play equipment, construction of a pavilion with picnic tables, excavation and grading, and the construction of accessible walkways and parking.</t>
  </si>
  <si>
    <t>VIOLA BLECHLE PARK</t>
  </si>
  <si>
    <t>PERRY</t>
  </si>
  <si>
    <t>WOODBRIDGE PARK IMPROVEMENTS</t>
  </si>
  <si>
    <t>CITY OF COLUMBIA</t>
  </si>
  <si>
    <t>The city of Columbia, Missouri, will construct a 2,100' walking and bike trail around the perimeter of Woodridge Park plus construct picnic shelters and a council ring, add a bike rack, renovate the playground, and general landscaping. A Ronald McDonald House is under construction adjacent to the park and the Thompson Autism Center and the University of Missouri Women’s and Children’s Hospital are in the immediate area.</t>
  </si>
  <si>
    <t>WOODRIDGE PARK</t>
  </si>
  <si>
    <t>Boone</t>
  </si>
  <si>
    <t>SHELDON PARK IMPROVEMENTS</t>
  </si>
  <si>
    <t>CITY OF SHELDON</t>
  </si>
  <si>
    <t>The city of Sheldon, Missouri, will renovate City Park by constructing a 0.5 mile walking trail around the perimeter of the park, refurbishing the basketball court so it can also be used for tennis and volleyball, and upgrading the playground with new equipment and safety surfaces.</t>
  </si>
  <si>
    <t>SHELDON CITY PARK</t>
  </si>
  <si>
    <t>VERNON</t>
  </si>
  <si>
    <t>LINCOLN UNIVERSITY TENNIS COURT REHABILITATION</t>
  </si>
  <si>
    <t>LINCOLN UNIVERSITY</t>
  </si>
  <si>
    <t>Lincoln University will utilize a Land and Water Conservation Fund grant to assist in renovating the Myrtle Smith Livingston Park tennis courts. The grant scope includes fencing, asphalt surfacing, restriping, nets, and lighting.</t>
  </si>
  <si>
    <t>MYRTLE SMITH LIVINGSTON PARK</t>
  </si>
  <si>
    <t>Cole</t>
  </si>
  <si>
    <t>MS</t>
  </si>
  <si>
    <t>GREAT RIVER ROAD DAY USE AREA</t>
  </si>
  <si>
    <t>MS DEPT OF WILDLIFE, FISHERIES AND PARKS</t>
  </si>
  <si>
    <t>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t>
  </si>
  <si>
    <t>GRANT RIVER ROAD STATE PARK</t>
  </si>
  <si>
    <t>BOLIVAR</t>
  </si>
  <si>
    <t>ROOSEVELT STATE PARK-WATER PARK</t>
  </si>
  <si>
    <t>DEPT OF WILDLIFE, FISH &amp; PARKS</t>
  </si>
  <si>
    <t>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t>
  </si>
  <si>
    <t>CALLING PANTHER LAKE PHASE II</t>
  </si>
  <si>
    <t>MS DEPT OF WILDLIFE , FISHIERS AND PARKS</t>
  </si>
  <si>
    <t>This grant will be used to improve the existing roads to acdess 23 concrete camping pads at Calling Panther Lake, a 30+/- park. The 20 feet wide gravel interior road will be repaved with 3 inches of asphalt to create a all weather paved road to provide year-round campground use.</t>
  </si>
  <si>
    <t>CALLING PANTHER LAKE</t>
  </si>
  <si>
    <t>COPIAH</t>
  </si>
  <si>
    <t>PERCY QUIN STATE PARK GOLF COURSE RENOVATION</t>
  </si>
  <si>
    <t>MS DEPARTMENT OF WILDLIFE, FISHERIES AND PARKS</t>
  </si>
  <si>
    <t>Grant will fund the renovation of an 18-hole golf course at Percy Quin State Park which is previously 6(f) protected existing 1701 acres park. This golf course is an impoertant part of the recreational opportunities offered at Percy Quin State Park.</t>
  </si>
  <si>
    <t>PERCY QUIN STATE PARK</t>
  </si>
  <si>
    <t>Pike</t>
  </si>
  <si>
    <t>BUCCANEER STATE PARK-SPLASH PAD/PLAY AREA</t>
  </si>
  <si>
    <t>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t>
  </si>
  <si>
    <t>BUCCANEER STATE PARK</t>
  </si>
  <si>
    <t>Hancock</t>
  </si>
  <si>
    <t>HALL'S FERRY PARK-TENNIS COURT EXPANSION PROJECT</t>
  </si>
  <si>
    <t>CITY OF VICKSBURG</t>
  </si>
  <si>
    <t>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t>
  </si>
  <si>
    <t>HALLS FERRY PARK</t>
  </si>
  <si>
    <t>PUCKETT TOWN PARK-PHASE II TENNIS COURTS</t>
  </si>
  <si>
    <t>TOWN OF PUCKETT</t>
  </si>
  <si>
    <t>The Town of Puckett is proposing the construction of three tennis courts on an existing Land and Water Conservation Fund Site. The three tennis courts will be constructed on one concrete pad including fencing and other support elements.</t>
  </si>
  <si>
    <t>PUCKETT TOWN PARK</t>
  </si>
  <si>
    <t>Rankin</t>
  </si>
  <si>
    <t>LIBERTY VILLAGE INCLUSIVE PLAY</t>
  </si>
  <si>
    <t>CITY OF MADISON</t>
  </si>
  <si>
    <t>The project will construct Liberty Village Inclusive Playground ADA (Site 2) and consist of playground equipment, sidewalk, poured rubber surface and wood fiber playground mulch, and other support elements.</t>
  </si>
  <si>
    <t>LIBERTY VILLAGE (INCLUSIVE PLAY)</t>
  </si>
  <si>
    <t>STONEWALL CITY PARK- PHASE II</t>
  </si>
  <si>
    <t>TOWN OF STONEWALL</t>
  </si>
  <si>
    <t>The Town of Stonewall is proposing the construction of playground equipment and upgrading electrical support to upgrade the existing Stonewall City Park. The proposed project will allow children in the area to use updated playground equipment with safety features and will be ADA accessible. Long-term public benefits are the user-friendly features that will allow smaller children access to the equipment and parents the use of the walking trail that is on site.</t>
  </si>
  <si>
    <t>STONEWALL TOWN PARK</t>
  </si>
  <si>
    <t>CLARKE</t>
  </si>
  <si>
    <t>BELL QUARTER COMMUNITY BALL FIELD PARK LIGHTING</t>
  </si>
  <si>
    <t>CITY OG HAZELHURST</t>
  </si>
  <si>
    <t>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t>
  </si>
  <si>
    <t>BELL QUARTER COMMUNITY PARK</t>
  </si>
  <si>
    <t>MIZE TOWN PARK-PHASE II</t>
  </si>
  <si>
    <t>TOWN OF MIZE</t>
  </si>
  <si>
    <t>The Town of Mize is proposing the construction of a Splash Pad, which will include, concrete pad, pumps, filters, piping, water features and other support elements.</t>
  </si>
  <si>
    <t>MIZE TOWN PARK</t>
  </si>
  <si>
    <t>SMITH</t>
  </si>
  <si>
    <t>CLARKE COUNTY PARK-ROCKY PARK PHASE II</t>
  </si>
  <si>
    <t>CLARKE COUNTY BOARD OF SUPERVISORS</t>
  </si>
  <si>
    <t>This is a proposal to upgrade an existing LWCF site, Rocky Park. Improvements include ball field, fencing, scoreboard, lighting, concession stand / comfort station / bleachers and other support elements.</t>
  </si>
  <si>
    <t>CLARKE COUNTY PARK-ROCKY PARK</t>
  </si>
  <si>
    <t>HARVEY LEE GREEN PARK</t>
  </si>
  <si>
    <t>TOWN OF MOOREHEAD</t>
  </si>
  <si>
    <t>The Town of Moorhead is proposing to upgrade the following elements of an existing park site: ball field, fencing, scoreboard, lighting, concession stand / comfort station / bleachers, parking, and other support elements.</t>
  </si>
  <si>
    <t>SUNFLOWER</t>
  </si>
  <si>
    <t>PELAHATCHIE RECREATIONAL PARK PHASE II</t>
  </si>
  <si>
    <t>TOWN OF PELAHATCHIE</t>
  </si>
  <si>
    <t>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t>
  </si>
  <si>
    <t>MUSCADINE PARK</t>
  </si>
  <si>
    <t>RANKIN</t>
  </si>
  <si>
    <t>PELAHATCHIE RECREATION PARK</t>
  </si>
  <si>
    <t>CITY OF FOREST-SPLASH PAD GADDIS PARK</t>
  </si>
  <si>
    <t>CITY OF FOREST</t>
  </si>
  <si>
    <t>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t>
  </si>
  <si>
    <t>GADDIS PARK</t>
  </si>
  <si>
    <t>WESSON MUNICIPAL PARK</t>
  </si>
  <si>
    <t>TOWN OF WESSON</t>
  </si>
  <si>
    <t>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t>
  </si>
  <si>
    <t>Copiah</t>
  </si>
  <si>
    <t>CITY OF AMORY-FRISCO PARK</t>
  </si>
  <si>
    <t>CITY OF AMORY</t>
  </si>
  <si>
    <t>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t>
  </si>
  <si>
    <t>FRISCO PARK</t>
  </si>
  <si>
    <t>COUNTY NAME MISSING</t>
  </si>
  <si>
    <t>CITY OF LIVINGSTON WATER SPRAY PROJECT</t>
  </si>
  <si>
    <t>CITY OF LIVINGSTON</t>
  </si>
  <si>
    <t>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t>
  </si>
  <si>
    <t>MIKE WEBB (G STREET) PARK</t>
  </si>
  <si>
    <t>PARK</t>
  </si>
  <si>
    <t>BIG HORN COUNTY TRAIL PROJECT</t>
  </si>
  <si>
    <t>BIG HORN COUNTY</t>
  </si>
  <si>
    <t>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t>
  </si>
  <si>
    <t>BIG HORN TRAIL</t>
  </si>
  <si>
    <t>BIG HORN</t>
  </si>
  <si>
    <t>LEWIS AND CLARK CAVERNS STATE PARK WATER SYSTEMS</t>
  </si>
  <si>
    <t>STATE OF MONTANA</t>
  </si>
  <si>
    <t>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t>
  </si>
  <si>
    <t>LEWIS &amp; CLARK CAVERNS STATE PARK</t>
  </si>
  <si>
    <t>MOUNT ASCENSION NATURAL PARK EXPANSION</t>
  </si>
  <si>
    <t>CITY OF HELENA</t>
  </si>
  <si>
    <t>Helena (Lewis &amp; Clark County) will purchase a 20.41-acre parcel as an addition to the Mount Ascension Natural Park.</t>
  </si>
  <si>
    <t>MOUNT ASCENSION NATURAL PARK</t>
  </si>
  <si>
    <t>LEWIS AND CLARK</t>
  </si>
  <si>
    <t>WHITEHALL COMMUNITY OUTDOOR RECREATION PARK</t>
  </si>
  <si>
    <t>WHITEHALL SCHOOL DIST.</t>
  </si>
  <si>
    <t>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t>
  </si>
  <si>
    <t>WHITEHALL OUTDOOR RECREATION PARK</t>
  </si>
  <si>
    <t>MILLER PARK IMPROVEMENT</t>
  </si>
  <si>
    <t>TOWN OF SACO</t>
  </si>
  <si>
    <t>Saco (Phillips County) will improve Miller Park by constructing a picnic area and adding general landscaping and an irrigation system.</t>
  </si>
  <si>
    <t>MILLER PARK</t>
  </si>
  <si>
    <t>MALTA CITY POOL IMPROVEMENT PROJECT</t>
  </si>
  <si>
    <t>CITY OF MALTA</t>
  </si>
  <si>
    <t>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t>
  </si>
  <si>
    <t>MALTA CITY POOL</t>
  </si>
  <si>
    <t>SHELBY SPLASH PARK</t>
  </si>
  <si>
    <t>CITY OF SHELBY</t>
  </si>
  <si>
    <t>Shelby (Toole County) will replace the community wading pool with a zero-depth splash park. The splash park will incorporate multiple interactive water features and be located close to the municipal swimming pool.</t>
  </si>
  <si>
    <t>JOHNSON MEMORIAL PARK</t>
  </si>
  <si>
    <t>Toole</t>
  </si>
  <si>
    <t>TRAVELERS' REST STATE PARK HOLT ACQUISITION</t>
  </si>
  <si>
    <t>Montana State Parks will acquire 24 acres as an addition to Travelers' Rest State Park.</t>
  </si>
  <si>
    <t>TRAVELER'S REST STATE PARK</t>
  </si>
  <si>
    <t>Missoula</t>
  </si>
  <si>
    <t>GIANT SPRINGS STATE PARK PLAYGROUND EQUIPMENT</t>
  </si>
  <si>
    <t>Montana State Parks will install new playground equipment within the 261-acre Giant Springs State Park.</t>
  </si>
  <si>
    <t>GIANT SPRINGS STATE PARK</t>
  </si>
  <si>
    <t>Cascade</t>
  </si>
  <si>
    <t>GALLATIN REGIONAL PARK PHASE II</t>
  </si>
  <si>
    <t>GALLATIN COUNTY</t>
  </si>
  <si>
    <t>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t>
  </si>
  <si>
    <t>GALLATIN COUNTY REGIONAL PARK</t>
  </si>
  <si>
    <t>Gallatin</t>
  </si>
  <si>
    <t>HEIMAT PARK RESTROOMS</t>
  </si>
  <si>
    <t>HARDIN CITY</t>
  </si>
  <si>
    <t>The city of Hardin City (Big Horn County, Montana) will utilize a Land and Water Conservation Fund grant to assist in constructing an accessible restroom facility within the 2.25-acre Heimat Park.</t>
  </si>
  <si>
    <t>HEIMAT PARK</t>
  </si>
  <si>
    <t>BILLINGS SOUTH PARK PLAYGROUND</t>
  </si>
  <si>
    <t>CITY OF BILLINGS</t>
  </si>
  <si>
    <t>The city of Billings (Yellowstone County, Montana) will utilize a Land and Water Conservation Fund grant to replace the outdated playground equipment at South Park with a modern, accessible playground containing multiple units and apparatus.</t>
  </si>
  <si>
    <t>SOUTH PARK</t>
  </si>
  <si>
    <t>YELLOWSTONE</t>
  </si>
  <si>
    <t>LEWISTOWN POOL PHASE 1</t>
  </si>
  <si>
    <t>CITY OF LEWISTOWN</t>
  </si>
  <si>
    <t>The city of Lewistown (Fergus County, Montana) will utilize a Land and Water Conservation Fund grant to assist in renovating the Frank Day Park swimming pool. The grant scope includes replacing the mechanical pumps and filtration systems to bring the facilities into code.</t>
  </si>
  <si>
    <t>FRANK DAY PARK</t>
  </si>
  <si>
    <t>FERGUS</t>
  </si>
  <si>
    <t>HELENA PARKS PLAYGROUND RENOVATION</t>
  </si>
  <si>
    <t>The city of Helena (Lewis &amp; Clark County, Montana) will utilize a Land and Water Conservation Fund grant to assist in renovating the Waukesha Park and Barney Park playgrounds.</t>
  </si>
  <si>
    <t>BARNEY PARK</t>
  </si>
  <si>
    <t>WAUKESHA PARK</t>
  </si>
  <si>
    <t>SIDNEY EAST PARK PLAYGROUND RENOVATION</t>
  </si>
  <si>
    <t>TOWN OF SIDNEY</t>
  </si>
  <si>
    <t>The Town of Sidney (Richland County) will renovate the East Park playground. The grant scope includes installing a playground with spot swings, jungle and play gyms, stage coach spring horse components, a spring surf board, connector platforms, safety surface, and park benches.</t>
  </si>
  <si>
    <t>EAST PARK</t>
  </si>
  <si>
    <t>RICHLAND</t>
  </si>
  <si>
    <t>YELLOW MOUNTAIN STATE NATURAL AREA ACQUISITION</t>
  </si>
  <si>
    <t>N.C. DEPARTMENT OF ENVIRONMENT AND NATURAL RESOURCES</t>
  </si>
  <si>
    <t>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t>
  </si>
  <si>
    <t>MITCHELL</t>
  </si>
  <si>
    <t>PIMO YADKIN RIVER SECTION ACQUISITION</t>
  </si>
  <si>
    <t>NC DEPT OF ENVIRONMENT AND NATURAL RESOURCES</t>
  </si>
  <si>
    <t>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t>
  </si>
  <si>
    <t>PILOT MOUNTAIN STATE PARK</t>
  </si>
  <si>
    <t>YADKIN</t>
  </si>
  <si>
    <t>MORRISVILLE RTP PARK</t>
  </si>
  <si>
    <t>TOWN OF MORRISVILLE</t>
  </si>
  <si>
    <t>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t>
  </si>
  <si>
    <t>WAKE</t>
  </si>
  <si>
    <t>CASTALIA NEIGHBORHOOD PARK</t>
  </si>
  <si>
    <t>TOWN OF CASTALIA</t>
  </si>
  <si>
    <t>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t>
  </si>
  <si>
    <t>NASH</t>
  </si>
  <si>
    <t>STALLING'S MUNICIPAL PARK</t>
  </si>
  <si>
    <t>TOWN OF STALLINGS</t>
  </si>
  <si>
    <t>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t>
  </si>
  <si>
    <t>STALLINGS MUNICIPAL PARK</t>
  </si>
  <si>
    <t>Union</t>
  </si>
  <si>
    <t>YELLOW MOUNTAIN STATE NATURAL AREA</t>
  </si>
  <si>
    <t>NC DEPARTMENT OF ENVIRONMENT AND NATURAL RESOURCES</t>
  </si>
  <si>
    <t>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t>
  </si>
  <si>
    <t>YELLOW MOUNTAIN STATE NATURAL AREA II</t>
  </si>
  <si>
    <t>AVERY</t>
  </si>
  <si>
    <t>CHIMNEY ROCK STATE PARK II</t>
  </si>
  <si>
    <t>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t>
  </si>
  <si>
    <t>RUTHERFORD</t>
  </si>
  <si>
    <t>RUGER PARK PICNIC SHELTER</t>
  </si>
  <si>
    <t>DEVILS LAKE PARK BD.</t>
  </si>
  <si>
    <t>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t>
  </si>
  <si>
    <t>RUGER PARK</t>
  </si>
  <si>
    <t>Ramsey</t>
  </si>
  <si>
    <t>NAPOLEON POOL RENOVATION</t>
  </si>
  <si>
    <t>NAPOLEON PARK DIST.</t>
  </si>
  <si>
    <t>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t>
  </si>
  <si>
    <t>NAPOLEON CITY PARK</t>
  </si>
  <si>
    <t>LOGAN</t>
  </si>
  <si>
    <t>FINLEY POOL HOUSE</t>
  </si>
  <si>
    <t>FINLEY PARK DIST.</t>
  </si>
  <si>
    <t>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t>
  </si>
  <si>
    <t>FINLEY CITY PARK</t>
  </si>
  <si>
    <t>STEELE</t>
  </si>
  <si>
    <t>GRAHAMS ISLAND STATE PARK CAMPGROUND DEVELOPMENT</t>
  </si>
  <si>
    <t>STATE OF NORTH DAKOTA</t>
  </si>
  <si>
    <t>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t>
  </si>
  <si>
    <t>GRAHAMS ISLAND STATE PARK</t>
  </si>
  <si>
    <t>RAMSEY</t>
  </si>
  <si>
    <t>WALHALLA RIVERSIDE PARK CAMPGROUND RENOVATION</t>
  </si>
  <si>
    <t>WALHALLA PARK DIST.</t>
  </si>
  <si>
    <t>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t>
  </si>
  <si>
    <t>PEMBINA</t>
  </si>
  <si>
    <t>BISMARCK LIONS PARK PLAYGROUND RENOVATION</t>
  </si>
  <si>
    <t>BISMARCK PARK DIST.</t>
  </si>
  <si>
    <t>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t>
  </si>
  <si>
    <t>Burleigh</t>
  </si>
  <si>
    <t>FAIRMOUNT PLAYGROUND RENOVATION</t>
  </si>
  <si>
    <t>FAIRMOUNT PARKS BD.</t>
  </si>
  <si>
    <t>The Fairmount Parks Board (Richland County) will replace a playground at the 5-acre Fairmount Park within the community of Fairmount. The current playground is outdated, unsafe, and does not meet basic accessibility requirements.</t>
  </si>
  <si>
    <t>FAIRMOUNT PARK</t>
  </si>
  <si>
    <t>LAKE HOSKINS CAMPGROUND AND PLAYGROUND RENOVATION</t>
  </si>
  <si>
    <t>ASHLEY PARK BOARD</t>
  </si>
  <si>
    <t>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t>
  </si>
  <si>
    <t>LAKE HOSKINS PARK</t>
  </si>
  <si>
    <t>MCINTOSH</t>
  </si>
  <si>
    <t>BEULAH CENTRAL PARK PLAYGROUND RENOVATION</t>
  </si>
  <si>
    <t>BEULAH PARK DIST.</t>
  </si>
  <si>
    <t>The Beulah Park District (Mercer County) will replace a playground at Central Park within the community of Beulah. The current playground is outdated, unsafe, and does not meet basic accessibility requirements.</t>
  </si>
  <si>
    <t>MERCER</t>
  </si>
  <si>
    <t>ARCHIE AND JESSIE CAMPBELL MEMORIAL PARK</t>
  </si>
  <si>
    <t>NEW ROCKFORD PARK DISTRICT</t>
  </si>
  <si>
    <t>The New Rockford Park District (Eddy County) will construct dugouts, a concession and storage building, and a picnic area at Archie and Jessie Campbell Memorial Park.</t>
  </si>
  <si>
    <t>Eddy</t>
  </si>
  <si>
    <t>ROOSEVELT PARK AND RUGER PARK PLAYGROUND UPGRADES</t>
  </si>
  <si>
    <t>DEVILS LAKE PARK BOARD</t>
  </si>
  <si>
    <t>The Devils Lake Park Board (Ramsey County) will improve Ruger Park and Roosevelt Park by renovating playgrounds at each park. Outdated, unsafe playground equipment will be replaced with modern, universally accessible apparatus.</t>
  </si>
  <si>
    <t>ROOSEVELT PARK</t>
  </si>
  <si>
    <t>MUNICIPAL BASEBALL PARK UPGRADE</t>
  </si>
  <si>
    <t>BISMARCK PARK DISTRICT</t>
  </si>
  <si>
    <t>The Bismarck Park District (Burleigh County) will improve Municipal Baseball Park by upgrading the baseball fields and adding a concession building.</t>
  </si>
  <si>
    <t>MUNICIPAL BASEBALL PARK</t>
  </si>
  <si>
    <t>BURLEIGH</t>
  </si>
  <si>
    <t>GOLDEN VALLEY COUNTY MEMORIAL PARK</t>
  </si>
  <si>
    <t>CITY OF BEACH</t>
  </si>
  <si>
    <t>The city of Beach (Golden Valley County) will improve Golden Valley County Memorial Park by constructing a playground. Outdated, unsafe playground equipment will be replaced with modern, universally accessible playground apparatus.</t>
  </si>
  <si>
    <t>GOLDEN VALLEY</t>
  </si>
  <si>
    <t>PAINTED WOODS RECREATION AREA</t>
  </si>
  <si>
    <t>WASHBURN PARK DISTRICT</t>
  </si>
  <si>
    <t>The Washburn Park District (North Dakota)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t>
  </si>
  <si>
    <t>SEEMAN PARK CAMPGROUND</t>
  </si>
  <si>
    <t>LINTON PARK BOARD</t>
  </si>
  <si>
    <t>The Linton Park Board will improve Seeman Park by constructing seven camping pads complete with water, sewer, and 50 amp hookups.</t>
  </si>
  <si>
    <t>SEEMAN PARK</t>
  </si>
  <si>
    <t>Emmons</t>
  </si>
  <si>
    <t>RUGER PARK POOL VIEWING AREA</t>
  </si>
  <si>
    <t>The Devils Lake Park Board will improve Ruger Park by constructing a viewing area on the north side of the Mike Dosch Memorial Pool and Waterslide.</t>
  </si>
  <si>
    <t>LIONS PARK HILLSIDE AQUATIC COMPLEX</t>
  </si>
  <si>
    <t>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t>
  </si>
  <si>
    <t>CARRINGTON CITY PARK EQUIPMENT IMPROVEMENT</t>
  </si>
  <si>
    <t>CARRINGTON PARK DIST.</t>
  </si>
  <si>
    <t>The Carrington Park District will replace a playground within City Park.</t>
  </si>
  <si>
    <t>CARRINGTON CITY PARK</t>
  </si>
  <si>
    <t>Foster</t>
  </si>
  <si>
    <t>RIVERSIDE PARK SWIMMING POOL</t>
  </si>
  <si>
    <t>NEW ROCKFORD PARK DIST.</t>
  </si>
  <si>
    <t>The New Rockford Park District will improve Riverside Park by constructing a 3,000 square foot pool with a zero-depth entry, a 2,000 square foot bathhouse with locker and chemical rooms, a waterslide, and a splash park with small children's play structure and sprayers.</t>
  </si>
  <si>
    <t>PLATTE RIVER STATE PARK ACQUISITION</t>
  </si>
  <si>
    <t>GAME &amp; PARKS COMM.</t>
  </si>
  <si>
    <t>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t>
  </si>
  <si>
    <t>PLATTE RIVER STATE PARK</t>
  </si>
  <si>
    <t>PLAYGROUND DEVELOPMENT-PONCA STATE PARK</t>
  </si>
  <si>
    <t>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t>
  </si>
  <si>
    <t>PONCA STATE PARK</t>
  </si>
  <si>
    <t>Dixon</t>
  </si>
  <si>
    <t>DUMP STATION RENOVATION - FORT KEARNY SRA</t>
  </si>
  <si>
    <t>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t>
  </si>
  <si>
    <t>FORT KEARNY STATE RECREATION AREA</t>
  </si>
  <si>
    <t>KEARNEY</t>
  </si>
  <si>
    <t>HILDRETH POOL RENOVATION-VILLAGE OF HILDRETH</t>
  </si>
  <si>
    <t>VILLAGE OF HILDRETH</t>
  </si>
  <si>
    <t>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t>
  </si>
  <si>
    <t>HILDRETH POOL</t>
  </si>
  <si>
    <t>RUSS THOMPSON PARK RENOVATION - CITY OF BELLEVUE</t>
  </si>
  <si>
    <t>CITY OF BELLEVUE</t>
  </si>
  <si>
    <t>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t>
  </si>
  <si>
    <t>RUSS THOMPSON PARK</t>
  </si>
  <si>
    <t>SARPY</t>
  </si>
  <si>
    <t>CALAMUS SRA SHOWER/LATRINE BUILDING</t>
  </si>
  <si>
    <t>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t>
  </si>
  <si>
    <t>CALAMUS RESERVOIR STATE RECREATION AREA</t>
  </si>
  <si>
    <t>Garfield</t>
  </si>
  <si>
    <t>PLAYGROUNDS @ 4 STATE RECREATION AREAS</t>
  </si>
  <si>
    <t>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t>
  </si>
  <si>
    <t>BRANCHED OAK STATE RECREATION AREA</t>
  </si>
  <si>
    <t>LANCASTER</t>
  </si>
  <si>
    <t>FREMONT LAKES STATE RECREATION AREA</t>
  </si>
  <si>
    <t>SAUNDERS</t>
  </si>
  <si>
    <t>LAKE OGALLALA STATE RECREATION AREA</t>
  </si>
  <si>
    <t>KEITH</t>
  </si>
  <si>
    <t>LOUISVILLE LAKES STATE RECREATION AREA</t>
  </si>
  <si>
    <t>CAMPGROUND ELECTRICAL-3 SITES THROUGHOUT THE STATE</t>
  </si>
  <si>
    <t>Update 47 RV pads at Branched Oak SRA, 57 RV pads at Two Rivers SRA, and 12 RV pads at Lake Ogallala SRA with 50 amp electrical boxes.</t>
  </si>
  <si>
    <t>TWO RIVERS STATE RECREATION AREA</t>
  </si>
  <si>
    <t>RIVERSIDE CAMPGROUND PHASE II - BEATRICE</t>
  </si>
  <si>
    <t>CITY OF BEATRICE</t>
  </si>
  <si>
    <t>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t>
  </si>
  <si>
    <t>GAGE</t>
  </si>
  <si>
    <t>CAMBRIDGE SPLASH PAD, CAMBRIDGE, NEBRASKA</t>
  </si>
  <si>
    <t>CITY OF CAMBRIDGE</t>
  </si>
  <si>
    <t>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t>
  </si>
  <si>
    <t>MCKINLEY PARK</t>
  </si>
  <si>
    <t>FRONTIER</t>
  </si>
  <si>
    <t>SPORTSMAN'S PARK - JOHNSON</t>
  </si>
  <si>
    <t>VILLAGE OF JOHNSON</t>
  </si>
  <si>
    <t>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t>
  </si>
  <si>
    <t>SPORTSMAN'S PARK</t>
  </si>
  <si>
    <t>NEMAHA</t>
  </si>
  <si>
    <t>PLAYGROUND IMPROVEMENTS - CERESCO, NE</t>
  </si>
  <si>
    <t>VILLAGE OF CERESCO</t>
  </si>
  <si>
    <t>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t>
  </si>
  <si>
    <t>CERESCO PARK</t>
  </si>
  <si>
    <t>SOUTH PARK - ARAPAHOE, NEBRASKA</t>
  </si>
  <si>
    <t>CITY OF ARAPAHOE</t>
  </si>
  <si>
    <t>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t>
  </si>
  <si>
    <t>FURNAS</t>
  </si>
  <si>
    <t>VILLAGE PARK SPORTS COURTS-ELMWOOD, NEBRASKA</t>
  </si>
  <si>
    <t>VILLAGE OF ELMWOOD</t>
  </si>
  <si>
    <t>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t>
  </si>
  <si>
    <t>ELMWOOD VILLAGE PARK</t>
  </si>
  <si>
    <t>LAWSON PARK - WAVERLY</t>
  </si>
  <si>
    <t>CITY OF WAVERLY</t>
  </si>
  <si>
    <t>Construct a 36’ X 38’ concession/restroom facility at the Lawson Park ball fields.</t>
  </si>
  <si>
    <t>LAWSON PARK</t>
  </si>
  <si>
    <t>PONCA STATE PARK POOL &amp; SPLASH PAD</t>
  </si>
  <si>
    <t>Construct a bathhouse at the Ponca State Park swimming pool in Dixon County.</t>
  </si>
  <si>
    <t>CRYSTAL COVE PARK OBSERVATORY - SOUTH SIOUX CITY</t>
  </si>
  <si>
    <t>CITY OF SOUTH SIOUX CITY</t>
  </si>
  <si>
    <t>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t>
  </si>
  <si>
    <t>CRYSTAL COVE PARK</t>
  </si>
  <si>
    <t>NORTH / MEMORIAL PARK PLAYGROUND - TEKAMAH</t>
  </si>
  <si>
    <t>CITY OF TEKAMAH</t>
  </si>
  <si>
    <t>Install a custom playground structure containing 2 bay swing sections, 2 independent spinner play components, play panes, slides, and glides. This structure will be placed over a safety surface. Additional grant scope includes the construction of a paved sidewalk throughout the park.</t>
  </si>
  <si>
    <t>NORTH / MEMORIAL PARK</t>
  </si>
  <si>
    <t>BURT</t>
  </si>
  <si>
    <t>VETERANS MEMORIAL PARK SPLASH PAD - SHELTON</t>
  </si>
  <si>
    <t>VILLAGE OF SHELTON</t>
  </si>
  <si>
    <t>Install a multiple-feature splash pad and upgrade the restrooms within Veterans Memorial Park.</t>
  </si>
  <si>
    <t>VETERANS MEMORIAL PARK</t>
  </si>
  <si>
    <t>BUFFALO</t>
  </si>
  <si>
    <t>Jericho Mountain State Park Phase II</t>
  </si>
  <si>
    <t>Dept. of Resources &amp; Economic Dev.</t>
  </si>
  <si>
    <t>Improvements will be made primarily to the infrastures throughout the park, a tool booth at the park entrance and some additional site and landscaping work.</t>
  </si>
  <si>
    <t>Jericho Mountain State Park</t>
  </si>
  <si>
    <t>Coos</t>
  </si>
  <si>
    <t>Town of Belmont Pavilion and Riverwalk</t>
  </si>
  <si>
    <t>Town of Belmont</t>
  </si>
  <si>
    <t>The construction of a pavilion with restrooms, a storage area, two covered wings, a parking lot and the beginning of the development of the adjacent 26.23 +/-acres (20 acres acquired) as a riverwalk for passive recreation.</t>
  </si>
  <si>
    <t>Belmont Pavilion and Riverwalk</t>
  </si>
  <si>
    <t>BELKNAP</t>
  </si>
  <si>
    <t>Carpenter Park Recreational Enhancement</t>
  </si>
  <si>
    <t>Town of Chichester</t>
  </si>
  <si>
    <t>The existing picnic pavilion will be expanded and the playground equipment relocated.</t>
  </si>
  <si>
    <t>Carpenter Park</t>
  </si>
  <si>
    <t>Merrimack</t>
  </si>
  <si>
    <t>Odell Park Overlook and Fishing Pier</t>
  </si>
  <si>
    <t>City of Franklin</t>
  </si>
  <si>
    <t>Improvements Odell Park with construction of an observation deck, a new fishing pier, other site improvments and new landscaping.</t>
  </si>
  <si>
    <t>ODELL PARK</t>
  </si>
  <si>
    <t>MERRIMACK</t>
  </si>
  <si>
    <t>Seabrook Harborside Park II</t>
  </si>
  <si>
    <t>Town of Seabrook</t>
  </si>
  <si>
    <t>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t>
  </si>
  <si>
    <t>ROCKINGHAM</t>
  </si>
  <si>
    <t>Newfound Pathway</t>
  </si>
  <si>
    <t>Town of Hebron</t>
  </si>
  <si>
    <t>The Newfound Pathway Project will create a pathway around Newfound Lake. This first section will consist of the pathway to be constructed on the section of Route 3A (Meyhew Turnpike) by Camp Pasquaney. It will be about one half mile long and eleven feet wide.</t>
  </si>
  <si>
    <t>GRAFTON</t>
  </si>
  <si>
    <t>Nobel Pines Park Improvments</t>
  </si>
  <si>
    <t>City of Somersworth</t>
  </si>
  <si>
    <t>Two tennis courts will be removed and replaced with a gazebo and a skate park. Install four misting stations/water play towers at each corner after filling in the pool area with concrete.</t>
  </si>
  <si>
    <t>Nobel Pines Park</t>
  </si>
  <si>
    <t>STRAFFORD</t>
  </si>
  <si>
    <t>North Hampton Beach State Park Redevelopment</t>
  </si>
  <si>
    <t>State of NH, Dept. of Resources &amp; Economic Dev.</t>
  </si>
  <si>
    <t>Replacement of outdated existing bathhouse with a 1,900 sq. ft. bathhouse connected to the municipal sewer system, retiring the failing septic system and adjacent site improvements to the parking lot, sidewalks and park signage</t>
  </si>
  <si>
    <t>North Hampton State Beach Park</t>
  </si>
  <si>
    <t>Jericho Mountain State Park III</t>
  </si>
  <si>
    <t>State of NH, DRED, Div of Parks &amp; Recreation</t>
  </si>
  <si>
    <t>Reconstruction of bathhouse and related septic system,located between the park's day use/beach area and the campground, to provide the park guests with improved comfort station facilities.</t>
  </si>
  <si>
    <t>Carpenter Park Recreational Enhancement - Phase II</t>
  </si>
  <si>
    <t>Phase II includes construction of a community services and storage bldg;expansion of the existing playground;construction of a new playground;landscaping, a natural amphitheater;completion of the picnic areas and community game courts.</t>
  </si>
  <si>
    <t>Weirs Community Park Playground</t>
  </si>
  <si>
    <t>City of Laconia</t>
  </si>
  <si>
    <t>Installation of a vehicle parking, walkways, landscaping, playground structures, ADA access improvements picnic and pavilion. an amphitheater, and bathhouse facilities. Construction will be focused on constructing the playground.</t>
  </si>
  <si>
    <t>Weirs Community Park</t>
  </si>
  <si>
    <t>Addition to Forest Education Resources Ctr.</t>
  </si>
  <si>
    <t>New Jersey Dept. of Environmental Protection</t>
  </si>
  <si>
    <t>Acquire 180 acres in Jackson Township in Ocean County as an addition to the State's Forest Education Resources Center.</t>
  </si>
  <si>
    <t>Forest Education Resource Center</t>
  </si>
  <si>
    <t>OCEAN</t>
  </si>
  <si>
    <t>Addition to Island Beach State Park</t>
  </si>
  <si>
    <t>State of NJ, Dept of Environmental Protection</t>
  </si>
  <si>
    <t>Acquire .51 acre of land in Berkeley township in Ocean County as an Addition to Island Beach State Park</t>
  </si>
  <si>
    <t>Island Beach State Park</t>
  </si>
  <si>
    <t>BLUEWATER LAKE STATE PARK DEVELOPMENT</t>
  </si>
  <si>
    <t>NM STATE PARKS</t>
  </si>
  <si>
    <t>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t>
  </si>
  <si>
    <t>BLUEWATER LAKE STATE PARK</t>
  </si>
  <si>
    <t>CIBOLA</t>
  </si>
  <si>
    <t>ROCKHOUND STATE PARK DEVELOPMENT</t>
  </si>
  <si>
    <t>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t>
  </si>
  <si>
    <t>ROCK HOUND STATE PARK</t>
  </si>
  <si>
    <t>LUNA</t>
  </si>
  <si>
    <t>OASIS STATE PARK DEVELOPMENT</t>
  </si>
  <si>
    <t>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t>
  </si>
  <si>
    <t>OASIS STATE PARK</t>
  </si>
  <si>
    <t>Roosevelt</t>
  </si>
  <si>
    <t>PANCHO VILLA STATE PARK DEVELOPMENT</t>
  </si>
  <si>
    <t>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t>
  </si>
  <si>
    <t>PANCHO VILLA STATE PARK</t>
  </si>
  <si>
    <t>VALLEY OF FIRE STATE PARK EAST FEE BOOTH</t>
  </si>
  <si>
    <t>NEVADA DIVISION OF STATE PARKS</t>
  </si>
  <si>
    <t>One prefabricated building in the roadway to collect fees. The road will be widened and paved on one side to allow for access. Remove above ground power line, install new power line underground. Add visitor station and fee booth.</t>
  </si>
  <si>
    <t>VALLEY OF FIRE STATE PARK</t>
  </si>
  <si>
    <t>CAVE LAKE SP SHOWER &amp; GENERATOR BLDG REMODEL</t>
  </si>
  <si>
    <t>Remodel the shower facility and generator building in the lake campground. The generator building's retaining wall will be rebuilt and the shower facility's interior and exterior will be remodeled, including the addition of solar panels.</t>
  </si>
  <si>
    <t>CAVE LAKE STATE PARK</t>
  </si>
  <si>
    <t>WHITE PINE</t>
  </si>
  <si>
    <t>WILDHORSE SRA CAMPGROUND RENOVATION</t>
  </si>
  <si>
    <t>Install shade structures in the campground at Wild Horse State Recreation Area, extending the length of the season the facility can be used and improving the comfort and safety of visitors. Grant funds will also help install overnight cabins.</t>
  </si>
  <si>
    <t>WILD HORSE STATE RECREATION AREA</t>
  </si>
  <si>
    <t>ELKO</t>
  </si>
  <si>
    <t>WASHOE COUNTY PARKS TRAIL REHAB</t>
  </si>
  <si>
    <t>WASHOE COUNTY</t>
  </si>
  <si>
    <t xml:space="preserve">Rehabilitate existing, deteriorated trails in four county parks: Bowers Mansion, Cold Springs, Virginia Foothills, and Wilson Commons. The County has selected these parks because of their heavy use. </t>
  </si>
  <si>
    <t>BOWERS MANSION REGIONAL PARK</t>
  </si>
  <si>
    <t>WASHOE</t>
  </si>
  <si>
    <t>VIRGINIA FOOTHILLS PARK</t>
  </si>
  <si>
    <t>COLD SPRINGS PARK</t>
  </si>
  <si>
    <t>MOGUL PARK PLAYGROUND RESURFACE</t>
  </si>
  <si>
    <t>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t>
  </si>
  <si>
    <t>MOGUL PARK</t>
  </si>
  <si>
    <t>WILSON COMMONS PARK</t>
  </si>
  <si>
    <t>IN-TOWN SKATE PARK REFURBISH</t>
  </si>
  <si>
    <t>CITY OF FERNLEY</t>
  </si>
  <si>
    <t>Renovate a dilapidated and outdated skate park at In-Town Park. In accepting grant funds at this park, the City also commits to the American people, Nevada State Parks and the National Park Service that they will dedicate the land to public outdoor recreation in perpetuity.</t>
  </si>
  <si>
    <t>IN-TOWN PARK</t>
  </si>
  <si>
    <t>Lyon</t>
  </si>
  <si>
    <t>HERRERA SKATEBOARD PARK</t>
  </si>
  <si>
    <t>CITY OF ELKO</t>
  </si>
  <si>
    <t>Install a new skateboard park in an existing city park.</t>
  </si>
  <si>
    <t>LEONARD HERRERA PARK</t>
  </si>
  <si>
    <t>Elko</t>
  </si>
  <si>
    <t>GILMAN POND PARK AMENITIES</t>
  </si>
  <si>
    <t>TOWN OF GARDNERVILLE</t>
  </si>
  <si>
    <t>Develop access and picnicking around the ponds, used by residents for fishing and wildlife viewing. Grant funds will also develop trail head parking for people to access the pathways in the park, which also connect to other public lands.</t>
  </si>
  <si>
    <t>GILMAN PONDS PARK</t>
  </si>
  <si>
    <t>AUTUMN WINDS PARK GAZEBO</t>
  </si>
  <si>
    <t>LWCF grant funds will help the city build a new gazebo and picnic area in their park.</t>
  </si>
  <si>
    <t>AUTUMN WINDS PARK</t>
  </si>
  <si>
    <t>Churchill</t>
  </si>
  <si>
    <t>BEATTY TOWN SQUARE</t>
  </si>
  <si>
    <t>NYE COUNTY</t>
  </si>
  <si>
    <t xml:space="preserve">Develop a community gathering area. Development will include a memorial block wall with seating, benches, walkways, landscaping and irrigation. </t>
  </si>
  <si>
    <t>ROBERT AND FLORENCE REVERT PARK</t>
  </si>
  <si>
    <t>NYE</t>
  </si>
  <si>
    <t>VOF SP WATER LINE AND WELL</t>
  </si>
  <si>
    <t>LWCF grant funds will help State Parks install a new water line and well at Valley of Fire State Park to replace the one that is failing. This will ensure that the very popular park keeps a potable source of water for its visitors.</t>
  </si>
  <si>
    <t>CENTENNIAL PARK ADA ACCESS</t>
  </si>
  <si>
    <t>CITY OF CARSON CITY</t>
  </si>
  <si>
    <t>LWCF grant funds will help the city rehabilitate an aged ballfield complex. Grant funds will upgrade surfaces, install a new picnic area, and add irrigation to extend the playing season</t>
  </si>
  <si>
    <t>JOHN D. WINTERS CENTENNIAL PARK</t>
  </si>
  <si>
    <t>Carson City</t>
  </si>
  <si>
    <t>KERSHAW RYAN EQUIPMENT GARAGE</t>
  </si>
  <si>
    <t>NV DIVISION OF STATE PARKS</t>
  </si>
  <si>
    <t>KERSHAW-RYAN STATE PARK</t>
  </si>
  <si>
    <t>JAKES WETLANDS TRAILHEAD</t>
  </si>
  <si>
    <t>TOWN OF MINDEN</t>
  </si>
  <si>
    <t>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t>
  </si>
  <si>
    <t>JAKE'S WETLANDS TRAILHEAD</t>
  </si>
  <si>
    <t>BEAVER DAM STATE PARK BURNED AREA REVEGETATION</t>
  </si>
  <si>
    <t>BEAVER DAM STATE PARK</t>
  </si>
  <si>
    <t>NORTH VALLEYS REGIONAL PARK PLAYGROUND</t>
  </si>
  <si>
    <t>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t>
  </si>
  <si>
    <t>NORTH VALLEYS REGIONAL PARK</t>
  </si>
  <si>
    <t>LION'S PARK ADA AND SAFETY IMPROVEMENTS</t>
  </si>
  <si>
    <t>MINERAL COUNTY</t>
  </si>
  <si>
    <t>Mineral</t>
  </si>
  <si>
    <t>Chenango Valley State Park - Water Systems</t>
  </si>
  <si>
    <t>NYS OPRHP Central Region</t>
  </si>
  <si>
    <t>Improve the esisting water distribution system. Deficiencies to be addressed are the aging distribution piping, low pressure in certain areas of the park and a labor intensive winterization process.</t>
  </si>
  <si>
    <t>CHENANGO VALLEY STATE PARK</t>
  </si>
  <si>
    <t>BROOME</t>
  </si>
  <si>
    <t>Higley Flow State Park - Renovate Toilet/Shower</t>
  </si>
  <si>
    <t>NYS OPRHP Thousand Islands Region</t>
  </si>
  <si>
    <t>Replace an existing toilet/shower bldg. The new concrete bldg, with wood siding and asphalt shingles, will replace the wood frames shower bldg built in 1981 and meet federal standards for accessibility with ADA compliant.</t>
  </si>
  <si>
    <t>HIGLEY Flow State Park</t>
  </si>
  <si>
    <t>SAINT LAWRENCE</t>
  </si>
  <si>
    <t>Wildwood State Park - Renovation Development</t>
  </si>
  <si>
    <t>NYS OPRHP Long Island Region</t>
  </si>
  <si>
    <t>Wildwood State Park</t>
  </si>
  <si>
    <t>SUFFOLK</t>
  </si>
  <si>
    <t>Keewaydin State Park - Renovate Bathhouse</t>
  </si>
  <si>
    <t>Renovate the deteriorated bathhouse in the pool area, install walkways and utilites, and create a lifeguard station at Keewaydin State Park. The new bath- house will meet ADA accessibility standards.</t>
  </si>
  <si>
    <t>KEEWAYDIN STATE PARK</t>
  </si>
  <si>
    <t>Riverbank State Park - Renovate Track Facility</t>
  </si>
  <si>
    <t>NYS OPRHP New York City Region</t>
  </si>
  <si>
    <t>Riverbank State Park</t>
  </si>
  <si>
    <t>Installation of Playground Equipment at 4 Parks</t>
  </si>
  <si>
    <t>NY State OPRHP</t>
  </si>
  <si>
    <t>Install playgroud equipment and playground surfacing in existing NY State Parks, Saratoga Spa State Park, J.B. Thatcher State Park, Minekill State Park and Grafton Lakes State Park.</t>
  </si>
  <si>
    <t>GRAFTON LAKE STATE PARK</t>
  </si>
  <si>
    <t>RENSSELAER</t>
  </si>
  <si>
    <t>Saratoga Spa State Park</t>
  </si>
  <si>
    <t>SARATOGA</t>
  </si>
  <si>
    <t>John B. Thacher State Park</t>
  </si>
  <si>
    <t>ALBANY</t>
  </si>
  <si>
    <t>James Baird State Park - Golf Course Irrigation</t>
  </si>
  <si>
    <t>New York State - OPRHP</t>
  </si>
  <si>
    <t>Install a new irrigation system on the 18 hole golf course as well as construct an irrigation pond to supply water for furture irrigation.</t>
  </si>
  <si>
    <t>James Baird State Park</t>
  </si>
  <si>
    <t>DUTCHESS</t>
  </si>
  <si>
    <t>Bear Mountain Bathhouse Renovation</t>
  </si>
  <si>
    <t>This project is to provide a safe clean updated facility with improved access to the bathhouse, improved pedestrain circulation inside and and replacement of the plumbing and electric fixtures.</t>
  </si>
  <si>
    <t>Bear Mountain State Park</t>
  </si>
  <si>
    <t>ROCKLAND</t>
  </si>
  <si>
    <t>Sunken Meadow Golf Course Irrigation</t>
  </si>
  <si>
    <t>This project will install a new irrigation system in two of the three 9-hole golf courses as well as construct an irrigation pond to supply water for future irrigation.</t>
  </si>
  <si>
    <t>SUNKEN MEADOW STATE PARK</t>
  </si>
  <si>
    <t>Suffolk</t>
  </si>
  <si>
    <t>Sunken Meadow SP Bathhouse Renovation</t>
  </si>
  <si>
    <t>State of NY - Office of Parks &amp; Rec and Historic Pres.</t>
  </si>
  <si>
    <t>Renovate and enlarge men's and women's bathrooms used in the summer and relocate the park police office to enable improvements to the winter bathrooms. Develop a park nature center.</t>
  </si>
  <si>
    <t>FREDERICKTOWN RECREATION DISTRICT - COMMUNITY PARK</t>
  </si>
  <si>
    <t>FREDERICKTOWN RECREATION DISTRICT</t>
  </si>
  <si>
    <t>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t>
  </si>
  <si>
    <t>COMMUNITY PARK</t>
  </si>
  <si>
    <t>ERIE METROPARKS VERMILLION RIVER LAKESHORE</t>
  </si>
  <si>
    <t>ERIE METROPARKS</t>
  </si>
  <si>
    <t>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t>
  </si>
  <si>
    <t>VERMILLION RIVER LAKESHORE PRESERVE</t>
  </si>
  <si>
    <t>ERIE</t>
  </si>
  <si>
    <t>CITY OF WAUSEON - DOROTHY B. BIDDLE PARK</t>
  </si>
  <si>
    <t>CITY OF WAUSEON</t>
  </si>
  <si>
    <t>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t>
  </si>
  <si>
    <t>DOROTHY B. BIDDLE PARK</t>
  </si>
  <si>
    <t>ORANGE TOWNSHIP - GLEN OAK PARK</t>
  </si>
  <si>
    <t>ORANGE TOWNSHIP</t>
  </si>
  <si>
    <t>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t>
  </si>
  <si>
    <t>GLEN OAK PARK</t>
  </si>
  <si>
    <t>CITY OF ST. CLAIRSVILLE - CENTRAL PARK</t>
  </si>
  <si>
    <t>CITY OF CLAIRSVILLE</t>
  </si>
  <si>
    <t>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t>
  </si>
  <si>
    <t>BELMONT</t>
  </si>
  <si>
    <t>AMHERST TOWNSHIP AM-TOWN PARK TRAIL</t>
  </si>
  <si>
    <t>AMHERST TOWNSHIP</t>
  </si>
  <si>
    <t>Construct an additional 1,991 linear feet to the Am-Town Trail within Amherst Township Park. This project will complete a loop trail which will allow park users to more easily access the park’s soccer fields, baseball diamonds, playground, and picnic areas.</t>
  </si>
  <si>
    <t>AMHERST TOWNSHIP PARK</t>
  </si>
  <si>
    <t>LORAIN</t>
  </si>
  <si>
    <t>CITY OF SANDUSKY - LIONS PARK</t>
  </si>
  <si>
    <t>CITY OF SANDUSKY</t>
  </si>
  <si>
    <t>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t>
  </si>
  <si>
    <t>VERNON TOWNSHIP COMMUNITY PARK</t>
  </si>
  <si>
    <t>VERNON TOWNSHIP</t>
  </si>
  <si>
    <t>Develop 2 picnic shelters with accompanying sidewalks connecting them to each other and the adjacent parking lot. The long term benefit to this 7.35-acre park is in making it more useful to the overall community.</t>
  </si>
  <si>
    <t>SCIOTO</t>
  </si>
  <si>
    <t>CITY OF NEWARK - HOLLANDER POOL</t>
  </si>
  <si>
    <t>CITY OF NEWARK</t>
  </si>
  <si>
    <t>The city of Newark (Licking County, Ohio) will utilize a Land and Water Conservation Fund grant to assist in replacing a pool liner at the community swimming pool. The pool has been closed since 2009 due to extensive water and chemical leakage problems.</t>
  </si>
  <si>
    <t>HOLLANDER PARK</t>
  </si>
  <si>
    <t>Licking</t>
  </si>
  <si>
    <t>PYMATUNING AND MOHICAN STATE PARKS</t>
  </si>
  <si>
    <t>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t>
  </si>
  <si>
    <t>PYMATUNING STATE PARK</t>
  </si>
  <si>
    <t>ASHTABULA</t>
  </si>
  <si>
    <t>MOHICAN STATE PARK</t>
  </si>
  <si>
    <t>ASHLAND</t>
  </si>
  <si>
    <t>FOREST RIDGE PRESERVE EXPANSION</t>
  </si>
  <si>
    <t>VILLAGE OF MORELAND HILLS</t>
  </si>
  <si>
    <t>Moreland Hills (Cuyahoga County) will acquire 4.2-acres as an addition to the 14-acre Forest Ridge Preserve. The new land will create new recreational opportunities, link regional trails with parklands, and protect a stream restoration project on the existing parklands.</t>
  </si>
  <si>
    <t>FOREST RIDGE PRESERVE</t>
  </si>
  <si>
    <t>CUYAHOGA</t>
  </si>
  <si>
    <t>WINESBURG PARK</t>
  </si>
  <si>
    <t>PAINT TOWNSHIP TRUSTEES</t>
  </si>
  <si>
    <t>Paint Township (Holmes County) will acquire 4.089 acres to expand the existing 4.8-acre Winesburg Park. Proposed future development includes a second baseball field, restrooms, a pavilion, and additional parking.</t>
  </si>
  <si>
    <t>HOLMES</t>
  </si>
  <si>
    <t>HIRAM SCHOOL PARK</t>
  </si>
  <si>
    <t>VILLAGE OF HIRAM</t>
  </si>
  <si>
    <t>Hiram (Portage County) will acquire 5.2 acres to create Hiram School Park. The proposed future development includes baseball and softball fields, soccer fields, a playground, picnic area, and parking lot.</t>
  </si>
  <si>
    <t>PORTAGE</t>
  </si>
  <si>
    <t>FAIRHOPE NATURE PRESERVE PICNIC SHELTER</t>
  </si>
  <si>
    <t>CITY OF CANTON</t>
  </si>
  <si>
    <t>Canton (Stark County) will improve the 69-acre Fairhope Nature Preserve by constructing a picnic shelter.</t>
  </si>
  <si>
    <t>FAIRHOPE NATURE PRESERVE</t>
  </si>
  <si>
    <t>STARK</t>
  </si>
  <si>
    <t>ELYRIA TOWNSHIP-THE ROWLAND NATURE PRESERVE</t>
  </si>
  <si>
    <t>ELYRIA TOWNSHIP</t>
  </si>
  <si>
    <t>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t>
  </si>
  <si>
    <t>THE ROWLAND NATURE PRESERVE</t>
  </si>
  <si>
    <t>DRODER ACQUISITION - NORTH RESERVOIR PORTAGE LAKES</t>
  </si>
  <si>
    <t>The Ohio Department of Natural Resources will acquire a 1.94-acre lakefront parcel on North Reservoir, one of the canal feeder lakes in the Portage Lakes state system.</t>
  </si>
  <si>
    <t>NORTH RESERVOIR AT PORTAGE LAKES</t>
  </si>
  <si>
    <t>SUMMIT</t>
  </si>
  <si>
    <t>TIMBERSTONE ADDITION TO SYLVAN PARK PRAIRIE</t>
  </si>
  <si>
    <t>OLANDER PARK SYSTEM</t>
  </si>
  <si>
    <t>The Olander Park System (Lucas County) will purchase 42 acres adjacent to Sylvan Prairie Park, an existing LWCF-assisted park.</t>
  </si>
  <si>
    <t>SYLVAN PRAIRIE PARK</t>
  </si>
  <si>
    <t>Lucas</t>
  </si>
  <si>
    <t>MIDDLEFIELD WETLANDS ACQUISITION</t>
  </si>
  <si>
    <t>GEAUGA PARK DISTRICT</t>
  </si>
  <si>
    <t>The Geauga Park District (Geauga County) will acquire a 20-acre tract within the village of Middlefield containing 7.5 wetland acres.</t>
  </si>
  <si>
    <t>MIDDLEFIELD WETLANDS</t>
  </si>
  <si>
    <t>GEAUGA</t>
  </si>
  <si>
    <t>DRESDEN SWIM CENTER ACQUISITION</t>
  </si>
  <si>
    <t>VILLAGE OF DRESDEN</t>
  </si>
  <si>
    <t>The village of Dresden will purchase the privately owned Dresden Swim Center. The Swim Center will become a public pool and the 6.74 acres included in the purchase will become a public park.</t>
  </si>
  <si>
    <t>DRESDEN SWIM CENTER</t>
  </si>
  <si>
    <t>MUSKINGUM</t>
  </si>
  <si>
    <t>MONDHANK ACQUISITION AT BUCKEYE LAKE</t>
  </si>
  <si>
    <t>The Ohio Department of Natural Resources will acquire two parcels adjacent to Seller’s Point at Buckeye Lake. The total acreage for both parcels is 0.1553-acre. This acquisition will improve access to the state owned property for shoreline fishing and hiking.</t>
  </si>
  <si>
    <t>SELLER'S POINT AT BUCKEYE LAKE</t>
  </si>
  <si>
    <t>FAIRFIELD</t>
  </si>
  <si>
    <t>SCHAFER ACQUISITION AT BUCKEYE LAKE STATE PARK</t>
  </si>
  <si>
    <t>The Ohio Department of Natural Resources will purchase a small lake front parcel for additional public access at Buckeye Lake, Ohio's oldest state park.</t>
  </si>
  <si>
    <t>BUCKEYE LAKE STATE PARK</t>
  </si>
  <si>
    <t>HOCKING STATE FOREST HORSE CAMP IMPROVEMENTS</t>
  </si>
  <si>
    <t>The Ohio Department of Natural Resources (Division of Forestry) will improve an equestrian campground within the Hocking State Forest in Hocking County. Improvements will include replacement of an existing vault latrine, a new shelter house, and renovation of existing campsites.</t>
  </si>
  <si>
    <t>HOCKING STATE FOREST</t>
  </si>
  <si>
    <t>Hocking</t>
  </si>
  <si>
    <t>BATH NATURE PRESERVE OBSERVATION AND FISHING DECK</t>
  </si>
  <si>
    <t>BATH TOWNSHIP</t>
  </si>
  <si>
    <t>Bath Township will improve the Bath Nature Preserve by rebuilding an observation and fishing deck on Bath Pond. The grant scope includes the construction of a 460’ trail, a 124’ boardwalk, and a 20’ x 30’ deck which will benefit students, nature observers, and fishermen.</t>
  </si>
  <si>
    <t>BATH NATURE PRESERVE</t>
  </si>
  <si>
    <t>Summit</t>
  </si>
  <si>
    <t>CANFIELD PARK ACCESSIBILITY AND SAFETY UPGRADE</t>
  </si>
  <si>
    <t>CANFIELD TOWNSHIP</t>
  </si>
  <si>
    <t>Canfield Township will build a pavilion, add picnic tables and charcoal grills, and install security cameras at Canfield Township Community Park.</t>
  </si>
  <si>
    <t>CANFIELD TOWNSHIP COMMUNITY PARK</t>
  </si>
  <si>
    <t>MAHONING</t>
  </si>
  <si>
    <t>RYAN SPORTS COMPLEX RENOVATION</t>
  </si>
  <si>
    <t>CITY OF CINCINNATI</t>
  </si>
  <si>
    <t>Cincinnati will improve the Ryan Sports Complex by realigning and renovating the soccer and baseball fields and constructing an accessible, paved 2.5 mile walking pathway around the complex.</t>
  </si>
  <si>
    <t>RYAN SPORTS COMPLEX</t>
  </si>
  <si>
    <t>HAMILTON</t>
  </si>
  <si>
    <t>COUNTRYSIDE PARK</t>
  </si>
  <si>
    <t>WASHINGTON TOWNSHIP</t>
  </si>
  <si>
    <t>Washington Township (Ohio) will improve the 26-acre Countryside Park by constructing the first of what will become a 5-pod playground. Each pod will have an environmental theme with this first one being referred to as the Butterfly Playground.</t>
  </si>
  <si>
    <t>BEDFORD HEIGHTS MUNICIPAL PARK PAVILION PROJECT</t>
  </si>
  <si>
    <t>CITY OF BEDFORD HEIGHTS</t>
  </si>
  <si>
    <t>The city of Bedford Heights (Cuyahoga County) will construct a picnic pavilion at Municipal Park.</t>
  </si>
  <si>
    <t>MUNICIPAL PARK</t>
  </si>
  <si>
    <t>VILLAGE PARK IMPROVEMENTS</t>
  </si>
  <si>
    <t>VILLAGE OF WASHINGTONVILLE</t>
  </si>
  <si>
    <t>The village of Washingtonville will utilize a Land and Water Conservation Fund grant to assist in the installation of a playground and a basketball court within Village Park.</t>
  </si>
  <si>
    <t>WASHINGTONVILLE VILLAGE PARK</t>
  </si>
  <si>
    <t>COLUMBIANA</t>
  </si>
  <si>
    <t>KELLOGG PARK PLAYGROUND</t>
  </si>
  <si>
    <t>ANDERSON TOWNSHIP</t>
  </si>
  <si>
    <t>Anderson Township (Hamilton County) will construct a playground at Kellogg Park.</t>
  </si>
  <si>
    <t>KELLOGG PARK</t>
  </si>
  <si>
    <t>BELOIT COMMUNITY PARK RESTROOM</t>
  </si>
  <si>
    <t>VILLAGE OF BELOIT</t>
  </si>
  <si>
    <t>The village of Beloit (Mahoning County) will construct an accessible restroom building within Village Park.</t>
  </si>
  <si>
    <t>BELOIT VILLAGE PARK</t>
  </si>
  <si>
    <t>GRAFTON SPLASH STATION</t>
  </si>
  <si>
    <t>VILLAGE OF GRAFTON</t>
  </si>
  <si>
    <t>The village of Grafton will improve North Park by installing a splash station.</t>
  </si>
  <si>
    <t>NORTH PARK</t>
  </si>
  <si>
    <t>GALLOWAY PARK PLAYGROUND EXPANSION</t>
  </si>
  <si>
    <t>VILLAGE OF ENON</t>
  </si>
  <si>
    <t>The village of Enon (Clark County, Ohio) will utilize a Land and Water Conservation Fund grant to assist in expanding the playground within the 6.96-acre Galloway Park to improve accessibility and enhance play opportunities for all children.</t>
  </si>
  <si>
    <t>GALLOWAY PARK</t>
  </si>
  <si>
    <t>CLARK</t>
  </si>
  <si>
    <t>HOLLANDER PARK POOL IMPROVEMENTS</t>
  </si>
  <si>
    <t>The city of Newark (Ohio) will improve Hollander Park by constructing a spray pad within the swimming pool complex and adding traffic control features in the parking lot.</t>
  </si>
  <si>
    <t>ROSEVILLE NEW SKATE PLAZA</t>
  </si>
  <si>
    <t>VILLAGE OF ROSEVILLE</t>
  </si>
  <si>
    <t>The village of Roseville (Perry County) will improve Roseville Municipal Park by constructing a skate plaza and walking path.</t>
  </si>
  <si>
    <t>ROSEVILLE MUNICIPAL PARK</t>
  </si>
  <si>
    <t>Perry</t>
  </si>
  <si>
    <t>SHELBY HISTORIC BIKE AND RECREATION TRAIL</t>
  </si>
  <si>
    <t>The city of Shelby (Richland County) will construct a recreation trail within Central Park in downtown Shelby.</t>
  </si>
  <si>
    <t>VILLAGE OF OAK HARBOR NON MOTORIZED BOAT LAUNCH</t>
  </si>
  <si>
    <t>VILLAGE OF OAK HARBOR</t>
  </si>
  <si>
    <t>The village of Oak Harbor (Ottawa County) will construct a boat launch along the Portage River for non-motorized vessels.</t>
  </si>
  <si>
    <t>OAK HARBOR BOAT LAUNCH</t>
  </si>
  <si>
    <t>LITTLE MIAMI SCENIC TRAIL RESURFACING PROJECT</t>
  </si>
  <si>
    <t>The Ohio Department of Natural Resources will improve the state-owned sections of the Little Miami Scenic Trail.</t>
  </si>
  <si>
    <t>LITTLE MIAMI SCENIC TRAIL</t>
  </si>
  <si>
    <t>MEADOWBROOK PARK POOL RENOVATION</t>
  </si>
  <si>
    <t>HOPEWELL TOWNSHIP</t>
  </si>
  <si>
    <t>Hopewell Township (Ohio)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t>
  </si>
  <si>
    <t>MEADOWBROOK PARK</t>
  </si>
  <si>
    <t>Seneca</t>
  </si>
  <si>
    <t>WYMAN WOODS ACCESSIBILITY IMPROVEMENTS</t>
  </si>
  <si>
    <t>CITY OF GRANDVIEW HEIGHTS</t>
  </si>
  <si>
    <t>The city of Grandview Heights (Franklin County) will improve the 14.03-acre Wyman Woods Park by constructing a new playground to replace the existing play features, a vehicle turn around, and improvements to the shelter house restrooms.</t>
  </si>
  <si>
    <t>WYMAN WOODS</t>
  </si>
  <si>
    <t>SCHROCK PARK BALLFIELD LIGHTING-PHASE II</t>
  </si>
  <si>
    <t>CITY OF TUTTLE</t>
  </si>
  <si>
    <t>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t>
  </si>
  <si>
    <t>SCHROCK PARK</t>
  </si>
  <si>
    <t>GRADY</t>
  </si>
  <si>
    <t>HARRAH SPLASH PARK-HERITAGE PARK</t>
  </si>
  <si>
    <t>TOWN OF HARRAH</t>
  </si>
  <si>
    <t>The town of Harrah will install a new splash pad facility at Heritage Park. Harrah, located 25 miles east of downtown Oklahoma City does not have a swimming pool.</t>
  </si>
  <si>
    <t>HARRAH PARK</t>
  </si>
  <si>
    <t>COLLINSVILLE CITY PARK</t>
  </si>
  <si>
    <t>CITY OF COLLINSVILLE</t>
  </si>
  <si>
    <t>Collinsville (Tulsa County) will improve Collinsville City Park by constructing two shelters, additional parking, and trail connections providing a link from the spray pad and playground area to the east side of the park where the tennis courts and softball field are located.</t>
  </si>
  <si>
    <t>TULSA</t>
  </si>
  <si>
    <t>SUNRISE PARK SPLASHPAD</t>
  </si>
  <si>
    <t>CITY OF YUKON</t>
  </si>
  <si>
    <t>Yukon (Canadian County) will improve Sunrise Park by constructing a splash pad with accessible sidewalks plus the installation of utilities and various park signs.</t>
  </si>
  <si>
    <t>SUNRISE PARK</t>
  </si>
  <si>
    <t>CANADIAN</t>
  </si>
  <si>
    <t>KEITHLEY PARK AND LLOYD PLYLER PARK IMPROVEMENTS</t>
  </si>
  <si>
    <t>CITY OF DURANT</t>
  </si>
  <si>
    <t>Durant (Bryan County) will improve Keithley Park by constructing a new splash pad facility and public restrooms and Lloyd Plyler Park by paving the parking area, adding a canopy to the combination concession and restroom facility, and installing removable bleachers at the ball field.</t>
  </si>
  <si>
    <t>LLOYD PLYLER PARK</t>
  </si>
  <si>
    <t>BRYAN</t>
  </si>
  <si>
    <t>LEGACY PARK PLAYGROUNDS</t>
  </si>
  <si>
    <t>TOWN OF GOLDSBY</t>
  </si>
  <si>
    <t>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t>
  </si>
  <si>
    <t>MCCLAIN</t>
  </si>
  <si>
    <t>HENNESSEY PARK &amp; AQUATIC CENTER-PHASE I</t>
  </si>
  <si>
    <t>TOWN OF HENNESSEY</t>
  </si>
  <si>
    <t>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t>
  </si>
  <si>
    <t>HENNESSEY RECREATIONAL PARK</t>
  </si>
  <si>
    <t>KINGFISHER</t>
  </si>
  <si>
    <t>KEITHLEY PARK</t>
  </si>
  <si>
    <t>TIGER VETERANS MEMORIAL PARK</t>
  </si>
  <si>
    <t>ROFF PUBLIC SCHOOLS</t>
  </si>
  <si>
    <t>Roff Public Schools will improve Tiger Veterans Memorial Park by installing a new playground with a new fall safety surface, accessible sidewalks, an exercise trail with lighted fitness stations, and an amphitheater. Roff, population 734, is located in south central Oklahoma.</t>
  </si>
  <si>
    <t>PONTOTOC</t>
  </si>
  <si>
    <t>CORDELL PARK SWIMMING POOL IMPROVEMENTS</t>
  </si>
  <si>
    <t>CITY OF CORDELL</t>
  </si>
  <si>
    <t>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t>
  </si>
  <si>
    <t>CORDELL PARK</t>
  </si>
  <si>
    <t>WASHITA</t>
  </si>
  <si>
    <t>BECKMAN PARK REVITALIZATION</t>
  </si>
  <si>
    <t>CITY OF MUSKOGEE</t>
  </si>
  <si>
    <t>BECKMAN PARK</t>
  </si>
  <si>
    <t>MUSKOGEE</t>
  </si>
  <si>
    <t>HONOR HEIGHTS PARK ACQUISITION SOUTH</t>
  </si>
  <si>
    <t>The city of Muskogee (Muskogee County) will enlarge the 132-acre Honor Heights Park by acquiring 17.0 additional acres.</t>
  </si>
  <si>
    <t>HONOR HEIGHTS PARK</t>
  </si>
  <si>
    <t>Muskogee</t>
  </si>
  <si>
    <t>MORRIS EAGLE PARK</t>
  </si>
  <si>
    <t>MORRIS PUBLIC SCHOOLS</t>
  </si>
  <si>
    <t>The Morris Public Schools District (Okmulgee County) will acquire 30 acres and construct several picnic pavilions and a playground at Morris Eagle Park within the town of Morris. This community does not have another park.</t>
  </si>
  <si>
    <t>OKMULGEE</t>
  </si>
  <si>
    <t>NEW PARK FIELDS - PHASE I</t>
  </si>
  <si>
    <t>The city of Tuttle (Grady County) will construct a series of soccer fields, a playground, and a 4,700 linear foot trail within the newly acquired 40-acre Tuttle Creek Park.</t>
  </si>
  <si>
    <t>TUTTLE CREEK PARK</t>
  </si>
  <si>
    <t>KELLY LANE PARK FITNESS ZONE AND PLAYGROUND</t>
  </si>
  <si>
    <t>CITY OF SAPULPA</t>
  </si>
  <si>
    <t>The city of Sapulpa (Creek County) will develop a fitness zone and a new playground within Kelly Lane Park. The grant scope includes installing a modular play system and free standing play apparatus along with sidewalks, signs, and safety surfacing with a drainage system.</t>
  </si>
  <si>
    <t>KELLY LANE PARK</t>
  </si>
  <si>
    <t>CREEK</t>
  </si>
  <si>
    <t>REDBUD PARK</t>
  </si>
  <si>
    <t>CITY OF MARLOW</t>
  </si>
  <si>
    <t>The city of Marlow (Stephens County) will construct a splashpad with shade shelters and site furnishings within the 14-acre Redbud Park.</t>
  </si>
  <si>
    <t>STEPHENS</t>
  </si>
  <si>
    <t>HEAVENER CITY PARK IMPROVEMENTS</t>
  </si>
  <si>
    <t>CITY OF HEAVENER</t>
  </si>
  <si>
    <t>The city of Heavener (Le Flore County) will improve City Park by constructing a splash pad, a skate park, and walkways.</t>
  </si>
  <si>
    <t>HEAVENER CITY PARK</t>
  </si>
  <si>
    <t>Leflore</t>
  </si>
  <si>
    <t>SOUTH PARK SPLASH PAD</t>
  </si>
  <si>
    <t>CITY OF VINITA</t>
  </si>
  <si>
    <t>The city of Vinita (Craig County) will construct a splash pad and install accessible sidewalks, utilities, fencing, and signs at South Park.</t>
  </si>
  <si>
    <t>CRAIG</t>
  </si>
  <si>
    <t>LAKE EWAUNA TRAIL PHASE 2</t>
  </si>
  <si>
    <t>CITY OF KLAMATH FALL &amp; KLAMATH COUNTY</t>
  </si>
  <si>
    <t>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t>
  </si>
  <si>
    <t>EWAUNA TRAIL</t>
  </si>
  <si>
    <t>KLAMATH</t>
  </si>
  <si>
    <t>NORTH SHORE TRAIL COUPLET</t>
  </si>
  <si>
    <t>CITY OF LEBANON</t>
  </si>
  <si>
    <t>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t>
  </si>
  <si>
    <t>CHEADLE LAKE TRAIL</t>
  </si>
  <si>
    <t>SHUTE PARK RENOVATION 2</t>
  </si>
  <si>
    <t>CITY OF HILLSBORO</t>
  </si>
  <si>
    <t>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t>
  </si>
  <si>
    <t>SHUTE PARK</t>
  </si>
  <si>
    <t>MILL CREEK &amp; PORTER BOONE PARK ENHANCEMENTS</t>
  </si>
  <si>
    <t>CITY OF AUMSVILLE</t>
  </si>
  <si>
    <t>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t>
  </si>
  <si>
    <t>MILL CREEK PARK</t>
  </si>
  <si>
    <t>MARION</t>
  </si>
  <si>
    <t>PORTER BOONE PARK</t>
  </si>
  <si>
    <t>CENTRAL PARK PLAZA REHAB</t>
  </si>
  <si>
    <t>CITY OF CORVALLIS</t>
  </si>
  <si>
    <t>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t>
  </si>
  <si>
    <t>ORCHARD PARK REHAB</t>
  </si>
  <si>
    <t>CITY OF HERMISTON</t>
  </si>
  <si>
    <t>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t>
  </si>
  <si>
    <t>VICTORY SQUARE PARK</t>
  </si>
  <si>
    <t>Umatilla</t>
  </si>
  <si>
    <t>PIONEER PARK DEVELOPMENT</t>
  </si>
  <si>
    <t>CITY OF SILVERTON</t>
  </si>
  <si>
    <t>Grant funds will help the City realize their dream of turning this two acre vacant lot into a vibrant community park. Planned development elements include a picnic shelter, playground, and sports court. The grant will also help fund site improvements like irrigation and landscaping.</t>
  </si>
  <si>
    <t>PIONEER PARK</t>
  </si>
  <si>
    <t>VALLEY OF THE ROGUE &amp; TUMALO STATE PARK REHAB</t>
  </si>
  <si>
    <t>OR DEPARTMENT OF PARKS AND RECREATION</t>
  </si>
  <si>
    <t>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t>
  </si>
  <si>
    <t>TUMALO STATE PARK</t>
  </si>
  <si>
    <t>Deschutes</t>
  </si>
  <si>
    <t>VALLEY OF THE ROGUE STATE PARK</t>
  </si>
  <si>
    <t>LOWER DESCHUTES RIVER RANCH</t>
  </si>
  <si>
    <t>OR DEPARTMENT OF FISH AND WILDLIFE</t>
  </si>
  <si>
    <t>Acquisition of 965 acres of the Lower Deschutes River Ranch property to provide public access and recreation opportunities including indirect rate.</t>
  </si>
  <si>
    <t>LOWER DESCHUTES WILDLIFE AREA</t>
  </si>
  <si>
    <t>OXBOW PARK NATURE BASED PLAY AREA</t>
  </si>
  <si>
    <t>METRO</t>
  </si>
  <si>
    <t>Construct nature-based play area at Oxbow Regional Park including design and engineering, utilities, surfacing, signs, trails, play pods, landscaping and indirect rate.</t>
  </si>
  <si>
    <t>OXBOW REGIONAL PARK</t>
  </si>
  <si>
    <t>Clackamas</t>
  </si>
  <si>
    <t>CROOKED RIVER WETLANDS PARK</t>
  </si>
  <si>
    <t>CITY OF PRINEVILLE</t>
  </si>
  <si>
    <t>Development of Crooked River Wetlands Park including multi-use paths, concrete sidewalks, benches, waterless restroom, interpretive facilities and indirect rate.</t>
  </si>
  <si>
    <t>CROOK</t>
  </si>
  <si>
    <t>TUMALO RETROOM BUILDING AND SEWER REHAB</t>
  </si>
  <si>
    <t>Construction of restroom/shower building in the B-loop of Tumalo State Park including technical assistance, site work, sewage disposal systems and indirect rate.</t>
  </si>
  <si>
    <t>DALLAS CITY PARK RESTROOM REHABILITATION</t>
  </si>
  <si>
    <t>CITY OF DALLAS</t>
  </si>
  <si>
    <t>Rehabilitation of restroom structures in Dallas City Park including upgraded ventilation, stall partitions, lighting, plumbing, roofing and indirect rate.</t>
  </si>
  <si>
    <t>DALLAS CITY PARK</t>
  </si>
  <si>
    <t>Polk</t>
  </si>
  <si>
    <t>PIONEER PARK UPGRADE</t>
  </si>
  <si>
    <t>CITY OF LA GRANDE</t>
  </si>
  <si>
    <t>Restroom rehabilitation, playground replacement, playground surfacing, trail construction and indirect rate.</t>
  </si>
  <si>
    <t>CITY PARK REHABILITATION</t>
  </si>
  <si>
    <t>CITY OF MCMINNVILLE</t>
  </si>
  <si>
    <t>City Park rehabilitation including new kitchen shelter, barbeque, picnic table, drinking fountain, footbridge replacement, asphalt pathways, pavers, security cameras and indirect rate.</t>
  </si>
  <si>
    <t>MCMINNVILLE CITY PARK</t>
  </si>
  <si>
    <t>Yamhill</t>
  </si>
  <si>
    <t>LOST LAKE &amp; KEENIG CREEK CAMPGROUND TOILET</t>
  </si>
  <si>
    <t>OR DEPARTMEN OF FORESTRY</t>
  </si>
  <si>
    <t>CLATSOP STATE FOREST - LOST LAKE DAY USE AREA</t>
  </si>
  <si>
    <t>CLATSOP</t>
  </si>
  <si>
    <t>TILLAMOOK STATE FOREST - KEENIG CREEK CAMPGROUND</t>
  </si>
  <si>
    <t>TILLAMOOK</t>
  </si>
  <si>
    <t>VILLAGE GREEN RESTROOM AND BICYCLE STORAGE</t>
  </si>
  <si>
    <t>CITY OF SISTERS</t>
  </si>
  <si>
    <t>Improvements at Village Green Park including design, permits, site work, restroom facility, bicycle lockers, pathway, utilities and indirect rate.</t>
  </si>
  <si>
    <t>VILLAGE GREEN PARK</t>
  </si>
  <si>
    <t>CLACKAMAS</t>
  </si>
  <si>
    <t>Warwick Twp - Bates Property Acquisition</t>
  </si>
  <si>
    <t>Warwick Township</t>
  </si>
  <si>
    <t>Warwick Twp has been awarded a LWCF grant to acquire 82.45 acres of open space and forest land know at the Bates Property. It is envisioned that this property will be transferred to PA state Game Lands #43 to be open for full breadth of public access, recreation and wild habitat.</t>
  </si>
  <si>
    <t>State Game Lands #43</t>
  </si>
  <si>
    <t>CHESTER</t>
  </si>
  <si>
    <t>Munro Property Acquisition</t>
  </si>
  <si>
    <t>Girard Borough</t>
  </si>
  <si>
    <t>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t>
  </si>
  <si>
    <t>Girard Borough Park</t>
  </si>
  <si>
    <t>Wineberry Estates Property Acquisition</t>
  </si>
  <si>
    <t>East Coventry Township</t>
  </si>
  <si>
    <t>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t>
  </si>
  <si>
    <t>Wineberry Estates Open Space</t>
  </si>
  <si>
    <t>Sykes Properties Acquisition</t>
  </si>
  <si>
    <t>East Bradford Township</t>
  </si>
  <si>
    <t>East Bradford Twp has been awarded a LWCF grant to acquire 2 parcels of land totaling 23.1 acres known as the Sykes properties. The township will protect critical habitat that includes threaten and endagered species.The Sykes properties are adjacent to Shaw's Bridge Park.</t>
  </si>
  <si>
    <t>Brandywide Farms</t>
  </si>
  <si>
    <t>Pottstown Borough - Memorial Park</t>
  </si>
  <si>
    <t>Pottstown Borough</t>
  </si>
  <si>
    <t>Memorial Park (Pottstown Borough)</t>
  </si>
  <si>
    <t>Brentwood Borough - Brentwood Community Park</t>
  </si>
  <si>
    <t>Brentwood Borough</t>
  </si>
  <si>
    <t>This development project will be Phase I for the park and it will include 2 multi-purpose baseball, softball, foot- ball, and soccer fields, 4 tennis courts, 3 basketball courts, a deck for hockey rink and parking area.</t>
  </si>
  <si>
    <t>BRENTWOOD Community Park</t>
  </si>
  <si>
    <t>ALLEGHENY</t>
  </si>
  <si>
    <t>York City - Penn Park Phase I</t>
  </si>
  <si>
    <t>York City</t>
  </si>
  <si>
    <t>This project on behalf of York city to develop new recreation facilities at Penn Park. This project will create new recreation opportunities that include new tot lot and playground equipment, a new misting pad and play area, and a rain garden.</t>
  </si>
  <si>
    <t>PENN PARK</t>
  </si>
  <si>
    <t>Altoona Cty - Juniata Memorial Spray Park</t>
  </si>
  <si>
    <t>Altoona City</t>
  </si>
  <si>
    <t>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t>
  </si>
  <si>
    <t>Juniata Memorial Spray Park</t>
  </si>
  <si>
    <t>BLAIR</t>
  </si>
  <si>
    <t>Mayview Property Acquisition</t>
  </si>
  <si>
    <t>South Fayette Township</t>
  </si>
  <si>
    <t>Acquisition of 67.9 +acres located adjacent to South Fayette Township Fairview Park with frontage along Mayview Road in South Fayette Twp. Waiver of retroactivity date is 08/08/2013</t>
  </si>
  <si>
    <t>FAIRVIEW PARK</t>
  </si>
  <si>
    <t>Allegheny</t>
  </si>
  <si>
    <t>New Wilmington Community Park</t>
  </si>
  <si>
    <t>New Wilmington Borough</t>
  </si>
  <si>
    <t>The development will consist of Swimming Facilities and the Bathhouse.</t>
  </si>
  <si>
    <t>CERRO GORDO CAMPING AREA PARKING FACILITIES</t>
  </si>
  <si>
    <t>PUERTO RICO NATIONAL PARKS COMPANY</t>
  </si>
  <si>
    <t>This project is for the development of parking facilities. This facility will improve the access for the general public, especially for people with special needs; and for visitors of the camping area and the bike trail. This is a 4.5+/- acre pre-existing recreational area park site.</t>
  </si>
  <si>
    <t>CERRO GORDO PUBLIC BEACH AND CAMPING FACILITIES</t>
  </si>
  <si>
    <t>VEGA ALTA</t>
  </si>
  <si>
    <t>CERRO GORDO CAMPING FACILITIES</t>
  </si>
  <si>
    <t>PR NATIONAL PARKS COMPANY</t>
  </si>
  <si>
    <t>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t>
  </si>
  <si>
    <t>CERRO GORDO PUBLIC BEACH</t>
  </si>
  <si>
    <t>MAUNABO LITTLE LEAGUE BASEBALL PARK</t>
  </si>
  <si>
    <t>PR NATIONAL PARK AND MUNICIPALITY OF MAUNABO</t>
  </si>
  <si>
    <t>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t>
  </si>
  <si>
    <t>Maunabo</t>
  </si>
  <si>
    <t>PATILLAS TRACK AND FIELD COMPLEX</t>
  </si>
  <si>
    <t>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t>
  </si>
  <si>
    <t>ADDITION TO SEVEN SEAS TRAILER CAMP AREA</t>
  </si>
  <si>
    <t>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t>
  </si>
  <si>
    <t>SEVEN SEAS TRAILER CAMP</t>
  </si>
  <si>
    <t>COAMO VELODROME AND NEW SOCCER FIELD IMPROVEMENTS</t>
  </si>
  <si>
    <t>MUNICIPALITY OF COAMO</t>
  </si>
  <si>
    <t>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t>
  </si>
  <si>
    <t>COAMO VELODROME</t>
  </si>
  <si>
    <t>BARCELONETA MINI GOLF COURT</t>
  </si>
  <si>
    <t>MUNICIPALITY OF BARCELONETA</t>
  </si>
  <si>
    <t>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t>
  </si>
  <si>
    <t>BARCELONETA MINIGOLF COURT</t>
  </si>
  <si>
    <t>YABUCOA SKATEBOARD PARK</t>
  </si>
  <si>
    <t>MUNICIPALITY OF YABUCOA</t>
  </si>
  <si>
    <t>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t>
  </si>
  <si>
    <t>RI</t>
  </si>
  <si>
    <t>East Matunuck State Beach</t>
  </si>
  <si>
    <t>State of Rhode Island Dept. of Environmental Mgmt.</t>
  </si>
  <si>
    <t>East Matnuck State Beach</t>
  </si>
  <si>
    <t>WALNUT HILL PARK</t>
  </si>
  <si>
    <t>TOWN OF MEGGETT</t>
  </si>
  <si>
    <t>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t>
  </si>
  <si>
    <t>CHARLESTON</t>
  </si>
  <si>
    <t>RIVERVIEW PARK ADAPTIVE PLAYGROUND</t>
  </si>
  <si>
    <t>CITY OF NORTH AUGUSTA</t>
  </si>
  <si>
    <t>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t>
  </si>
  <si>
    <t>RIVERVIEW PARK PHASE II</t>
  </si>
  <si>
    <t>Aiken</t>
  </si>
  <si>
    <t>GIVHANS FERRY STAE PARK RIVER ACCESS</t>
  </si>
  <si>
    <t>SC DEPT OF PARKS, RECREATION &amp; TOURISM</t>
  </si>
  <si>
    <t>This grant will be used to help provide access to the Edisto River by stabilizing the shoreline and building pathways as well as develop a canoe/kayak launch at Givhans Ferry State Park. This project will add an additional 33.1± acres as 6(f) protected land.</t>
  </si>
  <si>
    <t>GIVHANS FERRY STATE PARK</t>
  </si>
  <si>
    <t>DORCHESTER</t>
  </si>
  <si>
    <t>HOLSTON CREEK PARK DEVELOPMENT</t>
  </si>
  <si>
    <t>SPARTANBURG COUNTY</t>
  </si>
  <si>
    <t>Grant will fund new park 101.8 acres known as Holston Creek Park that will include the development of an 18 hole championship disc golf course, picnic shelters, wetland boardwalks, playground amenities access roads, and 236 spance parking area.</t>
  </si>
  <si>
    <t>Spartanburg</t>
  </si>
  <si>
    <t>MCBEE RECREATION COMPLEX</t>
  </si>
  <si>
    <t>TOWN OF MCBEE</t>
  </si>
  <si>
    <t>This grant will be used to fund the development of two baseball fields, a concession/press box facility with restrooms, parking and other support facilities at an existing park, which 14.0 acres will be placed under 6(f) protection.</t>
  </si>
  <si>
    <t>CHESTERFIELD</t>
  </si>
  <si>
    <t>MCLEOD PLANTATION PARK PHASE I</t>
  </si>
  <si>
    <t>CHARLESTON COUNTY PARK &amp; RECREATION COMMISSION</t>
  </si>
  <si>
    <t>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t>
  </si>
  <si>
    <t>MCLEOD PLANTATION</t>
  </si>
  <si>
    <t>BLOOD RUN ACQUISITION AND DEVELOPMENT</t>
  </si>
  <si>
    <t>STATE OF SOUTH DAKOTA</t>
  </si>
  <si>
    <t>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t>
  </si>
  <si>
    <t>GOOD EARCH STATE PARK AT BLOOD RUN</t>
  </si>
  <si>
    <t>LAKE HIDDENWOOD PLAYGROUND INSTALLATION</t>
  </si>
  <si>
    <t>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t>
  </si>
  <si>
    <t>LAKE HIDDENWOOD RECREATION AREA</t>
  </si>
  <si>
    <t>WALWORTH</t>
  </si>
  <si>
    <t>ROY LAKE POWER LINE BURIAL</t>
  </si>
  <si>
    <t>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t>
  </si>
  <si>
    <t>ROY LAKE STATE PARK</t>
  </si>
  <si>
    <t>LAKE LOUISE PLAYGROUND INSTALLATION</t>
  </si>
  <si>
    <t>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t>
  </si>
  <si>
    <t>LAKE LOUISE RECREATION AREA</t>
  </si>
  <si>
    <t>HAND</t>
  </si>
  <si>
    <t>BERESFORD GRACE V NELSON MEMORIAL FIELDS &amp; SPORTS</t>
  </si>
  <si>
    <t>CITY OF BERESFORD</t>
  </si>
  <si>
    <t>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t>
  </si>
  <si>
    <t>GRACE V NELSON MEMORIAL FIELDS &amp; SPORTS COMPLEX</t>
  </si>
  <si>
    <t>UNION</t>
  </si>
  <si>
    <t>HARRISBURG HEARTLAND PARK DEVELOPMENT</t>
  </si>
  <si>
    <t>CITY OF HARRISBURG</t>
  </si>
  <si>
    <t>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t>
  </si>
  <si>
    <t>HEARTLAND PARK</t>
  </si>
  <si>
    <t>HOWLING RIDGE PARK DEVELOPMENT</t>
  </si>
  <si>
    <t>CITY OF TEA</t>
  </si>
  <si>
    <t>The city of Tea (South Dakota) will utilize a Land and Water Conservation Fund grant to assist in constructing a new playground in Howling Ridge Park which was established in 2010. Tea is a rapidly growing community on the edge of Sioux Falls (South Dakota’s largest city).</t>
  </si>
  <si>
    <t>HOWLING RIDGE PARK</t>
  </si>
  <si>
    <t>ABERDEEN SOUTHWEST PARK PLAYGROUND DEVELOPMENT</t>
  </si>
  <si>
    <t>CITY OF ABERDEEN</t>
  </si>
  <si>
    <t>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t>
  </si>
  <si>
    <t>SOUTHWEST PARK</t>
  </si>
  <si>
    <t>BROWN</t>
  </si>
  <si>
    <t>BRANDON McHARDY PARK PLAYGROUND RENOVATION</t>
  </si>
  <si>
    <t>CITY OF BRANDON</t>
  </si>
  <si>
    <t>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t>
  </si>
  <si>
    <t>McHARDY PARK</t>
  </si>
  <si>
    <t>MINNEHAHA</t>
  </si>
  <si>
    <t>PIERRE GRIFFIN PARK PLAYGROUND RENOVATION</t>
  </si>
  <si>
    <t>CITY OF PIERRE</t>
  </si>
  <si>
    <t>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t>
  </si>
  <si>
    <t>GRIFFIN PARK</t>
  </si>
  <si>
    <t>HUGHES</t>
  </si>
  <si>
    <t>YANKTON SERTOMA PARK PLAYGROUND RENOVATION</t>
  </si>
  <si>
    <t>CITY OF YANKTON</t>
  </si>
  <si>
    <t>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t>
  </si>
  <si>
    <t>SERTOMA PARK</t>
  </si>
  <si>
    <t>YANKTON</t>
  </si>
  <si>
    <t>CENTERVILLE PEDER LARSON PARK PLAYGROUND</t>
  </si>
  <si>
    <t>CITY OF CENTERVILLE</t>
  </si>
  <si>
    <t>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t>
  </si>
  <si>
    <t>PEDER LARSON PARK</t>
  </si>
  <si>
    <t>Turner</t>
  </si>
  <si>
    <t>TYNDALL WEST SIDE PARK PLAYGROUND RENOVATION</t>
  </si>
  <si>
    <t>CITY OF TYNDALL</t>
  </si>
  <si>
    <t>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t>
  </si>
  <si>
    <t>WEST SIDE PARK</t>
  </si>
  <si>
    <t>BON HOMME</t>
  </si>
  <si>
    <t>MADISON WESTSIDE PARK TENNIS/BASKETBALL COURT</t>
  </si>
  <si>
    <t>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t>
  </si>
  <si>
    <t>WESTSIDE PARK</t>
  </si>
  <si>
    <t>BROOKINGS LIONS PARK PLAYGROUND IMPROVEMENTS</t>
  </si>
  <si>
    <t>CITY OF BROOKINGS</t>
  </si>
  <si>
    <t>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t>
  </si>
  <si>
    <t>BROOKINGS</t>
  </si>
  <si>
    <t>WOOD TOWN PARK PLAYGROUND RENOVATION</t>
  </si>
  <si>
    <t>CITY OF WOOD</t>
  </si>
  <si>
    <t>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t>
  </si>
  <si>
    <t>WOOD TOWN PARK</t>
  </si>
  <si>
    <t>MELLETTE</t>
  </si>
  <si>
    <t>PARKER PLAYGROUND EQUIPMENT REPLACEMENT</t>
  </si>
  <si>
    <t>CITY OF PARKER</t>
  </si>
  <si>
    <t>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t>
  </si>
  <si>
    <t>PARKER CITY PARK</t>
  </si>
  <si>
    <t>TURNER</t>
  </si>
  <si>
    <t>MAPLETON TOWNSHIP RENNER PARK PLAYGROUND</t>
  </si>
  <si>
    <t>MAPLETON TOWNSHIP</t>
  </si>
  <si>
    <t>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t>
  </si>
  <si>
    <t>RENNER PARK</t>
  </si>
  <si>
    <t>BLOOD RUN ROAD/COMFORT STATION</t>
  </si>
  <si>
    <t>South Dakota State Parks will begin development of Blood Run State Park by constructing roads and a comfort station. An LWCF grant in 2011 assisted the State in purchasing 106 acres for the creation of the park. The entire acreage is within the Blood Run National Historic Landmark.</t>
  </si>
  <si>
    <t>BRANDON ASPEN PARK LAND ACQUISITION PROJECT</t>
  </si>
  <si>
    <t>The city of Brandon will acquire 11 acres as an addition to Aspen Park.</t>
  </si>
  <si>
    <t>ASPEN PARK</t>
  </si>
  <si>
    <t>Minnehaha</t>
  </si>
  <si>
    <t>PIERRE 4th STREET PARK IMPROVEMENTS</t>
  </si>
  <si>
    <t>The city of Pierre will install playground equipment and construct a picnic shelter and walkways in the newly created Fourth Street Park.</t>
  </si>
  <si>
    <t>FOURTH STREET PARK</t>
  </si>
  <si>
    <t>BROOKINGS VALLEY VIEW PARK DEVELOPMENT</t>
  </si>
  <si>
    <t>The city of Brookings will implement the initial development of Valley View Park by installing playground equipment and a small pedestrian bridge.</t>
  </si>
  <si>
    <t>VALLEY VIEW PARK</t>
  </si>
  <si>
    <t>STURGIS STARLINE PARK PROJECT</t>
  </si>
  <si>
    <t>CITY OF STURGIS</t>
  </si>
  <si>
    <t>STARLINE PARK</t>
  </si>
  <si>
    <t>MEADE</t>
  </si>
  <si>
    <t>DELL RAPIDS CITY PARK PLAYGROUND PROJECT</t>
  </si>
  <si>
    <t>CITY OF DELL RAPIDS</t>
  </si>
  <si>
    <t>DELL RAPIDS CITY PARK</t>
  </si>
  <si>
    <t>GREGORY MEMORIAL SPORTS PARK PLAYGROUND PROJECT</t>
  </si>
  <si>
    <t>CITY OF GREGORY</t>
  </si>
  <si>
    <t>GREGORY MEMORIAL SPORTS PARK</t>
  </si>
  <si>
    <t>GREGORY</t>
  </si>
  <si>
    <t>BERESFORD BURLOW PARK PLAYGROUND EQUIPMENT PROJECT</t>
  </si>
  <si>
    <t>BULOW PARK</t>
  </si>
  <si>
    <t>LENNOX POOL AND BATHHOUSE IMPROVEMENT PROJECT</t>
  </si>
  <si>
    <t>CITY OF LENNOX</t>
  </si>
  <si>
    <t>WESTERMAN PARK</t>
  </si>
  <si>
    <t>BOX ELDER BOYKIN PARK PLAYGROUND EQUIPMENT</t>
  </si>
  <si>
    <t>CITY OF BOX ELDER</t>
  </si>
  <si>
    <t>BOYKIN PARK</t>
  </si>
  <si>
    <t>PENNINGTON</t>
  </si>
  <si>
    <t>GROTON CITY PARK EQUIPMENT REPLACEMENT PROJECT</t>
  </si>
  <si>
    <t>CITY OF GROTON</t>
  </si>
  <si>
    <t>The city of Groton will remove outdated, unsafe playground equipment and replace it with modern, universally accessible apparatus at Groton City Park.</t>
  </si>
  <si>
    <t>GROTON CITY PARK</t>
  </si>
  <si>
    <t>Brown</t>
  </si>
  <si>
    <t>GETTYSBURG LITTLE ANGELS PLAYGROUND IMPROVEMENTS</t>
  </si>
  <si>
    <t>CITY OF GETTYSBURG</t>
  </si>
  <si>
    <t>The city of Gettysburg will remove unsafe playground equipment and a picnic shelter and replace them with modern, universally accessible apparatus and structures at Little Angels Park.</t>
  </si>
  <si>
    <t>LITTLE ANGELS PARK</t>
  </si>
  <si>
    <t>Potter</t>
  </si>
  <si>
    <t>FIERY GIZZARD LAND ACQUISITION</t>
  </si>
  <si>
    <t>TENNESSEE STATE PARKS</t>
  </si>
  <si>
    <t>Grant funds will be used to acquire 2902+/- acres of Fiery Gizzard Land Acquisition. This land will be used for preservation and resource based public outdoor recreation.</t>
  </si>
  <si>
    <t>CUMBERLAND STATE RECREATION AREA</t>
  </si>
  <si>
    <t>CUMMINS FALLS LAND ACQUISITION</t>
  </si>
  <si>
    <t>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t>
  </si>
  <si>
    <t>CUMMINS FALLS STATE NATURAL AREA</t>
  </si>
  <si>
    <t>T.O. FULLER STATE PARK-NATURE CENTER</t>
  </si>
  <si>
    <t>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t>
  </si>
  <si>
    <t>T.O. FULLER STATE PARK</t>
  </si>
  <si>
    <t>Shelby</t>
  </si>
  <si>
    <t>T.O. FULLER STATE PARK- SPRAY PARK</t>
  </si>
  <si>
    <t>Grant funds will be used to enhance the existing 806.23+/- acres of T.O. Fuller State Park. This proposal is to replace an existing pool with a spray/splash pad that will receive enormous use from the community.</t>
  </si>
  <si>
    <t>FROZEN HEAD STATE PARK PLAYGROUND</t>
  </si>
  <si>
    <t>Grant funds will be used to enhance the existing 22,409.55+ acres of Frozen Head State Park. This proposal is to renovate the existing playground equipment that has received enormous use from the community.</t>
  </si>
  <si>
    <t>FROZEN HEAD STATE PARK</t>
  </si>
  <si>
    <t>MEEMAN SHELBY STATE PARK PLAYGROUND REPLACEMENT</t>
  </si>
  <si>
    <t>Grant funds will be used to enhance the existing 12,576.79+ acres of Meeman-Shelby Forest State Park. This proposal is to renovate the existing playground equipment that has received enormous use from the community.</t>
  </si>
  <si>
    <t>MEEMAN-SHELBY STATE PARK</t>
  </si>
  <si>
    <t>NATCHEZ TRACE STATE PARK PLAYGROUND REPLACEMENT</t>
  </si>
  <si>
    <t>Grant funds will be used to enhance the existing 9,266.71+ acres of Natchez Trace State Park. This proposal is to renovate the existing playground equipment that has received enormous use from the community.</t>
  </si>
  <si>
    <t>NATCHEZ TRACE STATE PARK</t>
  </si>
  <si>
    <t>EDGAR EVINS STATE PARK PLAYGROUND</t>
  </si>
  <si>
    <t>Grant funds will be used to enhance the existing 6,086.01+ acres of Edgar Evins State Park. This proposal is to renovate the existing playground equipment that has received enormous use from the community.</t>
  </si>
  <si>
    <t>EDGAR EVINS STATE PARK</t>
  </si>
  <si>
    <t>DEKALB</t>
  </si>
  <si>
    <t>NATHAN BEDFORD FORRESTSTATE PARK PLAYGROUND</t>
  </si>
  <si>
    <t>Grant funds will be used to enhance the existing 2,641.15+ acres of Nathan Bedford State Park. This proposal is to renovate the existing playground equipment that has received enormous use from the community.</t>
  </si>
  <si>
    <t>NATHAN BEDFORD FOREST STATE PARK</t>
  </si>
  <si>
    <t>NORRIS DAM STATE PARK PLAYGROUND</t>
  </si>
  <si>
    <t>Grant funds will be used to enhance the existing 2,373+ acres of Norris Dam State Park. This proposal is to renovate the existing playground equipment that has received enormous use from the community.</t>
  </si>
  <si>
    <t>NORRIS DAM STATE PARK</t>
  </si>
  <si>
    <t>Campbell</t>
  </si>
  <si>
    <t>ROAN MOUNTAIN STATE PARK PLAYGROUND</t>
  </si>
  <si>
    <t>Grant funds will be used to enhance the existing 2,000.33+ acres of Roan Mountain State Park. This proposal is to renovate the existing playground equipment that has received enormous use from the community.</t>
  </si>
  <si>
    <t>ROAN MOUNTAIN STATE PARK</t>
  </si>
  <si>
    <t>CARTER</t>
  </si>
  <si>
    <t>CUMBERLAND MOUNTAIN STATE PARK PLAYGROUND</t>
  </si>
  <si>
    <t>Grant funds will be used to enhance the existing 1,548.02+ acres of Cumberland Mountain State Park. This proposal is to renovate the existing playground equipment that has received enormous use from the community.</t>
  </si>
  <si>
    <t>CUMBERLAND MOUNTAIN STATE PARK</t>
  </si>
  <si>
    <t>HENRY HORTON STATE PARK PLAYGROUND</t>
  </si>
  <si>
    <t>Grant funds will be used to enhance the existing 1,530.78+ acres of Henry Horton State Park. This proposal is to renovate the existing playground equipment that has received enormous use from the community.</t>
  </si>
  <si>
    <t>HENRY HORTON STATE PARK</t>
  </si>
  <si>
    <t>PICKWICK LANDING STATE PARK PLAYGROUND</t>
  </si>
  <si>
    <t>Grant funds will be used to enhance the existing 1,313.15+ acres of Pickwick Landing State Park. This proposal is to renovate the existing playground equipment that has received enormous use from the community.</t>
  </si>
  <si>
    <t>PICKWICK LANDING STATE PARK</t>
  </si>
  <si>
    <t>HARDIN</t>
  </si>
  <si>
    <t>STANDING STONE STATE PARK PLAYGROUND</t>
  </si>
  <si>
    <t>Grant funds will be used to enhance the existing 1,042.53+ acres of Standing Stone State Park. This proposal is to renovate the existing playground equipment that has received enormous use from the community.</t>
  </si>
  <si>
    <t>STANDING STONE STATE PARK</t>
  </si>
  <si>
    <t>OVERTON</t>
  </si>
  <si>
    <t>REELFOOT LAKE STATE PARK PLAYGROUND</t>
  </si>
  <si>
    <t>Grant funds will be used to enhance the existing 358.92+ acres of Reelfoot Lake State Park. This proposal is to renovate the existing playground equipment that has received enormous use from the community.</t>
  </si>
  <si>
    <t>REELFOOT LAKE STATE PARK</t>
  </si>
  <si>
    <t>DAVID CROCKETT STATE PARK PLAYGROUND</t>
  </si>
  <si>
    <t>Grant funds will be used to enhance the existing 1,030.56+ acres of David Crockett State Park. This proposal is to renovate the existing playground equipment that has received enormous use from the community.</t>
  </si>
  <si>
    <t>DAVID CROCKETT STATE PARK</t>
  </si>
  <si>
    <t>PICKETT STATE PARK PLAYGROUND</t>
  </si>
  <si>
    <t>Grant funds will be used to enhance the existing 865.97+ acres of Pickett State Park. This proposal is to renovate the existing playground equipment that has received enormous use from the community.</t>
  </si>
  <si>
    <t>PICKETT STATE PARK</t>
  </si>
  <si>
    <t>Fentress</t>
  </si>
  <si>
    <t>CEDARS OF LEBANON STATE PARK PLAYGROUND</t>
  </si>
  <si>
    <t>Grant funds will be used to enhance the existing 786.17+ acres of Cedars of Lebanon State Park. This proposal is to renovate the existing playground equipment that has received enormous use from the community.</t>
  </si>
  <si>
    <t>CEDARS OF LEBANON STATE PARK</t>
  </si>
  <si>
    <t>WILSON</t>
  </si>
  <si>
    <t>PICKETT STATE PARK-RAINES ACQUISTION</t>
  </si>
  <si>
    <t>TN DEPT OF ENVIRONMENT AND CONSERVATION</t>
  </si>
  <si>
    <t>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t>
  </si>
  <si>
    <t>CUMBERLAND TRAIL STATE PARK-SA ALTERNATIVE ACQUISI</t>
  </si>
  <si>
    <t>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t>
  </si>
  <si>
    <t>CUMBERLAND TRAIL STATE PARK</t>
  </si>
  <si>
    <t>SOUTH CUMBERLAND STATE RECREATION PARK- PLAYGROUND</t>
  </si>
  <si>
    <t>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t>
  </si>
  <si>
    <t>SOUTH CUMBERLAND STATE RECREATION AREA</t>
  </si>
  <si>
    <t>GRUNDY</t>
  </si>
  <si>
    <t>CUMBERLAND TRAIL STATE PARK SOAK CREEK ACQUISTION</t>
  </si>
  <si>
    <t>TENNESSEE DEPARTMENT OF ENVIRONMENT AND CONSERVATION</t>
  </si>
  <si>
    <t>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t>
  </si>
  <si>
    <t>RHEA</t>
  </si>
  <si>
    <t>CUMBERLAND TRAIL STATE PARK MOY TOY ACQUISTION</t>
  </si>
  <si>
    <t>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t>
  </si>
  <si>
    <t>DUNBAR CAVE STATE PARK-RITTER ACQUISITION</t>
  </si>
  <si>
    <t>TN DEPARTMENT OF ENVIRONMENT AND CONSEVATION</t>
  </si>
  <si>
    <t>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t>
  </si>
  <si>
    <t>DUNBAR CAVE STATE PARK</t>
  </si>
  <si>
    <t>CUMBERLAND TRAIL CONSTRUCTION &amp; ACQUISITION NORTH</t>
  </si>
  <si>
    <t>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t>
  </si>
  <si>
    <t>FALLS CREEK FALLS STATE PARK</t>
  </si>
  <si>
    <t>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t>
  </si>
  <si>
    <t>FALL CREEK FALLS STATE PARK</t>
  </si>
  <si>
    <t>Bledsoe</t>
  </si>
  <si>
    <t>MONTGOMERY BELL STATE PARK</t>
  </si>
  <si>
    <t>This is a proposal for the renovation of swimming docks and pedestriam footbridge at Lake Woodhaven. Tennessee State Parks proposes to renovate and replace swimming docks and pedestrian footbridge at Lake Woodhaven at Montgomery Bell State Park.</t>
  </si>
  <si>
    <t>Dickson</t>
  </si>
  <si>
    <t>NORRIS DAM STATE PARK PLAYGROUND REPLACEMENT</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</si>
  <si>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t>
  </si>
  <si>
    <t>TO FULLERSTATE PARK PLAYGROUND REPLACEMENT</t>
  </si>
  <si>
    <t>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t>
  </si>
  <si>
    <t>CHICKASAW STATE PARK-PLAYGROUND REPLACEMENT</t>
  </si>
  <si>
    <t>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t>
  </si>
  <si>
    <t>CHICKASAW STATE PARK-PLAYGROUND REPLACEMNENT</t>
  </si>
  <si>
    <t>Chester</t>
  </si>
  <si>
    <t>MOUSETAIL LANDING STATE PARK-PLAYGROUND REPLACEMEN</t>
  </si>
  <si>
    <t>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t>
  </si>
  <si>
    <t>MOUSETAIL LANDING STATE PARK</t>
  </si>
  <si>
    <t>OLD STONE FORT STATE ARCHAEOLOGICAL PARK</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</si>
  <si>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t>
  </si>
  <si>
    <t>OLD STONE FORT STATE PARK</t>
  </si>
  <si>
    <t>TPWD GARNER STATE PARK ADDITION III</t>
  </si>
  <si>
    <t>TX. DEPT. OF PARKS &amp; WILDLIFE</t>
  </si>
  <si>
    <t>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t>
  </si>
  <si>
    <t>GARNER STATE PARK</t>
  </si>
  <si>
    <t>UVALDE</t>
  </si>
  <si>
    <t>TPWD DEVILS RIVER RANCH ACQUISITION</t>
  </si>
  <si>
    <t>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t>
  </si>
  <si>
    <t>DEVILS RIVER RANCH</t>
  </si>
  <si>
    <t>VAL VERDE</t>
  </si>
  <si>
    <t>TPWD NEW STATE PARK PALO PINTO/STEPHENS COUNTIES</t>
  </si>
  <si>
    <t>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t>
  </si>
  <si>
    <t>NEW STATE PARK</t>
  </si>
  <si>
    <t>WILLACY COUNTY LAGUNA POINT RECREATION AREA</t>
  </si>
  <si>
    <t>WILLACY COUNTY</t>
  </si>
  <si>
    <t>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t>
  </si>
  <si>
    <t>LAGUNA POINT RECREATION AREA</t>
  </si>
  <si>
    <t>WILLACY</t>
  </si>
  <si>
    <t>KENDALL COUNTY YOUTH AGRICULTURE &amp; EQUESTRIAN CTR</t>
  </si>
  <si>
    <t>KENDALL COUNTY</t>
  </si>
  <si>
    <t>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t>
  </si>
  <si>
    <t>YOUTH AGRICULTURE &amp; EQUESTRIAN CENTER</t>
  </si>
  <si>
    <t>KENDALL</t>
  </si>
  <si>
    <t>LOS FRESNOS COMMUNITY PARK IMPROVEMENTS</t>
  </si>
  <si>
    <t>CITY OF LOS FRESNOS</t>
  </si>
  <si>
    <t>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t>
  </si>
  <si>
    <t>CAMERON</t>
  </si>
  <si>
    <t>ANNA SLAYTER CREEK PARK II</t>
  </si>
  <si>
    <t>CITY OF ANNA</t>
  </si>
  <si>
    <t>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t>
  </si>
  <si>
    <t>SLAYTER CREEK PARK</t>
  </si>
  <si>
    <t>Collin</t>
  </si>
  <si>
    <t>LORENA MC BRAYER PARK</t>
  </si>
  <si>
    <t>CITY OF LORENA</t>
  </si>
  <si>
    <t>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t>
  </si>
  <si>
    <t>MC BRAYER PARK</t>
  </si>
  <si>
    <t>MCLENNAN</t>
  </si>
  <si>
    <t>CENTERVILLE JOSEPH A. SULLIVAN PARK</t>
  </si>
  <si>
    <t>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t>
  </si>
  <si>
    <t>JOSEPH A. SULLIVAN PARK</t>
  </si>
  <si>
    <t>LEON</t>
  </si>
  <si>
    <t>CRYSTAL CITY MUNICIPAL POOL</t>
  </si>
  <si>
    <t>CITY OF CRYSTAL CITY</t>
  </si>
  <si>
    <t>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t>
  </si>
  <si>
    <t>JUAN GARCIA PARK</t>
  </si>
  <si>
    <t>ZAVALA</t>
  </si>
  <si>
    <t>PITTSBURG FAIR PARK RENOVATION</t>
  </si>
  <si>
    <t>CITY OF PITTSBURG</t>
  </si>
  <si>
    <t>The city of Pittsburg will improve Fair Park by renovating a basketball court and a pond area plus constructing a playground, shuffleboard and horseshoes courts, and a new picnic pavilion. Fair Park is located at the intersection of North Texas and Mattison Streets.</t>
  </si>
  <si>
    <t>FAIR PARK</t>
  </si>
  <si>
    <t>CAMP</t>
  </si>
  <si>
    <t>TPWD GOVERNMENT CANYON STATE NATURAL AREA III</t>
  </si>
  <si>
    <t>TPWD will acquire 461.23 acres as an addition to the Government Canyon State Natural Area. The parcel is west of Helotes in Bexar County. Federal share = $150,000 (LW 2012) Total costs = $300,000 PRISM grant number = P13AP00050</t>
  </si>
  <si>
    <t>GOVERNMENT CANYON STATE NATURAL AREA</t>
  </si>
  <si>
    <t>Bexar</t>
  </si>
  <si>
    <t>TPWD PALTO PINTO MOUNTAINS STATE PARK III</t>
  </si>
  <si>
    <t>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t>
  </si>
  <si>
    <t>PALO PINTO MOUNTAINS STATE PARK</t>
  </si>
  <si>
    <t>TPWD PALO PINTO MOUNTAINS STATE PARK IV</t>
  </si>
  <si>
    <t>The Texas Parks and Wildlife Department will acquire a 307.09-acre addition to Palo Pinto Mountains State Park in Palo Pinto County.</t>
  </si>
  <si>
    <t>CENTER PARK II</t>
  </si>
  <si>
    <t>CITY OF CENTER</t>
  </si>
  <si>
    <t>The city of Center will acquire a 19.68-acre addition to Center Park and construct one unlighted and two lighted softball fields and a playground.</t>
  </si>
  <si>
    <t>NUECES COUNTY LYONDELLBASELL PARK</t>
  </si>
  <si>
    <t>NUECES COUNTY</t>
  </si>
  <si>
    <t>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t>
  </si>
  <si>
    <t>LYONDELLBASELL PARK</t>
  </si>
  <si>
    <t>NUECES</t>
  </si>
  <si>
    <t>HAYS COUNTY JACOB'S WELL</t>
  </si>
  <si>
    <t>HAYS COUNTY</t>
  </si>
  <si>
    <t>Hays County will acquire 31.5-acres and construct an outdoor classroom, a playscape, nature trails with interpretive signs and a kiosk, nature observation blinds, and picnic areas.</t>
  </si>
  <si>
    <t>JACOB'S WELL NATURAL AREA</t>
  </si>
  <si>
    <t>HAYS</t>
  </si>
  <si>
    <t>BELTON NOLAN CREEK PARK</t>
  </si>
  <si>
    <t>The city of Belton will acquire 3.26 acres plus improve Nolan Creek Park by constructing a ½-mile nature trail, kayak drop in and take out spots along Nolan Creek, interpretive signs, a 2-acre natural area, horseshoe courts, and a picnic area.</t>
  </si>
  <si>
    <t>NOLAN CREEK PARK</t>
  </si>
  <si>
    <t>BELL</t>
  </si>
  <si>
    <t>SONTERRA MUD PARK</t>
  </si>
  <si>
    <t>SONTERRA MUNICIPAL UTILITY DISTRICT</t>
  </si>
  <si>
    <t>The Sonterra Municipal Utilities District (Williamson County) will develop 2.946 acres of donated land to create a new park by adding game tables, picnic tables with grills, benches, playground equipment, and interpretive signs plus constructing a trail and a community garden.</t>
  </si>
  <si>
    <t>WILLIAMSON</t>
  </si>
  <si>
    <t>BEDFORD BOYS RANCH PARK II</t>
  </si>
  <si>
    <t>CITY OF BEDFORD</t>
  </si>
  <si>
    <t>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t>
  </si>
  <si>
    <t>BOYS RANCH PARK</t>
  </si>
  <si>
    <t>Tarrant</t>
  </si>
  <si>
    <t>BROWNWOOD CAMP BOWIE SOCCER COMPLEX</t>
  </si>
  <si>
    <t>CITY OF BROWNWOOD</t>
  </si>
  <si>
    <t>The city of Brownwood will construct lighted and irrigated soccer fields, a pavilion, and a covered playground at the Camp Bowie Soccer Complex.</t>
  </si>
  <si>
    <t>CAMP BOWIE SOCCER COMPLEX</t>
  </si>
  <si>
    <t>CAMERON COUNTY EL RANCHITO PARK</t>
  </si>
  <si>
    <t>CAMERON COUNTY</t>
  </si>
  <si>
    <t>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t>
  </si>
  <si>
    <t>EL RANCHITO PARK</t>
  </si>
  <si>
    <t>HOUSTON SHADY LANE PARK</t>
  </si>
  <si>
    <t>The city of Houston will construct a playground, benches, trails, walkways, and signs within Shady Lane Park.</t>
  </si>
  <si>
    <t>SHADY LANE PARK</t>
  </si>
  <si>
    <t>GRANITE SHOALS QUARRY PARK</t>
  </si>
  <si>
    <t>CITY OF GRANITE SHOALS</t>
  </si>
  <si>
    <t>The city of Granite Shoals will construct an exercise trail with fitness stations, a tennis pavilion, native wildflower gardens, and an interpretive display at Quarry Park.</t>
  </si>
  <si>
    <t>QUARRY PARK</t>
  </si>
  <si>
    <t>BURNET</t>
  </si>
  <si>
    <t>LA FERIA UNGER PARK</t>
  </si>
  <si>
    <t>CITY OF LA FERIA</t>
  </si>
  <si>
    <t>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t>
  </si>
  <si>
    <t>UNGER PARK</t>
  </si>
  <si>
    <t>FORT WORTH ROTARY PLAZA TRAILHEAD PARK</t>
  </si>
  <si>
    <t>CITY OF FT. WORTH</t>
  </si>
  <si>
    <t>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t>
  </si>
  <si>
    <t>ROTARY PLAZA TRAILHEAD PARK</t>
  </si>
  <si>
    <t>TARRANT</t>
  </si>
  <si>
    <t>POWDERHORN WILDLIFE MANAGEMENT AREA AND STATE PARK</t>
  </si>
  <si>
    <t>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t>
  </si>
  <si>
    <t>Calhoun</t>
  </si>
  <si>
    <t>FAIRVIEW CITY SPORTS PARK</t>
  </si>
  <si>
    <t>FAIRVIEW CITY</t>
  </si>
  <si>
    <t>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t>
  </si>
  <si>
    <t>SANPETE</t>
  </si>
  <si>
    <t>ARCHIE. H. GUBLER PARK</t>
  </si>
  <si>
    <t>CITY OF SANTA CLARA</t>
  </si>
  <si>
    <t>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t>
  </si>
  <si>
    <t>SALT HALLOW PARK</t>
  </si>
  <si>
    <t>CITY OF HYRUM</t>
  </si>
  <si>
    <t>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t>
  </si>
  <si>
    <t>CACHE</t>
  </si>
  <si>
    <t>SKY RIDGE PARK</t>
  </si>
  <si>
    <t>CITY OF HURRICANE</t>
  </si>
  <si>
    <t>Hurricane (Washington County) will develop the 1.94-acre Sky Ridge Park by constructing off street parking, a pavilion, picnic areas, a playground, a splash pad, a half-court basketball court, pickle ball courts, a restroom facility, and paved trails linking the various use areas.</t>
  </si>
  <si>
    <t>DRY CREEK PARK</t>
  </si>
  <si>
    <t>CITY OF LEHI</t>
  </si>
  <si>
    <t>The city of Lehi will improve the 13.6-acre Dry Creek Park by constructing sidewalks, landscaped play areas, picnic pavilions, and a disk-golf course.</t>
  </si>
  <si>
    <t>CANYON VIEW PARK SPLASH PAD</t>
  </si>
  <si>
    <t>CITY OF EPHRAIM</t>
  </si>
  <si>
    <t>The city of Ephraim will construct of a splash pad and associated infrastructure within the 7.79-acre Canyon View Park.</t>
  </si>
  <si>
    <t>CANYON VIEW PARK</t>
  </si>
  <si>
    <t>Sanpete</t>
  </si>
  <si>
    <t>CITY HALL PARK PHASE I</t>
  </si>
  <si>
    <t>CITY OF HOLLADAY</t>
  </si>
  <si>
    <t>The city of Holladay will improve the 6.58-acre City Hall Park by constructing walkways, picnic area, and general playfields.</t>
  </si>
  <si>
    <t>CITY HALL PARK</t>
  </si>
  <si>
    <t>SALT LAKE</t>
  </si>
  <si>
    <t>CENTENNIAL PARK SUNSHINE PLAYGROUND</t>
  </si>
  <si>
    <t>SYRACUSE CITY</t>
  </si>
  <si>
    <t>Syracuse City will improve the 4.7-acre Centennial Park by constructing an accessible playground to be known as the Sunshine Playground.</t>
  </si>
  <si>
    <t>CENTENNIAL PARK</t>
  </si>
  <si>
    <t>DAVIS</t>
  </si>
  <si>
    <t>BEAR LAKE STATE PARK MARINA BOAT DOCKS</t>
  </si>
  <si>
    <t>STATE OF UTAH</t>
  </si>
  <si>
    <t>Utah State Parks will renovate the Bear Lake State Park marina boat docks. This 40-year old marina boat dock, with almost 300 slips, has been deteriorating, despite small renovations and improvements over the years.</t>
  </si>
  <si>
    <t>BEAR LAKE STATE PARK</t>
  </si>
  <si>
    <t>Rich</t>
  </si>
  <si>
    <t>Lily Ruckstuhl Property Acquisition</t>
  </si>
  <si>
    <t>Town of Falls Church</t>
  </si>
  <si>
    <t>Lily Ruckstuhl Park</t>
  </si>
  <si>
    <t>FAIRFAX</t>
  </si>
  <si>
    <t>Gilbert's Corner Regional Park</t>
  </si>
  <si>
    <t>Northern Virginia Regional Park Authority</t>
  </si>
  <si>
    <t>This development project will include a parking area, park entrance sign, a multi-use trail system with bridge corssings and interpretive signage, hiking and horseback riding, site improvements and landscaping. Gilbert's Corner will become a new regional park in N. Virginia.</t>
  </si>
  <si>
    <t>LOUDOUN</t>
  </si>
  <si>
    <t>Azalea Park Improvements</t>
  </si>
  <si>
    <t>City of Charlottesville</t>
  </si>
  <si>
    <t>This city of Charlottesville grant was approved to make recreation improvements to Azalea Park. It will rehabilitate and existing pathway into a multi use ADA paved trail, improve drainage along the trail and renovate an old used concession stand into a comfort station.</t>
  </si>
  <si>
    <t>Azalea Park</t>
  </si>
  <si>
    <t>ALBEMARLE</t>
  </si>
  <si>
    <t>Waid Park Restroom and Concession Facility</t>
  </si>
  <si>
    <t>County of Franklin</t>
  </si>
  <si>
    <t>The state on behalf of Franklin County to construct a comfort station and concession facility at Waid Park. These support facilities are being constructed to enhance the existing recreation facilities at this park.</t>
  </si>
  <si>
    <t>Waid Park</t>
  </si>
  <si>
    <t>Nike Skate Park</t>
  </si>
  <si>
    <t>Isle of Wight County</t>
  </si>
  <si>
    <t>On behalf of Isle of Wight county to develop a skate facility at Nike Skate Park. This new skate facility will replace an existing skate park that has deterorated due the age and extensive use from children and adults.</t>
  </si>
  <si>
    <t>Carrollton Nike District Park</t>
  </si>
  <si>
    <t>ISLE OF WIGHT</t>
  </si>
  <si>
    <t>Sleepy Hole Park Boat Ramp</t>
  </si>
  <si>
    <t>City of Suffolk</t>
  </si>
  <si>
    <t>The city of Suffolk will construct a boat ramp with fishing platform along the Nansemond River at Sleepy Hole Park. The will provide access for canoe and kayak users to enjoy the water related activities. The design of the facilities will be meet ADA standards.</t>
  </si>
  <si>
    <t>SLEEPY HOLE PARK</t>
  </si>
  <si>
    <t>PORTSMOUTH CITY</t>
  </si>
  <si>
    <t>Bluestone Trail at Purcell Park</t>
  </si>
  <si>
    <t>City of Harrisonburg</t>
  </si>
  <si>
    <t>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t>
  </si>
  <si>
    <t>PURCELL PARK</t>
  </si>
  <si>
    <t>Harrisonburg City</t>
  </si>
  <si>
    <t>Woodville Park Enhancement</t>
  </si>
  <si>
    <t>County of Gloucester</t>
  </si>
  <si>
    <t>This project will include developing the following facilities: three multi-use athletic fields for football, soccer, softball, field hockey, lacrosse and a concession stand/building, site improvements and landscaping.</t>
  </si>
  <si>
    <t>Woodville Park</t>
  </si>
  <si>
    <t>GLOUCESTER</t>
  </si>
  <si>
    <t>Jamestown Beach Park Revitalization</t>
  </si>
  <si>
    <t>James City County</t>
  </si>
  <si>
    <t>Developments to include accessible walkway to beach, entrance road/parking, beach shoreline restoration, restrooms, gates, Bollards and signage.</t>
  </si>
  <si>
    <t>Jamestown Beach</t>
  </si>
  <si>
    <t>JAMES CITY</t>
  </si>
  <si>
    <t>Chessie's Big Backyard at Lee District Park</t>
  </si>
  <si>
    <t>Fairfax County Park Authority</t>
  </si>
  <si>
    <t>This project will develop a unique tot lot/playground area named Chessie's Big Backyard at Lee District Park. This project will creat a recreation experience that children with a variety of abilities/and special needs can enjoy with accompanying adults.</t>
  </si>
  <si>
    <t>Lee District Park</t>
  </si>
  <si>
    <t>Robert N. Reed Park Annex</t>
  </si>
  <si>
    <t>Town of Chincotegue</t>
  </si>
  <si>
    <t>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t>
  </si>
  <si>
    <t>Robert N. Reed Park</t>
  </si>
  <si>
    <t>ACCOMACK</t>
  </si>
  <si>
    <t>Scott County Improvements at Two Parks</t>
  </si>
  <si>
    <t>Scott County</t>
  </si>
  <si>
    <t>Scott County Park - upgrade to golf cart paths and parking area. Duffield Community Pk will upgrade walking trail, resurface 3 tennis courts and construction of the picnic shelter.</t>
  </si>
  <si>
    <t>Scott County Park &amp; Golf Course</t>
  </si>
  <si>
    <t>Paradise Creek Nature Park</t>
  </si>
  <si>
    <t>City of Portsmouth</t>
  </si>
  <si>
    <t>Paradise Creek Nature Park in Portsmouth, VA - Construction of canoe/kayak launch, parking area and pavilion</t>
  </si>
  <si>
    <t>DUFFIELD COMMUNITY PARK</t>
  </si>
  <si>
    <t>Scott</t>
  </si>
  <si>
    <t>RUDY KRIEGER RECREATIONAL COMPLEX RENOVATIONS</t>
  </si>
  <si>
    <t>DEPT OF HOUSING, PARKS &amp; RECREATION</t>
  </si>
  <si>
    <t>Grant funds will be used to enhance the existing 4.7+/- acres of Rudy Krieger Recreational Complex. This project will remove the unusable restrooms and uprgrade the facility; which will increase the use and life of the facility.</t>
  </si>
  <si>
    <t>RUDY KRIEGER RECREATION COMPLEX</t>
  </si>
  <si>
    <t>SAINT CROIX</t>
  </si>
  <si>
    <t>HONEY MOON BEACH RESTROOM CONSTRUCTION</t>
  </si>
  <si>
    <t>DEPARTMENT OF SPORTS, PARKS AND RECREATION</t>
  </si>
  <si>
    <t>Grant funds will be used for the development of support facilities at this .5+/- of an acre site of Honey Moon Beach Recreation Restroom Construction. This facility will accommodate the handicap and the rapidly increasing number of people utilizing the beach facility.</t>
  </si>
  <si>
    <t>HONEYMOON BEACH PARK</t>
  </si>
  <si>
    <t>Tunbridge Recreation Area Acquisition</t>
  </si>
  <si>
    <t>Town of Tunbridge</t>
  </si>
  <si>
    <t>Tunbridge Playground</t>
  </si>
  <si>
    <t>Cabin Construction - Three State Parks</t>
  </si>
  <si>
    <t>State of Vermont, Dept.of Forests and Parks</t>
  </si>
  <si>
    <t>WOODFORD STATE PARK</t>
  </si>
  <si>
    <t>BENNINGTON</t>
  </si>
  <si>
    <t>Button Bay State Park</t>
  </si>
  <si>
    <t>ADDISON</t>
  </si>
  <si>
    <t>Wilgus State Park</t>
  </si>
  <si>
    <t>WINDSOR</t>
  </si>
  <si>
    <t>Chester Recreation - Community Pavilion Project</t>
  </si>
  <si>
    <t>Town of Chester</t>
  </si>
  <si>
    <t>Chester (Pinnacle) Recreation Area</t>
  </si>
  <si>
    <t>Fair Haven Recreation Area and Playground</t>
  </si>
  <si>
    <t>Town of Fair Haven</t>
  </si>
  <si>
    <t>Fair Haven Playground</t>
  </si>
  <si>
    <t>RUTLAND</t>
  </si>
  <si>
    <t>Fairfax Community Park - Phase III</t>
  </si>
  <si>
    <t>Town of Fairfax</t>
  </si>
  <si>
    <t>Fairfax Community Recreation Park</t>
  </si>
  <si>
    <t>Newark Street Playground</t>
  </si>
  <si>
    <t>Town of Newark</t>
  </si>
  <si>
    <t>CALEDONIA</t>
  </si>
  <si>
    <t>Grand Isle School Community Playground</t>
  </si>
  <si>
    <t>Town of Grand Isle</t>
  </si>
  <si>
    <t>Grand Isle School Community Park</t>
  </si>
  <si>
    <t>GRAND ISLE</t>
  </si>
  <si>
    <t>Lyndon Skate Park</t>
  </si>
  <si>
    <t>Town of Lyndon</t>
  </si>
  <si>
    <t>KLICKITAT PRAIRIE PARK ACQUISITION</t>
  </si>
  <si>
    <t>CITY OF MOSSYROCK</t>
  </si>
  <si>
    <t>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t>
  </si>
  <si>
    <t>KLICKITAT PRAIRIE PARK</t>
  </si>
  <si>
    <t>LEWIS</t>
  </si>
  <si>
    <t>KANDLE PARK AQUATICS FACILITY</t>
  </si>
  <si>
    <t>METROPOLITAN PARK DISTRICT OF TACOMA</t>
  </si>
  <si>
    <t>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t>
  </si>
  <si>
    <t>GEORGE B. KANDLE PLAYFIELD</t>
  </si>
  <si>
    <t>PIERCE</t>
  </si>
  <si>
    <t>NORTH CREEK FOREST ACQUISITION</t>
  </si>
  <si>
    <t>CITY OF BOTHELL</t>
  </si>
  <si>
    <t>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t>
  </si>
  <si>
    <t>NORTH CREEK FOREST</t>
  </si>
  <si>
    <t>King</t>
  </si>
  <si>
    <t>SUNSET BLUFF ACQUISITION</t>
  </si>
  <si>
    <t>MASON COUNTY</t>
  </si>
  <si>
    <t>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t>
  </si>
  <si>
    <t>SUNSET BLUFF NATURAL AREA PARK</t>
  </si>
  <si>
    <t>CLAYBELL PARK REDEVELOPMENT</t>
  </si>
  <si>
    <t>CITY OF RICHLAND</t>
  </si>
  <si>
    <t>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t>
  </si>
  <si>
    <t>CLAYBELL PARK</t>
  </si>
  <si>
    <t>SHANE PARK PLAYGROUND</t>
  </si>
  <si>
    <t>CITY OF PORT ANGELES</t>
  </si>
  <si>
    <t>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t>
  </si>
  <si>
    <t>SHANE PARK</t>
  </si>
  <si>
    <t>CLALLAM</t>
  </si>
  <si>
    <t>NORTH CREEK FOREST ACQUISITION PHASE 2</t>
  </si>
  <si>
    <t>Acquisition of 21.84 acres in the City of Bothell in King County: -Land -Cultural Resources -Signage -State indirect costs</t>
  </si>
  <si>
    <t>POINT DEFIANCE MISSING LINK TRAIL</t>
  </si>
  <si>
    <t>METRO PARKS TACOMA</t>
  </si>
  <si>
    <t>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t>
  </si>
  <si>
    <t>POINT DEFIANCE PARK</t>
  </si>
  <si>
    <t>Pierce</t>
  </si>
  <si>
    <t>CHEHALIS POOL RENOVATION</t>
  </si>
  <si>
    <t>CITY OF CHEHALIS</t>
  </si>
  <si>
    <t>Renovate the Chehalis Community Pool (Shaw Aquatics Center): replace pool building, pool liner, mechanical systems, guard stands, locker rooms and bathroom. Grant also includes state indirect costs.</t>
  </si>
  <si>
    <t>SHAW AQUATICS CENTER</t>
  </si>
  <si>
    <t>CANA ISLAND COUNTY PARK ACQUISITION &amp; DEVELOPMENT</t>
  </si>
  <si>
    <t>DOOR COUNTY</t>
  </si>
  <si>
    <t>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t>
  </si>
  <si>
    <t>CANA ISLAND COUNTY PARK</t>
  </si>
  <si>
    <t>DOOR</t>
  </si>
  <si>
    <t>HORICON MARSH INTL. ED. CTR INTERPRETATIVE EXHIBIT</t>
  </si>
  <si>
    <t>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t>
  </si>
  <si>
    <t>HORICON MARSH WILDLIFE AREA</t>
  </si>
  <si>
    <t>DODGE</t>
  </si>
  <si>
    <t>INTERSTATE STATE PARK VAULT TOILET REPLACEMENT</t>
  </si>
  <si>
    <t>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t>
  </si>
  <si>
    <t>INTERSTATE STATE PARK</t>
  </si>
  <si>
    <t>WHITE RIVER CROSSING ACQUISITION</t>
  </si>
  <si>
    <t>CITY OF LAKE GENEVA</t>
  </si>
  <si>
    <t>Lake Geneva will acquire 60.6-acres for a new city park. Future development includes a nature trail, canoeing and kayaking, fishing, snowshoeing, and cross-country skiing.</t>
  </si>
  <si>
    <t>WHITE RIVER TRAIL PARK</t>
  </si>
  <si>
    <t>5 ARCH STONE BRIDGE ACQUISITION</t>
  </si>
  <si>
    <t>ROCKY COUNTY</t>
  </si>
  <si>
    <t>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t>
  </si>
  <si>
    <t>MARYBELLE'S VIEW PARK</t>
  </si>
  <si>
    <t>ROCK</t>
  </si>
  <si>
    <t>WYALUSING STATE PARK-HOMESTEAD CAMPGROUND SHOWER</t>
  </si>
  <si>
    <t>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t>
  </si>
  <si>
    <t>WYALUSING STATE PARK</t>
  </si>
  <si>
    <t>BIG FOOT BEACH STATE PK-TOILET/SHOWER BUIDLING DEV</t>
  </si>
  <si>
    <t>The Wisconsin DNR will improve the 271-acre Big Foot Beach State Park along the shore of Geneva Lake by removing and replacing the shower building in the campground area with an accessible structure.</t>
  </si>
  <si>
    <t>BIG FOOT BEACH STATE PARK</t>
  </si>
  <si>
    <t>ABENDSCHEIN PARK DEVELOPMENT</t>
  </si>
  <si>
    <t>CITY OF OAK CREEK</t>
  </si>
  <si>
    <t>Oak Creek (Milwaukee County) will improve the 75-acre Abendschein Park by constructing trails, pedestrian bridges, and a parking area; adding landscaping; and, installing utilities and general signage.</t>
  </si>
  <si>
    <t>ABENDSCHEIN PARK</t>
  </si>
  <si>
    <t>MILWAUKEE</t>
  </si>
  <si>
    <t>SIMMONS ISLAND PARK BOARDWALK</t>
  </si>
  <si>
    <t>CITY OF KENOSHA</t>
  </si>
  <si>
    <t>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t>
  </si>
  <si>
    <t>SIMMONS ISLAND PARK</t>
  </si>
  <si>
    <t>KENOSHA</t>
  </si>
  <si>
    <t>EAST RIVER TRAIL CANOE/KAYAK LAUNCH ACQUISITION</t>
  </si>
  <si>
    <t>CITY OF GREEN BAY</t>
  </si>
  <si>
    <t>The city of Green Bay will acquire 2 parcels (0.2 and 0.45 totaling 0.65 acres) to expand the East River Trail.</t>
  </si>
  <si>
    <t>EAST RIVER TRAIL</t>
  </si>
  <si>
    <t>BLUE MOUNDS STATE PARK SWIMMING POOL RENOVATION</t>
  </si>
  <si>
    <t>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t>
  </si>
  <si>
    <t>BLUE MOUNDS STATE PARK</t>
  </si>
  <si>
    <t>Dane</t>
  </si>
  <si>
    <t>CITY OF OSHKOSH WILLIAM STEIGER RIVERWALK</t>
  </si>
  <si>
    <t>CITY OF OSHKOSH</t>
  </si>
  <si>
    <t>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t>
  </si>
  <si>
    <t>WILLIAM STEIGER PARK</t>
  </si>
  <si>
    <t>WINNEBAGO</t>
  </si>
  <si>
    <t>CITY OF MENASHA - FOX RIVER PARK DEVELOPMENT</t>
  </si>
  <si>
    <t>CITY OF MENASHA</t>
  </si>
  <si>
    <t>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t>
  </si>
  <si>
    <t>FOX RIVER PARK</t>
  </si>
  <si>
    <t>CITY OF OSHKOSH - SOUTH RIVERWALK DEVELOPMENT</t>
  </si>
  <si>
    <t>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t>
  </si>
  <si>
    <t>SOUTH RIVERWALK</t>
  </si>
  <si>
    <t>Mayfield Park Acquisition</t>
  </si>
  <si>
    <t>City of Morgantown</t>
  </si>
  <si>
    <t>The city of Morgantown will acquire 2.055 acres of parkland known as Mayfield park, located on the southwest corner of Mineral Street and Denver Avenue.</t>
  </si>
  <si>
    <t>Mayfield Park</t>
  </si>
  <si>
    <t>MONONGALIA</t>
  </si>
  <si>
    <t>Hite Road Park - Phase One</t>
  </si>
  <si>
    <t>Jefferson County Parks &amp; Recreation Commission</t>
  </si>
  <si>
    <t>The Jefferson County Parks &amp; Recreation will perform site preparation and development of a soccer field at its Hite Road Park, including parking and driveway improvements &amp; Installation of NPS LWCF acknowledgement signage.</t>
  </si>
  <si>
    <t>Hite Road Park</t>
  </si>
  <si>
    <t>Ferguson Park Playground</t>
  </si>
  <si>
    <t>City of Shinnston</t>
  </si>
  <si>
    <t>The city of Shinnston will purchase and install an ADA compliant playground for toddlers at the city's Ferguson Memorial Park.</t>
  </si>
  <si>
    <t>Ferguson Memorial Park</t>
  </si>
  <si>
    <t>HARRISON</t>
  </si>
  <si>
    <t>River City Skatepark</t>
  </si>
  <si>
    <t>City of Parsons</t>
  </si>
  <si>
    <t>The City of Parsons will purchas and install skateboard eequipment at River City Park, including correct restroom threshold and handicapped parking signage for improved ADA accessibility.</t>
  </si>
  <si>
    <t>River City Park</t>
  </si>
  <si>
    <t>TUCKER</t>
  </si>
  <si>
    <t>Fort Neal Park Restrooms</t>
  </si>
  <si>
    <t>City of Parkersburg</t>
  </si>
  <si>
    <t>The City of Parkersburg will construct a 570 SF masonry comfort station at Fort Neal Park, up to the limits of the grant award.</t>
  </si>
  <si>
    <t>Fort Neal Park</t>
  </si>
  <si>
    <t>WOOD</t>
  </si>
  <si>
    <t>Barbour County Park Playground</t>
  </si>
  <si>
    <t>Barbour County Commission</t>
  </si>
  <si>
    <t>The Barbour County Commission will replace obsolete play- ground equipment at the Barbour County Park playground with ADA compliant equipment, up to the limits of the grant award.</t>
  </si>
  <si>
    <t>Barbour County Park</t>
  </si>
  <si>
    <t>BARBOUR</t>
  </si>
  <si>
    <t>Ridenour Lake Shelter Repairs</t>
  </si>
  <si>
    <t>City of Nitro</t>
  </si>
  <si>
    <t>The city of Nitro will perform repairs to Shelter #4 at Ridenour Park, including improved ADA Accessiblity, the sponsor funded demolition of an abandoned comfort station in the vicinity of Shelter Four.</t>
  </si>
  <si>
    <t>Ridenour Lake Park</t>
  </si>
  <si>
    <t>Kanawha</t>
  </si>
  <si>
    <t>Veterans Memorial Park Bathhouse Renovation</t>
  </si>
  <si>
    <t>City of Clarksburg</t>
  </si>
  <si>
    <t>The city of Clarksburg will complete interior renovations of its existing pool bathhouse at the Veterans Memorial Park to comply iwth the requirements of the 1990 Americans With Disability Act.</t>
  </si>
  <si>
    <t>Veteran's Memorial Park</t>
  </si>
  <si>
    <t>Harrison</t>
  </si>
  <si>
    <t>Glen Dale Bathhouse &amp; Group Shelter Repairs</t>
  </si>
  <si>
    <t>City of Glen Dale</t>
  </si>
  <si>
    <t>The city of Glen Dale will perform structural repairs and renovations to the bathhouse and group shelter repairs located at Glen Dale City Park.</t>
  </si>
  <si>
    <t>Glen Dale City Park</t>
  </si>
  <si>
    <t>Sam Michael's Park Shelter &amp; Playground</t>
  </si>
  <si>
    <t>The Jefferson County Parks &amp; Recreation Commission will construct a new group picnic shelter, ADA compliant playground and LWCF signage at Sam Michaels's Park.</t>
  </si>
  <si>
    <t>Sam Michael's Park</t>
  </si>
  <si>
    <t>Veterans Memorial Park Improvements II</t>
  </si>
  <si>
    <t>The City of Clarksburg will construct improvements to the park including a new group picnic shelter and pool complex shade structure.</t>
  </si>
  <si>
    <t>Parkersburg Southwood Park Mini-Golf</t>
  </si>
  <si>
    <t>The city of Parkersburg will construct an ADA compliant mini golf course at Southwood Park</t>
  </si>
  <si>
    <t>SOUTHWOOD PARK</t>
  </si>
  <si>
    <t>Wood</t>
  </si>
  <si>
    <t>City of Huntington Harris Riverfront Park</t>
  </si>
  <si>
    <t>City of Huntington</t>
  </si>
  <si>
    <t>The city of Huntington will construct a new path and skateboard elements within its Harris Riverfront Park.</t>
  </si>
  <si>
    <t>Harris Park</t>
  </si>
  <si>
    <t>Cabell</t>
  </si>
  <si>
    <t>Wheeling Park Stifel Playground Improvements</t>
  </si>
  <si>
    <t>Wheeling Park Commission</t>
  </si>
  <si>
    <t>The Wheeling Park Commission will perform playground and comfort station renovations including ADA improvements and LWCF signage at Stifel Playground.</t>
  </si>
  <si>
    <t>WHEELING PARK</t>
  </si>
  <si>
    <t>Ohio</t>
  </si>
  <si>
    <t>Pleasants County Park Pool Complex</t>
  </si>
  <si>
    <t>Plesants County Commission</t>
  </si>
  <si>
    <t>Pleasants Cty will perform pool &amp; bathhouse renovations including ADA improvements and LWCF signage installation at the Park in St. Mary's.</t>
  </si>
  <si>
    <t>Pleasants County Park</t>
  </si>
  <si>
    <t>PLEASANTS</t>
  </si>
  <si>
    <t>Lewis County Park ADA Improvements</t>
  </si>
  <si>
    <t>Lewis County Commission</t>
  </si>
  <si>
    <t>Lewis County Commission will perform ADA improvements to its pool complex and playground.</t>
  </si>
  <si>
    <t>LEWIS COUNTY PARK</t>
  </si>
  <si>
    <t>Lewis</t>
  </si>
  <si>
    <t>GLENDO STATE PARK TRIALS PHASE 3</t>
  </si>
  <si>
    <t>STATE OF WYOMING</t>
  </si>
  <si>
    <t>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t>
  </si>
  <si>
    <t>GLENDO STATE PARK</t>
  </si>
  <si>
    <t>PLATTE</t>
  </si>
  <si>
    <t>HOLLIDAY PARK EXPANSION</t>
  </si>
  <si>
    <t>CITY OF CHEYENNE</t>
  </si>
  <si>
    <t>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t>
  </si>
  <si>
    <t>HOLLIDAY PARK</t>
  </si>
  <si>
    <t>Laramie</t>
  </si>
  <si>
    <t>MOUNTAIN VIEW TOWN PARK IMPROVEMENTS PHASE II</t>
  </si>
  <si>
    <t>TOWN OF MOUNTAIN VIEW</t>
  </si>
  <si>
    <t>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t>
  </si>
  <si>
    <t>MOUNTAIN VIEW TOWN PARK</t>
  </si>
  <si>
    <t>UINTA</t>
  </si>
  <si>
    <t>WEST VIEW PARK</t>
  </si>
  <si>
    <t>CITY OF MOORCROFT</t>
  </si>
  <si>
    <t>Moorcroft (Crook County) will improve Westview Park by constructing a regulation size “Little League” baseball field, a scorer’s booth/concession stand/restroom facility, and a playground plus installing lighting, park signage, utilities, and flag poles.</t>
  </si>
  <si>
    <t>WESTVIEW PARK</t>
  </si>
  <si>
    <t>Crook</t>
  </si>
  <si>
    <t>UNDINE PARK SPLASH PAD PHASE 2</t>
  </si>
  <si>
    <t>CITY OF LARAMIE</t>
  </si>
  <si>
    <t>Laramie (Albany County) will improve Undine Park by constructing an additional 662 s.f. of the splash pad and the installation of seven play features along with a UV water filtration system. Undine Park is Laramie’s oldest park.</t>
  </si>
  <si>
    <t>UNDINE PARK</t>
  </si>
  <si>
    <t>ALTA PARK PLAYGROUND</t>
  </si>
  <si>
    <t>TETON COUNTY</t>
  </si>
  <si>
    <t>Teton County will improve Alta Park by installing a climbing boulder and ropes playground upon an engineered wood fiber protective surfacing.</t>
  </si>
  <si>
    <t>ALTA PARK</t>
  </si>
  <si>
    <t>Teton</t>
  </si>
  <si>
    <t>CROSSROADS WEST PARK</t>
  </si>
  <si>
    <t>SWEETWATER COUNTY</t>
  </si>
  <si>
    <t>Sweetwater County will utilize improve Crossroads West Park in Rock Springs by replacing two fixed playground structures.</t>
  </si>
  <si>
    <t>Sweetwater</t>
  </si>
  <si>
    <t>MEETEETSE RODEO GROUNDS PHASE 2</t>
  </si>
  <si>
    <t>TOWN OF MEETEETSE</t>
  </si>
  <si>
    <t>The Town of Meeteetse will improve the Rodeo Grounds by constructing new arena support facilities including underground electrical utilities.</t>
  </si>
  <si>
    <t>MEETEETSE RODEO ARENA</t>
  </si>
  <si>
    <t>CENTENNIAL PARK PLAYGROUND</t>
  </si>
  <si>
    <t>SHERIDAN COUNTY</t>
  </si>
  <si>
    <t>Sheridan County will improve Centennial Park by replacing the outdated playground equipment and re-surfacing the playground to meet current safety standards.</t>
  </si>
  <si>
    <t>SHERIDAN</t>
  </si>
  <si>
    <t>OWEN BIRCHER PARK</t>
  </si>
  <si>
    <t>Teton County will remove an old picnic shelter and replace it with a larger, updated shelter within the 4.68-acre Owen Bircher Park. The project will include the use of recycled and sustainable building materials. Owen Bircher Park is sited within the community of Wilson.</t>
  </si>
  <si>
    <t>TETON</t>
  </si>
  <si>
    <t>SUNDANCE SWIMMING POOL</t>
  </si>
  <si>
    <t>CITY OF SUNDANCE</t>
  </si>
  <si>
    <t>Sundance (Crook County) will renovate the Sundance Municipal Pool by replacing the plumbing and updating the shower house to accessible standards. This pool is one of only a few outdoor recreational activities Sundance has to offer.</t>
  </si>
  <si>
    <t>SUNDANCE MUNICIPAL POOL</t>
  </si>
  <si>
    <t>CURT GOWDY STATE PARK VISITOR CENTER SHOWER HOUSE</t>
  </si>
  <si>
    <t>The Wyoming Department of State Parks and Cultural Resources will construct a shower house at the Curt Gowdy State Park visitor center.</t>
  </si>
  <si>
    <t>CURT GOWDY STATE PARK</t>
  </si>
  <si>
    <t>GUERNSEY COMMUNITY PICNIC SHELTER</t>
  </si>
  <si>
    <t>CITY OF GUERNSEY</t>
  </si>
  <si>
    <t>The Town of Guernsey will construct a group picnic shelter and accessible sidewalk within City Park.</t>
  </si>
  <si>
    <t>Platte</t>
  </si>
  <si>
    <t>CURT GOWDY STATE PARK PLAYGROUND IMPROVEMENTS</t>
  </si>
  <si>
    <t>Wyoming State Parks will install new playground equipment near the group facilities at the Sherman Hills and Camp Jack areas of Curt Gowdy State Park. These replace the equipment at the Monte Cristo area.</t>
  </si>
  <si>
    <t>LEWIS PARK WILD WEST SPLASH PAD</t>
  </si>
  <si>
    <t>TOWN OF WHEATLAND</t>
  </si>
  <si>
    <t>Wheatland will develop a splash park within Lewis Park.</t>
  </si>
  <si>
    <t>LEWIS CITY PARK</t>
  </si>
  <si>
    <t>SOUTH PARK ELEVATED BOARDWALK/CLASSROOM PLATFORM</t>
  </si>
  <si>
    <t>CITY OF SHERIDAN</t>
  </si>
  <si>
    <t>The city of Sheridan will construct an elevated boardwalk leading to a raised viewing platform which will be used as an outdoor educational tool at South Park.</t>
  </si>
  <si>
    <t>Sheridan</t>
  </si>
  <si>
    <t>MARTIN LUTHER KING, JR. PARK TENNIS COURTS</t>
  </si>
  <si>
    <t>Cheyenne will construct QuickStart tennis courts. The previous courts have aged and deteriorated beyond repair. QuickStart tennis courts are smaller allowing four courts to fit onto the footprint of a standard court.</t>
  </si>
  <si>
    <t>MARTIN LUTHER KING PARK</t>
  </si>
  <si>
    <t>HIGHLAND NEIGHBORHOOD PARK DEVELOPMENT PHASE I</t>
  </si>
  <si>
    <t>The city of Cheyenne will develop a 2.79-acre parcel into a new neighborhood park within the Buffalo Ridge neighborhood as its first park. This development will include the installation of a picnic shelter with furnishings, a playground, and a basketball court.</t>
  </si>
  <si>
    <t>HIGHLAND NEIGHBORHOOD PARK</t>
  </si>
  <si>
    <t>LARAMIE</t>
  </si>
  <si>
    <t>Stateside 2011-2014</t>
  </si>
  <si>
    <t>Sum of Obligation Amount</t>
  </si>
  <si>
    <t>TOTAL</t>
  </si>
  <si>
    <t>YEAR</t>
  </si>
  <si>
    <t>STATE</t>
  </si>
  <si>
    <t>COUNTY</t>
  </si>
  <si>
    <t>BATTLEFIELD</t>
  </si>
  <si>
    <t>ACRES</t>
  </si>
  <si>
    <t>AMOUNT</t>
  </si>
  <si>
    <t>Mill Springs</t>
  </si>
  <si>
    <t>Perryville</t>
  </si>
  <si>
    <t>South Mountain</t>
  </si>
  <si>
    <t>Wood Lake</t>
  </si>
  <si>
    <t>Wilson's Creek</t>
  </si>
  <si>
    <t>Vicksburg</t>
  </si>
  <si>
    <t>Port Gibson</t>
  </si>
  <si>
    <t>Wyse Fork</t>
  </si>
  <si>
    <t>Bentonville</t>
  </si>
  <si>
    <t>Cabin Creek</t>
  </si>
  <si>
    <t>Gettysburg</t>
  </si>
  <si>
    <t>Shiloh</t>
  </si>
  <si>
    <t>Parker's Crossroads</t>
  </si>
  <si>
    <t>Franklin II</t>
  </si>
  <si>
    <t>Chaffin's Farm</t>
  </si>
  <si>
    <t>Chancellorsville</t>
  </si>
  <si>
    <t>Fauquier</t>
  </si>
  <si>
    <t>Buckland Mills</t>
  </si>
  <si>
    <t>Frederick/Orange</t>
  </si>
  <si>
    <t>Cedar Creek/Mine Run</t>
  </si>
  <si>
    <t>Tom's Brook</t>
  </si>
  <si>
    <t>Mine Run</t>
  </si>
  <si>
    <t>Shepherdstown</t>
  </si>
  <si>
    <t>Jefferson County</t>
  </si>
  <si>
    <t>Summit Point</t>
  </si>
  <si>
    <t>Smithfield Crossing</t>
  </si>
  <si>
    <t>Marietta Operations</t>
  </si>
  <si>
    <t>Wayne</t>
  </si>
  <si>
    <t>Mansfield</t>
  </si>
  <si>
    <t>Averasborough</t>
  </si>
  <si>
    <t>Franklin I</t>
  </si>
  <si>
    <t>Kelly's Ford</t>
  </si>
  <si>
    <t>Totopotomoy Creek</t>
  </si>
  <si>
    <t>Peebles' Farm</t>
  </si>
  <si>
    <t xml:space="preserve">Prince William </t>
  </si>
  <si>
    <t>Manassas II</t>
  </si>
  <si>
    <t>Cool Springs</t>
  </si>
  <si>
    <t>Ware Bottom Church</t>
  </si>
  <si>
    <t>Cool Springs/Kelly's Ford</t>
  </si>
  <si>
    <t>Cross Keys</t>
  </si>
  <si>
    <t>Ball's Bluff</t>
  </si>
  <si>
    <t>Sailor's Creek</t>
  </si>
  <si>
    <t>Cedar Mountain</t>
  </si>
  <si>
    <t>Appomattox Courthouse</t>
  </si>
  <si>
    <t>Chickamauga</t>
  </si>
  <si>
    <t>Antietam</t>
  </si>
  <si>
    <t>Carthage</t>
  </si>
  <si>
    <t>Brice's Crossroads</t>
  </si>
  <si>
    <t>Chattanooga III</t>
  </si>
  <si>
    <t>Rappahannock Station I</t>
  </si>
  <si>
    <t>Rappahannock Station II</t>
  </si>
  <si>
    <t>High Bridge</t>
  </si>
  <si>
    <t>Glendale</t>
  </si>
  <si>
    <t>New Market</t>
  </si>
  <si>
    <t>Brandy Station</t>
  </si>
  <si>
    <t>Deep Bottom I</t>
  </si>
  <si>
    <t>Glorieta Pass</t>
  </si>
  <si>
    <t>Thompson's Station</t>
  </si>
  <si>
    <t>Aldie</t>
  </si>
  <si>
    <t>North Anna</t>
  </si>
  <si>
    <t>White Oak Road</t>
  </si>
  <si>
    <t>Reams Station II</t>
  </si>
  <si>
    <t>Harpers Ferry</t>
  </si>
  <si>
    <t>Sum of AMOUNT</t>
  </si>
  <si>
    <t>Total Grants 
2011-2014</t>
  </si>
  <si>
    <t>Federal Projects 2011-2014</t>
  </si>
  <si>
    <t>ABPP 2011-2014</t>
  </si>
  <si>
    <t>Sum of Funding</t>
  </si>
  <si>
    <t>HCA 2011-2014</t>
  </si>
  <si>
    <t>CESCF 2011-2014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</si>
</sst>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quot;$&quot;* #,##0_);_(&quot;$&quot;* \(#,##0\);_(&quot;$&quot;* &quot;-&quot;??_);_(@_)"/>
    <numFmt numFmtId="166" formatCode="[$$-409]#,##0_);[Red]\([$$-409]#,##0\)"/>
    <numFmt numFmtId="167" formatCode="&quot;$&quot;#,##0.00"/>
  </numFmts>
  <fonts count="18" x14ac:knownFonts="1">
    <font>
      <sz val="11"/>
      <color theme="1"/>
      <name val="Calibri"/>
      <family val="2"/>
      <scheme val="minor"/>
    </font>
    <font>
      <b/>
      <sz val="11"/>
      <color theme="1"/>
      <name val="Calibri"/>
      <family val="2"/>
      <scheme val="minor"/>
    </font>
    <font>
      <sz val="12"/>
      <color rgb="FF000000"/>
      <name val="Cambria"/>
      <family val="1"/>
    </font>
    <font>
      <sz val="11"/>
      <color theme="1"/>
      <name val="Calibri"/>
      <family val="2"/>
      <scheme val="minor"/>
    </font>
    <font>
      <sz val="10"/>
      <color indexed="8"/>
      <name val="Arial"/>
      <family val="2"/>
    </font>
    <font>
      <sz val="10"/>
      <color theme="1"/>
      <name val="Calibri"/>
      <family val="2"/>
      <scheme val="minor"/>
    </font>
    <font>
      <sz val="11"/>
      <name val="Calibri"/>
      <family val="2"/>
      <scheme val="minor"/>
    </font>
    <font>
      <b/>
      <sz val="9"/>
      <color indexed="81"/>
      <name val="Tahoma"/>
      <family val="2"/>
    </font>
    <font>
      <sz val="9"/>
      <color indexed="81"/>
      <name val="Tahoma"/>
      <family val="2"/>
    </font>
    <font>
      <sz val="10"/>
      <name val="Calibri"/>
      <family val="2"/>
      <scheme val="minor"/>
    </font>
    <font>
      <sz val="11"/>
      <color rgb="FF000000"/>
      <name val="Calibri"/>
      <family val="2"/>
      <scheme val="minor"/>
    </font>
    <font>
      <sz val="9"/>
      <color rgb="FF000000"/>
      <name val="Arial"/>
      <family val="2"/>
    </font>
    <font>
      <sz val="9"/>
      <color rgb="FF0B0080"/>
      <name val="Arial"/>
      <family val="2"/>
    </font>
    <font>
      <sz val="11"/>
      <color theme="1"/>
      <name val="Calibri"/>
      <family val="2"/>
    </font>
    <font>
      <i/>
      <sz val="11"/>
      <color theme="1"/>
      <name val="Calibri"/>
      <family val="2"/>
      <scheme val="minor"/>
    </font>
    <font>
      <b/>
      <sz val="10"/>
      <color indexed="8"/>
      <name val="Arial"/>
      <family val="2"/>
    </font>
    <font>
      <i/>
      <sz val="10"/>
      <color indexed="8"/>
      <name val="Arial"/>
      <family val="2"/>
    </font>
    <font>
      <b/>
      <sz val="7.5"/>
      <color theme="1"/>
      <name val="Verdana"/>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4" fontId="3" fillId="0" borderId="0" applyFont="0" applyFill="0" applyBorder="0" applyAlignment="0" applyProtection="0"/>
    <xf numFmtId="0" fontId="4" fillId="0" borderId="0">
      <alignment vertical="top"/>
    </xf>
    <xf numFmtId="44" fontId="4" fillId="0" borderId="0" applyFont="0" applyFill="0" applyBorder="0" applyAlignment="0" applyProtection="0">
      <alignment vertical="top"/>
    </xf>
    <xf numFmtId="43" fontId="3" fillId="0" borderId="0" applyFont="0" applyFill="0" applyBorder="0" applyAlignment="0" applyProtection="0"/>
  </cellStyleXfs>
  <cellXfs count="197">
    <xf numFmtId="0" fontId="0" fillId="0" borderId="0" xfId="0"/>
    <xf numFmtId="0" fontId="0" fillId="0" borderId="0" xfId="0" applyAlignment="1">
      <alignment horizontal="left"/>
    </xf>
    <xf numFmtId="0" fontId="1" fillId="2" borderId="0" xfId="0" applyFont="1" applyFill="1"/>
    <xf numFmtId="0" fontId="1" fillId="2" borderId="0" xfId="0" applyFont="1" applyFill="1" applyAlignment="1">
      <alignment horizontal="left"/>
    </xf>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8" fontId="0" fillId="0" borderId="0" xfId="0" applyNumberFormat="1" applyAlignment="1">
      <alignment horizontal="right"/>
    </xf>
    <xf numFmtId="164" fontId="0" fillId="0" borderId="0" xfId="0" applyNumberFormat="1" applyAlignment="1">
      <alignment horizontal="right"/>
    </xf>
    <xf numFmtId="8" fontId="1" fillId="2" borderId="0" xfId="0" applyNumberFormat="1" applyFont="1" applyFill="1" applyAlignment="1">
      <alignment horizontal="right"/>
    </xf>
    <xf numFmtId="0" fontId="1" fillId="0" borderId="0" xfId="0" applyFont="1" applyAlignment="1">
      <alignment horizontal="center"/>
    </xf>
    <xf numFmtId="0" fontId="4" fillId="0" borderId="0" xfId="2">
      <alignment vertical="top"/>
    </xf>
    <xf numFmtId="165" fontId="0" fillId="0" borderId="0" xfId="3" applyNumberFormat="1" applyFont="1">
      <alignment vertical="top"/>
    </xf>
    <xf numFmtId="0" fontId="4" fillId="0" borderId="0" xfId="2" applyFont="1">
      <alignment vertical="top"/>
    </xf>
    <xf numFmtId="165" fontId="4" fillId="0" borderId="0" xfId="3" applyNumberFormat="1" applyFont="1">
      <alignment vertical="top"/>
    </xf>
    <xf numFmtId="0" fontId="0" fillId="0" borderId="0" xfId="0" applyBorder="1"/>
    <xf numFmtId="0" fontId="0" fillId="3" borderId="0" xfId="0" applyFill="1"/>
    <xf numFmtId="0" fontId="0" fillId="4" borderId="0" xfId="0" applyFill="1" applyAlignment="1">
      <alignment horizontal="left"/>
    </xf>
    <xf numFmtId="0" fontId="0" fillId="4" borderId="0" xfId="0" applyFill="1" applyAlignment="1">
      <alignment horizontal="center"/>
    </xf>
    <xf numFmtId="0" fontId="0" fillId="4" borderId="0" xfId="0" applyFill="1"/>
    <xf numFmtId="8" fontId="0" fillId="4" borderId="0" xfId="0" applyNumberFormat="1" applyFill="1" applyAlignment="1">
      <alignment horizontal="right"/>
    </xf>
    <xf numFmtId="164" fontId="0" fillId="4" borderId="0" xfId="0" applyNumberFormat="1" applyFill="1" applyAlignment="1">
      <alignment horizontal="right"/>
    </xf>
    <xf numFmtId="0" fontId="0" fillId="0" borderId="0" xfId="0" applyFill="1"/>
    <xf numFmtId="0" fontId="0" fillId="2" borderId="0" xfId="0" applyFill="1" applyAlignment="1">
      <alignment horizontal="left"/>
    </xf>
    <xf numFmtId="0" fontId="0" fillId="2" borderId="0" xfId="0" applyFill="1"/>
    <xf numFmtId="0" fontId="1" fillId="0"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0" fontId="0" fillId="0" borderId="0" xfId="0" applyAlignment="1">
      <alignment vertical="top"/>
    </xf>
    <xf numFmtId="0" fontId="6" fillId="0" borderId="2" xfId="0" applyFont="1" applyFill="1" applyBorder="1" applyAlignment="1">
      <alignment horizontal="center" vertical="center" wrapText="1"/>
    </xf>
    <xf numFmtId="0" fontId="6" fillId="0" borderId="2" xfId="0" applyFont="1" applyFill="1" applyBorder="1"/>
    <xf numFmtId="39" fontId="1" fillId="0" borderId="1" xfId="0" applyNumberFormat="1" applyFont="1" applyFill="1" applyBorder="1" applyAlignment="1">
      <alignment horizontal="center" vertical="center" wrapText="1"/>
    </xf>
    <xf numFmtId="5"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ont="1" applyFill="1" applyBorder="1"/>
    <xf numFmtId="0" fontId="0" fillId="0" borderId="2" xfId="0" applyFont="1" applyFill="1" applyBorder="1"/>
    <xf numFmtId="0" fontId="0" fillId="0" borderId="2" xfId="0" applyFont="1" applyFill="1" applyBorder="1" applyAlignment="1">
      <alignment horizontal="center"/>
    </xf>
    <xf numFmtId="0" fontId="0" fillId="0" borderId="2" xfId="0" applyFont="1" applyFill="1" applyBorder="1" applyAlignment="1">
      <alignment horizontal="left" wrapText="1"/>
    </xf>
    <xf numFmtId="0" fontId="0" fillId="0" borderId="2" xfId="0" applyFont="1" applyFill="1" applyBorder="1" applyAlignment="1">
      <alignment horizontal="left" vertical="top" wrapText="1"/>
    </xf>
    <xf numFmtId="0" fontId="0" fillId="0" borderId="2" xfId="0" applyFill="1" applyBorder="1"/>
    <xf numFmtId="0" fontId="0" fillId="0" borderId="2" xfId="0" applyFont="1" applyFill="1" applyBorder="1" applyAlignment="1">
      <alignment horizontal="center" wrapText="1"/>
    </xf>
    <xf numFmtId="0" fontId="0" fillId="0" borderId="2" xfId="0" applyFont="1" applyFill="1" applyBorder="1" applyAlignment="1">
      <alignment horizontal="center" vertical="top" wrapText="1"/>
    </xf>
    <xf numFmtId="164" fontId="0" fillId="0" borderId="2" xfId="0" applyNumberFormat="1" applyFont="1" applyFill="1" applyBorder="1" applyAlignment="1">
      <alignment horizontal="right"/>
    </xf>
    <xf numFmtId="4" fontId="0" fillId="0" borderId="2" xfId="0" applyNumberFormat="1" applyFont="1" applyFill="1" applyBorder="1" applyAlignment="1">
      <alignment horizontal="right"/>
    </xf>
    <xf numFmtId="39" fontId="0" fillId="0" borderId="2" xfId="0" applyNumberFormat="1" applyFont="1" applyFill="1" applyBorder="1" applyAlignment="1">
      <alignment horizontal="right"/>
    </xf>
    <xf numFmtId="39" fontId="0" fillId="0" borderId="2" xfId="0" applyNumberFormat="1" applyFont="1" applyFill="1" applyBorder="1" applyAlignment="1">
      <alignment horizontal="center"/>
    </xf>
    <xf numFmtId="0" fontId="5" fillId="0" borderId="2" xfId="0" applyFont="1" applyFill="1" applyBorder="1" applyAlignment="1">
      <alignment horizontal="left" vertical="top" wrapText="1"/>
    </xf>
    <xf numFmtId="5" fontId="0" fillId="0" borderId="2" xfId="0" applyNumberFormat="1" applyFont="1" applyFill="1" applyBorder="1" applyAlignment="1">
      <alignment horizontal="center" vertical="justify" wrapText="1"/>
    </xf>
    <xf numFmtId="166" fontId="0" fillId="0" borderId="2" xfId="0" applyNumberFormat="1" applyFont="1" applyFill="1" applyBorder="1" applyAlignment="1">
      <alignment horizontal="center" vertical="justify" wrapText="1"/>
    </xf>
    <xf numFmtId="0" fontId="1"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4" fontId="0" fillId="0" borderId="4" xfId="0" applyNumberFormat="1" applyFont="1" applyFill="1" applyBorder="1" applyAlignment="1"/>
    <xf numFmtId="164" fontId="0" fillId="0" borderId="2" xfId="0" applyNumberFormat="1" applyFont="1" applyFill="1" applyBorder="1"/>
    <xf numFmtId="4" fontId="0" fillId="0" borderId="2" xfId="0" applyNumberFormat="1" applyFont="1" applyFill="1" applyBorder="1" applyAlignment="1"/>
    <xf numFmtId="6" fontId="0" fillId="0" borderId="2" xfId="0" applyNumberFormat="1" applyFont="1" applyFill="1" applyBorder="1" applyAlignment="1">
      <alignment horizontal="center" vertical="justify" wrapText="1"/>
    </xf>
    <xf numFmtId="0" fontId="3" fillId="0" borderId="2" xfId="0" applyFont="1" applyFill="1" applyBorder="1"/>
    <xf numFmtId="0" fontId="3" fillId="0" borderId="2" xfId="0" applyFont="1" applyFill="1" applyBorder="1" applyAlignment="1">
      <alignment horizontal="left" vertical="top" wrapText="1"/>
    </xf>
    <xf numFmtId="0" fontId="3" fillId="0" borderId="2" xfId="0" applyFont="1" applyFill="1" applyBorder="1" applyAlignment="1">
      <alignment horizontal="center" wrapText="1"/>
    </xf>
    <xf numFmtId="0" fontId="3" fillId="0" borderId="2" xfId="0" applyFont="1" applyFill="1" applyBorder="1" applyAlignment="1">
      <alignment horizontal="center" vertical="top" wrapText="1"/>
    </xf>
    <xf numFmtId="164" fontId="3" fillId="0" borderId="2" xfId="0" applyNumberFormat="1" applyFont="1" applyFill="1" applyBorder="1" applyAlignment="1">
      <alignment horizontal="right"/>
    </xf>
    <xf numFmtId="4" fontId="0" fillId="0" borderId="4" xfId="0" applyNumberFormat="1" applyFont="1" applyFill="1" applyBorder="1" applyAlignment="1">
      <alignment horizontal="right"/>
    </xf>
    <xf numFmtId="39" fontId="3" fillId="0" borderId="2" xfId="0" applyNumberFormat="1" applyFont="1" applyFill="1" applyBorder="1" applyAlignment="1">
      <alignment horizontal="right"/>
    </xf>
    <xf numFmtId="166" fontId="3" fillId="0" borderId="2" xfId="0" applyNumberFormat="1" applyFont="1" applyFill="1" applyBorder="1" applyAlignment="1">
      <alignment horizontal="center" vertical="justify" wrapText="1"/>
    </xf>
    <xf numFmtId="164" fontId="3" fillId="0" borderId="2" xfId="0" applyNumberFormat="1" applyFont="1" applyFill="1" applyBorder="1" applyAlignment="1">
      <alignment wrapText="1"/>
    </xf>
    <xf numFmtId="164" fontId="0" fillId="0" borderId="2" xfId="0" applyNumberFormat="1" applyFont="1" applyFill="1" applyBorder="1" applyAlignment="1">
      <alignment wrapText="1"/>
    </xf>
    <xf numFmtId="0" fontId="3" fillId="0" borderId="3" xfId="0" applyFont="1" applyFill="1" applyBorder="1"/>
    <xf numFmtId="0" fontId="3" fillId="0" borderId="2" xfId="0" applyFont="1" applyFill="1" applyBorder="1" applyAlignment="1">
      <alignment horizontal="center"/>
    </xf>
    <xf numFmtId="164" fontId="3" fillId="0" borderId="2" xfId="0" applyNumberFormat="1" applyFont="1" applyFill="1" applyBorder="1"/>
    <xf numFmtId="166" fontId="6" fillId="0" borderId="2" xfId="0" applyNumberFormat="1" applyFont="1" applyFill="1" applyBorder="1" applyAlignment="1">
      <alignment horizontal="center" vertical="justify" wrapText="1"/>
    </xf>
    <xf numFmtId="4" fontId="3" fillId="0" borderId="2" xfId="0" applyNumberFormat="1" applyFont="1" applyFill="1" applyBorder="1" applyAlignment="1">
      <alignment horizontal="right"/>
    </xf>
    <xf numFmtId="0" fontId="0" fillId="0" borderId="0" xfId="0" applyFill="1" applyAlignment="1">
      <alignment vertical="top"/>
    </xf>
    <xf numFmtId="0" fontId="6" fillId="0" borderId="2" xfId="0" applyFont="1" applyFill="1" applyBorder="1" applyAlignment="1">
      <alignment horizontal="center"/>
    </xf>
    <xf numFmtId="0" fontId="6" fillId="0" borderId="2" xfId="0" applyFont="1" applyFill="1" applyBorder="1" applyAlignment="1">
      <alignment horizontal="left" vertical="top" wrapText="1"/>
    </xf>
    <xf numFmtId="0" fontId="6" fillId="0" borderId="2" xfId="0" applyFont="1" applyFill="1" applyBorder="1" applyAlignment="1">
      <alignment horizontal="center" wrapText="1"/>
    </xf>
    <xf numFmtId="0" fontId="9" fillId="0" borderId="2" xfId="0" applyFont="1" applyFill="1" applyBorder="1" applyAlignment="1">
      <alignment horizontal="left" vertical="top" wrapText="1"/>
    </xf>
    <xf numFmtId="5" fontId="6" fillId="0" borderId="2" xfId="0" applyNumberFormat="1" applyFont="1" applyFill="1" applyBorder="1" applyAlignment="1">
      <alignment horizontal="center" vertical="justify" wrapText="1"/>
    </xf>
    <xf numFmtId="164" fontId="6" fillId="0" borderId="2" xfId="0" applyNumberFormat="1" applyFont="1" applyFill="1" applyBorder="1"/>
    <xf numFmtId="4" fontId="6" fillId="0" borderId="2" xfId="0" applyNumberFormat="1" applyFont="1" applyFill="1" applyBorder="1" applyAlignment="1">
      <alignment horizontal="right"/>
    </xf>
    <xf numFmtId="4" fontId="6" fillId="0" borderId="2" xfId="0" applyNumberFormat="1" applyFont="1" applyFill="1" applyBorder="1" applyAlignment="1"/>
    <xf numFmtId="164" fontId="6" fillId="0" borderId="2" xfId="0" applyNumberFormat="1" applyFont="1" applyFill="1" applyBorder="1" applyAlignment="1">
      <alignment wrapText="1"/>
    </xf>
    <xf numFmtId="39" fontId="6" fillId="0" borderId="2" xfId="0" applyNumberFormat="1" applyFont="1" applyFill="1" applyBorder="1" applyAlignment="1">
      <alignment horizontal="right"/>
    </xf>
    <xf numFmtId="6" fontId="6" fillId="0" borderId="2" xfId="0" applyNumberFormat="1" applyFont="1" applyFill="1" applyBorder="1" applyAlignment="1">
      <alignment horizontal="center" vertical="justify" wrapText="1"/>
    </xf>
    <xf numFmtId="0" fontId="6" fillId="0" borderId="3" xfId="0" applyFont="1" applyFill="1" applyBorder="1"/>
    <xf numFmtId="39"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164" fontId="6" fillId="0" borderId="2" xfId="0" applyNumberFormat="1" applyFont="1" applyFill="1" applyBorder="1" applyAlignment="1">
      <alignment horizontal="right"/>
    </xf>
    <xf numFmtId="4" fontId="3" fillId="0" borderId="2" xfId="0" applyNumberFormat="1" applyFont="1" applyFill="1" applyBorder="1" applyAlignment="1"/>
    <xf numFmtId="164" fontId="0" fillId="0" borderId="2" xfId="0" applyNumberFormat="1" applyFont="1" applyFill="1" applyBorder="1" applyAlignment="1">
      <alignment horizontal="center"/>
    </xf>
    <xf numFmtId="164" fontId="0" fillId="0" borderId="2" xfId="0" applyNumberFormat="1" applyFill="1" applyBorder="1" applyAlignment="1">
      <alignment wrapText="1"/>
    </xf>
    <xf numFmtId="0" fontId="0" fillId="0" borderId="2" xfId="0" applyFont="1" applyFill="1" applyBorder="1" applyAlignment="1">
      <alignment horizontal="center" vertical="center"/>
    </xf>
    <xf numFmtId="164" fontId="0" fillId="0" borderId="2" xfId="0" applyNumberFormat="1" applyFont="1" applyFill="1" applyBorder="1" applyAlignment="1">
      <alignment horizontal="left" wrapText="1"/>
    </xf>
    <xf numFmtId="164" fontId="10" fillId="0" borderId="2" xfId="0" applyNumberFormat="1" applyFont="1" applyFill="1" applyBorder="1" applyAlignment="1">
      <alignment horizontal="left" wrapText="1"/>
    </xf>
    <xf numFmtId="0" fontId="5" fillId="0" borderId="2" xfId="0" applyFont="1" applyFill="1" applyBorder="1" applyAlignment="1">
      <alignment horizontal="center" vertical="top" wrapText="1"/>
    </xf>
    <xf numFmtId="39" fontId="14" fillId="0" borderId="2" xfId="0" applyNumberFormat="1" applyFont="1" applyFill="1" applyBorder="1" applyAlignment="1">
      <alignment horizontal="right"/>
    </xf>
    <xf numFmtId="0" fontId="0" fillId="0" borderId="5" xfId="0" applyFont="1" applyFill="1" applyBorder="1"/>
    <xf numFmtId="0" fontId="13" fillId="0" borderId="2" xfId="0" applyFont="1" applyFill="1" applyBorder="1" applyAlignment="1">
      <alignment horizontal="left" vertical="top"/>
    </xf>
    <xf numFmtId="0" fontId="0" fillId="0" borderId="5" xfId="0" applyFont="1" applyFill="1" applyBorder="1" applyAlignment="1">
      <alignment horizontal="left" vertical="top" wrapText="1"/>
    </xf>
    <xf numFmtId="0" fontId="0" fillId="0" borderId="5" xfId="0" applyFont="1" applyFill="1" applyBorder="1" applyAlignment="1">
      <alignment horizontal="center" wrapText="1"/>
    </xf>
    <xf numFmtId="0" fontId="0" fillId="0" borderId="5" xfId="0" applyFont="1" applyFill="1" applyBorder="1" applyAlignment="1">
      <alignment horizontal="center" vertical="center" wrapText="1"/>
    </xf>
    <xf numFmtId="164" fontId="0" fillId="0" borderId="5" xfId="0" applyNumberFormat="1" applyFont="1" applyFill="1" applyBorder="1"/>
    <xf numFmtId="164" fontId="0" fillId="0" borderId="5" xfId="0" applyNumberFormat="1" applyFont="1" applyFill="1" applyBorder="1" applyAlignment="1">
      <alignment horizontal="right"/>
    </xf>
    <xf numFmtId="4" fontId="3" fillId="0" borderId="4" xfId="0" applyNumberFormat="1" applyFont="1" applyFill="1" applyBorder="1" applyAlignment="1"/>
    <xf numFmtId="4" fontId="6" fillId="0" borderId="4" xfId="0" applyNumberFormat="1" applyFont="1" applyFill="1" applyBorder="1" applyAlignment="1"/>
    <xf numFmtId="4" fontId="0" fillId="0" borderId="5" xfId="0" applyNumberFormat="1" applyFont="1" applyFill="1" applyBorder="1" applyAlignment="1"/>
    <xf numFmtId="39" fontId="0" fillId="0" borderId="5" xfId="0" applyNumberFormat="1" applyFont="1" applyFill="1" applyBorder="1" applyAlignment="1">
      <alignment horizontal="right"/>
    </xf>
    <xf numFmtId="0" fontId="5" fillId="0" borderId="5" xfId="0" applyFont="1" applyFill="1" applyBorder="1" applyAlignment="1">
      <alignment horizontal="left" vertical="top" wrapText="1"/>
    </xf>
    <xf numFmtId="5" fontId="0" fillId="0" borderId="5" xfId="0" applyNumberFormat="1" applyFont="1" applyFill="1" applyBorder="1" applyAlignment="1">
      <alignment horizontal="center" vertical="justify" wrapText="1"/>
    </xf>
    <xf numFmtId="0" fontId="0" fillId="0" borderId="0" xfId="0" pivotButton="1"/>
    <xf numFmtId="44" fontId="0" fillId="0" borderId="0" xfId="0" applyNumberFormat="1"/>
    <xf numFmtId="0" fontId="0" fillId="0" borderId="0" xfId="0" applyNumberFormat="1"/>
    <xf numFmtId="164" fontId="3" fillId="0" borderId="5" xfId="0" applyNumberFormat="1" applyFont="1" applyFill="1" applyBorder="1" applyAlignment="1">
      <alignment horizontal="right"/>
    </xf>
    <xf numFmtId="4" fontId="0" fillId="0" borderId="5" xfId="0" applyNumberFormat="1" applyFont="1" applyFill="1" applyBorder="1" applyAlignment="1">
      <alignment horizontal="right"/>
    </xf>
    <xf numFmtId="0" fontId="0" fillId="0" borderId="5" xfId="0" applyFont="1" applyFill="1" applyBorder="1" applyAlignment="1">
      <alignment horizontal="left" wrapText="1"/>
    </xf>
    <xf numFmtId="44" fontId="0" fillId="2" borderId="0" xfId="0" applyNumberFormat="1" applyFill="1"/>
    <xf numFmtId="0" fontId="0" fillId="2" borderId="2" xfId="0" applyFont="1" applyFill="1" applyBorder="1"/>
    <xf numFmtId="0" fontId="0" fillId="2" borderId="2" xfId="0" applyFont="1" applyFill="1" applyBorder="1" applyAlignment="1">
      <alignment horizontal="center"/>
    </xf>
    <xf numFmtId="0" fontId="0" fillId="2" borderId="2" xfId="0" applyFont="1" applyFill="1" applyBorder="1" applyAlignment="1">
      <alignment horizontal="left" vertical="top" wrapText="1"/>
    </xf>
    <xf numFmtId="0" fontId="0" fillId="2" borderId="2" xfId="0" applyFont="1" applyFill="1" applyBorder="1" applyAlignment="1">
      <alignment horizontal="center" wrapText="1"/>
    </xf>
    <xf numFmtId="0" fontId="0" fillId="2" borderId="2" xfId="0" applyFont="1" applyFill="1" applyBorder="1" applyAlignment="1">
      <alignment horizontal="center" vertical="center" wrapText="1"/>
    </xf>
    <xf numFmtId="164" fontId="0" fillId="2" borderId="2" xfId="0" applyNumberFormat="1" applyFont="1" applyFill="1" applyBorder="1"/>
    <xf numFmtId="164" fontId="0" fillId="2" borderId="2" xfId="0" applyNumberFormat="1" applyFont="1" applyFill="1" applyBorder="1" applyAlignment="1">
      <alignment horizontal="right"/>
    </xf>
    <xf numFmtId="4" fontId="0" fillId="2" borderId="2" xfId="0" applyNumberFormat="1" applyFont="1" applyFill="1" applyBorder="1" applyAlignment="1">
      <alignment horizontal="right"/>
    </xf>
    <xf numFmtId="4" fontId="0" fillId="2" borderId="2" xfId="0" applyNumberFormat="1" applyFont="1" applyFill="1" applyBorder="1" applyAlignment="1">
      <alignment horizontal="left"/>
    </xf>
    <xf numFmtId="39" fontId="0" fillId="2" borderId="2" xfId="0" applyNumberFormat="1" applyFont="1" applyFill="1" applyBorder="1" applyAlignment="1">
      <alignment horizontal="right"/>
    </xf>
    <xf numFmtId="39" fontId="0" fillId="2" borderId="2" xfId="0" applyNumberFormat="1" applyFont="1" applyFill="1" applyBorder="1" applyAlignment="1">
      <alignment horizontal="center"/>
    </xf>
    <xf numFmtId="0" fontId="5" fillId="2" borderId="2" xfId="0" applyFont="1" applyFill="1" applyBorder="1" applyAlignment="1">
      <alignment horizontal="left" vertical="top" wrapText="1"/>
    </xf>
    <xf numFmtId="5" fontId="0" fillId="2" borderId="2" xfId="0" applyNumberFormat="1" applyFont="1" applyFill="1" applyBorder="1" applyAlignment="1">
      <alignment horizontal="center" vertical="justify" wrapText="1"/>
    </xf>
    <xf numFmtId="166" fontId="0" fillId="2" borderId="2" xfId="0" applyNumberFormat="1" applyFont="1" applyFill="1" applyBorder="1" applyAlignment="1">
      <alignment horizontal="center" vertical="justify" wrapText="1"/>
    </xf>
    <xf numFmtId="0" fontId="0" fillId="2" borderId="2" xfId="0" applyFill="1" applyBorder="1"/>
    <xf numFmtId="164" fontId="0" fillId="2" borderId="2" xfId="0" applyNumberFormat="1" applyFont="1" applyFill="1" applyBorder="1" applyAlignment="1">
      <alignment horizontal="center"/>
    </xf>
    <xf numFmtId="0" fontId="0" fillId="2" borderId="2" xfId="0" applyFont="1" applyFill="1" applyBorder="1" applyAlignment="1">
      <alignment horizontal="left" wrapText="1"/>
    </xf>
    <xf numFmtId="0" fontId="3" fillId="2" borderId="2" xfId="0" applyFont="1" applyFill="1" applyBorder="1" applyAlignment="1">
      <alignment horizontal="center" wrapText="1"/>
    </xf>
    <xf numFmtId="0" fontId="0" fillId="2" borderId="3" xfId="0" applyFont="1" applyFill="1" applyBorder="1"/>
    <xf numFmtId="164" fontId="0" fillId="2" borderId="2" xfId="0" applyNumberFormat="1" applyFont="1" applyFill="1" applyBorder="1" applyAlignment="1">
      <alignment wrapText="1"/>
    </xf>
    <xf numFmtId="4" fontId="0" fillId="2" borderId="2" xfId="0" applyNumberFormat="1" applyFont="1" applyFill="1" applyBorder="1" applyAlignment="1"/>
    <xf numFmtId="0" fontId="0" fillId="2" borderId="2" xfId="0" applyFont="1" applyFill="1" applyBorder="1" applyAlignment="1">
      <alignment horizontal="center" vertical="top" wrapText="1"/>
    </xf>
    <xf numFmtId="0" fontId="0" fillId="2" borderId="2" xfId="0" applyFont="1" applyFill="1" applyBorder="1" applyAlignment="1">
      <alignment horizontal="right"/>
    </xf>
    <xf numFmtId="0" fontId="0" fillId="2" borderId="2" xfId="0" applyFont="1" applyFill="1" applyBorder="1" applyAlignment="1"/>
    <xf numFmtId="164" fontId="3" fillId="2" borderId="2" xfId="0" applyNumberFormat="1" applyFont="1" applyFill="1" applyBorder="1" applyAlignment="1">
      <alignment wrapText="1"/>
    </xf>
    <xf numFmtId="5" fontId="0" fillId="2" borderId="2" xfId="0" applyNumberFormat="1" applyFont="1" applyFill="1" applyBorder="1" applyAlignment="1">
      <alignment horizontal="center" vertical="justify"/>
    </xf>
    <xf numFmtId="0" fontId="0" fillId="2" borderId="2" xfId="0" applyFont="1" applyFill="1" applyBorder="1" applyAlignment="1">
      <alignment wrapText="1"/>
    </xf>
    <xf numFmtId="0" fontId="1" fillId="0" borderId="6" xfId="0" applyFont="1" applyBorder="1"/>
    <xf numFmtId="0" fontId="0" fillId="0" borderId="0" xfId="0" applyFill="1" applyBorder="1"/>
    <xf numFmtId="0" fontId="1" fillId="0" borderId="0" xfId="0"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xf>
    <xf numFmtId="0" fontId="1" fillId="0" borderId="0" xfId="0" applyFont="1" applyFill="1" applyBorder="1"/>
    <xf numFmtId="0" fontId="1" fillId="0" borderId="0" xfId="0" applyFont="1" applyFill="1"/>
    <xf numFmtId="0" fontId="1" fillId="0" borderId="0" xfId="0" applyFont="1" applyFill="1" applyAlignment="1">
      <alignment horizontal="right" vertical="top"/>
    </xf>
    <xf numFmtId="164" fontId="1" fillId="0" borderId="0" xfId="0" applyNumberFormat="1" applyFont="1" applyFill="1"/>
    <xf numFmtId="1" fontId="1" fillId="0" borderId="0" xfId="0" applyNumberFormat="1" applyFont="1" applyFill="1"/>
    <xf numFmtId="2" fontId="1" fillId="0" borderId="0" xfId="0" applyNumberFormat="1" applyFont="1" applyFill="1"/>
    <xf numFmtId="0" fontId="15" fillId="0" borderId="0" xfId="2" applyFont="1">
      <alignment vertical="top"/>
    </xf>
    <xf numFmtId="0" fontId="1" fillId="0" borderId="0" xfId="0" applyFont="1"/>
    <xf numFmtId="0" fontId="16" fillId="0" borderId="0" xfId="2" applyFont="1">
      <alignment vertical="top"/>
    </xf>
    <xf numFmtId="165" fontId="14" fillId="0" borderId="0" xfId="3" applyNumberFormat="1" applyFont="1">
      <alignment vertical="top"/>
    </xf>
    <xf numFmtId="0" fontId="14" fillId="0" borderId="0" xfId="0" applyFont="1"/>
    <xf numFmtId="0" fontId="14" fillId="3" borderId="0" xfId="0" applyFont="1" applyFill="1"/>
    <xf numFmtId="44" fontId="14" fillId="3" borderId="0" xfId="0" applyNumberFormat="1" applyFont="1" applyFill="1"/>
    <xf numFmtId="0" fontId="14" fillId="4" borderId="0" xfId="0" applyFont="1" applyFill="1"/>
    <xf numFmtId="167" fontId="0" fillId="0" borderId="0" xfId="0" applyNumberFormat="1"/>
    <xf numFmtId="167" fontId="14" fillId="0" borderId="0" xfId="0" applyNumberFormat="1" applyFont="1"/>
    <xf numFmtId="165" fontId="0" fillId="0" borderId="0" xfId="1" applyNumberFormat="1" applyFont="1" applyAlignment="1">
      <alignment vertical="top"/>
    </xf>
    <xf numFmtId="165" fontId="0" fillId="0" borderId="0" xfId="1" applyNumberFormat="1" applyFont="1"/>
    <xf numFmtId="165" fontId="0" fillId="3" borderId="0" xfId="1" applyNumberFormat="1" applyFont="1" applyFill="1"/>
    <xf numFmtId="165" fontId="0" fillId="4" borderId="0" xfId="1" applyNumberFormat="1" applyFont="1" applyFill="1"/>
    <xf numFmtId="165" fontId="4" fillId="0" borderId="0" xfId="1" applyNumberFormat="1" applyFont="1" applyAlignment="1">
      <alignment vertical="top"/>
    </xf>
    <xf numFmtId="165" fontId="15" fillId="0" borderId="0" xfId="1" applyNumberFormat="1" applyFont="1" applyAlignment="1">
      <alignment vertical="top"/>
    </xf>
    <xf numFmtId="165" fontId="15" fillId="3" borderId="0" xfId="1" applyNumberFormat="1" applyFont="1" applyFill="1" applyAlignment="1">
      <alignment vertical="top"/>
    </xf>
    <xf numFmtId="165" fontId="15" fillId="4" borderId="0" xfId="1" applyNumberFormat="1" applyFont="1" applyFill="1" applyAlignment="1">
      <alignment vertical="top"/>
    </xf>
    <xf numFmtId="165" fontId="14" fillId="0" borderId="0" xfId="1" applyNumberFormat="1" applyFont="1" applyAlignment="1">
      <alignment vertical="top"/>
    </xf>
    <xf numFmtId="165" fontId="14" fillId="0" borderId="0" xfId="1" applyNumberFormat="1" applyFont="1"/>
    <xf numFmtId="165" fontId="14" fillId="3" borderId="0" xfId="1" applyNumberFormat="1" applyFont="1" applyFill="1"/>
    <xf numFmtId="165" fontId="16" fillId="4" borderId="0" xfId="1" applyNumberFormat="1" applyFont="1" applyFill="1" applyAlignment="1">
      <alignment vertical="top"/>
    </xf>
    <xf numFmtId="165" fontId="14" fillId="3" borderId="0" xfId="1" applyNumberFormat="1" applyFont="1" applyFill="1" applyAlignment="1">
      <alignment horizontal="right"/>
    </xf>
    <xf numFmtId="165" fontId="14" fillId="4" borderId="0" xfId="1" applyNumberFormat="1" applyFont="1" applyFill="1"/>
    <xf numFmtId="0" fontId="15" fillId="0" borderId="0" xfId="2" applyFont="1" applyAlignment="1">
      <alignment horizontal="center" vertical="center" wrapText="1"/>
    </xf>
    <xf numFmtId="0" fontId="1" fillId="0" borderId="0" xfId="0" applyFont="1" applyAlignment="1">
      <alignment horizontal="center" vertical="center" wrapText="1"/>
    </xf>
    <xf numFmtId="167" fontId="1" fillId="0" borderId="0" xfId="0" applyNumberFormat="1" applyFont="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7" fillId="0" borderId="7" xfId="0" applyFont="1" applyBorder="1" applyAlignment="1">
      <alignment vertical="top" wrapText="1"/>
    </xf>
    <xf numFmtId="0" fontId="0" fillId="0" borderId="7" xfId="0" applyBorder="1" applyAlignment="1">
      <alignment vertical="top" wrapText="1"/>
    </xf>
    <xf numFmtId="0" fontId="0" fillId="0" borderId="7" xfId="0" applyBorder="1" applyAlignment="1">
      <alignment horizontal="right" vertical="top" wrapText="1"/>
    </xf>
    <xf numFmtId="4" fontId="0" fillId="0" borderId="7" xfId="0" applyNumberFormat="1" applyBorder="1" applyAlignment="1">
      <alignment horizontal="right" vertical="top" wrapText="1"/>
    </xf>
    <xf numFmtId="0" fontId="0" fillId="0" borderId="0" xfId="0" pivotButton="1" applyAlignment="1">
      <alignment vertical="top"/>
    </xf>
    <xf numFmtId="0" fontId="0" fillId="0" borderId="0" xfId="0" applyAlignment="1">
      <alignment horizontal="left" vertical="top"/>
    </xf>
    <xf numFmtId="0" fontId="0" fillId="0" borderId="0" xfId="0" applyNumberFormat="1" applyAlignment="1">
      <alignment vertical="top"/>
    </xf>
    <xf numFmtId="43" fontId="0" fillId="0" borderId="7" xfId="4" applyFont="1" applyBorder="1" applyAlignment="1">
      <alignment horizontal="right" vertical="top" wrapText="1"/>
    </xf>
    <xf numFmtId="3" fontId="0" fillId="0" borderId="7" xfId="0" applyNumberFormat="1" applyBorder="1" applyAlignment="1">
      <alignment horizontal="right" vertical="top" wrapText="1"/>
    </xf>
    <xf numFmtId="4" fontId="0" fillId="0" borderId="0" xfId="0" applyNumberFormat="1" applyAlignment="1">
      <alignment vertical="top"/>
    </xf>
    <xf numFmtId="44" fontId="1" fillId="0" borderId="0" xfId="1" applyFont="1"/>
    <xf numFmtId="44" fontId="0" fillId="0" borderId="0" xfId="1" applyFont="1"/>
    <xf numFmtId="164" fontId="6" fillId="0" borderId="5" xfId="0" applyNumberFormat="1" applyFont="1" applyFill="1" applyBorder="1" applyAlignment="1">
      <alignment horizontal="right"/>
    </xf>
    <xf numFmtId="166" fontId="0" fillId="0" borderId="5" xfId="0" applyNumberFormat="1" applyFont="1" applyFill="1" applyBorder="1" applyAlignment="1">
      <alignment horizontal="center" vertical="justify" wrapText="1"/>
    </xf>
    <xf numFmtId="4" fontId="3" fillId="0" borderId="4" xfId="0" applyNumberFormat="1" applyFont="1" applyFill="1" applyBorder="1" applyAlignment="1">
      <alignment horizontal="right"/>
    </xf>
  </cellXfs>
  <cellStyles count="5">
    <cellStyle name="Comma" xfId="4" builtinId="3"/>
    <cellStyle name="Currency" xfId="1" builtinId="4"/>
    <cellStyle name="Currency 2" xfId="3"/>
    <cellStyle name="Normal" xfId="0" builtinId="0"/>
    <cellStyle name="Normal 2" xfId="2"/>
  </cellStyles>
  <dxfs count="8">
    <dxf>
      <border outline="0">
        <bottom style="thin">
          <color indexed="64"/>
        </bottom>
      </border>
    </dxf>
    <dxf>
      <font>
        <b/>
        <i val="0"/>
        <strike val="0"/>
        <condense val="0"/>
        <extend val="0"/>
        <outline val="0"/>
        <shadow val="0"/>
        <u val="none"/>
        <vertAlign val="baseline"/>
        <sz val="11"/>
        <color theme="1"/>
        <name val="Calibri"/>
        <scheme val="minor"/>
      </font>
    </dxf>
    <dxf>
      <fill>
        <patternFill patternType="solid">
          <bgColor rgb="FFFFFF00"/>
        </patternFill>
      </fill>
    </dxf>
    <dxf>
      <fill>
        <patternFill patternType="solid">
          <bgColor rgb="FFFFFF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vertical="top"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Peterson, Sarah E" refreshedDate="42193.417041666668" createdVersion="4" refreshedVersion="4" minRefreshableVersion="3" recordCount="917">
  <cacheSource type="worksheet">
    <worksheetSource ref="A1:M918" sheet="Stateside data 2011-2014"/>
  </cacheSource>
  <cacheFields count="13">
    <cacheField name="State" numFmtId="0">
      <sharedItems count="54">
        <s v="AK"/>
        <s v="AL"/>
        <s v="AR"/>
        <s v="AZ"/>
        <s v="CA"/>
        <s v="CO"/>
        <s v="CT"/>
        <s v="DC"/>
        <s v="DE"/>
        <s v="FL"/>
        <s v="GA"/>
        <s v="GU"/>
        <s v="HI"/>
        <s v="IA"/>
        <s v="ID"/>
        <s v="IL"/>
        <s v="IN"/>
        <s v="KS"/>
        <s v="KY"/>
        <s v="LA"/>
        <s v="MA"/>
        <s v="MD"/>
        <s v="ME"/>
        <s v="MI"/>
        <s v="MN"/>
        <s v="MO"/>
        <s v="MS"/>
        <s v="MT"/>
        <s v="NC"/>
        <s v="ND"/>
        <s v="NE"/>
        <s v="NH"/>
        <s v="NJ"/>
        <s v="NM"/>
        <s v="NV"/>
        <s v="NY"/>
        <s v="OH"/>
        <s v="OK"/>
        <s v="OR"/>
        <s v="PA"/>
        <s v="PR"/>
        <s v="RI"/>
        <s v="SC"/>
        <s v="SD"/>
        <s v="TN"/>
        <s v="TX"/>
        <s v="UT"/>
        <s v="VA"/>
        <s v="VI"/>
        <s v="VT"/>
        <s v="WA"/>
        <s v="WI"/>
        <s v="WV"/>
        <s v="WY"/>
      </sharedItems>
    </cacheField>
    <cacheField name="Grant Number" numFmtId="0">
      <sharedItems containsSemiMixedTypes="0" containsString="0" containsNumber="1" containsInteger="1" minValue="33" maxValue="1881"/>
    </cacheField>
    <cacheField name="Fiscal Year" numFmtId="0">
      <sharedItems containsSemiMixedTypes="0" containsString="0" containsNumber="1" containsInteger="1" minValue="2011" maxValue="2014"/>
    </cacheField>
    <cacheField name="Element Name" numFmtId="0">
      <sharedItems/>
    </cacheField>
    <cacheField name="Grant Status" numFmtId="0">
      <sharedItems/>
    </cacheField>
    <cacheField name="Obligation Amount" numFmtId="0">
      <sharedItems containsSemiMixedTypes="0" containsString="0" containsNumber="1" minValue="0" maxValue="1473478"/>
    </cacheField>
    <cacheField name="Grant Type" numFmtId="0">
      <sharedItems/>
    </cacheField>
    <cacheField name="Sponsor Name" numFmtId="0">
      <sharedItems/>
    </cacheField>
    <cacheField name="Project Description" numFmtId="0">
      <sharedItems containsBlank="1" longText="1"/>
    </cacheField>
    <cacheField name="Park Name" numFmtId="0">
      <sharedItems containsBlank="1"/>
    </cacheField>
    <cacheField name="Park County" numFmtId="0">
      <sharedItems containsBlank="1"/>
    </cacheField>
    <cacheField name="Park CD." numFmtId="0">
      <sharedItems containsSemiMixedTypes="0" containsString="0" containsNumber="1" containsInteger="1" minValue="0" maxValue="99"/>
    </cacheField>
    <cacheField name="Park Total Acres" numFmtId="0">
      <sharedItems containsSemiMixedTypes="0" containsString="0" containsNumber="1" minValue="0" maxValue="4205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eterson, Sarah E" refreshedDate="42193.435066666665" createdVersion="4" refreshedVersion="4" minRefreshableVersion="3" recordCount="114">
  <cacheSource type="worksheet">
    <worksheetSource ref="A1:F115" sheet="ABPP 2011-2014"/>
  </cacheSource>
  <cacheFields count="6">
    <cacheField name="YEAR" numFmtId="0">
      <sharedItems containsSemiMixedTypes="0" containsString="0" containsNumber="1" containsInteger="1" minValue="2011" maxValue="2014"/>
    </cacheField>
    <cacheField name="STATE" numFmtId="0">
      <sharedItems count="15">
        <s v="KY"/>
        <s v="MD"/>
        <s v="MN"/>
        <s v="MO"/>
        <s v="MS"/>
        <s v="NC"/>
        <s v="OK"/>
        <s v="PA"/>
        <s v="TN"/>
        <s v="VA"/>
        <s v="WV"/>
        <s v="GA"/>
        <s v="LA"/>
        <s v="NM"/>
        <s v="PA " u="1"/>
      </sharedItems>
    </cacheField>
    <cacheField name="COUNTY" numFmtId="0">
      <sharedItems/>
    </cacheField>
    <cacheField name="BATTLEFIELD" numFmtId="0">
      <sharedItems/>
    </cacheField>
    <cacheField name="ACRES" numFmtId="0">
      <sharedItems containsSemiMixedTypes="0" containsString="0" containsNumber="1" minValue="0.21" maxValue="964"/>
    </cacheField>
    <cacheField name="AMOUNT" numFmtId="44">
      <sharedItems containsSemiMixedTypes="0" containsString="0" containsNumber="1" minValue="17213" maxValue="23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eterson, Sarah E" refreshedDate="42193.444790393522" createdVersion="4" refreshedVersion="4" minRefreshableVersion="3" recordCount="122">
  <cacheSource type="worksheet">
    <worksheetSource ref="A1:T123" sheet="All Federal LA 2011-2014"/>
  </cacheSource>
  <cacheFields count="20">
    <cacheField name="ID" numFmtId="0">
      <sharedItems/>
    </cacheField>
    <cacheField name="FY" numFmtId="0">
      <sharedItems containsSemiMixedTypes="0" containsString="0" containsNumber="1" containsInteger="1" minValue="2011" maxValue="2014"/>
    </cacheField>
    <cacheField name="ID No" numFmtId="0">
      <sharedItems containsSemiMixedTypes="0" containsString="0" containsNumber="1" containsInteger="1" minValue="1" maxValue="22"/>
    </cacheField>
    <cacheField name="Agency" numFmtId="0">
      <sharedItems/>
    </cacheField>
    <cacheField name="Unit" numFmtId="0">
      <sharedItems/>
    </cacheField>
    <cacheField name="CORE/CLP" numFmtId="0">
      <sharedItems/>
    </cacheField>
    <cacheField name="States" numFmtId="0">
      <sharedItems count="41">
        <s v="AK"/>
        <s v="AR"/>
        <s v="AZ"/>
        <s v="CA"/>
        <s v="CO"/>
        <s v="CT; NH; VT; MA"/>
        <s v="CT; NJ; NY; PA"/>
        <s v="FL"/>
        <s v="FL; GA"/>
        <s v="GA"/>
        <s v="GA; SC"/>
        <s v="IA"/>
        <s v="IA; IL; MN; WI"/>
        <s v="IA; MN"/>
        <s v="ID"/>
        <s v="ID/MT"/>
        <s v="KS"/>
        <s v="LA"/>
        <s v="MD"/>
        <s v="ME"/>
        <s v="MI"/>
        <s v="MN"/>
        <s v="MT"/>
        <s v="Multiple"/>
        <s v="ND"/>
        <s v="ND;SD"/>
        <s v="NH, ME"/>
        <s v="NJ"/>
        <s v="NM"/>
        <s v="NY"/>
        <s v="OH"/>
        <s v="OR"/>
        <s v="SC"/>
        <s v="SD"/>
        <s v="TX"/>
        <s v="UT"/>
        <s v="VA"/>
        <s v="VI"/>
        <s v="WA"/>
        <s v="WV"/>
        <s v="WY"/>
      </sharedItems>
    </cacheField>
    <cacheField name="Congress Dist" numFmtId="0">
      <sharedItems/>
    </cacheField>
    <cacheField name="County" numFmtId="0">
      <sharedItems/>
    </cacheField>
    <cacheField name="FY Budget Req" numFmtId="164">
      <sharedItems containsSemiMixedTypes="0" containsString="0" containsNumber="1" minValue="0" maxValue="25000000"/>
    </cacheField>
    <cacheField name="Enacted" numFmtId="164">
      <sharedItems containsSemiMixedTypes="0" containsString="0" containsNumber="1" containsInteger="1" minValue="0" maxValue="24960000"/>
    </cacheField>
    <cacheField name="Req Acres" numFmtId="0">
      <sharedItems containsMixedTypes="1" containsNumber="1" minValue="1.5" maxValue="43000"/>
    </cacheField>
    <cacheField name="Enacted Acres" numFmtId="0">
      <sharedItems containsMixedTypes="1" containsNumber="1" minValue="0" maxValue="43000"/>
    </cacheField>
    <cacheField name="Interest" numFmtId="0">
      <sharedItems/>
    </cacheField>
    <cacheField name="Remaining Acres" numFmtId="39">
      <sharedItems containsBlank="1" containsMixedTypes="1" containsNumber="1" minValue="0" maxValue="1902261"/>
    </cacheField>
    <cacheField name="Inholding (Y/N)" numFmtId="39">
      <sharedItems/>
    </cacheField>
    <cacheField name="Description" numFmtId="0">
      <sharedItems longText="1"/>
    </cacheField>
    <cacheField name="O&amp;M Startup" numFmtId="5">
      <sharedItems containsMixedTypes="1" containsNumber="1" containsInteger="1" minValue="-2925000" maxValue="3500000"/>
    </cacheField>
    <cacheField name="O&amp;M Annual" numFmtId="0">
      <sharedItems containsMixedTypes="1" containsNumber="1" containsInteger="1" minValue="0" maxValue="100000"/>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eterson, Sarah E" refreshedDate="42193.459155208337" createdVersion="4" refreshedVersion="4" minRefreshableVersion="3" recordCount="104">
  <cacheSource type="worksheet">
    <worksheetSource ref="A1:F105" sheet="CESCF 2011-2014"/>
  </cacheSource>
  <cacheFields count="6">
    <cacheField name="Type" numFmtId="0">
      <sharedItems/>
    </cacheField>
    <cacheField name="Region" numFmtId="0">
      <sharedItems containsSemiMixedTypes="0" containsString="0" containsNumber="1" containsInteger="1" minValue="1" maxValue="8"/>
    </cacheField>
    <cacheField name="States" numFmtId="0">
      <sharedItems count="27">
        <s v="AR"/>
        <s v="AZ"/>
        <s v="CA"/>
        <s v="CO"/>
        <s v="FL"/>
        <s v="GA"/>
        <s v="HI"/>
        <s v="MD"/>
        <s v="MO"/>
        <s v="MT"/>
        <s v="NC"/>
        <s v="NE"/>
        <s v="OR"/>
        <s v="TX"/>
        <s v="WA"/>
        <s v="WI"/>
        <s v="AL"/>
        <s v="NM"/>
        <s v="UT"/>
        <s v="VA"/>
        <s v="WV"/>
        <s v="NJ"/>
        <s v="PA"/>
        <s v="IA"/>
        <s v="ID"/>
        <s v="MI"/>
        <s v="TN"/>
      </sharedItems>
    </cacheField>
    <cacheField name="Name" numFmtId="0">
      <sharedItems/>
    </cacheField>
    <cacheField name="Fiscal year" numFmtId="0">
      <sharedItems containsSemiMixedTypes="0" containsString="0" containsNumber="1" containsInteger="1" minValue="2011" maxValue="2014"/>
    </cacheField>
    <cacheField name="Funding" numFmtId="0">
      <sharedItems containsSemiMixedTypes="0" containsString="0" containsNumber="1" containsInteger="1" minValue="14000" maxValue="12188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7">
  <r>
    <x v="0"/>
    <n v="404"/>
    <n v="2011"/>
    <s v="TANANA LAKES RECREATION AREA: PHASE 3"/>
    <s v="A"/>
    <n v="98280"/>
    <s v="D"/>
    <s v="BOROUGH OF FAIRBANKS NORTH STAR"/>
    <m/>
    <s v="TANANA LAKES RECREATION AREA"/>
    <s v="FAIRBANKS NORTH STAR"/>
    <n v="0"/>
    <n v="81.2"/>
  </r>
  <r>
    <x v="0"/>
    <n v="403"/>
    <n v="2011"/>
    <s v="SKATER'S LAKE PARK"/>
    <s v="A"/>
    <n v="98280"/>
    <s v="D"/>
    <s v="METLAKATLA INDIAN COMMUNITY"/>
    <m/>
    <s v="SKATER'S LAKE PARK"/>
    <s v="PRINCE OF WALES HYDER"/>
    <n v="0"/>
    <n v="40"/>
  </r>
  <r>
    <x v="0"/>
    <n v="405"/>
    <n v="2011"/>
    <s v="JOHNSON LAKE SRA WEST CAMGROUND UPGRADE"/>
    <s v="A"/>
    <n v="172132.5"/>
    <s v="R"/>
    <s v="ALASKA DIVISION OF PARKS"/>
    <s v="Develop the West campground loop road with 14 new campsites. Create gravel trails and a group camp site. Install gate and barrier rocks, relocate toilet, and improve the boat launch area."/>
    <s v="JOHNSON LAKE STATE RECREATION AREA"/>
    <s v="KENAI PENINSULA"/>
    <n v="0"/>
    <n v="332"/>
  </r>
  <r>
    <x v="0"/>
    <n v="402"/>
    <n v="2011"/>
    <s v="SELDOVIA WILDERNESS PARK UPGRADE AND EXPANSION"/>
    <s v="A"/>
    <n v="98280"/>
    <s v="R"/>
    <s v="CITY OF SELDOVIA"/>
    <m/>
    <s v="SELDOVIA WILDERNESS PARK"/>
    <s v="KENAI PENINSULA"/>
    <n v="0"/>
    <n v="47.8"/>
  </r>
  <r>
    <x v="0"/>
    <n v="401"/>
    <n v="2011"/>
    <s v="FINGER LAKE SRA: PHASE 2"/>
    <s v="A"/>
    <n v="122707.5"/>
    <s v="R"/>
    <s v="ALASKA DIVISION OF PARKS"/>
    <m/>
    <s v="FINGER LAKE STATE RECREATION AREA"/>
    <s v="Matanuska Susitna"/>
    <n v="0"/>
    <n v="47.3"/>
  </r>
  <r>
    <x v="0"/>
    <n v="408"/>
    <n v="2014"/>
    <s v="KAREN HORNADAY HILLSIDE PARK IMPROVEMENTS"/>
    <s v="A"/>
    <n v="75000"/>
    <s v="D"/>
    <s v="CITY OF HOMER"/>
    <s v="Improve drainage and trail/road access within park and campground, develop a new day use area, establish a campground host site, and install ADA-accessible sites."/>
    <s v="KAREN A HORNADAY HILLSIDE PARK"/>
    <s v="KENAI PENINSULA"/>
    <n v="0"/>
    <n v="28"/>
  </r>
  <r>
    <x v="0"/>
    <n v="411"/>
    <n v="2014"/>
    <s v="PINKY'S PARK"/>
    <s v="A"/>
    <n v="0"/>
    <s v="D"/>
    <s v="CITY OF BETHEL"/>
    <s v="Improve a previously 6(f)-protected 21- acre park in Bethel, AK with a new multi-purpose sports field and associated short driveway / small parking lot; a new “high tunnel” (green house) for the community garden; site furnishings; extensions of the existing boardwalk and on-ground trail network ; and installation of several viewing/exercise platforms scattered along the trails. The grant envisions expanding the current 21 acre 6(f) boundary by five acres on the west/northern boundaries. "/>
    <s v="PINKY'S PARK"/>
    <s v="Bethel"/>
    <n v="0"/>
    <n v="26"/>
  </r>
  <r>
    <x v="0"/>
    <n v="407"/>
    <n v="2014"/>
    <s v="FINGER LAKE SRA: PHASE 3"/>
    <s v="A"/>
    <n v="335911"/>
    <s v="R"/>
    <s v="ALASKA DIVISION OF PARKS AND OUTDOOR RECREATION"/>
    <s v="Re-align the existing campground road, refurbish existing campsites, and develop new campground extension loop and trail."/>
    <s v="FINGER LAKE STATE RECREATION AREA"/>
    <s v="Matanuska Susitna"/>
    <n v="0"/>
    <n v="47.3"/>
  </r>
  <r>
    <x v="1"/>
    <n v="952"/>
    <n v="2011"/>
    <s v="CHEROKEE LITTLE ROCK CITY PARK DEVELOPMENT PHASE I"/>
    <s v="A"/>
    <n v="175000"/>
    <s v="C"/>
    <s v="CHEROKEE COUNTY"/>
    <s v="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
    <s v="LITTLE ROCK CITY PARK"/>
    <s v="CHEROKEE"/>
    <n v="3"/>
    <n v="281.3"/>
  </r>
  <r>
    <x v="1"/>
    <n v="980"/>
    <n v="2012"/>
    <s v="A&amp;F RAILWAY CORRIDOR ACQUISITION"/>
    <s v="A"/>
    <n v="50000"/>
    <s v="A"/>
    <s v="CITY OF GENEVA"/>
    <s v="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
    <s v="ALABAMA-FLORIDA RAIL TRAIL"/>
    <s v="GENEVA"/>
    <n v="2"/>
    <n v="500"/>
  </r>
  <r>
    <x v="1"/>
    <n v="953"/>
    <n v="2012"/>
    <s v="OAK MOUNTAIN STATE PARK"/>
    <s v="A"/>
    <n v="39250"/>
    <s v="D"/>
    <s v="SHELBY COUNTY"/>
    <s v="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quot;back country&quot; experience in the park for the disabled."/>
    <s v="OAK MOUNTAIN STATE PARK"/>
    <s v="SHELBY"/>
    <n v="6"/>
    <n v="9940"/>
  </r>
  <r>
    <x v="1"/>
    <n v="963"/>
    <n v="2012"/>
    <s v="LAKE GUNTERSVILLE STATE PARK IMPROVEMENTS"/>
    <s v="A"/>
    <n v="68600"/>
    <s v="D"/>
    <s v="AL DEPT OF CONSERVATION &amp; NAT RESOURES STATE PARKS DIV"/>
    <s v="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
    <s v="LAKE GUNTERSVILLE STATE PARK"/>
    <s v="MARSHALL"/>
    <n v="4"/>
    <n v="6000"/>
  </r>
  <r>
    <x v="1"/>
    <n v="971"/>
    <n v="2012"/>
    <s v="TOP TRAILS PARK ACCESS ROAD DEVELOPMENT"/>
    <s v="A"/>
    <n v="50000"/>
    <s v="D"/>
    <s v="PUBLIC PARK AUTHORITY"/>
    <s v="This grant will help improve and construct the access roads at T.O.P. Park in Talladega County, Alabama. Entrance /Exit roads of the park will be graveled to make the more inviting to guests and to keep down slip and runoff."/>
    <s v="TOP TRAILS PARK"/>
    <s v="TALLADEGA"/>
    <n v="3"/>
    <n v="2851.6"/>
  </r>
  <r>
    <x v="1"/>
    <n v="956"/>
    <n v="2012"/>
    <s v="MOUNTAIN BIKE PUMP TRACK"/>
    <s v="A"/>
    <n v="15000"/>
    <s v="D"/>
    <s v="TUSCALOOSA COUNTY"/>
    <s v="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
    <s v="MUNNY SOKOL PARK"/>
    <s v="TUSCALOOSA"/>
    <n v="6"/>
    <n v="325"/>
  </r>
  <r>
    <x v="1"/>
    <n v="982"/>
    <n v="2012"/>
    <s v="TROY RECREATION SPORTSPLEX PLAYGROUND DEVELOPMENT"/>
    <s v="A"/>
    <n v="50000"/>
    <s v="D"/>
    <s v="CITY OF TROY"/>
    <s v="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
    <s v="TROY RECREATION SPORTSPLEX"/>
    <s v="PIKE"/>
    <n v="2"/>
    <n v="130.30000000000001"/>
  </r>
  <r>
    <x v="1"/>
    <n v="958"/>
    <n v="2012"/>
    <s v="PIONEER CABIN FOR PRIMITIVE CAMPING"/>
    <s v="A"/>
    <n v="10000"/>
    <s v="D"/>
    <s v="AL DEPT. OF CONS &amp; NATURAL RESOURCES, STATE PARKS DIVISION"/>
    <s v="The scope of the project includes building a primitive cabin in the primitive camping area inside the park. Parking for the primitive area is already established and can be used to care for the needs of the occupants of the cabin."/>
    <s v="DESOTO STATE PARK"/>
    <s v="DE KALB"/>
    <n v="4"/>
    <n v="129.4"/>
  </r>
  <r>
    <x v="1"/>
    <n v="970"/>
    <n v="2012"/>
    <s v="SPORTSMAN'S LAKE PARK SPLASH PAD DEVELOPMENT"/>
    <s v="A"/>
    <n v="50000"/>
    <s v="D"/>
    <s v="CULLMAN COUNTY COMMISSION"/>
    <s v="This grant will fund the development of a splash pad at an existing, well-established 125+/- acres park. This will be an asset to the park as it will increase visitation to the park and does not require a life guard on duty during hours of operation."/>
    <s v="SPORTSMAN'S LAKE PARK"/>
    <s v="CULLMAN"/>
    <n v="4"/>
    <n v="125"/>
  </r>
  <r>
    <x v="1"/>
    <n v="977"/>
    <n v="2012"/>
    <s v="SOUTHSIDE PARK AQUATIC PLAYGROUND DEVELOPMENT"/>
    <s v="A"/>
    <n v="50000"/>
    <s v="D"/>
    <s v="CITY OF PHENIX CITY"/>
    <s v="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
    <s v="SOUTHSIDE PARK"/>
    <s v="RUSSELL"/>
    <n v="3"/>
    <n v="62.1"/>
  </r>
  <r>
    <x v="1"/>
    <n v="972"/>
    <n v="2012"/>
    <s v="TOWN CREEK PARK PLAYGROUND DEVELOPMENT"/>
    <s v="A"/>
    <n v="25000"/>
    <s v="D"/>
    <s v="TOWN OF TOWN CREEK"/>
    <s v="Grant will help fund the installment of new playground equipment on a new rubberized playground surface at in existing 40+/- acres park in the Town of Town Creek. The playground equipment will be safe for all children and will provide public benefits for many years to come."/>
    <s v="TOWN CREEK PARK"/>
    <s v="LAWRENCE"/>
    <n v="5"/>
    <n v="40"/>
  </r>
  <r>
    <x v="1"/>
    <n v="954"/>
    <n v="2012"/>
    <s v="EVERY CHILD'S PLAYGROUND"/>
    <s v="A"/>
    <n v="50000"/>
    <s v="D"/>
    <s v="CITY OF GUNTERSVILLE"/>
    <s v="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
    <s v="CIVITAN PARK"/>
    <s v="MARSHALL"/>
    <n v="4"/>
    <n v="28.4"/>
  </r>
  <r>
    <x v="1"/>
    <n v="960"/>
    <n v="2012"/>
    <s v="LITTLE SHADES CREEK BRIDGE I"/>
    <s v="A"/>
    <n v="50000"/>
    <s v="D"/>
    <s v="CITY OF VESTAVIA HILLS"/>
    <s v="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
    <s v="McCALLUM PARK"/>
    <s v="JEFFERSON"/>
    <n v="6"/>
    <n v="17.3"/>
  </r>
  <r>
    <x v="1"/>
    <n v="976"/>
    <n v="2012"/>
    <s v="HAYDEN COMMUNITY PARK DEVELOPMENT"/>
    <s v="A"/>
    <n v="50000"/>
    <s v="D"/>
    <s v="TOWN OF HAYDEN"/>
    <s v="This grant will fund a new park (16.0± acres) in the Town of Hayden. Development will include expanding the artesian spring pond for fishing, developing a trail around the property, installing a playground, splash pad, basketball court and related support facilities."/>
    <s v="HAYDEN COMMUNITY PARK"/>
    <s v="BLOUNT"/>
    <n v="6"/>
    <n v="16"/>
  </r>
  <r>
    <x v="1"/>
    <n v="969"/>
    <n v="2012"/>
    <s v="TAYLOR WALKING TRAIL PARK IMPROVEMENTS"/>
    <s v="A"/>
    <n v="50000"/>
    <s v="D"/>
    <s v="CITY OF TAYLOR"/>
    <s v="Grant will fund the further development of the existing 14.517+/- acres Taylor Walking Trail Park by constructing accessible restroom facilities and a splash pad, a musch safer alternative that a pool. Visitors of all ages and abilities will benefit from this development."/>
    <s v="TAYLOR WALKING TRAIL PARK"/>
    <s v="HOUSTON"/>
    <n v="2"/>
    <n v="14.5"/>
  </r>
  <r>
    <x v="1"/>
    <n v="961"/>
    <n v="2012"/>
    <s v="GLENCOE SPLASH PAD DEVELOPMENT"/>
    <s v="A"/>
    <n v="50000"/>
    <s v="D"/>
    <s v="CITY OF GLENCOE"/>
    <s v="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
    <s v="WILSON (GLENCOE CITY) PARK"/>
    <s v="ETOWAH"/>
    <n v="4"/>
    <n v="11"/>
  </r>
  <r>
    <x v="1"/>
    <n v="978"/>
    <n v="2012"/>
    <s v="CULPEPPER PARK PLAYGROUND DEVELOPMENT-PHASE II"/>
    <s v="A"/>
    <n v="50000"/>
    <s v="D"/>
    <s v="CITY OF DALEVILLE"/>
    <s v="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
    <s v="R.A. CULPEPPER PARK"/>
    <s v="DALE"/>
    <n v="2"/>
    <n v="8.1999999999999993"/>
  </r>
  <r>
    <x v="1"/>
    <n v="981"/>
    <n v="2012"/>
    <s v="PASSIVE PARK FOR PEOPLE WITH DOGS"/>
    <s v="A"/>
    <n v="50000"/>
    <s v="D"/>
    <s v="CITY OF DOTHAN"/>
    <s v="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
    <s v="EASTGATE PARK"/>
    <s v="HOUSTON"/>
    <n v="2"/>
    <n v="6.7"/>
  </r>
  <r>
    <x v="1"/>
    <n v="967"/>
    <n v="2012"/>
    <s v="PHIL CAMPBELL SPLASH PAD PROJECT"/>
    <s v="A"/>
    <n v="149100"/>
    <s v="D"/>
    <s v="TOWN OF PHIL CAMPBELL"/>
    <s v="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
    <s v="PHIL CAMPBELL SWIMMING POOL PARK"/>
    <s v="FRANKLIN"/>
    <n v="4"/>
    <n v="5.5"/>
  </r>
  <r>
    <x v="1"/>
    <n v="974"/>
    <n v="2012"/>
    <s v="AUTAUGA CREEK PARK DEVELOPMENT"/>
    <s v="A"/>
    <n v="45000"/>
    <s v="D"/>
    <s v="CITY OF PRATTVILLE"/>
    <s v="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
    <s v="AUTAUGA CREEK PARK"/>
    <s v="AUTAUGA"/>
    <n v="2"/>
    <n v="3.6"/>
  </r>
  <r>
    <x v="1"/>
    <n v="975"/>
    <n v="2012"/>
    <s v="FOUNDER'S PARK AMPHITHEATER STAGE DEVELOPMENT"/>
    <s v="A"/>
    <n v="50000"/>
    <s v="D"/>
    <s v="CITY OF DECATUR"/>
    <s v="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
    <s v="FOUNDERS PARK"/>
    <s v="MORGAN"/>
    <n v="5"/>
    <n v="2.2999999999999998"/>
  </r>
  <r>
    <x v="1"/>
    <n v="966"/>
    <n v="2012"/>
    <s v="NORTH COURTLAND COMMUNITY PARK DEVELOPMENT"/>
    <s v="A"/>
    <n v="25000"/>
    <s v="D"/>
    <s v="TOWN OF NORTH COURTLAND"/>
    <s v="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
    <s v="COURTLAND COMMUNITY PARK"/>
    <s v="LAWRENCE"/>
    <n v="7"/>
    <n v="1"/>
  </r>
  <r>
    <x v="1"/>
    <n v="973"/>
    <n v="2012"/>
    <s v="ASHFORD RECREATION PARK DEVELOPMENT"/>
    <s v="A"/>
    <n v="15000"/>
    <s v="D"/>
    <s v="CITY OF ASHFORD"/>
    <s v="This grant will enhance the existing 9.92+/- acres recreation facilities, Ashford Recreation Park, by adding a new playground area that will include modern playground equipment, benches and a pavilion with picnic tables."/>
    <s v="ASHFORD RECREATION PARK"/>
    <s v="HOUSTON"/>
    <n v="2"/>
    <n v="1"/>
  </r>
  <r>
    <x v="1"/>
    <n v="968"/>
    <n v="2012"/>
    <s v="PALISADES PARK AMPHITHEATER RENOVATION"/>
    <s v="C"/>
    <n v="20000"/>
    <s v="R"/>
    <s v="BLOUNT COUNTY COMMISSION"/>
    <s v="This grant will be used to renovate an existing 80 person amphitheater at Palisades Park. This project will help on the demand for providing outdoor activities by making the amphitheater more safe for use."/>
    <s v="PALISADES PARK"/>
    <s v="BLOUNT"/>
    <n v="6"/>
    <n v="85.5"/>
  </r>
  <r>
    <x v="1"/>
    <n v="959"/>
    <n v="2012"/>
    <s v="FAIRHOPE MUNICIPAL PARK UPGRADES"/>
    <s v="A"/>
    <n v="50000"/>
    <s v="R"/>
    <s v="CITY OF FAIRHOPE"/>
    <s v="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
    <s v="FAIRHOPE MUNICIPAL PARK"/>
    <s v="BALDWIN"/>
    <n v="1"/>
    <n v="61"/>
  </r>
  <r>
    <x v="1"/>
    <n v="962"/>
    <n v="2012"/>
    <s v="IDER TOWN PARK PLAYGROUND IMPROVEMENTS"/>
    <s v="A"/>
    <n v="8530"/>
    <s v="R"/>
    <s v="TOWN OF IDER"/>
    <s v="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
    <s v="IDER TOWN PARK"/>
    <s v="DE KALB"/>
    <n v="4"/>
    <n v="11.7"/>
  </r>
  <r>
    <x v="1"/>
    <n v="955"/>
    <n v="2012"/>
    <s v="LOCUST FORK TOWN PARK IMPROVEMENTS"/>
    <s v="A"/>
    <n v="9112.83"/>
    <s v="R"/>
    <s v="TOWN OF LOCUST PARK"/>
    <s v="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
    <s v="LOCUST FORK PARK"/>
    <s v="BLOUNT"/>
    <n v="6"/>
    <n v="10.8"/>
  </r>
  <r>
    <x v="1"/>
    <n v="964"/>
    <n v="2012"/>
    <s v="BRINDLEY MOUNTAIN PARK IMPROVEMENTS"/>
    <s v="A"/>
    <n v="50000"/>
    <s v="R"/>
    <s v="MORGAN COUNTY COMMISSION"/>
    <s v="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
    <s v="BRINDLEY MOUNTAIN PARK"/>
    <s v="MORGAN"/>
    <n v="4"/>
    <n v="5"/>
  </r>
  <r>
    <x v="1"/>
    <n v="985"/>
    <n v="2014"/>
    <s v="COALING TOWN PARK SPLASH PAD"/>
    <s v="A"/>
    <n v="0"/>
    <s v="D"/>
    <s v="TOWN OF COALING"/>
    <s v="The Town of Coaling will construct a splash pad on land adjacent to the existing Coaling Town Park."/>
    <s v="TOWN OF COALING SPLASH PAD PARK"/>
    <s v="TUSCALOOSA"/>
    <n v="7"/>
    <n v="1"/>
  </r>
  <r>
    <x v="1"/>
    <n v="984"/>
    <n v="2014"/>
    <s v="WEST END PARK PLAYGROUND RENOVATION"/>
    <s v="A"/>
    <n v="0"/>
    <s v="R"/>
    <s v="CITY OF NEWTON"/>
    <s v="The City of Clanton will remove old and unsafe playground equipment from West End Park (E.M. Henry Park) and install new playground equipment to include a safety surface to help prevent injury if someone falls."/>
    <s v="WEST END PARK"/>
    <s v="Chilton"/>
    <n v="6"/>
    <n v="11.2"/>
  </r>
  <r>
    <x v="1"/>
    <n v="983"/>
    <n v="2014"/>
    <s v="TURNER PARK PLAYGROUND RENOVATION"/>
    <s v="A"/>
    <n v="0"/>
    <s v="R"/>
    <s v="CITY OF ATHENS"/>
    <s v="The City of Athens will renovate the Kids Dugout Playground to make it an all-inclusive playground by adding a handicap accessible area and improving the aging facility."/>
    <s v="KIDS DUGOUT AT THE SPORTSPLEX"/>
    <s v="Limestone"/>
    <n v="5"/>
    <n v="1"/>
  </r>
  <r>
    <x v="2"/>
    <n v="803"/>
    <n v="2011"/>
    <s v="FARMINGTON SPORTS COMPLEX"/>
    <s v="C"/>
    <n v="126381"/>
    <s v="D"/>
    <s v="CITY OF FARMINGTON"/>
    <s v="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
    <s v="CREEKSIDE PARK"/>
    <s v="WASHINGTON"/>
    <n v="3"/>
    <n v="18"/>
  </r>
  <r>
    <x v="2"/>
    <n v="802"/>
    <n v="2011"/>
    <s v="ARCHEY FORK PARK IMPROVEMENTS"/>
    <s v="C"/>
    <n v="150922.6"/>
    <s v="D"/>
    <s v="CITY OF CLINTON"/>
    <s v="The city of Clinton (Van Buren County, Arkansas) will utilize a Land and Water Conservation Fund grant to assist in lighting two ballfields and making accessibility improvements to the walking trail at the 15.19-acre Archey Ford Park."/>
    <s v="ARCHEY FORK PARK"/>
    <s v="VAN BUREN"/>
    <n v="2"/>
    <n v="15.2"/>
  </r>
  <r>
    <x v="2"/>
    <n v="804"/>
    <n v="2012"/>
    <s v="FOUSHEE CAVE NATURAL AREA"/>
    <s v="C"/>
    <n v="242582"/>
    <s v="A"/>
    <s v="AR NATURAL HERITAGE COMM."/>
    <s v="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
    <s v="FOUSHEE CAVE NATRUAL AREA"/>
    <s v="INDEPENDENCE"/>
    <n v="1"/>
    <n v="410"/>
  </r>
  <r>
    <x v="2"/>
    <n v="813"/>
    <n v="2012"/>
    <s v="DEVIL'S EYEBROW NATURAL AREA"/>
    <s v="C"/>
    <n v="230115"/>
    <s v="A"/>
    <s v="DEPT. OF ARKANSAS HERITAGE"/>
    <s v="Acquire 200 acres of ecologically sensitive land for the creation of the Devil’s Eyebrow Natural Area. The property is located in Benton County near Garfield."/>
    <s v="DEVIL'S EYEBROW NATURAL AREA"/>
    <s v="BENTON"/>
    <n v="3"/>
    <n v="200"/>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ONTICELLO SPORTS COMPLEX"/>
    <s v="Drew"/>
    <n v="4"/>
    <n v="6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TOWNSEND PARK"/>
    <s v="JEFFERSON"/>
    <n v="4"/>
    <n v="29.7"/>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JORDAN PARK"/>
    <s v="DREW"/>
    <n v="4"/>
    <n v="18.100000000000001"/>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BURLINGTON PARK"/>
    <s v="DREW"/>
    <n v="4"/>
    <n v="9"/>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CCLOY PARK"/>
    <s v="DREW"/>
    <n v="4"/>
    <n v="5.9"/>
  </r>
  <r>
    <x v="2"/>
    <n v="807"/>
    <n v="2012"/>
    <s v="OSCEOLA SPLASH PAD"/>
    <s v="A"/>
    <n v="115000"/>
    <s v="D"/>
    <s v="CITY OF OSCEOLA"/>
    <s v="The city of Osceola (Mississippi County) will develop the 2.45-acre East Side Park. The grant scope includes the construction of an accessible splash pad as a replacement for the existing city swimming pool. The new water feature will include interactive fountains, sprays, and jets."/>
    <s v="EAST SIDE PARK"/>
    <s v="MISSISSIPPI"/>
    <n v="1"/>
    <n v="2.5"/>
  </r>
  <r>
    <x v="2"/>
    <n v="810"/>
    <n v="2012"/>
    <s v="IVRA CLARK PARK TRAIL"/>
    <s v="C"/>
    <n v="41069.5"/>
    <s v="D"/>
    <s v="CITY OF CAMDEN"/>
    <s v="Improve the 2.32-acre Clark Park by constructing a ¼ mile exercise trail and a new parking lot."/>
    <s v="IVRA CLARK PARK"/>
    <s v="OUACHITA"/>
    <n v="4"/>
    <n v="2.299999999999999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LAKE SARACEN PARK"/>
    <s v="JEFFERSON"/>
    <n v="4"/>
    <n v="2.2999999999999998"/>
  </r>
  <r>
    <x v="2"/>
    <n v="805"/>
    <n v="2012"/>
    <s v="QUITMAN CITY PARK IMPROVEMENTS"/>
    <s v="A"/>
    <n v="74750"/>
    <s v="D"/>
    <s v="CITY OF QUITMAN"/>
    <s v="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
    <s v="QUITMAN CITY PARK"/>
    <s v="Cleburne"/>
    <n v="1"/>
    <n v="0.2"/>
  </r>
  <r>
    <x v="2"/>
    <n v="809"/>
    <n v="2012"/>
    <s v="SEARCY SPORTS COMPLEX IMPROVEMENTS"/>
    <s v="C"/>
    <n v="74232"/>
    <s v="R"/>
    <s v="CITY OF SEARCY"/>
    <s v="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
    <s v="SEARCY SPORTS COMPLEX"/>
    <s v="WHITE"/>
    <n v="2"/>
    <n v="49"/>
  </r>
  <r>
    <x v="2"/>
    <n v="814"/>
    <n v="2012"/>
    <s v="NEWPORT POOL HOUSE RENOVATION"/>
    <s v="C"/>
    <n v="23000"/>
    <s v="R"/>
    <s v="CITY OF NEWPORT"/>
    <s v="Newport will renovate the pool house within the 29.48-acre George Kell Park."/>
    <s v="GEORGE KELL PARK"/>
    <s v="JACKSON"/>
    <n v="1"/>
    <n v="29.5"/>
  </r>
  <r>
    <x v="2"/>
    <n v="808"/>
    <n v="2013"/>
    <s v="ARKANSAS STATE PARKS - DELTA HERITAGE TRAIL"/>
    <s v="C"/>
    <n v="398228"/>
    <s v="D"/>
    <s v="AR STATE PARKS"/>
    <s v="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
    <s v="DELTA HERITAGE TRAIL"/>
    <s v="PHILLIPS"/>
    <n v="0"/>
    <n v="81.5"/>
  </r>
  <r>
    <x v="2"/>
    <n v="816"/>
    <n v="2014"/>
    <s v="CABOT SPORTS COMPLEX IMPROVEMENTS"/>
    <s v="A"/>
    <n v="143750"/>
    <s v="D"/>
    <s v="CITY OF CABOT"/>
    <s v="Improve the Cabot Sports Complex by constructing pavilions and shade structures, batting cages and warm-up tunnels, and a playground plus installing field lighting for the largest ball field."/>
    <s v="CABOT SPORTS COMPLEX"/>
    <s v="LONOKE"/>
    <n v="1"/>
    <n v="50"/>
  </r>
  <r>
    <x v="2"/>
    <n v="818"/>
    <n v="2014"/>
    <s v="HILARY JONES ELK EDUCATION CENTER DEVELOPMENT"/>
    <s v="A"/>
    <n v="221654.91"/>
    <s v="D"/>
    <s v="AR GAME &amp; FISH COMM."/>
    <s v="Develop the Hillary Jones ELK Education Center. The Center will contain restroom facilities, be universally accessible, and provide a staging area for groups."/>
    <s v="HILARY JONES ELK EDUCATION CENTER"/>
    <s v="NEWTON"/>
    <n v="3"/>
    <n v="22.9"/>
  </r>
  <r>
    <x v="2"/>
    <n v="817"/>
    <n v="2014"/>
    <s v="LITTLE ROCK ZOO - ARKANSAS FARM EXHIBIT"/>
    <s v="A"/>
    <n v="143750"/>
    <s v="R"/>
    <s v="CITY OF LITTLE ROCK"/>
    <s v="Construct the Arkansas Farm Exhibit within the Little Rock Zoo which will contain a children's playground."/>
    <s v="LITTLE ROCK ZOO"/>
    <s v="Pulaski"/>
    <n v="2"/>
    <n v="33"/>
  </r>
  <r>
    <x v="3"/>
    <n v="740"/>
    <n v="2012"/>
    <s v="LAKE HAVASU STATE PARK BOAT RAMP AT WINDSOR BEACH"/>
    <s v="A"/>
    <n v="1473478"/>
    <s v="D"/>
    <s v="ARIZONA STATE PARKS"/>
    <s v="Arizona State Parks will further develop Lake Havasu State Park by constructing a new boat launch ramp, parking areas, a boat wash area, and restroom facilities at Windsor Beach-Unit 4 in the southern end of the park."/>
    <s v="LAKE HAVASU STATE PARK"/>
    <s v="Mohave"/>
    <n v="2"/>
    <n v="6500"/>
  </r>
  <r>
    <x v="3"/>
    <n v="742"/>
    <n v="2014"/>
    <s v="LAKE HAVASU STATE PARK SUPPORT FACILITIES"/>
    <s v="A"/>
    <n v="929730.02"/>
    <s v="D"/>
    <s v="ARIZONA STATE PARKS"/>
    <s v="Construct 2 restroom buildings, 2 restroom/shower buildings, and 1 restroom/concession building at Lake Havasu State Park."/>
    <s v="LAKE HAVASU STATE PARK"/>
    <s v="Mohave"/>
    <n v="2"/>
    <n v="6500"/>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CATALINA STATE PARK"/>
    <s v="Pima"/>
    <n v="8"/>
    <n v="5492.3"/>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BUCKSKIN MOUNTAIN STATE PARK"/>
    <s v="La Paz"/>
    <n v="7"/>
    <n v="1676.6"/>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LOST DUTCHMAN STATE PARK"/>
    <s v="Pinal"/>
    <n v="6"/>
    <n v="297"/>
  </r>
  <r>
    <x v="4"/>
    <n v="1710"/>
    <n v="2011"/>
    <s v="SALTON SEA SRA - IRONWOOD TRAIL IMPROVEMENTS"/>
    <s v="A"/>
    <n v="155000"/>
    <s v="D"/>
    <s v="CA DEPARTMENT OF PARKS AND RECREATION"/>
    <s v="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
    <s v="SALTON SEA STATE RECREATION AREA"/>
    <s v="IMPERIAL"/>
    <n v="51"/>
    <n v="17280"/>
  </r>
  <r>
    <x v="4"/>
    <n v="1712"/>
    <n v="2011"/>
    <s v="MONTANA DE ORO STATE PARK - BLUFF TRAIL IMPROVEMEN"/>
    <s v="A"/>
    <n v="267500"/>
    <s v="D"/>
    <s v="CA DEPARTMENT OF PARKS AND RECREATION"/>
    <s v="Improve 8,000 linear feet of the existing Bluff Trail at Montana De Ord State Park to meet accessibility standards and provide outdoor recreation opportunities to people with disabilities. It will also replace two restrooms and install ADA compliant parking."/>
    <s v="MONTANA DE ORO STATE PARK"/>
    <s v="SAN LUIS OBISPO"/>
    <n v="22"/>
    <n v="8295.6"/>
  </r>
  <r>
    <x v="4"/>
    <n v="1709"/>
    <n v="2011"/>
    <s v="SAMUEL P. TAYLOR SP - SOUTH CREEK TRAIL IMP."/>
    <s v="A"/>
    <n v="175000"/>
    <s v="D"/>
    <s v="CA DEPARTMENT OF PARKS AND RECREATION"/>
    <s v="This project will improve .75 miles of trail to meet accessibility standards and provide outdoor recreation opportunities to people with disabilities."/>
    <s v="SAMUEL P. TAYLOR STATE PARK"/>
    <s v="MARIN"/>
    <n v="6"/>
    <n v="2615"/>
  </r>
  <r>
    <x v="4"/>
    <n v="1720"/>
    <n v="2011"/>
    <s v="MCLAREN PARK TRAIL CONNECTOR TRAIL PROJECT"/>
    <s v="A"/>
    <n v="186746"/>
    <s v="D"/>
    <s v="CITY AND COUNTY OF SAN FRANCISCO"/>
    <s v="This trail connector project will provide welcoming and safe access to trails and pathway into McLaren Park from the Crocker-Amazon, Excelsior, Visitacion Valley, and Sunnydale neighborhoods."/>
    <s v="MCLAREN PARK"/>
    <s v="San Francisco"/>
    <n v="0"/>
    <n v="312"/>
  </r>
  <r>
    <x v="4"/>
    <n v="1711"/>
    <n v="2011"/>
    <s v="CASWELL MEMORIAL SP - LOOP NATURE TRAIL IMPROVEMEN"/>
    <s v="A"/>
    <n v="215000"/>
    <s v="D"/>
    <s v="CA DEPARTMENT OF PARKS AND RECREATION"/>
    <s v="Provide .8 linear miles of trail at Caswell Memorial State Park to meet accessibility standards and provide outdoor recreation opportunities for people with disabilities."/>
    <s v="CASWELL MEMORIAL STATE PARK"/>
    <s v="SAN JOAQUIN"/>
    <n v="11"/>
    <n v="258.10000000000002"/>
  </r>
  <r>
    <x v="4"/>
    <n v="1719"/>
    <n v="2011"/>
    <s v="ABALONE COVE SHORELINE PARK IMPROVEMENT PROJECT"/>
    <s v="A"/>
    <n v="332588"/>
    <s v="D"/>
    <s v="CITY OF RANCHO PALOS VERDES"/>
    <s v="This trail and facilities project will improve an underutilized coastal park with incredibal potential for enhanced recreational opportunities and views unlike any others in the metropolitan Los Angeles area."/>
    <s v="ABALONE COVE SHORELINE PARK"/>
    <s v="LOS ANGELES"/>
    <n v="36"/>
    <n v="80"/>
  </r>
  <r>
    <x v="4"/>
    <n v="1722"/>
    <n v="2011"/>
    <s v="FRUITVALE NORRIS PARK UNIVERSAL PLAYGROUND"/>
    <s v="A"/>
    <n v="80250"/>
    <s v="D"/>
    <s v="NORTH OF THE RIVER RECREATION AND PARK DISTRICT"/>
    <s v="This playground development project in Bakersfield will be developed as an inclusive facility that meets ADA requirements. It will be the first such accessible playground for an area with a population of over 500,000."/>
    <s v="FRUITVALE NORRIS PARK"/>
    <s v="KERN"/>
    <n v="22"/>
    <n v="17.2"/>
  </r>
  <r>
    <x v="4"/>
    <n v="1715"/>
    <n v="2011"/>
    <s v="LIVE OAK RECREATIONAL TRAIL PHASE 3"/>
    <s v="A"/>
    <n v="206469"/>
    <s v="D"/>
    <s v="CITY OF LIVE OAK"/>
    <s v="The installation of this pedestrian and bicycle trail will greatly improve access to public parks and recreation resources in Live Oak."/>
    <s v="LIVE OAK RECREATIONAL TRAIL"/>
    <s v="SUTTER"/>
    <n v="2"/>
    <n v="0.5"/>
  </r>
  <r>
    <x v="4"/>
    <n v="1714"/>
    <n v="2012"/>
    <s v="THE TRACKS AT BREA ACQUISITION"/>
    <s v="C"/>
    <n v="200000"/>
    <s v="A"/>
    <s v="CITY OF BREA"/>
    <s v="Acquire approximately 3.6 acres of land for the Tracks at Brea. This will eventually be part of a 3.8 mile hike and bike trail that uses an abandoned railroad bed."/>
    <s v="THE TRACKS AT BREA"/>
    <s v="Orange"/>
    <n v="0"/>
    <n v="16.600000000000001"/>
  </r>
  <r>
    <x v="4"/>
    <n v="1718"/>
    <n v="2012"/>
    <s v="EL CORTE DE MADERA CREEK TRAIL PROJECT"/>
    <s v="A"/>
    <n v="72471"/>
    <s v="D"/>
    <s v="MIDPENINSULA REGIONAL OPEN SPACE DISTRICT"/>
    <s v="Construct approximately 1 mile of trail, signage, and support facilities at El Corte de Madera Open Space Preserve."/>
    <s v="EL CORTE DE MADERA OPEN SPACE PRESERVE"/>
    <s v="SAN MATEO"/>
    <n v="14"/>
    <n v="2685"/>
  </r>
  <r>
    <x v="4"/>
    <n v="1730"/>
    <n v="2012"/>
    <s v="SYCAMORE VALLEY SHADY SLOPE TRAIL BRIDGE"/>
    <s v="A"/>
    <n v="147119"/>
    <s v="D"/>
    <s v="EAST BAY REGIONAL PARK DISTRICT"/>
    <s v="Construct approximately 45 foot long bridge on the Shady Slope Trail over an exisiting steep-sided drainage."/>
    <s v="SYCAMORE VALLEY REGIONAL OPEN SPACE PRESERVE"/>
    <s v="CONTRA COSTA"/>
    <n v="11"/>
    <n v="359"/>
  </r>
  <r>
    <x v="4"/>
    <n v="1734"/>
    <n v="2012"/>
    <s v="GRAND VIEW TRAIL LINK"/>
    <s v="A"/>
    <n v="95881"/>
    <s v="D"/>
    <s v="CITY OF DIAMOND BAR"/>
    <s v="Develop approximately 2,488 feet existing hard pan Grand View Trail Link at Summitridge Park by constructing a foot bridge, landscape tie steps with lodge pole fencing in one area to mitigate slope, and install benches and signage."/>
    <s v="SUMMITRIDGE PARK"/>
    <s v="LOS ANGELES"/>
    <n v="42"/>
    <n v="285"/>
  </r>
  <r>
    <x v="4"/>
    <n v="1738"/>
    <n v="2012"/>
    <s v="SANTEE LAKES CAMPGROUND PLAYGROUND PROJECT"/>
    <s v="A"/>
    <n v="64006"/>
    <s v="D"/>
    <s v="PADRE DAM MUNICIPAL WATER DISTRICT"/>
    <s v="Construct a playground expansion of approximately 2,075 square feet with additional playground structures."/>
    <s v="SANTEE LAKES RECREATION PRESERVE"/>
    <s v="SAN DIEGO"/>
    <n v="52"/>
    <n v="194"/>
  </r>
  <r>
    <x v="4"/>
    <n v="1713"/>
    <n v="2012"/>
    <s v="CRYSTAL SPRINGS REGIONAL TRAIL SOUTH OF THE DAM"/>
    <s v="A"/>
    <n v="279218"/>
    <s v="D"/>
    <s v="SAN MATEO COUNTY"/>
    <s v="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
    <s v="CRYSTAL SPRINGS REGIONAL TRAIL"/>
    <s v="San Mateo"/>
    <n v="12"/>
    <n v="72.099999999999994"/>
  </r>
  <r>
    <x v="4"/>
    <n v="1723"/>
    <n v="2012"/>
    <s v="LIVE OAK PARK AMPHITHEATER"/>
    <s v="A"/>
    <n v="214000"/>
    <s v="D"/>
    <s v="SAN DIEGO COUNTY"/>
    <s v="Construct an outdoor classroom, an approximate 1,035 LF pedestrian/bicycle path and support facilities."/>
    <s v="LIVE OAK PARK"/>
    <s v="SAN DIEGO"/>
    <n v="49"/>
    <n v="25.7"/>
  </r>
  <r>
    <x v="4"/>
    <n v="1741"/>
    <n v="2012"/>
    <s v="OUTDOOR NATURE INTERPRETIVE CENTER AREA HIKING TRA"/>
    <s v="A"/>
    <n v="124904"/>
    <s v="D"/>
    <s v="PLEASANT VALLEY RECREATION AND PARK DISTRICT"/>
    <s v="Construct an outdoor nature interpretive center with education pavilion platform, an approximately 300 yard long connector trail, and support facilities."/>
    <s v="CAMARILLO GROVE PARK"/>
    <s v="VENTURA"/>
    <n v="24"/>
    <n v="24.6"/>
  </r>
  <r>
    <x v="4"/>
    <n v="1735"/>
    <n v="2012"/>
    <s v="JOHNNY CARSON PARK TRAIL AND NATURE EDUCATION PROJ"/>
    <s v="A"/>
    <n v="283630"/>
    <s v="D"/>
    <s v="CITY OF BURBANK"/>
    <s v="Construct approximately 0.5 mile long decomposed granite loop trail, secondary trails, improve the existing trail bridge and install educational signage."/>
    <s v="JOHNNY CARSON PARK"/>
    <s v="LOS ANGELES"/>
    <n v="29"/>
    <n v="8.8000000000000007"/>
  </r>
  <r>
    <x v="4"/>
    <n v="1733"/>
    <n v="2012"/>
    <s v="BARKER PARK WALKING PATH"/>
    <s v="A"/>
    <n v="65359"/>
    <s v="D"/>
    <s v="CITY OF WASCO"/>
    <s v="Construct approximately 1,166 linear foot long walking/jogging path."/>
    <s v="BARKER PARK"/>
    <s v="KERN"/>
    <n v="20"/>
    <n v="7.1"/>
  </r>
  <r>
    <x v="4"/>
    <n v="1740"/>
    <n v="2012"/>
    <s v="SHADE STRUCTURE AT PAMELA MONTEROSSO TRAILHEAD"/>
    <s v="A"/>
    <n v="29692"/>
    <s v="D"/>
    <s v="CITY OF MODESTO"/>
    <s v="Construct a shade structure on concrete pad with benches."/>
    <s v="PAMELA MONTEROSSO PARK"/>
    <s v="STANISLAUS"/>
    <n v="18"/>
    <n v="5.5"/>
  </r>
  <r>
    <x v="4"/>
    <n v="1732"/>
    <n v="2012"/>
    <s v="PIERSON PARK COVERED PICNIC AREA DEVELOPMENT"/>
    <s v="A"/>
    <n v="26750"/>
    <s v="D"/>
    <s v="MCKINLEYVILLE COMMUNITY SERVICES DISTRICT"/>
    <s v="Construct a covered group picnic area."/>
    <s v="PIERSON PARK"/>
    <s v="HUMBOLDT"/>
    <n v="1"/>
    <n v="4.3"/>
  </r>
  <r>
    <x v="4"/>
    <n v="1731"/>
    <n v="2012"/>
    <s v="SANGER COMMUNITY CENTER PARK DEVELOPMENT"/>
    <s v="A"/>
    <n v="51895"/>
    <s v="D"/>
    <s v="CITY OF SANGER"/>
    <s v="Construct a 1200 linear foot walking path with life course, picnic areas with lighting, and landscaping of the newly constructed skate park area."/>
    <s v="SANGER COMMUNITY CENTER PARK"/>
    <s v="FRESNO"/>
    <n v="20"/>
    <n v="4.2"/>
  </r>
  <r>
    <x v="4"/>
    <n v="1721"/>
    <n v="2012"/>
    <s v="BRENTWOOD PARK DEVELOPMENT"/>
    <s v="A"/>
    <n v="294250"/>
    <s v="D"/>
    <s v="CITY OF COSTA MESA"/>
    <s v="Construct approximately 0.25 mile decomposed granite loop trail, a picnic area, outdoor fitness stations, approximate 5,000 SF concrete work, electrical and lighting, landscaping and support facilities."/>
    <s v="BRENTWOOD PARK"/>
    <s v="ORANGE"/>
    <n v="46"/>
    <n v="2.6"/>
  </r>
  <r>
    <x v="4"/>
    <n v="1717"/>
    <n v="2012"/>
    <s v="ALEX ROAD SKATEPARK"/>
    <s v="C"/>
    <n v="428000"/>
    <s v="D"/>
    <s v="CITY OF OCEANSIDE"/>
    <s v="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
    <s v="ALEX ROAD SKATEPARK"/>
    <s v="SAN DIEGO"/>
    <n v="49"/>
    <n v="0.8"/>
  </r>
  <r>
    <x v="4"/>
    <n v="1726"/>
    <n v="2012"/>
    <s v="MCGRATH STATE BEACH SEWER SYSTEM PROJECT"/>
    <s v="C"/>
    <n v="250000"/>
    <s v="R"/>
    <s v="CA DEPARTMENT OF PARKS AND RECREATION"/>
    <s v="Remove and replace an exisiting sewer system in a very popular beach park. Replacement of this system will keep the park from being closed to the public."/>
    <s v="MCGRATH STATE BEACH"/>
    <s v="VENTURA"/>
    <n v="23"/>
    <n v="312"/>
  </r>
  <r>
    <x v="4"/>
    <n v="1716"/>
    <n v="2012"/>
    <s v="SUMMITRIDGE PARK SOUTHERN TRAIL VISTA"/>
    <s v="A"/>
    <n v="121220"/>
    <s v="R"/>
    <s v="CITY OF DIAMOND BAR"/>
    <s v="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
    <s v="SUMMITRIDGE PARK"/>
    <s v="LOS ANGELES"/>
    <n v="42"/>
    <n v="285"/>
  </r>
  <r>
    <x v="4"/>
    <n v="1755"/>
    <n v="2013"/>
    <s v="MARK WEST CREEK REG PARK &amp; OPEN SPACE PRESERVE ACQ"/>
    <s v="A"/>
    <n v="268817"/>
    <s v="A"/>
    <s v="SONOMA COUNTY REGIONAL PARKS DEPARTMENT"/>
    <s v="Acquire approximately 83.7 acres at Mark West Creek Regional Park and Open Space Preserve."/>
    <s v="MARK WEST CREEK REGIONAL PARK"/>
    <s v="SONOMA"/>
    <n v="0"/>
    <n v="1098.0999999999999"/>
  </r>
  <r>
    <x v="4"/>
    <n v="1729"/>
    <n v="2013"/>
    <s v="POINT MUGU STATE PARK SYCAMORE CANYON CAMPGROUND"/>
    <s v="A"/>
    <n v="0"/>
    <s v="D"/>
    <s v="CA DEPARTMENT OF PARKS AND RECREATION"/>
    <s v="Construct approximately 5 cabins with trenched utilities and an ADA trail with habitat restoration for areas disturbed by campground construction."/>
    <s v="POINT MUGU STATE PARK"/>
    <s v="Ventura"/>
    <n v="0"/>
    <n v="13921.3"/>
  </r>
  <r>
    <x v="4"/>
    <n v="1747"/>
    <n v="2013"/>
    <s v="POINT PINOLE GIANT RECREATION UNIT PICNIC AREA"/>
    <s v="A"/>
    <n v="214516"/>
    <s v="D"/>
    <s v="EAST BAY REGIONAL PARK DISTRICT"/>
    <s v="Construction of a new picnic area including turf play area, new trees, shade structure, drinking fountain, picnic tables and benches, trail, parking lot and restroom."/>
    <s v="POINT PINOLE REGIONAL SHORELINE"/>
    <s v="Contra Costa"/>
    <n v="0"/>
    <n v="3201.9"/>
  </r>
  <r>
    <x v="4"/>
    <n v="1752"/>
    <n v="2013"/>
    <s v="DAIRY MART PONDS OVERLOOK"/>
    <s v="A"/>
    <n v="107527"/>
    <s v="D"/>
    <s v="COUNTY OF SAN DIEGO DEPT OF PARKS"/>
    <s v="Construct a new overlook area and interpretive components in the Tijuana River Valley Regional Park."/>
    <s v="TIJUANA RIVER VALLEY REGIONAL PARK"/>
    <s v="SAN DIEGO"/>
    <n v="0"/>
    <n v="1700"/>
  </r>
  <r>
    <x v="4"/>
    <n v="1753"/>
    <n v="2013"/>
    <s v="MCLAREN BIKE PARK, PHASE I"/>
    <s v="A"/>
    <n v="268640"/>
    <s v="D"/>
    <s v="SAN FRANCISCO PARK AND RECREATION DEPT."/>
    <s v="Construct new multiple use bike trails and amenities including picnic areas and signage in McLaren Bike Park in the City of San Francisco."/>
    <s v="MCLAREN PARK"/>
    <s v="San Francisco"/>
    <n v="0"/>
    <n v="312"/>
  </r>
  <r>
    <x v="4"/>
    <n v="1737"/>
    <n v="2013"/>
    <s v="RANCHO JURUPA PARK DEVELOPMENT"/>
    <s v="A"/>
    <n v="267714"/>
    <s v="D"/>
    <s v="RIVERSIDE COUNTY"/>
    <s v="Construct a disc golf course expansion, tent camping area, campground improvement, trails and picnic shelter/amphitheater."/>
    <s v="RANCHO JURUPA PARK"/>
    <s v="Riverside"/>
    <n v="0"/>
    <n v="200"/>
  </r>
  <r>
    <x v="4"/>
    <n v="1736"/>
    <n v="2013"/>
    <s v="TRACKS AT BREA DEVELOPMENT"/>
    <s v="A"/>
    <n v="553564"/>
    <s v="D"/>
    <s v="CITY OF BREA"/>
    <s v="Construct an approximate 0.8 mile long dual-tread bicycle and pedestrian trail on former railroad right-of-way between Brea Blvd. and State College Blvd. with parking and trail entrances."/>
    <s v="THE TRACKS AT BREA"/>
    <s v="Orange"/>
    <n v="0"/>
    <n v="16.600000000000001"/>
  </r>
  <r>
    <x v="4"/>
    <n v="1749"/>
    <n v="2013"/>
    <s v="BARNES PARK FITNESS ZONE PROJECT"/>
    <s v="A"/>
    <n v="65054"/>
    <s v="D"/>
    <s v="CITY OF BALDWIN PARK"/>
    <s v="Construct a new outdoor fitness zone with shared structure and walking trail markers in Barnes Park."/>
    <s v="BARNES PARK"/>
    <s v="LOS ANGELES"/>
    <n v="0"/>
    <n v="6.5"/>
  </r>
  <r>
    <x v="4"/>
    <n v="1754"/>
    <n v="2013"/>
    <s v="GARRAHAN PARK OUTDOOR FITNESS PROJECT"/>
    <s v="A"/>
    <n v="16774"/>
    <s v="D"/>
    <s v="BOULDER CREEK RECREATION AND PARK DISTRICT"/>
    <s v="Installation of new outdoor fitness equipment at eleven locations along an existing trail."/>
    <s v="GARRAHAN PARK"/>
    <s v="SANTA CRUZ"/>
    <n v="0"/>
    <n v="2"/>
  </r>
  <r>
    <x v="4"/>
    <n v="1750"/>
    <n v="2013"/>
    <s v="PAUL REVERE PARK DEVELOPMENT"/>
    <s v="A"/>
    <n v="276882"/>
    <s v="D"/>
    <s v="CITY OF ANAHEIM"/>
    <s v="Construct a new park to include gazebo, picnic area, landscape, volleyball court, children's playground, and walking path."/>
    <s v="PAUL REVERE PARK"/>
    <s v="ORANGE"/>
    <n v="0"/>
    <n v="0.4"/>
  </r>
  <r>
    <x v="4"/>
    <n v="1743"/>
    <n v="2013"/>
    <s v="LAKE DEL VALLE STATE RECREATION AREA CAMPGROUND"/>
    <s v="A"/>
    <n v="128400"/>
    <s v="R"/>
    <s v="EAST BAY REGIONAL PARK DISTRICT"/>
    <s v="Replace the existing campground restroom building #9 with a new pre-fabricated ADA compliant restroom and adjacent sidewalk and parking at Digger Flats Campground."/>
    <s v="DEL VALLE REGIONAL PARK"/>
    <s v="Alameda"/>
    <n v="10"/>
    <n v="5000"/>
  </r>
  <r>
    <x v="4"/>
    <n v="1748"/>
    <n v="2013"/>
    <s v="PICO PARK RENOVATION AND ENHANCEMENT PROJECT"/>
    <s v="A"/>
    <n v="215054"/>
    <s v="R"/>
    <s v="CITY OF PICO RIVERA"/>
    <s v="Development of a new jogging track, exercise stations, picnic shelter and related amenities."/>
    <s v="PICO PARK"/>
    <s v="LOS ANGELES"/>
    <n v="0"/>
    <n v="17"/>
  </r>
  <r>
    <x v="4"/>
    <n v="1760"/>
    <n v="2014"/>
    <s v="UNITING THE HILLSIDE NATURAL AREA ACQUISITION"/>
    <s v="A"/>
    <n v="0"/>
    <s v="A"/>
    <s v="CITY OF EL CERRITO"/>
    <s v="Acquisition of ~8.08-acres at Hillside Natural Areas to connect and expand existing park land to 102.54 acres located in the City of El Cerrito."/>
    <s v="HILLSIDE NATURAL AREA"/>
    <s v="CONTRA COSTA"/>
    <n v="11"/>
    <n v="102.5"/>
  </r>
  <r>
    <x v="4"/>
    <n v="1771"/>
    <n v="2014"/>
    <s v="SEVENTH STREET PARK ACQUISITION"/>
    <s v="A"/>
    <n v="0"/>
    <s v="A"/>
    <s v="CITY OF HUGHSON"/>
    <s v="Acquire approximately 20 acres to create the new 7th Street Park."/>
    <s v="SEVENTH STREET PARK"/>
    <s v="STANISLAUS"/>
    <n v="10"/>
    <n v="19.7"/>
  </r>
  <r>
    <x v="4"/>
    <n v="1751"/>
    <n v="2014"/>
    <s v="DUNLAP NEIGHBORHOOD PARK ACQUISITION"/>
    <s v="A"/>
    <n v="0"/>
    <s v="A"/>
    <s v="CITY OF YUCAIPA"/>
    <s v="Acquisition of approximately 5 acres of land for neighborhood park."/>
    <s v="DUNLAP NEIGHBORHOOD PARK"/>
    <s v="RIVERSIDE"/>
    <n v="8"/>
    <n v="5"/>
  </r>
  <r>
    <x v="4"/>
    <n v="1744"/>
    <n v="2014"/>
    <s v="POINT PINOLE FISHING PIER IMPROVEMENTS"/>
    <s v="A"/>
    <n v="0"/>
    <s v="D"/>
    <s v="EAST BAY REGIONAL PARK DISTRICT"/>
    <s v="Fishing pier renovation, new ADA restroom constructed in place of old one, ADA parking and walkways to pier, picnic areas, drainage systems and other minor support amenities at the Point Pinole Fishing Pier in the City of Richmond."/>
    <s v="POINT PINOLE REGIONAL SHORELINE"/>
    <s v="Contra Costa"/>
    <n v="0"/>
    <n v="3201.9"/>
  </r>
  <r>
    <x v="4"/>
    <n v="1768"/>
    <n v="2014"/>
    <s v="TUOLUMNE RIVER REGIONAL PARK GATEWAY"/>
    <s v="A"/>
    <n v="0"/>
    <s v="D"/>
    <s v="CITY OF MODESTO"/>
    <s v="Construct approximately 4,100 linear feet of trail, pedestrian bridge and fishing deck at Tuolumne River Regional Park in the City of Modesto."/>
    <s v="TUOLUMNE RIVER REGIONAL PARK"/>
    <s v="Stanislaus"/>
    <n v="18"/>
    <n v="109.4"/>
  </r>
  <r>
    <x v="4"/>
    <n v="1739"/>
    <n v="2014"/>
    <s v="CRYSTAL SPRINGS REGIONAL TRAIL SOUTH OF HIGHWAY 92"/>
    <s v="A"/>
    <n v="0"/>
    <s v="D"/>
    <s v="SAN MATEO COUNTY"/>
    <s v="Develop Crystal Springs trail by constructing approx. 0.9 mile long and 10 foot wide paved trail with habitat fence, restroom and support facilities."/>
    <s v="CRYSTAL SPRINGS REGIONAL TRAIL"/>
    <s v="San Mateo"/>
    <n v="12"/>
    <n v="72.099999999999994"/>
  </r>
  <r>
    <x v="4"/>
    <n v="1773"/>
    <n v="2014"/>
    <s v="ARROYO VISTA RECREATIONAL TRAIL"/>
    <s v="A"/>
    <n v="0"/>
    <s v="D"/>
    <s v="CITY OF MOORPARK"/>
    <s v="Construct a new pedestrain trail with fitness stations, a new bike trail, and new ADA pathways in Arroyo Vista Park in the city of Moorpark."/>
    <s v="ARROYO VISTA PARK"/>
    <s v="VENTURA"/>
    <n v="26"/>
    <n v="69"/>
  </r>
  <r>
    <x v="4"/>
    <n v="1756"/>
    <n v="2014"/>
    <s v="FARMERSVILLE PARK DEVELOPMENT"/>
    <s v="A"/>
    <n v="0"/>
    <s v="D"/>
    <s v="CITY OF FARMERSVILLE"/>
    <s v="Construct a new approximate 1/2 mile walking trail loop and pedestrian bridge over an existing man-made irrigation canal with interpretive signange and trees, picnic areas with shade structures, and soccer field and renovate existing baseball fields and restroom at Farmersville Park in Farmersville."/>
    <s v="FARMERSVILLE PARK"/>
    <s v="TULARE"/>
    <n v="22"/>
    <n v="27.2"/>
  </r>
  <r>
    <x v="4"/>
    <n v="1763"/>
    <n v="2014"/>
    <s v="YELLEN PARK CREATION PROJECT"/>
    <s v="A"/>
    <n v="0"/>
    <s v="D"/>
    <s v="CITY OF PALMDALE"/>
    <s v="Create the new Yellen Park. Construct a new multi-purpose field with lighting, adventure-themed playground, picnic areas, pathways and bikeways, restroom, site landscaping and irrigation, and parking lot."/>
    <s v="YELLEN PARK"/>
    <s v="LOS ANGELES"/>
    <n v="25"/>
    <n v="24.9"/>
  </r>
  <r>
    <x v="4"/>
    <n v="1765"/>
    <n v="2014"/>
    <s v="The Tracks at Brea Development"/>
    <s v="A"/>
    <n v="0"/>
    <s v="D"/>
    <s v="CITY OF BREA"/>
    <s v="Create the new Tracks at Brea Trail which will include construction of a new trail, landscaping, educational signage and benches."/>
    <s v="THE TRACKS AT BREA"/>
    <s v="Orange"/>
    <n v="0"/>
    <n v="16.600000000000001"/>
  </r>
  <r>
    <x v="4"/>
    <n v="1772"/>
    <n v="2014"/>
    <s v="SOUTH REINWAY AVENUE RECREATIONAL PARK &amp; TRAILHEAD"/>
    <s v="A"/>
    <n v="0"/>
    <s v="D"/>
    <s v="CITY OF WATERFORD"/>
    <s v="Create a new South Reinway Avenue Recreational Park and Trailhead. Project would include the construction of a new wildlife viewing platform and stairs, an access road, parking lot, restrooms, exercise stations, and a picnic area."/>
    <s v="SOUTH REINWAY AVENUE RECREATIONAL PARK"/>
    <s v="STANISLAUS"/>
    <n v="10"/>
    <n v="15.5"/>
  </r>
  <r>
    <x v="4"/>
    <n v="1758"/>
    <n v="2014"/>
    <s v="CASA VERDE PARK - TRAILS AND PLAYGROUNDS"/>
    <s v="A"/>
    <n v="0"/>
    <s v="D"/>
    <s v="CITY OF UNION CITY"/>
    <s v="Renovate an existing trail, playgrounds and sports courts at Casa Verde Park in the City of Union City."/>
    <s v="CASA VERDE PARK"/>
    <s v="ALAMEDA"/>
    <n v="15"/>
    <n v="11.9"/>
  </r>
  <r>
    <x v="4"/>
    <n v="1769"/>
    <n v="2014"/>
    <s v="NEWMAN SKATE PLAZA DEVELOPMENT"/>
    <s v="A"/>
    <n v="0"/>
    <s v="D"/>
    <s v="CITY OF NEWMAN"/>
    <s v="Construct a new skate plaza at Lions Park."/>
    <s v="LIONS PARK"/>
    <s v="STANISLAUS"/>
    <n v="10"/>
    <n v="6"/>
  </r>
  <r>
    <x v="4"/>
    <n v="1770"/>
    <n v="2014"/>
    <s v="RYNO PARK PLAYGROUND DEVELOPMENT"/>
    <s v="A"/>
    <n v="0"/>
    <s v="D"/>
    <s v="CITY OF CERES"/>
    <s v="Construct a new playground, picnic pavillion, and basketball court in Ryno Park."/>
    <s v="SAM RYNO PARK"/>
    <s v="STANISLAUS"/>
    <n v="10"/>
    <n v="5.2"/>
  </r>
  <r>
    <x v="4"/>
    <n v="1767"/>
    <n v="2014"/>
    <s v="SAN MIGUEL COMMUNITY PARK"/>
    <s v="A"/>
    <n v="0"/>
    <s v="D"/>
    <s v="COUNTY OF SAN LUIS OBISPO"/>
    <s v="Expand San Miguel Community Park and construct a new soccer/multi-use sports field and new park pathways."/>
    <s v="SAN MUGUEL COMMUNITY PARK"/>
    <s v="MONTEREY"/>
    <n v="20"/>
    <n v="2.8"/>
  </r>
  <r>
    <x v="4"/>
    <n v="1764"/>
    <n v="2014"/>
    <s v="VETERAN'S MEMORIAL PARK AMPHITHEATER"/>
    <s v="A"/>
    <n v="0"/>
    <s v="D"/>
    <s v="CITY OF CHOWCHILLA"/>
    <s v="Construct a new amphitheater stage at Veteran's Memorial Park."/>
    <s v="VETERAN'S MEMORIAL PARK"/>
    <s v="MADERA"/>
    <n v="4"/>
    <n v="2.1"/>
  </r>
  <r>
    <x v="4"/>
    <n v="1766"/>
    <n v="2014"/>
    <s v="Noe Valley Town Square Park Development"/>
    <s v="A"/>
    <n v="0"/>
    <s v="D"/>
    <s v="CITY AND COUNTY OF SAN FRANCISCO"/>
    <s v="Create the new Noe Valley Town Square Park in the City of San Francisco. Construct new plaza, children's play area with site furnishings, lighting and landscaping."/>
    <s v="NOE VALLEY TOWN SQUARE PARK"/>
    <s v="SAN FRANCISCO"/>
    <n v="12"/>
    <n v="0.3"/>
  </r>
  <r>
    <x v="4"/>
    <n v="1759"/>
    <n v="2014"/>
    <s v="DEL VALLE CAMPGROUND RESTROOMS AND ACCESS"/>
    <s v="A"/>
    <n v="0"/>
    <s v="R"/>
    <s v="EAST BAY REGIONAL PARK DISTRICT"/>
    <s v="Replacement of dilapidated campground restroom/shower buildings at Campgrounds #10 &amp; #20 with new prefabricated ADA compliant versions with ADA access routes at Del Valle Regional Park."/>
    <s v="DEL VALLE REGIONAL PARK"/>
    <s v="Alameda"/>
    <n v="10"/>
    <n v="5000"/>
  </r>
  <r>
    <x v="4"/>
    <n v="1757"/>
    <n v="2014"/>
    <s v="MENDOCINO WOODLANDS STATE PARK"/>
    <s v="A"/>
    <n v="0"/>
    <s v="R"/>
    <s v="CA DEPARTMENT OF PARKS AND RECREATION"/>
    <s v="Renovate wastewater systems."/>
    <s v="MENDOCINO WOODLANDS STATE PARK"/>
    <s v="Mendocino"/>
    <n v="2"/>
    <n v="646"/>
  </r>
  <r>
    <x v="4"/>
    <n v="1775"/>
    <n v="2014"/>
    <s v="TEMESCAL FISHING PIER IMPROVEMENTS"/>
    <s v="A"/>
    <n v="0"/>
    <s v="R"/>
    <s v="EAST BAY REGIONAL PARK DISTRICT"/>
    <s v="A development project to renovate two existing fishing piers, repair existing erosion protection around landing of a third pier, improve existing parking spaces, make ADA restroom improvements and construct ADA picnic area."/>
    <s v="TEMESCAL REGIONAL RECREATION AREA"/>
    <s v="ALAMEDA"/>
    <n v="11"/>
    <n v="34.9"/>
  </r>
  <r>
    <x v="4"/>
    <n v="1761"/>
    <n v="2014"/>
    <s v="MUELLER PARK BEAUTIFICATION"/>
    <s v="A"/>
    <n v="0"/>
    <s v="R"/>
    <s v="CITY OF REEDLEY"/>
    <s v="Construct a new walking trail connecting multiple existing recreational features, new picnic areas and renovate picnic pavilion, renovate existing playground including replacment shade structure, install new lighting, and renovate restroom."/>
    <s v="MUELLER PARK"/>
    <s v="FRESNO"/>
    <n v="21"/>
    <n v="9.4"/>
  </r>
  <r>
    <x v="5"/>
    <n v="1120"/>
    <n v="2011"/>
    <s v="DOG OFF-LEASH AREA AT CHERRY CREEK STATE PARK"/>
    <s v="A"/>
    <n v="547565"/>
    <s v="D"/>
    <s v="STATE OF COLORADO"/>
    <s v="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
    <s v="CHERRY CREEK STATE PARK"/>
    <s v="ARAPAHOE"/>
    <n v="6"/>
    <n v="4286.8999999999996"/>
  </r>
  <r>
    <x v="5"/>
    <n v="1118"/>
    <n v="2011"/>
    <s v="COTTONWOOD CREEK TRAIL - SAFE PASSAGE"/>
    <s v="A"/>
    <n v="222713"/>
    <s v="D"/>
    <s v="CITY OF COLORADO SPRINGS"/>
    <s v="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
    <s v="COTTONWOOD CREEK TRAIL"/>
    <s v="EL PASO"/>
    <n v="5"/>
    <n v="0.1"/>
  </r>
  <r>
    <x v="5"/>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ANIMAS RIVER TRAIL"/>
    <s v="LA PLATA"/>
    <n v="3"/>
    <n v="35.4"/>
  </r>
  <r>
    <x v="5"/>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MEMORIAL PARK"/>
    <s v="LA PLATA"/>
    <n v="3"/>
    <n v="15.4"/>
  </r>
  <r>
    <x v="5"/>
    <n v="1121"/>
    <n v="2012"/>
    <s v="FOSSIL CREEK TRAIL AT EAST TRILBY ROAD"/>
    <s v="A"/>
    <n v="258320"/>
    <s v="D"/>
    <s v="CITY OF FORT COLLINS"/>
    <s v="Fort Collins (Larimer County) will construct 1.68 miles of new concrete pathway along the Fossil Creek Trail. This project is a component of a long-term venture that will eventually stretch 27 miles from Fort Collins to Loveland."/>
    <s v="FOSSIL CREEK TRAIL"/>
    <s v="LARIMER"/>
    <n v="4"/>
    <n v="1.7"/>
  </r>
  <r>
    <x v="5"/>
    <n v="1122"/>
    <n v="2013"/>
    <s v="RANGELY TRAILS PROGRAM"/>
    <s v="A"/>
    <n v="176303"/>
    <s v="D"/>
    <s v="TOWN OF RANGELY"/>
    <s v="The Town of Rangely (Rio Blanco County) will construct a one-mile trail along a right-of-way known as the Royden Ditch and into Elks Park."/>
    <s v="ELKS PARK"/>
    <s v="RIO BLANCO"/>
    <n v="0"/>
    <n v="19.5"/>
  </r>
  <r>
    <x v="5"/>
    <n v="1123"/>
    <n v="2013"/>
    <s v="CASTLE ROCK HANGMAN'S GULCH TRAIL"/>
    <s v="A"/>
    <n v="249493"/>
    <s v="D"/>
    <s v="TOWN OF CASTLE ROCK"/>
    <s v="The Town of Castle Rock (Douglas County) will construct one mile of the Hangman's Gulch Trail."/>
    <s v="HANGMAN'S GULCH TRAIL"/>
    <s v="DOUGLAS"/>
    <n v="0"/>
    <n v="1.6"/>
  </r>
  <r>
    <x v="5"/>
    <n v="1126"/>
    <n v="2013"/>
    <s v="PAGOSA SPRINGS 6TH STREET RIVER WALK TRAIL"/>
    <s v="A"/>
    <n v="132893"/>
    <s v="D"/>
    <s v="TOWN OF PAGOSA SPRINGS"/>
    <s v="The Town of Pagosa Springs (Archuleta County) will construct a 900-foot trail that runs along the San Juan River in downtown Pagosa Springs."/>
    <s v="6th STREET RIVER WALK TRAIL"/>
    <s v="ARCHULETA"/>
    <n v="0"/>
    <n v="1.5"/>
  </r>
  <r>
    <x v="5"/>
    <n v="1122"/>
    <n v="2013"/>
    <s v="RANGELY TRAILS PROGRAM"/>
    <s v="A"/>
    <n v="176303"/>
    <s v="D"/>
    <s v="TOWN OF RANGELY"/>
    <s v="The Town of Rangely (Rio Blanco County) will construct a one-mile trail along a right-of-way known as the Royden Ditch and into Elks Park."/>
    <s v="ROYDEN DITCH TRAIL"/>
    <s v="RIO BLANCO"/>
    <n v="0"/>
    <n v="1.2"/>
  </r>
  <r>
    <x v="5"/>
    <n v="1129"/>
    <n v="2014"/>
    <s v="GYPSUM TO DOTSERO TRAIL PHASE II"/>
    <s v="A"/>
    <n v="120455"/>
    <s v="D"/>
    <s v="EAGLE COUNTY"/>
    <s v="Eagle County will construct 2.3 miles of the Gypsum to Dotsero trail in western Eagle County. The scope includes paving a 10-foot wide trail with 1-foot shoulders."/>
    <s v="GYPSUM TO DOTSERO TRAIL"/>
    <s v="EAGLE"/>
    <n v="3"/>
    <n v="5.5"/>
  </r>
  <r>
    <x v="5"/>
    <n v="1124"/>
    <n v="2014"/>
    <s v="AHI MULTI TRAILS PROJECT"/>
    <s v="A"/>
    <n v="258440"/>
    <s v="D"/>
    <s v="BOULDER COUNTY"/>
    <s v="Boulder County will construct 5.2 miles of new trail located on the AHI Open Space Complex."/>
    <s v="AHI OPEN SPACE COMPLEX"/>
    <s v="BOULDER"/>
    <n v="2"/>
    <n v="5.0999999999999996"/>
  </r>
  <r>
    <x v="5"/>
    <n v="1128"/>
    <n v="2014"/>
    <s v="LYONS ST. VRAIN CORRIDOR TRAIL RECOVERY PROJECT"/>
    <s v="A"/>
    <n v="452270"/>
    <s v="R"/>
    <s v="TOWN OF LYONS"/>
    <s v="The city of Lyons will utilize a Land and Water Conservation Fund grant to assist in reconstructing the 0.96-mile Lyons St. Vrain Corridor trail which was destroyed in a massive September 2013 flood. The grant scope includes reconstruction of the original trail and a 0.7-mile extension."/>
    <s v="ST. VRAIN CORRIDOR TRAIL"/>
    <s v="BOULDER"/>
    <n v="2"/>
    <n v="4.9000000000000004"/>
  </r>
  <r>
    <x v="6"/>
    <n v="463"/>
    <n v="2011"/>
    <s v="Hammonasset Beach State Park Nature Center"/>
    <s v="A"/>
    <n v="563000"/>
    <s v="D"/>
    <s v="Department of Energy &amp; Environmental Protection"/>
    <m/>
    <s v="HAMMONASSET BEACH STATE PARK"/>
    <s v="NEW HAVEN"/>
    <n v="3"/>
    <n v="920"/>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HOPEVILLE POND STATE PARK"/>
    <s v="NEW LONDON"/>
    <n v="2"/>
    <n v="554"/>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Chatfield Hollow State Park"/>
    <s v="MIDDLESEX"/>
    <n v="2"/>
    <n v="355.6"/>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Salt Rock State Campground"/>
    <s v="NEW LONDON"/>
    <n v="2"/>
    <n v="92.6"/>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DINOSAUR STATE PARK"/>
    <s v="HARTFORD"/>
    <n v="1"/>
    <n v="70"/>
  </r>
  <r>
    <x v="7"/>
    <n v="102"/>
    <n v="2012"/>
    <s v="Randall Recreation Center Improvement"/>
    <s v="A"/>
    <n v="85140"/>
    <s v="R"/>
    <s v="DC - Department of Parks &amp; Recreation"/>
    <s v="Renovation of Randall Plaza to create a more inviting and active space. Improvements will include new landscaping, new hard-scaping, skating area and signage."/>
    <s v="Randall Recreation Center"/>
    <s v="DISTRICT OF COLUMBIA"/>
    <n v="0"/>
    <n v="0.3"/>
  </r>
  <r>
    <x v="8"/>
    <n v="190"/>
    <n v="2012"/>
    <s v="Brandywine Creek State Park - Rocky Run Acq."/>
    <s v="A"/>
    <n v="100000"/>
    <s v="A"/>
    <s v="Delaware State Parks"/>
    <s v="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
    <s v="BRANDYWINE CREEK STATE PARK"/>
    <s v="NEW CASTLE"/>
    <n v="0"/>
    <n v="725.5"/>
  </r>
  <r>
    <x v="8"/>
    <n v="192"/>
    <n v="2012"/>
    <s v="Auburn Heights Preserve - Acquisition"/>
    <s v="A"/>
    <n v="50000"/>
    <s v="A"/>
    <s v="Delaware State Parks"/>
    <s v="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
    <s v="Auburn Heights Preserve"/>
    <s v="NEW CASTLE"/>
    <n v="0"/>
    <n v="12.8"/>
  </r>
  <r>
    <x v="8"/>
    <n v="191"/>
    <n v="2012"/>
    <s v="Cape Henlopen State Park - Primitive Cabins"/>
    <s v="A"/>
    <n v="300000"/>
    <s v="D"/>
    <s v="DNREC - Div of Parks and Recreation"/>
    <s v="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
    <s v="Cape Henlopen State Park - Primitive Cabins"/>
    <s v="SUSSEX"/>
    <n v="0"/>
    <n v="3177"/>
  </r>
  <r>
    <x v="9"/>
    <n v="574"/>
    <n v="2011"/>
    <s v="TUCKER RANCH PARK"/>
    <s v="C"/>
    <n v="200000"/>
    <s v="A"/>
    <s v="CITY OF WINTER GARDEN"/>
    <s v="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
    <s v="TUCKER RANCH RECREATION AND NATURE COMPLEX"/>
    <s v="ORANGE"/>
    <n v="8"/>
    <n v="200"/>
  </r>
  <r>
    <x v="9"/>
    <n v="575"/>
    <n v="2011"/>
    <s v="GEORGETOWN RIVERFRONT PARK"/>
    <s v="C"/>
    <n v="163527.4"/>
    <s v="A"/>
    <s v="PUTNAM COUNTY"/>
    <s v="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
    <s v="GEORGETOWN RIVERFRONT PARK"/>
    <s v="PUTNAM"/>
    <n v="3"/>
    <n v="25.7"/>
  </r>
  <r>
    <x v="9"/>
    <n v="577"/>
    <n v="2011"/>
    <s v="PALM AIRE PARK PARCEL"/>
    <s v="C"/>
    <n v="87779.03"/>
    <s v="A"/>
    <s v="CITY OF POMPANO BEACH"/>
    <s v="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
    <s v="PALM AIRE PARK"/>
    <s v="BROWARD"/>
    <n v="19"/>
    <n v="4.9000000000000004"/>
  </r>
  <r>
    <x v="9"/>
    <n v="573"/>
    <n v="2011"/>
    <s v="EGAN PARK ADDITION"/>
    <s v="C"/>
    <n v="200000"/>
    <s v="A"/>
    <s v="CITY OF ST. PETE BEACH"/>
    <s v="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
    <s v="EGAN PARK"/>
    <s v="PINELLAS"/>
    <n v="10"/>
    <n v="0.7"/>
  </r>
  <r>
    <x v="9"/>
    <n v="587"/>
    <n v="2011"/>
    <s v="BLACK BEAR WILDERNESS AREA"/>
    <s v="A"/>
    <n v="200000"/>
    <s v="D"/>
    <s v="SEMINOLE COUNTY"/>
    <s v="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
    <s v="BLACK BEAR WILDERNESS AREA"/>
    <s v="SEMINOLE"/>
    <n v="7"/>
    <n v="1650"/>
  </r>
  <r>
    <x v="9"/>
    <n v="585"/>
    <n v="2011"/>
    <s v="INLAND GROVES PARK"/>
    <s v="A"/>
    <n v="107804"/>
    <s v="D"/>
    <s v="CITY OF CLERMONT"/>
    <s v="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
    <s v="INLAND GROVES PARK"/>
    <s v="LAKE"/>
    <n v="5"/>
    <n v="217"/>
  </r>
  <r>
    <x v="9"/>
    <n v="589"/>
    <n v="2011"/>
    <s v="INLAND GROVES PARK PHASE II"/>
    <s v="A"/>
    <n v="200000"/>
    <s v="D"/>
    <s v="CITY OF CLERMONT"/>
    <s v="Grant funds will be used to develop the second phase of a 217+/- acres new park in the City of Clemont. There are no passive recreation parks within a 25 minute drive of Clemont community and within walking distance of historic downtown Clemont."/>
    <s v="INLAND GROVES PARK"/>
    <s v="LAKE"/>
    <n v="5"/>
    <n v="217"/>
  </r>
  <r>
    <x v="9"/>
    <n v="582"/>
    <n v="2011"/>
    <s v="TRAILHEAD PRESERVE"/>
    <s v="C"/>
    <n v="200000"/>
    <s v="D"/>
    <s v="CITY OF FELLSMERE"/>
    <s v="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
    <s v="TRAILHEAD PRESERVE"/>
    <s v="INDIAN RIVER"/>
    <n v="15"/>
    <n v="88.5"/>
  </r>
  <r>
    <x v="9"/>
    <n v="583"/>
    <n v="2011"/>
    <s v="JOHN PRINCE MEMORIAL PARK PHASE IV"/>
    <s v="A"/>
    <n v="200000"/>
    <s v="D"/>
    <s v="PALM BEACH COUNTY"/>
    <s v="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
    <s v="JOHN PRINCE MEMORIAL PARK"/>
    <s v="PALM BEACH"/>
    <n v="19"/>
    <n v="32.700000000000003"/>
  </r>
  <r>
    <x v="9"/>
    <n v="581"/>
    <n v="2011"/>
    <s v="C.S. LEE PARK"/>
    <s v="A"/>
    <n v="200000"/>
    <s v="D"/>
    <s v="SEMINOLE COUNTY"/>
    <s v="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
    <s v="C.S. LEE PARK"/>
    <s v="SEMINOLE"/>
    <n v="24"/>
    <n v="17.3"/>
  </r>
  <r>
    <x v="9"/>
    <n v="580"/>
    <n v="2011"/>
    <s v="FORD STREET PRESERVE AT SHADY OAKS PARK"/>
    <s v="A"/>
    <n v="200000"/>
    <s v="D"/>
    <s v="CITY OF FORT MYERS"/>
    <s v="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
    <s v="SHADY OAKS PARK"/>
    <s v="LEE"/>
    <n v="14"/>
    <n v="9"/>
  </r>
  <r>
    <x v="9"/>
    <n v="579"/>
    <n v="2011"/>
    <s v="GRANDVIEW PARK"/>
    <s v="A"/>
    <n v="150000"/>
    <s v="D"/>
    <s v="CITY OF ST. PETERSBURG"/>
    <s v="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
    <s v="GRANDVEIW PARK"/>
    <s v="PINELLAS"/>
    <n v="10"/>
    <n v="8.5"/>
  </r>
  <r>
    <x v="9"/>
    <n v="584"/>
    <n v="2011"/>
    <s v="LEWIS LANDING PARK"/>
    <s v="A"/>
    <n v="200000"/>
    <s v="D"/>
    <s v="CITY OF FORT LAUDERDALE"/>
    <s v="Grant funds will be used to develop an 1.25± new park in the City of Fort Lauderdale. The project will result in public access to the largest river in the City. Development will include gazebo/picnic facilities, dock, walking trail, and other related support facilities."/>
    <s v="LEWIS LANDING PARK"/>
    <s v="BROWARD"/>
    <n v="20"/>
    <n v="1.3"/>
  </r>
  <r>
    <x v="9"/>
    <n v="591"/>
    <n v="2012"/>
    <s v="FCT-II PARK"/>
    <s v="C"/>
    <n v="200000"/>
    <s v="A"/>
    <s v="CITY OF FELLSMERE"/>
    <s v="Grant funds will be used to assist the City of Fellsmere to acquire 41.54+/- acres of land to develop as a new park. Future development will include a hiking trail, picnic facility, nature/observation boardwalk, and other related support facilities."/>
    <s v="FCT-II PARK"/>
    <s v="INDIAN RIVER"/>
    <n v="15"/>
    <n v="41.5"/>
  </r>
  <r>
    <x v="9"/>
    <n v="600"/>
    <n v="2012"/>
    <s v="WATERFRONT PARK"/>
    <s v="C"/>
    <n v="200000"/>
    <s v="A"/>
    <s v="CITY OF SEMINOLE"/>
    <s v="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
    <s v="WATERFRONT PARK"/>
    <s v="PINELLAS"/>
    <n v="10"/>
    <n v="6"/>
  </r>
  <r>
    <x v="9"/>
    <n v="608"/>
    <n v="2012"/>
    <s v="PINE GLADES NATURAL AREA TRAIL"/>
    <s v="C"/>
    <n v="200000"/>
    <s v="D"/>
    <s v="PALM BEACH COUNTY"/>
    <s v="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
    <s v="PINE GLADES NATURAL AREA"/>
    <s v="Brevard"/>
    <n v="15"/>
    <n v="6416"/>
  </r>
  <r>
    <x v="9"/>
    <n v="593"/>
    <n v="2012"/>
    <s v="MOBBLY BAYOU WILDERNESS PRESERVE"/>
    <s v="A"/>
    <n v="150000"/>
    <s v="D"/>
    <s v="CITY OF OLDSMAR"/>
    <s v="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
    <s v="MOBBLY BAYOU WILDERNESS PRESERVE"/>
    <s v="PINELLAS"/>
    <n v="9"/>
    <n v="225"/>
  </r>
  <r>
    <x v="9"/>
    <n v="609"/>
    <n v="2012"/>
    <s v="BAREFOOT BAY COMMUNITY PARK ENHANCEMENTS"/>
    <s v="A"/>
    <n v="200000"/>
    <s v="D"/>
    <s v="BAREFOOT BAY RECREATION DISTRICT"/>
    <s v="This grant will assist in improving the 40 acre Community Center Park. The grant scope includes enhancing the playground, tennis court, and a basketball court plus constructing a fishing pier, a nature observation deck, multi-purpose trail, parking and general landscaping"/>
    <s v="COMMUNITY CENTER PARK"/>
    <s v="BREVARD"/>
    <n v="15"/>
    <n v="40"/>
  </r>
  <r>
    <x v="9"/>
    <n v="607"/>
    <n v="2012"/>
    <s v="ACREAGE COMMUNITY PARK PH 1"/>
    <s v="A"/>
    <n v="200000"/>
    <s v="D"/>
    <s v="INDIN TRAIL IMPROVEMENT DISTRICT"/>
    <s v="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
    <s v="ACREAGE COMMUNITY PARK PH 1"/>
    <s v="PALM BEACH"/>
    <n v="22"/>
    <n v="28"/>
  </r>
  <r>
    <x v="9"/>
    <n v="595"/>
    <n v="2012"/>
    <s v="MAINLANDS PARK"/>
    <s v="A"/>
    <n v="200000"/>
    <s v="D"/>
    <s v="CITY OF TAMARAC"/>
    <s v="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
    <s v="MAINLAND PARK"/>
    <s v="BROWARD"/>
    <n v="20"/>
    <n v="23"/>
  </r>
  <r>
    <x v="9"/>
    <n v="602"/>
    <n v="2012"/>
    <s v="SIMS PARK"/>
    <s v="A"/>
    <n v="200000"/>
    <s v="D"/>
    <s v="CITY OF NRE PORT RICHEY"/>
    <s v="This grant will assist New Port Richey with improving Sims Park. The grant scope includes the construction of a picnic area, trails, a nature observation platform; renovation of boating facilities, an amphitheater, playground and restrooms."/>
    <s v="SIMS PARK"/>
    <s v="PASCO"/>
    <n v="9"/>
    <n v="20"/>
  </r>
  <r>
    <x v="9"/>
    <n v="604"/>
    <n v="2012"/>
    <s v="ANCHORAGE PARK"/>
    <s v="A"/>
    <n v="83180"/>
    <s v="D"/>
    <s v="VILLAGE OF NORTH PALM BEACH"/>
    <s v="This grant will assist the Village of North Beach with renovating 20+/- acres Anchorage Park. The grant scope includes a multi-use trail, picnic, multiple kayak launches, a nature observation deck, general landscaping, and lighting"/>
    <s v="ANCHORAGE PARK"/>
    <s v="PALM BEACH"/>
    <n v="22"/>
    <n v="20"/>
  </r>
  <r>
    <x v="9"/>
    <n v="597"/>
    <n v="2012"/>
    <s v="LAKE MAGGIORE PARK IMPROVEMENTS"/>
    <s v="A"/>
    <n v="193000"/>
    <s v="D"/>
    <s v="CITY OF ST. PETERSBURG"/>
    <s v="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
    <s v="LAKE MAGGIORE PARK IMPROVEMENTS"/>
    <s v="PINELLAS"/>
    <n v="10"/>
    <n v="15"/>
  </r>
  <r>
    <x v="9"/>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NW 170TH STREET GREENWAY"/>
    <s v="MIAMI-DADE"/>
    <n v="17"/>
    <n v="12"/>
  </r>
  <r>
    <x v="9"/>
    <n v="606"/>
    <n v="2012"/>
    <s v="WILLOWS PARK"/>
    <s v="A"/>
    <n v="200000"/>
    <s v="D"/>
    <s v="VILLAGE OF ROYAL PALM BEACH"/>
    <s v="This grant will assist the Village of Royal Palm Beach with improving the 10-acre Willows Park by constructing a fishing pier, a hiking trail and a fitness trail; adding picnic facilities; and renovating a baseball field and tennis courts; plus general landscaping"/>
    <s v="WILLOWS PARK"/>
    <s v="PALM BEACH"/>
    <n v="16"/>
    <n v="10"/>
  </r>
  <r>
    <x v="9"/>
    <n v="598"/>
    <n v="2012"/>
    <s v="REITER PARK"/>
    <s v="C"/>
    <n v="100000"/>
    <s v="D"/>
    <s v="CITY OF LONGWOOD"/>
    <s v="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
    <s v="REITER PARK"/>
    <s v="SEMINOLE"/>
    <n v="7"/>
    <n v="6.9"/>
  </r>
  <r>
    <x v="9"/>
    <n v="605"/>
    <n v="2012"/>
    <s v="BICENTENNIAL PARK-CITY OF RIVIERA BEACH"/>
    <s v="A"/>
    <n v="200000"/>
    <s v="D"/>
    <s v="CITY OF RIVIERA BEACH"/>
    <s v="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
    <s v="BICENTENNIAL PARK"/>
    <s v="Palm Beach"/>
    <n v="22"/>
    <n v="5.7"/>
  </r>
  <r>
    <x v="9"/>
    <n v="599"/>
    <n v="2012"/>
    <s v="INTRACOASTAL PARK"/>
    <s v="A"/>
    <n v="200000"/>
    <s v="D"/>
    <s v="CITY OF SUNNY ISLES BEACH"/>
    <s v="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
    <s v="INTRACOSTAL PARK"/>
    <s v="MIAMI-DADE"/>
    <n v="20"/>
    <n v="5"/>
  </r>
  <r>
    <x v="9"/>
    <n v="596"/>
    <n v="2012"/>
    <s v="SANFORD MARINA DAY BOAT SLIPS"/>
    <s v="C"/>
    <n v="200000"/>
    <s v="D"/>
    <s v="CITY OF SANFORD"/>
    <s v="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
    <s v="VETERAN'S MEMORIAL PARK"/>
    <s v="SEMINOLE"/>
    <n v="3"/>
    <n v="1.5"/>
  </r>
  <r>
    <x v="9"/>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SEVILLA ESTATE PARKS"/>
    <s v="MIAMI-DADE"/>
    <n v="25"/>
    <n v="0.7"/>
  </r>
  <r>
    <x v="9"/>
    <n v="614"/>
    <n v="2013"/>
    <s v="TUCKER RANCH HERITAGE PARK"/>
    <s v="A"/>
    <n v="200000"/>
    <s v="D"/>
    <s v="CITY OF WINTER GARDEN"/>
    <s v="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
    <s v="TUCKER RANCH HERITAGE PARK"/>
    <s v="ORANGE"/>
    <n v="0"/>
    <n v="208.6"/>
  </r>
  <r>
    <x v="9"/>
    <n v="612"/>
    <n v="2013"/>
    <s v="DAVIE WETLAND PRESERVE"/>
    <s v="A"/>
    <n v="200000"/>
    <s v="D"/>
    <s v="TOWN OF DAVIE"/>
    <s v="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
    <s v="DAVIE WETLAND PRESERVE"/>
    <s v="Broward"/>
    <n v="0"/>
    <n v="115"/>
  </r>
  <r>
    <x v="9"/>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 PARK"/>
    <s v="Broward"/>
    <n v="0"/>
    <n v="80"/>
  </r>
  <r>
    <x v="9"/>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S PARK"/>
    <s v="Broward"/>
    <n v="0"/>
    <n v="80"/>
  </r>
  <r>
    <x v="9"/>
    <n v="613"/>
    <n v="2013"/>
    <s v="DORAL PARK NORTH"/>
    <s v="A"/>
    <n v="200000"/>
    <s v="D"/>
    <s v="CITY OF DORAL"/>
    <s v="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
    <s v="DORAL PARK NORTH"/>
    <s v="MIAMI-DADE"/>
    <n v="0"/>
    <n v="25"/>
  </r>
  <r>
    <x v="9"/>
    <n v="610"/>
    <n v="2013"/>
    <s v="COASTLINE PARK"/>
    <s v="A"/>
    <n v="200000"/>
    <s v="D"/>
    <s v="CITY OF SANFORD"/>
    <s v="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
    <s v="COASTLINE PARK"/>
    <s v="Seminole"/>
    <n v="0"/>
    <n v="10"/>
  </r>
  <r>
    <x v="9"/>
    <n v="615"/>
    <n v="2013"/>
    <s v="CURRY ISLAND TRAILHEAD"/>
    <s v="A"/>
    <n v="200000"/>
    <s v="D"/>
    <s v="GLADES COUNTY"/>
    <s v="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
    <s v="CURRY ISLANF TRAILHEAD"/>
    <s v="GLADES"/>
    <n v="0"/>
    <n v="3"/>
  </r>
  <r>
    <x v="9"/>
    <n v="618"/>
    <n v="2014"/>
    <s v="PEPPER PARK RENOVATIONS"/>
    <s v="A"/>
    <n v="0"/>
    <s v="D"/>
    <s v="ST. LUCIE COUNTY"/>
    <s v="St. Lucie will renovate fishing piers, picnic pavilion and resurface the parking area of Pepper Park. Pepper Park is a 155-acre park that is located along the Atlantic Ocean and the Indian River Lagoon."/>
    <s v="PEPPER PARK RENOVATIONS"/>
    <s v="Saint Lucie"/>
    <n v="16"/>
    <n v="155"/>
  </r>
  <r>
    <x v="9"/>
    <n v="624"/>
    <n v="2014"/>
    <s v="KEATON BEACH COASTAL PARK"/>
    <s v="A"/>
    <n v="0"/>
    <s v="D"/>
    <s v="TAYLOR COUNTY"/>
    <s v="Taylor County proposes new development of a playground, unpaved nature and hiking trail, parking facilities, picnic pavilion, boardwalk and wildlife observation deck. The project will also include installation of habitat signage."/>
    <s v="KEATON BEACH COASTAL PARK"/>
    <s v="TAYLOR"/>
    <n v="2"/>
    <n v="45.2"/>
  </r>
  <r>
    <x v="9"/>
    <n v="620"/>
    <n v="2014"/>
    <s v="WOODLEA REGIONAL SPORTS COMPLEX EXPANSION"/>
    <s v="A"/>
    <n v="0"/>
    <s v="D"/>
    <s v="CITY OF TAVARES"/>
    <s v="The city of Tavares proposes to develop baseball fields, multi-purpose field, several access points to enter the park, and an abundance of parking to accommodate a variety of outdoor recreational activities."/>
    <s v="WOODLEA REGIONAL SPORTS COMPLEX EXPANSION"/>
    <s v="Lake"/>
    <n v="5"/>
    <n v="45"/>
  </r>
  <r>
    <x v="9"/>
    <n v="617"/>
    <n v="2014"/>
    <s v="BAGDAD MILL SITE TRAIL"/>
    <s v="A"/>
    <n v="0"/>
    <s v="D"/>
    <s v="SANTA ROSA COUNTY"/>
    <s v="Santa Rosa County proposes to develop a new kayak launch area, trail historical signage, picnic facilities, boardwalk, fishing pier, landscaping, parking and lighting."/>
    <s v="BAGDAD MILL SITE TRAIL"/>
    <s v="SANTA ROSA"/>
    <n v="1"/>
    <n v="18"/>
  </r>
  <r>
    <x v="9"/>
    <n v="616"/>
    <n v="2014"/>
    <s v="HAMPTON PINES PARK IMPROVEMENTS"/>
    <s v="A"/>
    <n v="0"/>
    <s v="D"/>
    <s v="CITY OF NORTH LAUDERDALE"/>
    <s v="The City of North Lauderdale will develop a new off-road bike trail and renovate a pedestrian trail, floating dock, fencing, parking, lighting, landscaping and restroom"/>
    <s v="HAMPTON PINES PARK"/>
    <s v="BROWARD"/>
    <n v="20"/>
    <n v="16"/>
  </r>
  <r>
    <x v="9"/>
    <n v="619"/>
    <n v="2014"/>
    <s v="LEGACY PARK"/>
    <s v="A"/>
    <n v="0"/>
    <s v="D"/>
    <s v="CITY OF VENICE"/>
    <s v="Proposal to develop an observation deck, picnic facility, kayak/canoe,horseshoe court and access road on a 10.35 acre site in Sarasota County."/>
    <s v="LEGACY PARK"/>
    <s v="SARASOTA"/>
    <n v="13"/>
    <n v="10.4"/>
  </r>
  <r>
    <x v="9"/>
    <n v="623"/>
    <n v="2014"/>
    <s v="LAKE IDAMERE PARK"/>
    <s v="A"/>
    <n v="0"/>
    <s v="D"/>
    <s v="LAKE COUNTY"/>
    <s v="Lake county proposes this project will provide children of all abilities the opportunity for physical exercise and camaraderie with other children. This project will develop ADA accessible ball field, picnic pavilion, mini track, shade structure, security lighting, parking and landscaping."/>
    <m/>
    <m/>
    <n v="0"/>
    <n v="0"/>
  </r>
  <r>
    <x v="10"/>
    <n v="921"/>
    <n v="2011"/>
    <s v="COMMERCE CITY PARK (WATERWORKS)"/>
    <s v="C"/>
    <n v="105000"/>
    <s v="A"/>
    <s v="CITY OF COMMERCE"/>
    <s v="Grant funds will be used to aid the City of Commerce to acquire approximately 44+/- acres which will create a new recreation area. This tract of land will lend itself very well to the development of facilities for both active and passive recreational activities."/>
    <s v="COMMERCE COMMUNITY PARK"/>
    <s v="Banks"/>
    <n v="10"/>
    <n v="44"/>
  </r>
  <r>
    <x v="10"/>
    <n v="920"/>
    <n v="2011"/>
    <s v="MOORE'S BRIDGE PARK"/>
    <s v="A"/>
    <n v="105000"/>
    <s v="D"/>
    <s v="CARROLL COUNTY"/>
    <s v="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
    <s v="MOORE'S BRODGE PARK"/>
    <s v="CARROLL"/>
    <n v="3"/>
    <n v="488"/>
  </r>
  <r>
    <x v="10"/>
    <n v="926"/>
    <n v="2011"/>
    <s v="WESTSIDE PARK-MIRACLE LEAGUE FIELD"/>
    <s v="C"/>
    <n v="105000"/>
    <s v="D"/>
    <s v="WHITFIELD COUNTY"/>
    <s v="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
    <s v="WESTSIDE PARK-MIRCLE LEAGUE PARK"/>
    <s v="Whitfield"/>
    <n v="0"/>
    <n v="12"/>
  </r>
  <r>
    <x v="10"/>
    <n v="923"/>
    <n v="2011"/>
    <s v="WAR HILL PARK"/>
    <s v="C"/>
    <n v="87500"/>
    <s v="R"/>
    <s v="DAWSON COUNTY"/>
    <s v="Grant funds will be used to enhance the renovation at this 108+/- acre site of War HIll Park. The renovation will include the resurfacing of all parking areas and roadways within the park. This site is leased to Dawson County for a period of 25 years."/>
    <s v="WAR HILL PARK"/>
    <s v="DAWSON"/>
    <n v="9"/>
    <n v="108"/>
  </r>
  <r>
    <x v="10"/>
    <n v="924"/>
    <n v="2011"/>
    <s v="RUTLEDGE CITY PARK"/>
    <s v="C"/>
    <n v="65520"/>
    <s v="R"/>
    <s v="CITY OF RUTLEDGE"/>
    <s v="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
    <s v="RUTLEDGE CITY PARK"/>
    <s v="MORGAN"/>
    <n v="10"/>
    <n v="7.8"/>
  </r>
  <r>
    <x v="10"/>
    <n v="922"/>
    <n v="2011"/>
    <s v="HALPREN PARK"/>
    <s v="C"/>
    <n v="26250"/>
    <s v="R"/>
    <s v="CITY OF DORAVILLE"/>
    <s v="Grant funds will be used to enhance the renovation of the 4.24+/- acre park site of Halpren Park. Renoavation at Halpren Park will include new picnic tables, picnic pads, playground equipment, walking trails, and natural areas."/>
    <s v="HALPREN PARK"/>
    <s v="DeKalb"/>
    <n v="6"/>
    <n v="4.2"/>
  </r>
  <r>
    <x v="10"/>
    <n v="925"/>
    <n v="2011"/>
    <s v="CHARLES MILTON DANIEL PARK"/>
    <s v="C"/>
    <n v="36750"/>
    <s v="R"/>
    <s v="CITY OF MORROW"/>
    <s v="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
    <s v="CHARLES MILTON DANIEL PARK"/>
    <s v="CLAYTON"/>
    <n v="13"/>
    <n v="3"/>
  </r>
  <r>
    <x v="10"/>
    <n v="932"/>
    <n v="2012"/>
    <s v="YELLOW RIVER PARK"/>
    <s v="A"/>
    <n v="98175"/>
    <s v="A"/>
    <s v="CITY OF PORTERDALE"/>
    <s v="Grant funds will be used to acquire 2.5+/- acres of land. Future development of Yellow River Park will include active and passive recreational opportunities such as walking, running and biking on a proposed 3 mile multi-use trail."/>
    <s v="YELLOW RIVER PARK"/>
    <s v="Newton"/>
    <n v="8"/>
    <n v="2.2000000000000002"/>
  </r>
  <r>
    <x v="10"/>
    <n v="930"/>
    <n v="2012"/>
    <s v="THOMSON CITY PARK"/>
    <s v="A"/>
    <n v="64050"/>
    <s v="C"/>
    <s v="MCDUFFIE COUNTY"/>
    <s v="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
    <s v="THOMSON CITY PARK"/>
    <s v="McDuffie"/>
    <n v="10"/>
    <n v="2.5"/>
  </r>
  <r>
    <x v="10"/>
    <n v="938"/>
    <n v="2012"/>
    <s v="TUGALOO STATE PARK CAMPGROUND"/>
    <s v="C"/>
    <n v="590000"/>
    <s v="D"/>
    <s v="GA DEPT OF NATURAL RESOURCES"/>
    <s v="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
    <s v="TUGALOO STATE PARK"/>
    <s v="FRANKLIN"/>
    <n v="10"/>
    <n v="393"/>
  </r>
  <r>
    <x v="10"/>
    <n v="931"/>
    <n v="2012"/>
    <s v="BROADDUS-DURKAN SOCCER COMPLEX"/>
    <s v="A"/>
    <n v="85050"/>
    <s v="D"/>
    <s v="CITY OF DALTON"/>
    <s v="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
    <s v="BROADDUS-DURKAN SOCCER COMPLEX"/>
    <s v="WHITFIELD"/>
    <n v="9"/>
    <n v="20"/>
  </r>
  <r>
    <x v="10"/>
    <n v="937"/>
    <n v="2012"/>
    <s v="TEMPLE PARK EXPANSION"/>
    <s v="A"/>
    <n v="105000"/>
    <s v="D"/>
    <s v="CITY OF TEMPLE"/>
    <s v="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
    <s v="TEMPLE PARK EXPANSION"/>
    <s v="Carroll"/>
    <n v="3"/>
    <n v="13"/>
  </r>
  <r>
    <x v="10"/>
    <n v="936"/>
    <n v="2012"/>
    <s v="MAIN STREET PARK"/>
    <s v="A"/>
    <n v="105000"/>
    <s v="D"/>
    <s v="CITY OF MOULTRIE"/>
    <s v="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
    <s v="MAIN STREET PARK"/>
    <s v="Colquitt"/>
    <n v="8"/>
    <n v="6"/>
  </r>
  <r>
    <x v="10"/>
    <n v="935"/>
    <n v="2012"/>
    <s v="SILVER COMET TRAIL LINEAR PARK"/>
    <s v="A"/>
    <n v="105000"/>
    <s v="D"/>
    <s v="CITY OF POWDER SPRINGS"/>
    <s v="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
    <s v="SILVER COMET TRAIL LINEAR PARK"/>
    <s v="Cobb"/>
    <n v="13"/>
    <n v="5"/>
  </r>
  <r>
    <x v="10"/>
    <n v="929"/>
    <n v="2012"/>
    <s v="HUNT EDUCATIONAL &amp; CUTURAL PARK"/>
    <s v="A"/>
    <n v="53550"/>
    <s v="R"/>
    <s v="CITY OF FORT VALLEY"/>
    <s v="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
    <s v="HUNT EDUCATIONAL &amp; CULTURAL"/>
    <s v="Peach"/>
    <n v="2"/>
    <n v="6382"/>
  </r>
  <r>
    <x v="10"/>
    <n v="933"/>
    <n v="2012"/>
    <s v="CITY POND PARK-MIRACLE LEAGUE COMPLEX"/>
    <s v="A"/>
    <n v="105000"/>
    <s v="R"/>
    <s v="CITY OF COVINGTON"/>
    <s v="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
    <s v="CITY POND PARK"/>
    <s v="Newton"/>
    <n v="8"/>
    <n v="418"/>
  </r>
  <r>
    <x v="10"/>
    <n v="934"/>
    <n v="2012"/>
    <s v="WILLS PARK-CITY POOL"/>
    <s v="C"/>
    <n v="105000"/>
    <s v="R"/>
    <s v="CITY OF ALPHARETTA"/>
    <s v="Grant funds will be used for the enhanced renovation development of swimming facilities at this 3.08+/- acre park site of Wills Park. This site will make for a splash pad that is ADA compliant, while still providing a water feature for young children and those who are young at heart."/>
    <s v="WILLS PARK"/>
    <s v="Fulton"/>
    <n v="6"/>
    <n v="3.1"/>
  </r>
  <r>
    <x v="10"/>
    <n v="928"/>
    <n v="2012"/>
    <s v="LUCY ROSS PARK (AKA) BEE TREE PARK"/>
    <s v="A"/>
    <n v="26250"/>
    <s v="R"/>
    <s v="CITY OF NASHVILLE"/>
    <s v="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
    <s v="LUCY ROSS PARK (AKA) BEE TREE PARK"/>
    <s v="Berrien"/>
    <n v="1"/>
    <n v="1.4"/>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 D ROOSEVELT STATE PARK"/>
    <s v="HARRIS"/>
    <n v="0"/>
    <n v="9049"/>
  </r>
  <r>
    <x v="10"/>
    <n v="940"/>
    <n v="2013"/>
    <s v="DNR PARK PLAYGROUND"/>
    <s v="A"/>
    <n v="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ORT MOUNTAIN STATE PARK"/>
    <s v="MURRAY"/>
    <n v="0"/>
    <n v="3712"/>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WEETWATER CREEK STATE PARK"/>
    <s v="DOUGLAS"/>
    <n v="0"/>
    <n v="2549"/>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D TOP MOUNTAIN STATE PARK"/>
    <s v="BARTOW"/>
    <n v="0"/>
    <n v="177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ED BINGHAM STATE PARK"/>
    <s v="COOK"/>
    <n v="0"/>
    <n v="1613"/>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DON CARTER STATE PARK"/>
    <s v="HALL"/>
    <n v="0"/>
    <n v="131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GORDONIA-ALATAMAHA STATE PARK"/>
    <s v="TATTNALL"/>
    <n v="0"/>
    <n v="662"/>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LAURA WALKER STATE PARK"/>
    <s v="WARE"/>
    <n v="0"/>
    <n v="62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KIDAWAY ISLAND STATE PARK"/>
    <s v="CHATHAM"/>
    <n v="0"/>
    <n v="588"/>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JAMES FLOYD STATE PARK"/>
    <s v="CHATTOOGA"/>
    <n v="0"/>
    <n v="561"/>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INDIAN SPRINGS STATE PARK"/>
    <s v="BUTTS"/>
    <n v="0"/>
    <n v="528"/>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ELIJAH CLARK STATE PARK"/>
    <s v="LINCOLN"/>
    <n v="0"/>
    <n v="447"/>
  </r>
  <r>
    <x v="10"/>
    <n v="941"/>
    <n v="2014"/>
    <s v="CITY PARK PLAYGROUND"/>
    <s v="A"/>
    <n v="261600"/>
    <s v="D"/>
    <s v="CITY OF MAYSVILLE"/>
    <s v="Grant funds will be used for the development of sports and playfields, trails, picnic areas, and support facilities at this 40 +/- acre sit of City Park development. This newly created site will be a great asset to the community. The short term benefit will be that the children in the community will have a place to go for physical exercise. The long term benefit will be good health improvements for the citizens of Maysville."/>
    <s v="CITY PARK"/>
    <s v="BANKS"/>
    <n v="10"/>
    <n v="40"/>
  </r>
  <r>
    <x v="10"/>
    <n v="949"/>
    <n v="2014"/>
    <s v="DUNCAN PARK"/>
    <s v="A"/>
    <n v="0"/>
    <s v="R"/>
    <s v="CITY OF FAIRBURN"/>
    <s v="Grant funds will be used for the rehabilitation of a portion of the 142+/- acres at Duncan Park. This rehabilitation will include multiple parking areas and three observation decks. The rehabilitated parking areas are located at the tennis courts, the lower basketball courts and the upper basketball courts. The observation decks are located around the lake at the park. The citizens of Fairburn will have a renewed sense of pride and a desire to visit this site upon completion."/>
    <s v="DUNCAN PARK"/>
    <s v="FULTON"/>
    <n v="13"/>
    <n v="142"/>
  </r>
  <r>
    <x v="10"/>
    <n v="942"/>
    <n v="2014"/>
    <s v="VICTOR LORD PARK"/>
    <s v="A"/>
    <n v="0"/>
    <s v="R"/>
    <s v="BARROW COUNTY"/>
    <s v="Grant funds will be used for the renovation development of lighting for baseball fields’ #8-11 at this 66+/- acre site of Victor Lord Park. Dated poles and lighting will be removed and there will be new light poles, lights and electrical installed at the fields of 8-11. These new lights will be a major improvement providing maximum visibility on the ball fields. This rehabilitation is for lighting, which will improve the safety of the participants at the park."/>
    <s v="VICTOR LORD PARK"/>
    <s v="Barrow"/>
    <n v="10"/>
    <n v="77"/>
  </r>
  <r>
    <x v="10"/>
    <n v="954"/>
    <n v="2014"/>
    <s v="BIG CREEK GREENWAY"/>
    <s v="A"/>
    <n v="0"/>
    <s v="R"/>
    <s v="CITY OF ALPHARETTA"/>
    <s v="Grant funds will be used for the renovation of a small portion/section of a trail at this 61.38+/- acre site of Big Creek Greenway. Although the renovation is a portion of the trail, the renovation will go a long way towards making the entire trail accessible for all users, no matter where they enter the trial system. Families will enjoy the trail whether they are taking leisurely scrolls, jogging, bicycling or just enjoying nature."/>
    <s v="BIG CREEK GREENWAY"/>
    <s v="FULTON"/>
    <n v="6"/>
    <n v="61.4"/>
  </r>
  <r>
    <x v="10"/>
    <n v="950"/>
    <n v="2014"/>
    <s v="LAKE VARNER/CORNISH CREEK PARK"/>
    <s v="A"/>
    <n v="0"/>
    <s v="R"/>
    <s v="NEWTON COUNTY"/>
    <s v="Grant funds will be used for the rehabilitation of the playground area and fishing pier at this 58+/- acre site of Lake Varner/Cornish Creek Park. This site is listed as one of the top fishing reservoirs in Georgia. Those with and without special needs will use the accessible docks. This project promotes family fun and outdoor activities in a safe environment."/>
    <s v="LAKE VARNER/CORNISH CREEK PARK"/>
    <s v="FULTON"/>
    <n v="13"/>
    <n v="58"/>
  </r>
  <r>
    <x v="10"/>
    <n v="951"/>
    <n v="2014"/>
    <s v="HANDLEY PARK"/>
    <s v="A"/>
    <n v="0"/>
    <s v="R"/>
    <s v="TOWN OF TYRONE"/>
    <s v="Grant funds will be used for the renovation development of soccer fields at this 40.8+/- acre site of Handley Park. This project will give the Town of Tyrone the ability to offer soccer to more age groups. This project will also increase the ability for the Town of Tyrone to have reciprocal playing from neighboring associations, as extra fields are necessart for tournaments and clinics."/>
    <s v="HANDLEY PARK"/>
    <s v="FAYETTE"/>
    <n v="3"/>
    <n v="40.799999999999997"/>
  </r>
  <r>
    <x v="10"/>
    <n v="947"/>
    <n v="2014"/>
    <s v="HENDERSON FALLS PARK"/>
    <s v="A"/>
    <n v="0"/>
    <s v="R"/>
    <s v="CITY OF TOCCOA"/>
    <s v="Grant funds will be used for phase I renovation of tennis courts and support facilities within the 25+/- acre site of Henderson Falls Park. Proposed improvements will eliminate safety threats posed by a deteriorating observation deck, absence of railing above the falls, antiquated wiring and inadequate landscape lighting. Resurfacing asphalt will improve accessibility ans aesthetics."/>
    <s v="HENDERSON FALLS PARK"/>
    <s v="Stephens"/>
    <n v="9"/>
    <n v="25"/>
  </r>
  <r>
    <x v="10"/>
    <n v="943"/>
    <n v="2014"/>
    <s v="RONALD REAGAN PARK"/>
    <s v="A"/>
    <n v="0"/>
    <s v="R"/>
    <s v="GWINNETT COUNTY"/>
    <s v="Grant funds will be used for rehabilitation of a skate-park and support facilities within this 24.6+/- acre site. The new design of the park will increase the capacity and make it more attractive to skateboarders; and will alleviate the drainage problems at the dog-park to eliminate the area from being too muddy to use after the rain."/>
    <s v="RONALD REAGAN PARK"/>
    <s v="GWINNETT"/>
    <n v="7"/>
    <n v="24.6"/>
  </r>
  <r>
    <x v="10"/>
    <n v="945"/>
    <n v="2014"/>
    <s v="BARBER PARK"/>
    <s v="A"/>
    <n v="0"/>
    <s v="R"/>
    <s v="GRADY COUNTY"/>
    <s v="Grant funds will be used for the renovation of lighting of baseball fields within the 15.3 acre site of Barber Park. The new lights will replace the less energy efficient lights on the wooden poles that were erected in 1982. The short term benefits of the rehab will be an increase in safety and better field utiliztion. The long term benefits of this rehab will be loser operating costs, more touraments and healthier children."/>
    <s v="BARBER PARK"/>
    <s v="Grady"/>
    <n v="2"/>
    <n v="15.3"/>
  </r>
  <r>
    <x v="10"/>
    <n v="948"/>
    <n v="2014"/>
    <s v="WHITEWATER CREEKPARK"/>
    <s v="A"/>
    <n v="0"/>
    <s v="R"/>
    <s v="MACON COUNTY"/>
    <s v="Grant funds will be used for the renovation development of the campground area to include tot lot equipment, and support facilities at this 14 +/- acre site of Whitewater Creek Park. The short term public benefits will be the promotion of more outdoor recreation activities that will enhance the health and welfare of the community. The long term benefits include more exposure for the county which will bring in tourism and stimulate other community growth."/>
    <s v="WHITEWATER CREEK PARK"/>
    <s v="MACON"/>
    <n v="2"/>
    <n v="14"/>
  </r>
  <r>
    <x v="10"/>
    <n v="944"/>
    <n v="2014"/>
    <s v="MEMORIAL PARK"/>
    <s v="A"/>
    <n v="0"/>
    <s v="R"/>
    <s v="BULLOCH COUNTY"/>
    <s v="Grant funds will be used for the rehabilitation of the tennis courts, playground area, picnic areas and support facilities at this 12.21+/- acre site of Memorial Park. A part of the renovation for this project will include making all of the facilities handicapped accessible. This rehab along with site lighting will open up new opportunities for the citizens of Bulloch County. Rehabilitation of this centrally located facility will also reinstate a source of pride in this important public facility."/>
    <s v="MEMORIAL PARK"/>
    <s v="Bulloch"/>
    <n v="12"/>
    <n v="12.2"/>
  </r>
  <r>
    <x v="10"/>
    <n v="946"/>
    <n v="2014"/>
    <s v="DAVIS WADE AND WHEELER PARKS"/>
    <s v="A"/>
    <n v="0"/>
    <s v="R"/>
    <s v="CITY OF DOUGLAS"/>
    <s v="Grant funds will be used for the renovation of tennis courts within Davis Wade Park, which is 7.32+/- acres; and within Wheeler Park, which is 9+/- acres. The proposed rehabilitation improvements for Davis Wade Park include the base preparation, construction, paving and surfacing of six courts and the installation of new lights around four of the courts. The rehab improvements will add value to the park by increasing the usability of the courts resulting in increased attendance at the park. The proposed rehabilitation improvements for Wheeler Park include the base preparation, construction, paving and surfacing of two courts. Nestled in the heart of an established Douglas neighborhood, Wheeler Park is a destination park for many in the community."/>
    <s v="DAVIS WADE AND WHEELER PARKS"/>
    <s v="Coffee"/>
    <n v="12"/>
    <n v="7.3"/>
  </r>
  <r>
    <x v="10"/>
    <n v="953"/>
    <n v="2014"/>
    <s v="HALPREN PARK"/>
    <s v="A"/>
    <n v="0"/>
    <s v="R"/>
    <s v="CITY OF DORAVILLE"/>
    <s v="Grant funds will be used for the renovation development of a playground area at this 4.24+/- acre site of Halpren Park. This renovation will provide a safe, constructive environment for children to play. The City strives to provide areas for play and exercise for the children of the community. As a result of this action, numerous goals will be achieved for the parks and the recreation mission, as well as, bigger goals for a healthy, well-balanced child population."/>
    <s v="HALPREN PARK"/>
    <s v="DeKalb"/>
    <n v="6"/>
    <n v="4.2"/>
  </r>
  <r>
    <x v="10"/>
    <n v="952"/>
    <n v="2014"/>
    <s v="URBANA PARK"/>
    <s v="A"/>
    <n v="0"/>
    <s v="R"/>
    <s v="CITY OF BRUNSWICK"/>
    <s v="Grant funds will be used for the renovation development of tot lot/playground equipment and basketball courts at this .99+/- acre site of Urbana Park. This site will be a great asset to the community. The short and long-term benefits will be that the children in the community will have a place to go for physical exercise. This site will also improve the health for the citizens of Brunswick."/>
    <s v="URBANA PARK"/>
    <s v="GLYNN"/>
    <n v="1"/>
    <n v="1"/>
  </r>
  <r>
    <x v="11"/>
    <n v="33"/>
    <n v="2011"/>
    <s v="DPR GUAM SPORTS COMPLEX SEATING"/>
    <s v="A"/>
    <n v="103630"/>
    <s v="D"/>
    <s v="GOVERNMENT OF GUAM"/>
    <s v="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
    <s v="GUAM SPORTS COMPLEX"/>
    <s v="GUAM"/>
    <n v="0"/>
    <n v="59.7"/>
  </r>
  <r>
    <x v="12"/>
    <n v="164"/>
    <n v="2011"/>
    <s v="ALA WAI COMMUNITY PARK, OAHU"/>
    <s v="A"/>
    <n v="518656"/>
    <s v="R"/>
    <s v="CITY AND COUNTY OF HONOLULU"/>
    <s v="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
    <s v="ALA WAI COMMUNITY PARK"/>
    <s v="HONOLULU"/>
    <n v="1"/>
    <n v="14"/>
  </r>
  <r>
    <x v="12"/>
    <n v="169"/>
    <n v="2014"/>
    <s v="ULUPO HEIAU STATE HISTORICAL PARK"/>
    <s v="A"/>
    <n v="0"/>
    <s v="A"/>
    <s v="HI DEPARTMENT OF LAND AND NATURAL RESOURCES"/>
    <s v="Funds acquisition of 4 acres for inclusion into the existing LWCF boundary of the “Ulupo Heiau State Historical Park” (15-00106). Heiaus are traditional Hawaiian temples to treat illness, make offerings, ask for help, etc. Will provide an additional open space buffer for the park, more parking on an already developed lot used by the public, and secure public access for scenic views of the adjacent Kawainui Marsh (15-00115) which is the largest wetland in Hawaii and is deemed a “wetland of international importance”."/>
    <s v="ULUPO HEIAU STATE HISTORIC SITE"/>
    <s v="Honolulu"/>
    <n v="2"/>
    <n v="10.9"/>
  </r>
  <r>
    <x v="12"/>
    <n v="168"/>
    <n v="2014"/>
    <s v="HILO BAYFRONT TRAILS - PHASE 1"/>
    <s v="A"/>
    <n v="0"/>
    <s v="D"/>
    <s v="COUNTY OF HAWAII"/>
    <s v="Funds construction of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15-00167). The overall project area is within an urban coastal zone and the combined effort intends to provide a new network of safe, off-road multi-use paths and other visitor facilities for bicyclists and pedestrians."/>
    <s v="MO’OHEAU COUNTY PARK"/>
    <s v="HAWAII"/>
    <n v="2"/>
    <n v="15.3"/>
  </r>
  <r>
    <x v="12"/>
    <n v="166"/>
    <n v="2014"/>
    <s v="KAIWI STATE SCENIC SHORELINE"/>
    <s v="A"/>
    <n v="0"/>
    <s v="R"/>
    <s v="HI DEPARTMENT OF NATURAL RESOURCES - STATE PARKS"/>
    <s v="Funds improvements and renovations to the Kaiwi State Scenic Shoreline’s popular Makapu’u Road which leads to a well-known scenic lighthouse. Specifically, the LWCF grant would fund: Stabilization of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
    <s v="KAIWI STATE SCENIC SHORELINE"/>
    <s v="Honolulu"/>
    <n v="2"/>
    <n v="346.9"/>
  </r>
  <r>
    <x v="12"/>
    <n v="167"/>
    <n v="2014"/>
    <s v="WAILOA RIVER STATE PARK"/>
    <s v="A"/>
    <n v="0"/>
    <s v="R"/>
    <s v="HI DEPARTMENT OF NATURAL RESOURCES-STATE PARKS"/>
    <s v="Funds improvements and renovations to existing facilities: 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o be funded through #15-00168). The combined effort intends to provide a new network of safe, off-road multi-use paths and other visitor facilities for bicyclists and pedestrians in the urban coastal town of Hilo."/>
    <s v="WAILOA RIVER STATE PARK"/>
    <s v="Hawaii"/>
    <n v="2"/>
    <n v="113.4"/>
  </r>
  <r>
    <x v="13"/>
    <n v="1284"/>
    <n v="2011"/>
    <s v="DAKINS LAKE EXPANSION-DAKINS TRUST PROPERTY"/>
    <s v="C"/>
    <n v="36090.25"/>
    <s v="A"/>
    <s v="STORY COUNTY"/>
    <s v="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
    <s v="DAKINS LAKE COUNTY PARK"/>
    <s v="Story"/>
    <n v="2"/>
    <n v="103.2"/>
  </r>
  <r>
    <x v="13"/>
    <n v="1282"/>
    <n v="2011"/>
    <s v="JESTER PARK ACCESS IMPROVEMENTS"/>
    <s v="C"/>
    <n v="61500"/>
    <s v="D"/>
    <s v="POLK COUNTY"/>
    <s v="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
    <s v="JESTER PARK"/>
    <s v="POLK"/>
    <n v="3"/>
    <n v="1834"/>
  </r>
  <r>
    <x v="13"/>
    <n v="1289"/>
    <n v="2012"/>
    <s v="LAKE DARLING LODGE/BEACH PARKING LOT EXPANSION"/>
    <s v="A"/>
    <n v="123884.47"/>
    <s v="D"/>
    <s v="DEPT. OF NATURAL RESOURCES"/>
    <s v="The Iowa Department of Natural Resources will replace and expand the Lake Darling State Park beach access parking lot. This particular lot will also serve the park lodge constructed in 2008."/>
    <s v="LAKE DARLING STATE PARK"/>
    <s v="WASHINGTON"/>
    <n v="2"/>
    <n v="1415"/>
  </r>
  <r>
    <x v="13"/>
    <n v="1288"/>
    <n v="2012"/>
    <s v="LAKE ANITA SHOWER BUILDINGS"/>
    <s v="C"/>
    <n v="220000"/>
    <s v="D"/>
    <s v="DEPT. OF NATURAL RESOURCES"/>
    <s v="The Iowa Department of Natural Resources will remove and the replace two shower building/restroom facilities at Lake Anita State Park. The existing facilities are more than 44 years old and are beyond reasonable repair."/>
    <s v="LAKE ANITA STATE PARK"/>
    <s v="CASS"/>
    <n v="5"/>
    <n v="1062"/>
  </r>
  <r>
    <x v="13"/>
    <n v="1287"/>
    <n v="2012"/>
    <s v="DEERWOOD PARK PLAYGROUND IMPROVEMENTS"/>
    <s v="C"/>
    <n v="62346"/>
    <s v="D"/>
    <s v="CITY OF EVANSDALE"/>
    <s v="Evansdale will develop a new playground at Deerwood Park. The City continues replacing outdoor recreation facilities here that were damaged by the 2008 Cedar River flood."/>
    <s v="DEERWOOD PARK"/>
    <s v="Black Hawk"/>
    <n v="0"/>
    <n v="192"/>
  </r>
  <r>
    <x v="13"/>
    <n v="1292"/>
    <n v="2012"/>
    <s v="RENWICK PARK IMPROVEMENTS"/>
    <s v="C"/>
    <n v="31800"/>
    <s v="D"/>
    <s v="CITY OF RENWICK"/>
    <s v="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
    <s v="RENWICK CITY PARK"/>
    <s v="HUMBOLDT"/>
    <n v="1"/>
    <n v="1"/>
  </r>
  <r>
    <x v="13"/>
    <n v="1286"/>
    <n v="2012"/>
    <s v="PLAYGROUND IMPROVEMENTS"/>
    <s v="C"/>
    <n v="8910.5"/>
    <s v="D"/>
    <s v="CITY OF CLARE"/>
    <s v="Clare will construct a new playground structure at City Park. The existing playground equipment is dilapidated and unsafe for use."/>
    <s v="CITY PARK"/>
    <s v="WEBSTER"/>
    <n v="4"/>
    <n v="0.5"/>
  </r>
  <r>
    <x v="13"/>
    <n v="1285"/>
    <n v="2012"/>
    <s v="POOL RENOVATION"/>
    <s v="A"/>
    <n v="75000"/>
    <s v="R"/>
    <s v="CITY OF POSTVILLE"/>
    <s v="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
    <s v="LULL'S PARK"/>
    <s v="ALLAMAKEE"/>
    <n v="1"/>
    <n v="10"/>
  </r>
  <r>
    <x v="13"/>
    <n v="1291"/>
    <n v="2013"/>
    <s v="E.B. LYONS INTREPRETIVE AREA ADDITION"/>
    <s v="A"/>
    <n v="175000"/>
    <s v="C"/>
    <s v="CITY OF DUBUQUE"/>
    <s v="The city of Dubuque (Dubuque County) will acquire (by purchase) a 52-acre farmstead as an addition to the E.B. Lyons Interpretive Area and develop a picnic area, natural area, and comfort station."/>
    <s v="E.B. LYONS PARK"/>
    <s v="Dubuque"/>
    <n v="0"/>
    <n v="86"/>
  </r>
  <r>
    <x v="13"/>
    <n v="1290"/>
    <n v="2013"/>
    <s v="BRUSHY CREEK BEACH DEVELOPMENT"/>
    <s v="A"/>
    <n v="260592"/>
    <s v="D"/>
    <s v="DEPT. OF NATURAL RESOURCES"/>
    <s v="The Iowa Department of Natural Resources will improve the access road and beach parking lot at Brushy Creek State Recreation Area."/>
    <s v="BRUSHY CREEK STATE RECREATION AREA"/>
    <s v="Webster"/>
    <n v="0"/>
    <n v="6500"/>
  </r>
  <r>
    <x v="13"/>
    <n v="1293"/>
    <n v="2013"/>
    <s v="DEERWOOD PARK CAMPGROUND IMPROVEMENT PHASE I"/>
    <s v="A"/>
    <n v="67004"/>
    <s v="D"/>
    <s v="CITY OF EVANSDALE"/>
    <s v="The city of Evansdale (Black Hawk County) will develop RV campground pads and a sanitary sewer and water service system at Deerwood Park."/>
    <s v="DEERWOOD PARK"/>
    <s v="Black Hawk"/>
    <n v="0"/>
    <n v="192"/>
  </r>
  <r>
    <x v="13"/>
    <n v="1299"/>
    <n v="2014"/>
    <s v="LEOPOLD RECREATION AREA ACQUISITION"/>
    <s v="A"/>
    <n v="150000"/>
    <s v="A"/>
    <s v="DES MOINES COUNTY CONSERVATION BOARD"/>
    <s v="The Des Moines County Conservation Board will acquire 235.0 acres to create the Leopold Recreation Area on the northern outskirts of Burlington."/>
    <s v="LEOPOLD RECREATION AREA"/>
    <s v="DES MOINES"/>
    <n v="2"/>
    <n v="235"/>
  </r>
  <r>
    <x v="13"/>
    <n v="1297"/>
    <n v="2014"/>
    <s v="BRUSHY CREEK SRA BEACH DEVELOPMENT PHASE II"/>
    <s v="A"/>
    <n v="262360"/>
    <s v="D"/>
    <s v="DEPT. OF NATURAL RESOURCES"/>
    <s v="The Iowa DNR will construct a beach concession building, utilities, and a sidewalk plus finish paving the beach parking at Brushy Creek State Recreation Area."/>
    <s v="BRUSHY CREEK STATE RECREATION AREA"/>
    <s v="Webster"/>
    <n v="0"/>
    <n v="6500"/>
  </r>
  <r>
    <x v="13"/>
    <n v="1295"/>
    <n v="2014"/>
    <s v="BOTNA BEND PARK IMPROVEMENTS"/>
    <s v="A"/>
    <n v="87000"/>
    <s v="D"/>
    <s v="POTTAWATTAMIE COUNTY"/>
    <s v="The Pottawattamie County (Iowa) Conservation Board will utilize a Land and Water Conservation Fund grant to assist in the construction of a 25 unit RV campground and water trail access site at Botna Bend County Park near the city of Hancock."/>
    <s v="BOTNA BEND COUNTY PARK"/>
    <s v="POTTAWATTAMIE"/>
    <n v="3"/>
    <n v="500"/>
  </r>
  <r>
    <x v="13"/>
    <n v="1298"/>
    <n v="2014"/>
    <s v="FORT DES MOINES PARK OUTDOOR CLASSROOM"/>
    <s v="A"/>
    <n v="103436.82"/>
    <s v="D"/>
    <s v="POLK COUNTY CONSERVATION BOARD"/>
    <s v="The Polk County Conservation Board will develop outdoor recreational and educational facilities at Fort Des Moines Park. The grant scope includes natural area improvements (e.g., prairie planting and restored wetland) that will help improve water quality of the pond; construction of an amphitheater, a three-season shelter, a connecting trail system with fitness component, a bird blind, vault toilets, utilities, educational kiosks, and an entrance from County Line Road with a paved parking lot."/>
    <s v="FORT DES MOINES PARK"/>
    <s v="POLK"/>
    <n v="3"/>
    <n v="135"/>
  </r>
  <r>
    <x v="13"/>
    <n v="1296"/>
    <n v="2014"/>
    <s v="DAKINS LAKE EXPANSION PHASE II"/>
    <s v="A"/>
    <n v="175000"/>
    <s v="D"/>
    <s v="STORY COUNTY"/>
    <s v="The Story County Conservation Board (Iowa) will construct a shower/restroom facility at the campground and a shelter/restroom facility at the day-use area within Dakins Lake County Park near Zearing."/>
    <s v="DAKINS LAKE COUNTY PARK"/>
    <s v="Story"/>
    <n v="2"/>
    <n v="103.2"/>
  </r>
  <r>
    <x v="14"/>
    <n v="559"/>
    <n v="2011"/>
    <s v="PAUL COMMUNITY PARK"/>
    <s v="C"/>
    <n v="150000"/>
    <s v="D"/>
    <s v="CITY OF PAUL"/>
    <s v="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
    <s v="PAUL COMMUNITY PARK"/>
    <s v="MINIDOKA"/>
    <n v="2"/>
    <n v="11.6"/>
  </r>
  <r>
    <x v="14"/>
    <n v="558"/>
    <n v="2011"/>
    <s v="FARRAGUT WATER TOWER"/>
    <s v="A"/>
    <n v="300000"/>
    <s v="R"/>
    <s v="ID DEPARTMENT OF PARKS AND RECREATION"/>
    <s v="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
    <s v="FARRAGUT STATE PARK"/>
    <s v="KOOTENAI"/>
    <n v="1"/>
    <n v="2644.6"/>
  </r>
  <r>
    <x v="14"/>
    <n v="561"/>
    <n v="2012"/>
    <s v="AMERICAN FALLS SKATE PARK"/>
    <s v="C"/>
    <n v="82250"/>
    <s v="D"/>
    <s v="CITY OF AMERICAN FALLS"/>
    <s v="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
    <s v="LEE STREET PARK"/>
    <s v="Power"/>
    <n v="2"/>
    <n v="20.6"/>
  </r>
  <r>
    <x v="14"/>
    <n v="560"/>
    <n v="2012"/>
    <s v="MAJESTIC PARK DEVELOPMENT"/>
    <s v="C"/>
    <n v="117927"/>
    <s v="D"/>
    <s v="CITY OF RATHDRUM"/>
    <s v="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
    <s v="MAJESTIC PARK"/>
    <s v="Kootenai"/>
    <n v="1"/>
    <n v="11.2"/>
  </r>
  <r>
    <x v="14"/>
    <n v="562"/>
    <n v="2013"/>
    <s v="THREE ISLAND CROSSING SP RESTROOM RENOVATION"/>
    <s v="A"/>
    <n v="100000"/>
    <s v="R"/>
    <s v="ID DEPARTMENT OF PARKS AND RECREATION"/>
    <s v="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
    <s v="THREE ISLAND CROSSING STATE PARK"/>
    <s v="Elmore"/>
    <n v="2"/>
    <n v="613"/>
  </r>
  <r>
    <x v="14"/>
    <n v="564"/>
    <n v="2014"/>
    <s v="EAGLE ISLAND STATE PARK SHELTERS"/>
    <s v="A"/>
    <n v="60000"/>
    <s v="D"/>
    <s v="ID DEPARTMENT OF PARKS AND RECREATION"/>
    <s v="Construct 3 group picnic shelters, including paths, electric service, design and contract administration."/>
    <s v="EAGLE ISLAND STATE PARK"/>
    <s v="Ada"/>
    <n v="1"/>
    <n v="546"/>
  </r>
  <r>
    <x v="14"/>
    <n v="563"/>
    <n v="2014"/>
    <s v="BANCROFT MEMORIAL PARK"/>
    <s v="A"/>
    <n v="40000"/>
    <s v="D"/>
    <s v="CITY OF BANCROFT"/>
    <s v="Install playground including equipment, surfacing and concrete, equipment, labor and professional fees."/>
    <s v="BANCROFT MEMORIAL PARK"/>
    <s v="Caribou"/>
    <n v="2"/>
    <n v="5.2"/>
  </r>
  <r>
    <x v="14"/>
    <n v="568"/>
    <n v="2014"/>
    <s v="WOOD RIVER TRAIL SYSTEM"/>
    <s v="A"/>
    <n v="0"/>
    <s v="R"/>
    <s v="BLAINE COUNTY RECREATION DISTRICT"/>
    <s v="Funds renovation of four sections of the current Wood River Trail System in Blaine County, ID, including asphalt removal/replacement, design/engineering, and project management. LWCF has funded sections of this trail previously (16-00451, 16-00461, 16-00471). The grant sponsor has control and tenure via a variety of easements and other property interest tools."/>
    <s v="WOOD RIVER TRAILS"/>
    <s v="Blaine"/>
    <n v="2"/>
    <n v="45"/>
  </r>
  <r>
    <x v="15"/>
    <n v="968"/>
    <n v="2011"/>
    <s v="THE GROVE ADDITION"/>
    <s v="C"/>
    <n v="750000"/>
    <s v="A"/>
    <s v="GLENVIEW PARK DIST."/>
    <s v="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
    <s v="THE GROVE"/>
    <s v="COOK"/>
    <n v="10"/>
    <n v="127.5"/>
  </r>
  <r>
    <x v="15"/>
    <n v="970"/>
    <n v="2012"/>
    <s v="MUIRHEAD ACQUISITION BOWES CREEK"/>
    <s v="A"/>
    <n v="576080"/>
    <s v="A"/>
    <s v="KANE COUNTY FOREST PRESERVE DIST."/>
    <s v="The Kane County Forest Preserve District will acquire 142.5 acres to create the Bowes Creek Woods. Much of the new park is in wetlands, so its future development is envisioned to include trails and general support facilities."/>
    <s v="BOWES-CREEK WOODS"/>
    <s v="KANE"/>
    <n v="14"/>
    <n v="142.5"/>
  </r>
  <r>
    <x v="15"/>
    <n v="969"/>
    <n v="2012"/>
    <s v="CASEY PROPERTY ACQUISITION"/>
    <s v="C"/>
    <n v="542250"/>
    <s v="A"/>
    <s v="JOLIET PARK DIST."/>
    <s v="The Joliet Park District will acquire 108.8 acres for the creation of Beane Homestead Park. Future development includes soccer, softball, and baseball fields plus trails within a forest setting."/>
    <s v="BEANE HOMESTEAD PARK"/>
    <s v="WILL"/>
    <n v="11"/>
    <n v="108.8"/>
  </r>
  <r>
    <x v="15"/>
    <n v="971"/>
    <n v="2012"/>
    <s v="MOSSVILLE SOCCER COMPLEX"/>
    <s v="C"/>
    <n v="245000"/>
    <s v="D"/>
    <s v="PEORIA PARK DIST."/>
    <s v="The Peoria Park District will improve the Mossville Soccer Complex by constructing soccer fields, a lacrosse/cricket field, shade structures, and walking paths, plus the installation of bio-swales."/>
    <s v="MOSSVILLE SOCCER COMPLEX"/>
    <s v="PEORIA"/>
    <n v="18"/>
    <n v="49.3"/>
  </r>
  <r>
    <x v="15"/>
    <n v="975"/>
    <n v="2013"/>
    <s v="YORKTOWN GOLF COURSE ACQUISITION"/>
    <s v="A"/>
    <n v="276500"/>
    <s v="A"/>
    <s v="VILLAGE OF SHILOH"/>
    <s v="The Village of Shiloh (St. Clair County) will utilize a Land and Water Conservation Fund grant to assist in acquiring a 37.2-acre private golf course for public outdoor recreation use."/>
    <s v="YORKTOWN GOLF COURSE"/>
    <s v="SAINT CLAIR"/>
    <n v="0"/>
    <n v="37.200000000000003"/>
  </r>
  <r>
    <x v="15"/>
    <n v="976"/>
    <n v="2013"/>
    <s v="WILMETTE AVENUE ACQUISITION"/>
    <s v="C"/>
    <n v="266000"/>
    <s v="A"/>
    <s v="WESTMONT PARK DISTRICT"/>
    <s v="The Westmont Park District will acquire 4.51 acres to create Wilmette Park."/>
    <s v="WILMETTE PARK"/>
    <s v="DUPAGE"/>
    <n v="0"/>
    <n v="4.5"/>
  </r>
  <r>
    <x v="15"/>
    <n v="972"/>
    <n v="2013"/>
    <s v="MOHAWK SCHOOL SITE ACQUISITION"/>
    <s v="A"/>
    <n v="506100"/>
    <s v="A"/>
    <s v="BENSENVILLE PARK DISTRICT"/>
    <s v="The Bensenville Park District (DuPage County, Illinois) will utilize a Land and Water Conservation Fund grant to assist in acquiring 4.06 acres for the creation of Mohawk Park."/>
    <s v="MOHAWK PARK"/>
    <s v="DUPAGE"/>
    <n v="0"/>
    <n v="4.0999999999999996"/>
  </r>
  <r>
    <x v="15"/>
    <n v="973"/>
    <n v="2013"/>
    <s v="BEACH-OAK PARK ADDITION"/>
    <s v="C"/>
    <n v="130000"/>
    <s v="A"/>
    <s v="COMMUNITY PARK DISTRICT OF LA GRANGE PARK"/>
    <s v="The Community Park District of La Grange Park (Cook County) will utilize a Land and Water Conservation Fund grant to assist in acquiring 0.138 acre as an addition to the 0.6-acre Beach-Oak Park."/>
    <s v="BEACH-OAK PARK"/>
    <s v="COOK"/>
    <n v="0"/>
    <n v="0.7"/>
  </r>
  <r>
    <x v="15"/>
    <n v="978"/>
    <n v="2014"/>
    <s v="ANTOS WOODS ACQUISITION"/>
    <s v="A"/>
    <n v="389200"/>
    <s v="A"/>
    <s v="KANE COUNTY FOREST PRESERVE DIST."/>
    <s v="The Forest Preserve District of Kane County will utilize a Land and Water Conservation Fund grant to assist in acquiring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
    <s v="ANTOS WOODS PARK"/>
    <s v="KANE"/>
    <n v="14"/>
    <n v="37"/>
  </r>
  <r>
    <x v="15"/>
    <n v="977"/>
    <n v="2014"/>
    <s v="TINLEY CREEK PRESERVE - VILLA SANTA MARIA"/>
    <s v="A"/>
    <n v="904000"/>
    <s v="A"/>
    <s v="COOK COUNTY FOREST PRESERVE DIST."/>
    <s v="The Forest Preserve District of Cook County will utilize a Land and Water Conservation Fund grant to assist in acquiring 29.3 acres as an addition to the Tinley Creek Preserve. Future development may include trails, picnic facilities, and restrooms."/>
    <s v="TINLEY CREEK PRESERVE"/>
    <s v="COOK"/>
    <n v="1"/>
    <n v="29.3"/>
  </r>
  <r>
    <x v="15"/>
    <n v="979"/>
    <n v="2014"/>
    <s v="YOUTH CAMPUS PARK ACQUISITION"/>
    <s v="A"/>
    <n v="750000"/>
    <s v="A"/>
    <s v="PARK RIDGE PARK DISTRICT"/>
    <s v="The Park Ridge Park District (Cook County, Illinois) will utilize a Land and Water Conservation Fund grant to assist in acquiring 11.35 acres for the creation of Youth Campus Park. Future development may include a splash pad, playground, a picnic shelter, an amphitheater, looped trail, paddle ball tennis courts, general purpose playfields, landscaping, and parking."/>
    <s v="YOUTH CAMPUS PARK"/>
    <s v="COOK"/>
    <n v="9"/>
    <n v="11.4"/>
  </r>
  <r>
    <x v="15"/>
    <n v="981"/>
    <n v="2014"/>
    <s v="ST. BONIFACE ACQUISITION"/>
    <s v="A"/>
    <n v="400000"/>
    <s v="A"/>
    <s v="TINLEY PARK PARK DISTRICT"/>
    <s v="The Tinley Park Park District (Cook County, Illinois) will utilize a Land and Water Conservation Fund grant to assist in acquiring 4.62 acre of land for the creation of a public outdoor recreation area which will include a baseball field, a lacrosse field, a playground, and parking."/>
    <s v="ST. BONIFACE PARK"/>
    <s v="COOK"/>
    <n v="1"/>
    <n v="4.5999999999999996"/>
  </r>
  <r>
    <x v="15"/>
    <n v="980"/>
    <n v="2014"/>
    <s v="BUDD STREET PARK"/>
    <s v="A"/>
    <n v="97700"/>
    <s v="A"/>
    <s v="VILLAGE OF RIVER GROVE"/>
    <s v="The village of River Grove (Cook County, Illinois) will acquire a 0.13 acre parcel, in fee simple title, for the creation of a passive park. The residential structure occupying the property will be demolished and future development plans for this neighborhood park include a butterfly garden, rain garden, picnic shelters, exercise stations, benches, and landscaping."/>
    <s v="BUDD STREET PARK"/>
    <s v="COOK"/>
    <n v="5"/>
    <n v="0.1"/>
  </r>
  <r>
    <x v="16"/>
    <n v="572"/>
    <n v="2011"/>
    <s v="WILL DETMER PARK"/>
    <s v="C"/>
    <n v="200000"/>
    <s v="C"/>
    <s v="MONROE COUNTY PARK BOARD"/>
    <s v="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
    <s v="WILL DETMER PARK"/>
    <s v="MONROE"/>
    <n v="9"/>
    <n v="18"/>
  </r>
  <r>
    <x v="16"/>
    <n v="574"/>
    <n v="2011"/>
    <s v="ALTHERR PARK"/>
    <s v="A"/>
    <n v="200000"/>
    <s v="C"/>
    <s v="MONTICELLO PARK BOARD"/>
    <s v="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
    <s v="ALTHERR PARK"/>
    <s v="WHITE"/>
    <n v="4"/>
    <n v="16"/>
  </r>
  <r>
    <x v="16"/>
    <n v="573"/>
    <n v="2011"/>
    <s v="ZIONSVILLE PARK"/>
    <s v="C"/>
    <n v="200000"/>
    <s v="C"/>
    <s v="ZIONSVILLE PARK BOARD"/>
    <s v="The Zionsville (Boone County, Indiana) Park Board will utilize a Land and Water Conservation Fund grant to assist in the acquisition and development of 10 acres located in Zionsville. The grant scope includes the construction of a trailhead for the 3.5 mile Rail Trail."/>
    <s v="ZIONSVILLE PARK"/>
    <s v="BOONE"/>
    <n v="4"/>
    <n v="10"/>
  </r>
  <r>
    <x v="16"/>
    <n v="575"/>
    <n v="2011"/>
    <s v="BECKENHOLDT PARK PHASE II"/>
    <s v="C"/>
    <n v="156466"/>
    <s v="D"/>
    <s v="GREENFIELD PARK &amp; RECREATION BOARD"/>
    <s v="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
    <s v="BECKENHOLDT PARK"/>
    <s v="HANCOCK"/>
    <n v="5"/>
    <n v="51.6"/>
  </r>
  <r>
    <x v="16"/>
    <n v="579"/>
    <n v="2012"/>
    <s v="ARCHBOLD WILSON MEMORIAL PARK"/>
    <s v="A"/>
    <n v="137058"/>
    <s v="C"/>
    <s v="OSSIAN PARK BOARD"/>
    <s v="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
    <s v="ARCHBOLD WILSON MEMORIAL PARK"/>
    <s v="WELLS"/>
    <n v="6"/>
    <n v="33"/>
  </r>
  <r>
    <x v="16"/>
    <n v="578"/>
    <n v="2012"/>
    <s v="BIG WALNUT COMMUNITY PARK, PHASE II"/>
    <s v="A"/>
    <n v="200000"/>
    <s v="C"/>
    <s v="GREENCASTLE PARK BOARD"/>
    <s v="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
    <s v="BIG WALNUT COMMUNITY PARK"/>
    <s v="PUTNAM"/>
    <n v="8"/>
    <n v="30.7"/>
  </r>
  <r>
    <x v="16"/>
    <n v="576"/>
    <n v="2012"/>
    <s v="WHITE RIVER GREENWAY"/>
    <s v="A"/>
    <n v="200000"/>
    <s v="C"/>
    <s v="MORGAN COUNTY PARK BOARD"/>
    <s v="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
    <s v="WHITE RIVER GREENWAY"/>
    <s v="MORGAN"/>
    <n v="9"/>
    <n v="29"/>
  </r>
  <r>
    <x v="16"/>
    <n v="577"/>
    <n v="2012"/>
    <s v="RIVERSIDE GARDEN PARK"/>
    <s v="A"/>
    <n v="199550"/>
    <s v="C"/>
    <s v="LEO-CEDARVILLE PARK BOARD"/>
    <s v="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
    <s v="RIVERSIDE GARDEN PARK"/>
    <s v="ALLEN"/>
    <n v="3"/>
    <n v="11"/>
  </r>
  <r>
    <x v="16"/>
    <n v="581"/>
    <n v="2013"/>
    <s v="MACGREGOR PARK PHASE III"/>
    <s v="A"/>
    <n v="200000"/>
    <s v="C"/>
    <s v="WASHINGTON TOWNSHIP PARK BOARD"/>
    <s v="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
    <s v="MACGREGOR PARK"/>
    <s v="Hamilton"/>
    <n v="0"/>
    <n v="84.5"/>
  </r>
  <r>
    <x v="16"/>
    <n v="582"/>
    <n v="2013"/>
    <s v="ROBE ANN PARK IMPROVEMENT PROJECT"/>
    <s v="A"/>
    <n v="200000"/>
    <s v="D"/>
    <s v="GREENCASTLE PARK BOARD"/>
    <s v="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
    <s v="ROBE ANN PARK"/>
    <s v="Putnam"/>
    <n v="0"/>
    <n v="19"/>
  </r>
  <r>
    <x v="16"/>
    <n v="580"/>
    <n v="2014"/>
    <s v="OAK RIDGE PRAIRIE COUNTY PARK"/>
    <s v="A"/>
    <n v="200000"/>
    <s v="C"/>
    <s v="LAKE COUNTY PARK BOARD"/>
    <s v="The Lake County Park Board will acquire 102 acres of surplus railroad property from CSX that will add to the existing Oak Ridge County Park and construct a new trail."/>
    <s v="OAK RIDGE PRAIRIE COUNTY PARK"/>
    <s v="Lake"/>
    <n v="1"/>
    <n v="840"/>
  </r>
  <r>
    <x v="16"/>
    <n v="585"/>
    <n v="2014"/>
    <s v="DALLAS LAKE PARK"/>
    <s v="A"/>
    <n v="200000"/>
    <s v="C"/>
    <s v="LAGRANGE COUNTY PARK BOARD"/>
    <s v="The LaGrange County Park Board will acquire 44.25 acres of new park land adjacent to the existing 96-acre Dallas Lake Park and construct a limestone trail with a boardwalk throughout the enlarged park, a picnic shelter, a restroom, and an additional parking lot."/>
    <s v="DALLAS LAKE PARK"/>
    <s v="Lagrange"/>
    <n v="3"/>
    <n v="140.30000000000001"/>
  </r>
  <r>
    <x v="16"/>
    <n v="586"/>
    <n v="2014"/>
    <s v="TEIBEL NATURE PARK"/>
    <s v="A"/>
    <n v="200000"/>
    <s v="C"/>
    <s v="SCHERERVILLE PARK BOARD"/>
    <s v="The Schererville Park Board will acquire 40 acres through donation and construct a picnic area, playground, trail, natural area, and parking."/>
    <s v="TEIBEL NATURE PARK"/>
    <s v="LAKE"/>
    <n v="1"/>
    <n v="40"/>
  </r>
  <r>
    <x v="16"/>
    <n v="587"/>
    <n v="2014"/>
    <s v="BODENHORN PARK"/>
    <s v="A"/>
    <n v="200000"/>
    <s v="C"/>
    <s v="LAPEL PARK BOARD"/>
    <s v="The Lapel Park Board will acquire 19 acres of new parkland through donation and construct two baseball diamonds, two softball diamonds, a concession stand/storage facility, a parking facility, a playground, open spaces, and a walking trail."/>
    <s v="BODENHORN PARK"/>
    <s v="MADISON"/>
    <n v="5"/>
    <n v="19"/>
  </r>
  <r>
    <x v="16"/>
    <n v="588"/>
    <n v="2014"/>
    <s v="ROUSH PARK"/>
    <s v="A"/>
    <n v="188755"/>
    <s v="C"/>
    <s v="BLUFFTON PARK BOARD"/>
    <s v="The Bluffton Parks and Recreation Board will acquire 6.5 acres, through donation, as an addition to Roush Park, enlarging the park to 10.9 acres. The grant scope includes the installation of a splash pad, walking trail, renovations to a large pavilion, replacement of a shelter, an additional parking lot, burying overhead electric lines, additional park benches and picnic tables, and tree planting."/>
    <s v="ROUSH PARK"/>
    <s v="Wells"/>
    <n v="3"/>
    <n v="10.9"/>
  </r>
  <r>
    <x v="17"/>
    <n v="749"/>
    <n v="2011"/>
    <s v="HILLSDALE STATE PARK CAMPGROUND DEVELOPMENT"/>
    <s v="A"/>
    <n v="501971"/>
    <s v="D"/>
    <s v="DEPT. OF WILDLIFE &amp; PARKS"/>
    <s v="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
    <s v="HILLSDALE STATE PARK"/>
    <s v="Miami"/>
    <n v="0"/>
    <n v="12880"/>
  </r>
  <r>
    <x v="17"/>
    <n v="750"/>
    <n v="2012"/>
    <s v="ELK CITY STATE PARK CABIN DEVELOPMENT"/>
    <s v="A"/>
    <n v="60411.5"/>
    <s v="D"/>
    <s v="DEPT. OF WILDLIFE &amp; PARKS"/>
    <s v="The Kansas Department of Wildlife, Parks and Tourism will construct rustic cabins, utilities, a road, and parking within the 857-acre Elk City State Park. This park is adjacent to the Elk City Reservoir and the 12,000-acre Elm City State Wildlife Area in Montgomery County."/>
    <s v="ELK CITY STATE PARK"/>
    <s v="MONTGOMERY"/>
    <n v="4"/>
    <n v="857"/>
  </r>
  <r>
    <x v="17"/>
    <n v="752"/>
    <n v="2012"/>
    <s v="GARVIN PARK PLAYGROUND"/>
    <s v="C"/>
    <n v="100000"/>
    <s v="D"/>
    <s v="CITY OF AUGUSTA"/>
    <s v="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
    <s v="GARVIN PARK"/>
    <s v="Butler"/>
    <n v="4"/>
    <n v="33"/>
  </r>
  <r>
    <x v="17"/>
    <n v="754"/>
    <n v="2013"/>
    <s v="HILLSDALE CAMPGROUND IMPROVEMENTS PHASE III"/>
    <s v="A"/>
    <n v="253236"/>
    <s v="D"/>
    <s v="DEPT. OF WILDLIFE &amp; PARKS"/>
    <s v="The Kansas Department of Wildlife, Parks and Tourism will construct a new campground at Hillsdale State Park in Miami County. The improvements include sewer, water and electrical hook ups, an interior paved road, parking, and camper pads."/>
    <s v="HILLSDALE STATE PARK"/>
    <s v="Miami"/>
    <n v="0"/>
    <n v="12880"/>
  </r>
  <r>
    <x v="17"/>
    <n v="753"/>
    <n v="2013"/>
    <s v="43rd AVENUE PARK DEVELOPMENT"/>
    <s v="A"/>
    <n v="200000"/>
    <s v="D"/>
    <s v="CITY OF HUTCHINSON"/>
    <s v="The city of Hutchinson (Reno County) will improve the 62-acre 43rd Avenue Park by installing barrier free play structures and constructing trails."/>
    <s v="43rd AVENUE PARK"/>
    <s v="Reno"/>
    <n v="0"/>
    <n v="62"/>
  </r>
  <r>
    <x v="17"/>
    <n v="755"/>
    <n v="2014"/>
    <s v="PRAIRIE DOG STATE PARK CAMPGROUND DEVELOPMENT"/>
    <s v="A"/>
    <n v="120000"/>
    <s v="D"/>
    <s v="DEPT. OF WILDLIFE &amp; PARKS"/>
    <s v="The Kansas Department of Wildlife, Parks and Tourism will utilize a Land and Water Conservation Fund grant to assist in constructing 27 campsites at 2 campgrounds within Prairie Dog State Park in Norton County. The grant scope includes constructing a new 20-unit campground with each unit providing 50-amp electrical service, water, and sewer hookups, making this the first campground within the park to offer sewer service. At another site, 50-amp electrical service and water hookups will be added to seven existing primitive campsites. Additional work includes a campground road, culverts, fencing, septic tanks, electrical transformers, and landscaping."/>
    <s v="PRAIRIE DOG STATE PARK"/>
    <s v="Norton"/>
    <n v="1"/>
    <n v="1150"/>
  </r>
  <r>
    <x v="17"/>
    <n v="756"/>
    <n v="2014"/>
    <s v="EL DORADO STATE PARK SHOWERHOUSE DEVELOPMENT"/>
    <s v="A"/>
    <n v="364715"/>
    <s v="R"/>
    <s v="DEPT. OF WILDLIFE &amp; PARKS"/>
    <s v="The Kansas Department of Wildlife, Parks and Tourism will utilize a Land and Water Conservation Fund grant to assist in constructing two shower houses buildings within El Dorado State Park in Butler County."/>
    <s v="EL DORADO STATE PARK"/>
    <s v="Butler"/>
    <n v="4"/>
    <n v="4000"/>
  </r>
  <r>
    <x v="18"/>
    <n v="1415"/>
    <n v="2011"/>
    <s v="WILLIAMSTOWN MARINA DOCK"/>
    <s v="C"/>
    <n v="28750"/>
    <s v="D"/>
    <s v="CITY OF WILLIAMSTOWN"/>
    <s v="Grant funds will be used to replace a previous dock that was utilized as boat slips for boaters using the Lake at this existing 335+/- acres site of Marina Dock. This dock will serve hundreds of recreational users for many years."/>
    <s v="WILLIAMSTOWN LAKE"/>
    <s v="GRANT"/>
    <n v="4"/>
    <n v="335"/>
  </r>
  <r>
    <x v="18"/>
    <n v="1414"/>
    <n v="2011"/>
    <s v="MIKE MILLER COUNTY PARK WATER SPRAYPAD"/>
    <s v="C"/>
    <n v="70000"/>
    <s v="D"/>
    <s v="MARSHALL COUNTY FISCAL COURT"/>
    <s v="Grant funds will be used to enhance the existing 83.7+/- acres of Mike Miller Park. This site will consist of a zero depth water spray pad which will have a flat concrete surface and will have four to six water spray elements."/>
    <s v="MIKE MILLER COUNTY PARK"/>
    <s v="MARSHALL"/>
    <n v="1"/>
    <n v="83.7"/>
  </r>
  <r>
    <x v="18"/>
    <n v="1427"/>
    <n v="2011"/>
    <s v="MONTICELLO/WAYNE CO. PARK PUTT PUTT AND SHELTER"/>
    <s v="A"/>
    <n v="18150"/>
    <s v="D"/>
    <s v="WAYNE COUNTY FISCAL COURT"/>
    <s v="Grant funds will be used to enhance this existing 81.7+/- acres of Monticello/Wayne County Park. This site will consist of the construction of an 18 hole putt-putt golf course and the renovation of two picnic shelters. The County has received several previous L&amp;WCF monies in the past."/>
    <s v="MONTICELLO/WAYNE COUNTY PARK"/>
    <s v="WAYNE"/>
    <n v="5"/>
    <n v="81.7"/>
  </r>
  <r>
    <x v="18"/>
    <n v="1429"/>
    <n v="2011"/>
    <s v="OXFORD ROAD PARK"/>
    <s v="A"/>
    <n v="65000"/>
    <s v="D"/>
    <s v="CITY OF GEORGETOWN"/>
    <s v="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
    <s v="OXFORD ROAD PARK"/>
    <s v="SCOTT"/>
    <n v="4"/>
    <n v="24.7"/>
  </r>
  <r>
    <x v="18"/>
    <n v="1428"/>
    <n v="2011"/>
    <s v="MUNFORDVILLE SPORTS COMPLEX PHASE II"/>
    <s v="C"/>
    <n v="65000"/>
    <s v="D"/>
    <s v="CITY OF MUNFORDVILLE"/>
    <s v="Grant funds will be used to develop a 20+/- acre newly created site in the City of Munfordville. Munfordville Sports Complex will provide a complex that will host soccer leagues for handicapped youth, as well as, regional tournments."/>
    <s v="MUNFORDVILLE SPORTS COMPLEX"/>
    <s v="HART"/>
    <n v="2"/>
    <n v="20"/>
  </r>
  <r>
    <x v="18"/>
    <n v="1430"/>
    <n v="2011"/>
    <s v="BALLARD COUNTY RECREATIONAL PARK IMPROVEMENTS"/>
    <s v="A"/>
    <n v="65365"/>
    <s v="D"/>
    <s v="BALLARD COUNTY FISCAL COURT"/>
    <s v="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
    <s v="BALLARD COUNTY PARK"/>
    <s v="BALLARD"/>
    <n v="1"/>
    <n v="17"/>
  </r>
  <r>
    <x v="18"/>
    <n v="1421"/>
    <n v="2011"/>
    <s v="RIVERSIDE PARK PARKING LOT &amp; RV HOOKUPS"/>
    <s v="C"/>
    <n v="65000"/>
    <s v="D"/>
    <s v="CITY OF DAWSON SPRINGS"/>
    <s v="Grant funds will be used to enhance the existing 12+/- acres of Riverside Park. This project proposes to install raised electrical outlets, lights, as well as RV hookups. The project match will be donated through in-kind cash donations."/>
    <s v="RIVERSIDE PARK"/>
    <s v="HOPKINS"/>
    <n v="1"/>
    <n v="12"/>
  </r>
  <r>
    <x v="18"/>
    <n v="1416"/>
    <n v="2011"/>
    <s v="STRINGTOWN PARK WELLNESS PROJECT"/>
    <s v="C"/>
    <n v="12635"/>
    <s v="D"/>
    <s v="CITY OF FLORENCE"/>
    <s v="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
    <s v="STRINGTOWN PARK"/>
    <s v="BOONE"/>
    <n v="4"/>
    <n v="8"/>
  </r>
  <r>
    <x v="18"/>
    <n v="1424"/>
    <n v="2011"/>
    <s v="BEE SPRING PARK"/>
    <s v="C"/>
    <n v="60000"/>
    <s v="D"/>
    <s v="EDMONSON COUNTY FISCAL COURT"/>
    <s v="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
    <s v="BEE SPRING PARK"/>
    <s v="EDMONSON"/>
    <n v="2"/>
    <n v="6"/>
  </r>
  <r>
    <x v="18"/>
    <n v="1426"/>
    <n v="2011"/>
    <s v="CALHOUN MEMORIAL PARK"/>
    <s v="C"/>
    <n v="9131"/>
    <s v="D"/>
    <s v="CITY OF CALHOUN"/>
    <s v="Grant funds will be used to develop this newly created recreation area of 1.3+/- acres of Calhoun Memorial Park. This site will include a passive park area that will provide picnic facilities and other passive recreational opportunities."/>
    <s v="CALHOUN MEMORIAL PARK"/>
    <s v="MCLEAN"/>
    <n v="1"/>
    <n v="1.3"/>
  </r>
  <r>
    <x v="18"/>
    <n v="1418"/>
    <n v="2011"/>
    <s v="GERMANTOWN PARK"/>
    <s v="C"/>
    <n v="5000"/>
    <s v="R"/>
    <s v="CITY OF GERMANTOWN"/>
    <s v="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
    <s v="GERMANTOWN PARK"/>
    <s v="BRACKEN"/>
    <n v="4"/>
    <n v="20"/>
  </r>
  <r>
    <x v="18"/>
    <n v="1419"/>
    <n v="2011"/>
    <s v="OLIVERIO PARK"/>
    <s v="C"/>
    <n v="65000"/>
    <s v="R"/>
    <s v="CITY OF ASHLAND"/>
    <s v="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
    <s v="OLIVERIO PARK"/>
    <s v="BOYD"/>
    <n v="4"/>
    <n v="10.7"/>
  </r>
  <r>
    <x v="18"/>
    <n v="1422"/>
    <n v="2011"/>
    <s v="ELKTON-TODD COUNTY PARK IMPROVEMENTS"/>
    <s v="C"/>
    <n v="65000"/>
    <s v="R"/>
    <s v="CITY OF ELKTON"/>
    <s v="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
    <s v="ELKTON-TODD COUNTY PARK"/>
    <s v="TODD"/>
    <n v="1"/>
    <n v="9.6"/>
  </r>
  <r>
    <x v="18"/>
    <n v="1425"/>
    <n v="2011"/>
    <s v="ROBERTSON COUNTY LIONS CLUB PARK"/>
    <s v="A"/>
    <n v="5000"/>
    <s v="R"/>
    <s v="ROBERTSON COUNTY FISCAL COURT"/>
    <s v="Grant funds will be used to enhance the existing 4+/- acres of Robertson County Park. This site will consist of the renovation of an existing concession stand/building; and it will be an asset to the facility especially during baseball/softball games"/>
    <s v="ROBERTSON COUNTY LIONS CLUB PARK"/>
    <s v="ROBERTSON"/>
    <n v="4"/>
    <n v="4"/>
  </r>
  <r>
    <x v="18"/>
    <n v="1417"/>
    <n v="2011"/>
    <s v="EDDYVILLE POOL REPAIRS"/>
    <s v="A"/>
    <n v="30000"/>
    <s v="R"/>
    <s v="CITY OF EDDYVILLE"/>
    <s v="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
    <s v="EDDYVILLE CITY PARK"/>
    <s v="LYON"/>
    <n v="1"/>
    <n v="1"/>
  </r>
  <r>
    <x v="18"/>
    <n v="1420"/>
    <n v="2011"/>
    <s v="BULLITT COUNTY SWIMMING POOL RENOVATION"/>
    <s v="C"/>
    <n v="32500"/>
    <s v="R"/>
    <s v="BULLITT COUNTY FISCAL COURT"/>
    <s v="Grant funds will be used to enhance this existing 1+/- acre park site of Bullitt County Swimming Pool. Renovation is needed to continue providing outdoor recreational activities to the community. The renovations will make this site more inviting to the community."/>
    <s v="SHEPHERDSVILLE PUBLIC SWIMMING POOL"/>
    <s v="BULLITT"/>
    <n v="2"/>
    <n v="1"/>
  </r>
  <r>
    <x v="18"/>
    <n v="1436"/>
    <n v="2012"/>
    <s v="COVE SPRING II PAVILION AND ARCHERY"/>
    <s v="C"/>
    <n v="30000"/>
    <s v="D"/>
    <s v="CITY OF FRANKFORT"/>
    <s v="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
    <s v="COVE SPRING PARK"/>
    <s v="FRANKLIN"/>
    <n v="6"/>
    <n v="250"/>
  </r>
  <r>
    <x v="18"/>
    <n v="1440"/>
    <n v="2012"/>
    <s v="BERT T COMBS PARK IMPROVEMENTS"/>
    <s v="A"/>
    <n v="24828"/>
    <s v="D"/>
    <s v="CITY OF MANCHESTER"/>
    <s v="Grant funds will be used for the development of support facilities at this +/- acre site for Bert T. combs Park. The support facilities will be used to support the RV campsite ares, and will be an asset to the recreational area."/>
    <s v="BERT T. COMBS PARK"/>
    <s v="CLAY"/>
    <n v="5"/>
    <n v="200"/>
  </r>
  <r>
    <x v="18"/>
    <n v="1442"/>
    <n v="2012"/>
    <s v="LEROY ROWE MEMORIAL PARK IMPROVEMENTS"/>
    <s v="C"/>
    <n v="30000"/>
    <s v="D"/>
    <s v="CITY OF RUSSELL SPRINGS"/>
    <s v="Grant funds will be used for the development of comfort stations and family/group picnic areas at this 80+/- acre site of Leroy Rowe Memorial Park. These facilities will be great assets to the park and they will have long term benefits to the citizens of Russell Springs."/>
    <s v="LEROY ROWE MEMORIAL PARK"/>
    <s v="RUSSELL"/>
    <n v="1"/>
    <n v="80"/>
  </r>
  <r>
    <x v="18"/>
    <n v="1438"/>
    <n v="2012"/>
    <s v="LAKE REBA HANDICAP ACCESSIBLE PLAYGROUND"/>
    <s v="C"/>
    <n v="50000"/>
    <s v="D"/>
    <s v="CITY OF RICHMOND"/>
    <s v="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
    <s v="LAKE REBA PARK"/>
    <s v="MADISON"/>
    <n v="6"/>
    <n v="75"/>
  </r>
  <r>
    <x v="18"/>
    <n v="1441"/>
    <n v="2012"/>
    <s v="LAKE CUMBERLAND RECREATIONAL CENTER"/>
    <s v="C"/>
    <n v="10000"/>
    <s v="D"/>
    <s v="RUSSELL COUNTY FISCAL COURT"/>
    <s v="Grant funds will be used for the development of comfort stations at this 66+/- acre site of Lake Cumberland Recreation Area. This comfort station will be a great support facility for this recreational area."/>
    <s v="LAKE CUMBERLAND RECREATIONAL CENTER"/>
    <s v="RUSSELL"/>
    <n v="1"/>
    <n v="66"/>
  </r>
  <r>
    <x v="18"/>
    <n v="1448"/>
    <n v="2012"/>
    <s v="SHELBY TRAILS PARK STABLE ADDITION"/>
    <s v="C"/>
    <n v="50000"/>
    <s v="D"/>
    <s v="SHELBY COUNTY FISCAL COURT"/>
    <s v="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
    <s v="SHELBY TRAILS PARK"/>
    <s v="SHELBY"/>
    <n v="2"/>
    <n v="9.3000000000000007"/>
  </r>
  <r>
    <x v="18"/>
    <n v="1444"/>
    <n v="2012"/>
    <s v="SANDY LEE WATKINS COUNTY PARK LAKE"/>
    <s v="A"/>
    <n v="50000"/>
    <s v="D"/>
    <s v="HENDERSON COUNTY FISCAL COURT"/>
    <s v="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
    <s v="SANDY LEE WATKINS COUNTY PARK"/>
    <s v="HENDERSON"/>
    <n v="1"/>
    <n v="7"/>
  </r>
  <r>
    <x v="18"/>
    <n v="1443"/>
    <n v="2012"/>
    <s v="LACENTER CITY PARK REVITALIZATION"/>
    <s v="A"/>
    <n v="25000"/>
    <s v="D"/>
    <s v="CITY OF LACENTER"/>
    <s v="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
    <s v="LACENTER CITY PARK"/>
    <s v="BALLARD"/>
    <n v="1"/>
    <n v="4.2"/>
  </r>
  <r>
    <x v="18"/>
    <n v="1431"/>
    <n v="2012"/>
    <s v="THOMPSON PARK SPLASH AREA"/>
    <s v="C"/>
    <n v="19202"/>
    <s v="D"/>
    <s v="CITY OF BARBOURVILLE"/>
    <s v="Grant funds will be used at the 4+/- acre site of Thompson Park. This site will consist of a splash area with a raindrop mushroom water attraction and an 8' tulip sprayer along with park benches. This project will add recreational opportunities for the citizens of Barbourville."/>
    <s v="THOMPSON PARK"/>
    <s v="KNOX"/>
    <n v="5"/>
    <n v="4"/>
  </r>
  <r>
    <x v="18"/>
    <n v="1447"/>
    <n v="2012"/>
    <s v="PENNTRILE MOUNTAIN BIKING TRAINING AREA"/>
    <s v="A"/>
    <n v="60000"/>
    <s v="D"/>
    <s v="CHRISTIAN COUNTY FISCAL COURT"/>
    <s v="Grant funds will be used for the development of a mountain biking area at this 4+ acre site for Pennyrile Biking Area. The area is a trial of obstacle courses using soil, soil mounds, rock, wood/limbs for jumps and other natural material to construct a training trail."/>
    <s v="PENNTRILE STATE RESORT PARK"/>
    <s v="CHRISTIAN"/>
    <n v="1"/>
    <n v="4"/>
  </r>
  <r>
    <x v="18"/>
    <n v="1435"/>
    <n v="2012"/>
    <s v="PAINTSVILLE PLAYGROUND PROJECT"/>
    <s v="C"/>
    <n v="23267"/>
    <s v="D"/>
    <s v="CITY OF PAINTSVILLE"/>
    <s v="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
    <s v="ESCOM CHANDLER PARK"/>
    <s v="JOHNSON"/>
    <n v="5"/>
    <n v="2"/>
  </r>
  <r>
    <x v="18"/>
    <n v="1434"/>
    <n v="2012"/>
    <s v="CROSS CREEK PARK PHASE II"/>
    <s v="C"/>
    <n v="20356"/>
    <s v="D"/>
    <s v="CITY OF MIDDLETOWN"/>
    <s v="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
    <s v="CROSS CREEK PARK"/>
    <s v="JEFFERSON"/>
    <n v="3"/>
    <n v="1.8"/>
  </r>
  <r>
    <x v="18"/>
    <n v="1446"/>
    <n v="2012"/>
    <s v="PIKEVILLE BOB AMOS PARK HORSE RIDING AREA"/>
    <s v="A"/>
    <n v="60000"/>
    <s v="D"/>
    <s v="CITY OF PIKEVILLE"/>
    <s v="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
    <s v="BOB AMOS PARK"/>
    <s v="PIKE"/>
    <n v="5"/>
    <n v="1.1000000000000001"/>
  </r>
  <r>
    <x v="18"/>
    <n v="1439"/>
    <n v="2012"/>
    <s v="JERRY ZUEHL MEMORIAL SKATE PARK"/>
    <s v="A"/>
    <n v="20000"/>
    <s v="D"/>
    <s v="CITY OF LIVERMORE"/>
    <s v="Grant funds will be used for the development of a Skate Park at this .25+/- of an acre site for Jerry Zuehl Memorial Skate Park. This truely is a community project; and this facility will be a great asset to the Park. This site will have long term benefits to the citizens of Livermore."/>
    <s v="RIVERFRON PARK-JERRY ZUEHL MEMORIAL SKATE PARK"/>
    <s v="MCLEAN"/>
    <n v="1"/>
    <n v="0.3"/>
  </r>
  <r>
    <x v="18"/>
    <n v="1433"/>
    <n v="2012"/>
    <s v="DOVER CITY PARK IMPROVEMENTS"/>
    <s v="C"/>
    <n v="7000"/>
    <s v="D"/>
    <s v="CITY OF DOVER"/>
    <s v="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
    <s v="DOVER CITY PARK"/>
    <s v="MASON"/>
    <n v="4"/>
    <n v="0"/>
  </r>
  <r>
    <x v="18"/>
    <n v="1432"/>
    <n v="2012"/>
    <s v="MARION/CRITTENDEN COUNTY PARK TRACK"/>
    <s v="C"/>
    <n v="15050"/>
    <s v="R"/>
    <s v="CITY OF MARION"/>
    <s v="Grant funds will be used for the renovation of a track facility at this 32.36+/- acre site of Marion/Crittenden County Park. This walking track will provide the community, especially the handicapped citizens, a nice, safe place to walk, jog and run."/>
    <s v="MARION/CRITTENDEN COUNTY PARK"/>
    <s v="CRITTENDEN"/>
    <n v="1"/>
    <n v="32.4"/>
  </r>
  <r>
    <x v="18"/>
    <n v="1445"/>
    <n v="2012"/>
    <s v="DAWSON SPRINGS CITY PARK UPGRADES"/>
    <s v="C"/>
    <n v="13834"/>
    <s v="R"/>
    <s v="CITY OF DAWSON SPRINGS"/>
    <s v="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
    <s v="DAWSON SPRINGS CITY PARK"/>
    <s v="HOPKINS"/>
    <n v="1"/>
    <n v="21.8"/>
  </r>
  <r>
    <x v="18"/>
    <n v="1437"/>
    <n v="2012"/>
    <s v="CALVERT CITY COUNTRY CLUB TENNIS COURT"/>
    <s v="A"/>
    <n v="50000"/>
    <s v="R"/>
    <s v="CITY OF CALVERT CITY"/>
    <s v="Grant funds will be used for the renovation development of sports and playfields and support facilities at the .319+/- acre site of Calvert City Tennis Court. These facilities will be great assets to the Park and they will have long term benefits to the citizens of Calvert City."/>
    <s v="CALVERT CITY COUNTRY CLUB"/>
    <s v="MARSHALL"/>
    <n v="1"/>
    <n v="0.3"/>
  </r>
  <r>
    <x v="18"/>
    <n v="1450"/>
    <n v="2013"/>
    <s v="HAWESVILLE RIVERFRONT PARK"/>
    <s v="A"/>
    <n v="25000"/>
    <s v="D"/>
    <s v="CITY OF HAWESVILLE"/>
    <s v="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
    <s v="HAWESVILLE RIVERFRONT PARK"/>
    <s v="HANCOCK"/>
    <n v="0"/>
    <n v="4539"/>
  </r>
  <r>
    <x v="18"/>
    <n v="1451"/>
    <n v="2013"/>
    <s v="WOODEN BRIDGE PARK RESTROOM"/>
    <s v="A"/>
    <n v="13566"/>
    <s v="D"/>
    <s v="CITY OF ISLAND"/>
    <s v="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
    <s v="WOODEN BRIDGE PARK"/>
    <s v="MCLEAN"/>
    <n v="0"/>
    <n v="1068"/>
  </r>
  <r>
    <x v="18"/>
    <n v="1454"/>
    <n v="2013"/>
    <s v="WENDELL MOORE PARK"/>
    <s v="A"/>
    <n v="16560"/>
    <s v="D"/>
    <s v="OLDHAM COUNTY FISCAL COURT"/>
    <s v="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
    <s v="WENDELL MOORE PARK"/>
    <s v="OLDHAM"/>
    <n v="0"/>
    <n v="97"/>
  </r>
  <r>
    <x v="18"/>
    <n v="1449"/>
    <n v="2013"/>
    <s v="LONDON-LAUREL WELLNESS PARK"/>
    <s v="A"/>
    <n v="70000"/>
    <s v="D"/>
    <s v="LAUREL COUNTY FISCAL COURT"/>
    <s v="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
    <s v="LONDON-LAUREL WELLNESS PARK"/>
    <s v="LAUREL"/>
    <n v="0"/>
    <n v="47"/>
  </r>
  <r>
    <x v="18"/>
    <n v="1459"/>
    <n v="2013"/>
    <s v="HERB BOTTS NATURE PARK AMPHITHEATER"/>
    <s v="A"/>
    <n v="69295"/>
    <s v="D"/>
    <s v="MONTGOMERY COUNTY FISCAL COURT"/>
    <s v="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
    <s v="HERB BOTTS PARK"/>
    <s v="MONTGOMERY"/>
    <n v="0"/>
    <n v="32"/>
  </r>
  <r>
    <x v="18"/>
    <n v="1460"/>
    <n v="2013"/>
    <s v="DAWSON SPRINGS CITY PARK PLAYGROUND"/>
    <s v="A"/>
    <n v="43000"/>
    <s v="D"/>
    <s v="CITY OF DAWSON SPRINGS"/>
    <s v="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
    <s v="DAWSON SPRINGS CITY PARK"/>
    <s v="HOPKINS"/>
    <n v="0"/>
    <n v="21.8"/>
  </r>
  <r>
    <x v="18"/>
    <n v="1458"/>
    <n v="2013"/>
    <s v="GASLIGHT SPLASH PARK"/>
    <s v="A"/>
    <n v="61000"/>
    <s v="D"/>
    <s v="CITY OF JEFFERSONTOWN"/>
    <s v="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
    <s v="GASLIGHT RECREATIONAL AREA"/>
    <s v="JEFFERSON"/>
    <n v="0"/>
    <n v="20"/>
  </r>
  <r>
    <x v="18"/>
    <n v="1453"/>
    <n v="2013"/>
    <s v="DOUTHITT PARK SPLASH PARK"/>
    <s v="A"/>
    <n v="70000"/>
    <s v="R"/>
    <s v="CITY OF JACKSON"/>
    <s v="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
    <s v="DOUTHITT PARK"/>
    <s v="BREATHITT"/>
    <n v="0"/>
    <n v="14"/>
  </r>
  <r>
    <x v="18"/>
    <n v="1457"/>
    <n v="2013"/>
    <s v="GORDON PARK PLAYGROUND PARK"/>
    <s v="A"/>
    <n v="33200"/>
    <s v="R"/>
    <s v="CITY OF CROFTON"/>
    <s v="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
    <s v="GORDON PARK"/>
    <s v="Christian"/>
    <n v="0"/>
    <n v="10"/>
  </r>
  <r>
    <x v="18"/>
    <n v="1455"/>
    <n v="2013"/>
    <s v="WARREN C. WALKER PARK POOL RENOVATION"/>
    <s v="A"/>
    <n v="10500"/>
    <s v="R"/>
    <s v="CITY OF DOUGLASS HILLS"/>
    <s v="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
    <s v="WARREN C. WALKER PARK"/>
    <s v="JEFFERSON"/>
    <n v="0"/>
    <n v="3.3"/>
  </r>
  <r>
    <x v="18"/>
    <n v="1461"/>
    <n v="2014"/>
    <s v="KUTTAWA LAKE BARKLEY AMPHITHEATER"/>
    <s v="A"/>
    <n v="0"/>
    <s v="D"/>
    <s v="CITY OF KUTTAWA"/>
    <s v="Grant funds will be used for the development of an amphitheater and support facilities at this 16 +/- acre site of Kuttawa Lake Barkley Amphitheater. This ampitheater will consist of the construction of a six-level seating area. Each level will have a &quot;grassy&quot; base allowing for attendees to bring lawn chairs or blankets. This site will be a great asset to the community, as well as, to the citizens of Kuttawa."/>
    <s v="LAKE BARKLEY/KUTTAWA RECREATIONAL AREA"/>
    <s v="LYON"/>
    <n v="1"/>
    <n v="16"/>
  </r>
  <r>
    <x v="18"/>
    <n v="1467"/>
    <n v="2014"/>
    <s v="BATTLE OF PUNCHEON PARK PICNIC SHELTER"/>
    <s v="A"/>
    <n v="0"/>
    <s v="D"/>
    <s v="MAGOFFIN COUNTY FISCAL COURT"/>
    <s v="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
    <s v="BATTLE OF PUNCHEON CULTURAL AND HERITAGE PARK"/>
    <s v="MAGOFFIN"/>
    <n v="5"/>
    <n v="13"/>
  </r>
  <r>
    <x v="18"/>
    <n v="1465"/>
    <n v="2014"/>
    <s v="RIVER FRONT CITY PARK IMPROVEMENT"/>
    <s v="A"/>
    <n v="0"/>
    <s v="D"/>
    <s v="CITY OF HYDEN"/>
    <s v="Grant funds will be used for the development of an amphitheater/band shell at this 4.3+/- acre site of River Front City Park. This amphitheater will enable the City of Hyden to host plays, musical events, and other events where local performers can display their talents. This site will be a great asset to the community, as well as, to the citizens of Hyden."/>
    <s v="RIVER FRONT CITY PARK"/>
    <s v="LESLIE"/>
    <n v="5"/>
    <n v="4.3"/>
  </r>
  <r>
    <x v="18"/>
    <n v="1466"/>
    <n v="2014"/>
    <s v="PEMBROKE PLAYGROUND PROJECT"/>
    <s v="A"/>
    <n v="0"/>
    <s v="D"/>
    <s v="CITY OF PEMBROKE"/>
    <s v="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
    <s v="PEMBROKE CITY PARK"/>
    <s v="CHRISTIAN"/>
    <n v="1"/>
    <n v="0.4"/>
  </r>
  <r>
    <x v="19"/>
    <n v="919"/>
    <n v="2011"/>
    <s v="WASHINGTON PARISH ACQUISITION"/>
    <s v="C"/>
    <n v="230000"/>
    <s v="A"/>
    <s v="WASHINGTON PARISH RECREATION DISTRICT #1"/>
    <s v="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
    <s v="WASHINGTON PARISH RECREATION COMPLEX"/>
    <s v="WASHINGTON"/>
    <n v="2"/>
    <n v="153.30000000000001"/>
  </r>
  <r>
    <x v="19"/>
    <n v="924"/>
    <n v="2011"/>
    <s v="ZEMURRAY PARK RENOVATIONS"/>
    <s v="C"/>
    <n v="250000"/>
    <s v="D"/>
    <s v="CITY OF HAMMOND"/>
    <s v="Grant funds will be used for the further development of the existing 34.0+/- of donated land at Zemurray Park. This project seeks to make greater use of the pond feature for fishing and small boats while also serving as a passive recreation element."/>
    <s v="ZEMURRAY PARK"/>
    <s v="TANGIPAHOA"/>
    <n v="2"/>
    <n v="59"/>
  </r>
  <r>
    <x v="19"/>
    <n v="921"/>
    <n v="2011"/>
    <s v="WILLIAM T. POLK CITY PARK"/>
    <s v="C"/>
    <n v="250000"/>
    <s v="D"/>
    <s v="CITY OF VIDALIA"/>
    <s v="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
    <s v="WILLIAM T. POLK CITY PARK"/>
    <s v="CONCORDIA"/>
    <n v="6"/>
    <n v="30.2"/>
  </r>
  <r>
    <x v="19"/>
    <n v="923"/>
    <n v="2011"/>
    <s v="STEPHENSVILLE RECREATION COMPLEX IMPROVEMENTS"/>
    <s v="A"/>
    <n v="150000"/>
    <s v="D"/>
    <s v="SAINT MARTIN RECREATION DISTRICT #1"/>
    <s v="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
    <s v="STEPHENSVILLE PARK"/>
    <s v="SAINT MARTIN"/>
    <n v="3"/>
    <n v="5"/>
  </r>
  <r>
    <x v="19"/>
    <n v="920"/>
    <n v="2011"/>
    <s v="PUNK SMITH PARK IMPROVEMENTS"/>
    <s v="C"/>
    <n v="35000"/>
    <s v="D"/>
    <s v="TOWN OF WALKER"/>
    <s v="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
    <s v="PUNK SMITH PARK"/>
    <s v="LIVINGSTON"/>
    <n v="2"/>
    <n v="1.2"/>
  </r>
  <r>
    <x v="19"/>
    <n v="928"/>
    <n v="2012"/>
    <s v="WASHINGTON PARISH RECREATION"/>
    <s v="A"/>
    <n v="200000"/>
    <s v="D"/>
    <s v="WASHINTON PARISH RECREATION DISTRICT 1"/>
    <s v="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
    <s v="WASHINGTON PARISH RECREATION COMPLEX"/>
    <s v="WASHINGTON"/>
    <n v="2"/>
    <n v="153.30000000000001"/>
  </r>
  <r>
    <x v="19"/>
    <n v="927"/>
    <n v="2012"/>
    <s v="WILLIAM TO. POLK CITY PARK"/>
    <s v="A"/>
    <n v="200000"/>
    <s v="D"/>
    <s v="CITY OF VIDALIA"/>
    <s v="The grant will assist City of Vidalia in the development of a pond overflow, pond aeration, a bridge and walkway, and a fishing pier. the pond beach and spray park will allow the public to participate in water activities that do not now exist in this area."/>
    <s v="DR. WILLIAM T. POLK CITY PARK"/>
    <s v="CONCORDIA"/>
    <n v="5"/>
    <n v="25.5"/>
  </r>
  <r>
    <x v="19"/>
    <n v="929"/>
    <n v="2012"/>
    <s v="RATHBORNE PARK IMPROVEMENTS"/>
    <s v="A"/>
    <n v="200000"/>
    <s v="D"/>
    <s v="ST. CHARLES PARISH GOVERNMENT"/>
    <s v="The St. Charles Parish will further develop Rathborne Park to create ballfields, basketball courts, picnic and restroom facilities, benches and lighting for the ballfields, trails, pavillion and fitness stations in the park."/>
    <s v="RATHBORNE PARK DEVELOPMENT"/>
    <s v="SAINT CHARLES"/>
    <n v="1"/>
    <n v="12.6"/>
  </r>
  <r>
    <x v="19"/>
    <n v="925"/>
    <n v="2012"/>
    <s v="CASSIDY SPRAY PARK AND CANOE LAUNCH"/>
    <s v="A"/>
    <n v="200000"/>
    <s v="D"/>
    <s v="CITY OF BOGALUSA"/>
    <s v="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
    <s v="CASSIDY PARK"/>
    <s v="WASHINGTON"/>
    <n v="6"/>
    <n v="2.2000000000000002"/>
  </r>
  <r>
    <x v="19"/>
    <n v="932"/>
    <n v="2014"/>
    <s v="TERREBONNE COMMUNITY PARK ACQUISITION AND DEVELOPM"/>
    <s v="A"/>
    <n v="0"/>
    <s v="C"/>
    <s v="TERREBONNE PARISH CONSOLIDATED GOVERNMENT"/>
    <s v="The Terrebonne Parish Consolidated Government proposes a combination project that will acquire +/- 39.9 acres and the development of Terrebonne Community Park, located within Terrebonne Parish. This proposed action will extend LWCF 6(f) protect to the existing +/-114.3 acres, and the entire +/-154.2 acres will be set aside for LWCF 6(f) designation."/>
    <s v="TERREBONNE COMMUNITY PARK"/>
    <s v="Terrebonne"/>
    <n v="1"/>
    <n v="154.19999999999999"/>
  </r>
  <r>
    <x v="19"/>
    <n v="931"/>
    <n v="2014"/>
    <s v="COQUILLE PARK PLAYGROUND"/>
    <s v="A"/>
    <n v="0"/>
    <s v="D"/>
    <s v="St. Tammany Recreation District # 14"/>
    <s v="This is a proposal for the development of +/- 130 acres of land (Coquille Park) north of Interstate 12 and east of Highway 1077 within the city limits of Covington, in St. Tammany Parish. The proposed project will include the development of a custom designed play hill, side play areas, a tot-lot. Development will consist of Sports and Playfields, Picnic Area, and Support Facility."/>
    <s v="COQUILLE PARK"/>
    <s v="SAINT TAMMANY"/>
    <n v="1"/>
    <n v="130"/>
  </r>
  <r>
    <x v="19"/>
    <n v="933"/>
    <n v="2014"/>
    <s v="ZEMURRAY POND AND PARK IMPROVEMENTS"/>
    <s v="A"/>
    <n v="0"/>
    <s v="D"/>
    <s v="CITY OF HAMMOND"/>
    <s v="This is a proposal to improve and renovate Zemurray Park located within the city limits of Hammond Tangipahoa Parish. The proposed project will include Zemurry Pond Improvements, installing a pond aeration system. ADA-accessible fishing stations, a new toddler playground, and splash park, expanding and rebuilding picnic pavilions, basketball area improvements, swimming pool and locker room improvements."/>
    <s v="ZEMURRAY POND PARK IMPROVEMENTS"/>
    <s v="Tangipahoa"/>
    <n v="2"/>
    <n v="34"/>
  </r>
  <r>
    <x v="20"/>
    <n v="495"/>
    <n v="2011"/>
    <s v="Goodwill Park Playground"/>
    <s v="A"/>
    <n v="111587"/>
    <s v="R"/>
    <s v="Town of Holliston"/>
    <m/>
    <s v="Goodwill Park"/>
    <s v="MIDDLESEX"/>
    <n v="3"/>
    <n v="4.9000000000000004"/>
  </r>
  <r>
    <x v="20"/>
    <n v="501"/>
    <n v="2014"/>
    <s v="Nason Conservation Land"/>
    <s v="A"/>
    <n v="0"/>
    <s v="A"/>
    <s v="Town of Boxford"/>
    <s v="The project shall consist of the acquisition in fee simple of 46.0+/ acres of land know as Nason Property for conservation an passive public outdoor recreation purposes for the town of Boxford."/>
    <s v="Nason Conservation Area"/>
    <s v="ESSEX"/>
    <n v="6"/>
    <n v="46"/>
  </r>
  <r>
    <x v="20"/>
    <n v="502"/>
    <n v="2014"/>
    <s v="Norwottuck/Mass Central Rail Trail"/>
    <s v="A"/>
    <n v="0"/>
    <s v="D"/>
    <s v="City of Northampton"/>
    <s v="Construction of a new 0.35 mile rail trail on the city-owned Mill River Greenway; granite blocks will be added to provide resting spots, and a natural history interpretive and wayfinding signage program will be undertaken."/>
    <s v="Norwottuck/Mass Central Rail Trail"/>
    <s v="HAMPSHIRE"/>
    <n v="2"/>
    <n v="30"/>
  </r>
  <r>
    <x v="20"/>
    <n v="500"/>
    <n v="2014"/>
    <s v="Ralsco Park"/>
    <s v="A"/>
    <n v="0"/>
    <s v="D"/>
    <s v="City of Brockton"/>
    <s v="The project shall consist of the construction of a new park with ADA compliant walkways, a large lawn area, a sitting area and small open field."/>
    <s v="Ralsco Park"/>
    <s v="PLYMOUTH"/>
    <n v="9"/>
    <n v="1"/>
  </r>
  <r>
    <x v="20"/>
    <n v="497"/>
    <n v="2014"/>
    <s v="Puffer's Pond"/>
    <s v="A"/>
    <n v="0"/>
    <s v="R"/>
    <s v="Town of Amherst"/>
    <s v="The renovation to include resurfacing of the perimeter trail; the installation of an informational kiosk, accessible trail and seating area, and a handrail into the water at North Beach; a new safety fence will be installed near the dam."/>
    <s v="Puffer's Pond"/>
    <s v="HAMPSHIRE"/>
    <n v="2"/>
    <n v="21.2"/>
  </r>
  <r>
    <x v="20"/>
    <n v="498"/>
    <n v="2014"/>
    <s v="Varney Park"/>
    <s v="A"/>
    <n v="0"/>
    <s v="R"/>
    <s v="Town of Chelmsford"/>
    <s v="Renovation of Varney Park to include ADA accessibility improvements, construction of basketball court, seating areas, bike rack,improved grading &amp; drainage, exterior and interior to the field/bathhouse, a new boat dock and nature trail."/>
    <s v="Varney Park"/>
    <s v="MIDDLESEX"/>
    <n v="3"/>
    <n v="7"/>
  </r>
  <r>
    <x v="21"/>
    <n v="386"/>
    <n v="2011"/>
    <s v="Newtowne Neck State Park"/>
    <s v="A"/>
    <n v="400000"/>
    <s v="D"/>
    <s v="DEPT. OF NATURAL RESOURCES"/>
    <s v="This park is 776 acres of woodlands, wetlands, a tidal pond, and seven miles of sand beaches on the Chesapeake Bay development will include hiking, biking, equestrian trails, tent and RV camping, mini cabins, swimming motor boat access picnicing and shelters."/>
    <s v="Newtowne Neck State Park"/>
    <s v="SAINT MARYS"/>
    <n v="5"/>
    <n v="776"/>
  </r>
  <r>
    <x v="21"/>
    <n v="388"/>
    <n v="2012"/>
    <s v="Trout Run Acquisition"/>
    <s v="A"/>
    <n v="950000"/>
    <s v="A"/>
    <s v="DEPT. OF NATURAL RESOURCES"/>
    <s v="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
    <s v="Cunningham Falls State Park"/>
    <s v="FREDERICK"/>
    <n v="6"/>
    <n v="382"/>
  </r>
  <r>
    <x v="22"/>
    <n v="834"/>
    <n v="2011"/>
    <s v="Camden Hills State Park Acquisition Project"/>
    <s v="C"/>
    <n v="200000"/>
    <s v="A"/>
    <s v="Maine Bureau of Parks and Lands"/>
    <m/>
    <s v="Camden Hills State Park"/>
    <s v="KNOX"/>
    <n v="1"/>
    <n v="5800"/>
  </r>
  <r>
    <x v="22"/>
    <n v="833"/>
    <n v="2011"/>
    <s v="Town of Ft. Kent - Riverside Park"/>
    <s v="C"/>
    <n v="57000"/>
    <s v="D"/>
    <s v="Town of Ft. Kent"/>
    <m/>
    <s v="Riverside Park"/>
    <s v="AROOSTOOK"/>
    <n v="2"/>
    <n v="9.3000000000000007"/>
  </r>
  <r>
    <x v="22"/>
    <n v="832"/>
    <n v="2011"/>
    <s v="Frenchville Recreation Park Renovation Project"/>
    <s v="A"/>
    <n v="16412"/>
    <s v="D"/>
    <s v="Town of Frenchville"/>
    <m/>
    <s v="Frenchville Recreation Park"/>
    <s v="AROOSTOOK"/>
    <n v="2"/>
    <n v="8.3000000000000007"/>
  </r>
  <r>
    <x v="22"/>
    <n v="830"/>
    <n v="2011"/>
    <s v="Town of St. Albans Community Playground"/>
    <s v="C"/>
    <n v="25000"/>
    <s v="D"/>
    <s v="Town of St. Albans"/>
    <m/>
    <s v="Batchelder Memorial Playground"/>
    <s v="SOMERSET"/>
    <n v="2"/>
    <n v="6.2"/>
  </r>
  <r>
    <x v="22"/>
    <n v="831"/>
    <n v="2011"/>
    <s v="Town of Topsham - Head of Tide Park"/>
    <s v="A"/>
    <n v="74850"/>
    <s v="D"/>
    <s v="Town of Topsham"/>
    <m/>
    <s v="Head of Tide Park"/>
    <s v="SAGADAHOC"/>
    <n v="1"/>
    <n v="4"/>
  </r>
  <r>
    <x v="22"/>
    <n v="835"/>
    <n v="2011"/>
    <s v="Colburn House State Historic Site Infrastructure"/>
    <s v="A"/>
    <n v="43473"/>
    <s v="R"/>
    <s v="Maine Bureau of Parks and Lands"/>
    <m/>
    <s v="Colburn House Historic Site"/>
    <s v="KENNEBEC"/>
    <n v="1"/>
    <n v="7.6"/>
  </r>
  <r>
    <x v="22"/>
    <n v="837"/>
    <n v="2012"/>
    <s v="Town of Camden Snowmaking Expansion Project"/>
    <s v="A"/>
    <n v="75000"/>
    <s v="D"/>
    <s v="Town of Camden"/>
    <s v="Expansion of the snowmaking capabilites at the Camden Snow Bowl along with a beginner ski are and new chair lift. The project is located at an existing LWCF funded site."/>
    <s v="Camden Snow Bowl"/>
    <s v="KNOX"/>
    <n v="1"/>
    <n v="250"/>
  </r>
  <r>
    <x v="22"/>
    <n v="842"/>
    <n v="2012"/>
    <s v="Lamoine State Park Campground Dumping Station"/>
    <s v="A"/>
    <n v="13441"/>
    <s v="D"/>
    <s v="State of ME, Bureau of Parks and Lands"/>
    <s v="The state will be putting in a dumping station for disposal of gray and black water tanks of RV's that stay at Lamoine State Park along with improvements for easy access to site."/>
    <s v="Lamoine State Park"/>
    <s v="HANCOCK"/>
    <n v="2"/>
    <n v="18.100000000000001"/>
  </r>
  <r>
    <x v="22"/>
    <n v="839"/>
    <n v="2012"/>
    <s v="Standish Johnson Park Playground Project"/>
    <s v="A"/>
    <n v="27966"/>
    <s v="D"/>
    <s v="Town of Standish"/>
    <s v="Construction of a new playground at Johnson Field, an existing LWCF funded project with multiple recreational opportunities."/>
    <s v="Johnson Field Playground"/>
    <s v="CUMBERLAND"/>
    <n v="1"/>
    <n v="10.4"/>
  </r>
  <r>
    <x v="22"/>
    <n v="836"/>
    <n v="2012"/>
    <s v="Pittsfield Hathorn Park Renovations Project"/>
    <s v="A"/>
    <n v="25000"/>
    <s v="D"/>
    <s v="Town of Pittsfield"/>
    <s v="Will install a new playground, new walkways. Renovate the public restrooms, reconstruct a parking area, put up new fencing and make improvements to the existing gazebo."/>
    <s v="Pittsfield Hathorn Park"/>
    <s v="SOMERSET"/>
    <n v="2"/>
    <n v="3.6"/>
  </r>
  <r>
    <x v="22"/>
    <n v="838"/>
    <n v="2012"/>
    <s v="Vassalboro Recreational Filed Improvements"/>
    <s v="A"/>
    <n v="36500"/>
    <s v="D"/>
    <s v="Town of Vassalboro"/>
    <s v="The town of Vassalboro will be putting new drainage in the recreational fields, putting in walkways/bridges in to the field area to make it handicapped accessible, and making improvements to the restrooms."/>
    <s v="Vassalboro Recreational Field"/>
    <s v="KENNEBEC"/>
    <n v="1"/>
    <n v="2.4"/>
  </r>
  <r>
    <x v="22"/>
    <n v="840"/>
    <n v="2012"/>
    <s v="Old Orchard Beach - Skate Park Project"/>
    <s v="A"/>
    <n v="18617"/>
    <s v="D"/>
    <s v="Town of Old Orchard Beach"/>
    <s v="Construction of skate park/BMK Bike complex in the town of Old Orchard Beach. Develop a parking area and walkways. Site improvements and landscaping."/>
    <s v="Old Orchard Beach Skate Park"/>
    <s v="YORK"/>
    <n v="1"/>
    <n v="1.4"/>
  </r>
  <r>
    <x v="22"/>
    <n v="845"/>
    <n v="2012"/>
    <s v="Sebago Lake State Park Infrastructure Improvement"/>
    <s v="A"/>
    <n v="59141"/>
    <s v="R"/>
    <s v="State of ME, Bureau of Parks and Lands"/>
    <s v="The Bureau of Parks and Lands will be making improvements to the outdated and unsafe sewer pumping stations. The project will also include a new water holding tank or sandblasting and painting the exisiting water storage tank."/>
    <s v="Sebago Lake State Park"/>
    <s v="CUMBERLAND"/>
    <n v="1"/>
    <n v="1344.8"/>
  </r>
  <r>
    <x v="22"/>
    <n v="841"/>
    <n v="2012"/>
    <s v="Colonial Pemaquid Pier Restoration Project"/>
    <s v="A"/>
    <n v="107530"/>
    <s v="R"/>
    <s v="State of ME, Bureau of Parks and Lands"/>
    <s v="The Bureau of Parks &amp; Lands will be rehabilitating an existing pier at Colonial Pemaquid State Historic Site. Work will include removing some decking, replacing pylons supporting the deck, replacing decking in need of replacing and required clean up and landscaping."/>
    <s v="Colonial Pemaquid Historic Park"/>
    <s v="LINCOLN"/>
    <n v="1"/>
    <n v="0.3"/>
  </r>
  <r>
    <x v="22"/>
    <n v="843"/>
    <n v="2012"/>
    <s v="Warren Island State Park - Group Picnic Shelter"/>
    <s v="A"/>
    <n v="5377"/>
    <s v="R"/>
    <s v="State of ME, Bureau of Parks and Lands"/>
    <s v="The Bureau of Parks and Lands will be constructing a group picnic shelter facility at Warren Island State Park. Project includes transport of material to island, construction of the shelter and access improvements to the shelter."/>
    <s v="Warren Island State Park"/>
    <s v="KNOX"/>
    <n v="1"/>
    <n v="0.1"/>
  </r>
  <r>
    <x v="22"/>
    <n v="847"/>
    <n v="2013"/>
    <s v="Jackson Beach Improvement Project"/>
    <s v="A"/>
    <n v="58850"/>
    <s v="R"/>
    <s v="Town of Hermon"/>
    <s v="Project includes improvements to the access road, parking lot, changing room, and a new ADA bathroom and infrastructure, picnic tables, grills, fishing wharf, shelter area, and a ADA pathway to the fishing pier."/>
    <s v="Jackson Beach Park"/>
    <s v="PENOBSCOT"/>
    <n v="0"/>
    <n v="23.5"/>
  </r>
  <r>
    <x v="22"/>
    <n v="848"/>
    <n v="2013"/>
    <s v="Damariscotta Lake State Park Playground"/>
    <s v="A"/>
    <n v="5470"/>
    <s v="R"/>
    <s v="State of ME, Dept of Agriculture, Div of Parks and Lands"/>
    <s v="Replacement of old unsafe playground with a new playground at Damariscotta Lake State Park. Work includes demolition of old playground and installation of the new playground."/>
    <s v="DAMARISCOTTA LAKE STATE PARK"/>
    <s v="Lincoln"/>
    <n v="0"/>
    <n v="19"/>
  </r>
  <r>
    <x v="22"/>
    <n v="846"/>
    <n v="2013"/>
    <s v="Washington Street Recreation Complex Redevelopment"/>
    <s v="A"/>
    <n v="147900"/>
    <s v="R"/>
    <s v="City of Brewer"/>
    <s v="Renovation of 2 baseball fields, install a paved walking path, create a new youth soccer field, a new playground, renovate the parking area, install benches, picnic tables, and restroom facilities."/>
    <s v="Washington Steet Recreation Complex"/>
    <s v="PENOBSCOT"/>
    <n v="0"/>
    <n v="13"/>
  </r>
  <r>
    <x v="22"/>
    <n v="850"/>
    <n v="2014"/>
    <s v="Carrabassett Valley Pool Renovation Project"/>
    <s v="A"/>
    <n v="0"/>
    <s v="D"/>
    <s v="Town of Carrabassett Valley"/>
    <s v="The town will demolish its old swimming pool and bath house and construct a new pool which will be larger and ADA. The bathhouse will also be rebuilt to ADA standards and include showers, pumping station, toilets and changing areas."/>
    <s v="River Park"/>
    <s v="FRANKLIN"/>
    <n v="2"/>
    <n v="6"/>
  </r>
  <r>
    <x v="22"/>
    <n v="853"/>
    <n v="2014"/>
    <s v="Town of Houlton - Just for Kids Playground"/>
    <s v="A"/>
    <n v="0"/>
    <s v="R"/>
    <s v="Town of Houlton"/>
    <s v="The playground project will consist of renovating and updating the existing playground equipment that is in need of repair and replacement."/>
    <s v="HOULTON COMMUNITY PARK"/>
    <s v="Aroostook"/>
    <n v="2"/>
    <n v="12"/>
  </r>
  <r>
    <x v="22"/>
    <n v="851"/>
    <n v="2014"/>
    <s v="Winslow Halifax Park Improvement Project"/>
    <s v="A"/>
    <n v="0"/>
    <s v="R"/>
    <s v="Town of Winslow"/>
    <s v="There will be several improvement made including the entrance &amp; parking lot relocation and stone dust sidewalk, a welcoming display area and a sidewalk to River outlook."/>
    <s v="Fort Halifax Park"/>
    <s v="KENNEBEC"/>
    <n v="2"/>
    <n v="6"/>
  </r>
  <r>
    <x v="23"/>
    <n v="1707"/>
    <n v="2011"/>
    <s v="LUDINGTON STATE PARK ELECTRICAL IMPROVEMENTS"/>
    <s v="A"/>
    <n v="171225"/>
    <s v="D"/>
    <s v="DEPT. OF NATURAL RESOURCES"/>
    <s v="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
    <s v="LUDINGTON STATE PARK"/>
    <s v="MASON"/>
    <n v="2"/>
    <n v="5300"/>
  </r>
  <r>
    <x v="23"/>
    <n v="1708"/>
    <n v="2011"/>
    <s v="HOLLAND STATE PARK CAMPGROUND RESTROOM REPLACEMENT"/>
    <s v="A"/>
    <n v="332910"/>
    <s v="D"/>
    <s v="DEPT. OF NATURAL RESOURCES"/>
    <s v="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
    <s v="HOLLAND STATE PARK"/>
    <s v="OTTAWA"/>
    <n v="2"/>
    <n v="142"/>
  </r>
  <r>
    <x v="23"/>
    <n v="1706"/>
    <n v="2011"/>
    <s v="ROBERTS PARK SOCCER FIELDS"/>
    <s v="A"/>
    <n v="114150"/>
    <s v="D"/>
    <s v="THOMAS TOWNSHIP"/>
    <s v="Thomas Township (Saginaw County, Michigan) will utilize a Land and Water Conservation Fund grant to assist in three new soccer fields and an accessible pathway from the parking lot to the fields at the 48.28-acre Roberts Park."/>
    <s v="ROBERTS PARK"/>
    <s v="SAGINAW"/>
    <n v="4"/>
    <n v="48.3"/>
  </r>
  <r>
    <x v="23"/>
    <n v="1702"/>
    <n v="2011"/>
    <s v="WHEATLEY PARK REDEVELOPMENT"/>
    <s v="A"/>
    <n v="85612"/>
    <s v="D"/>
    <s v="CITY OF INKSTER"/>
    <s v="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
    <s v="WHEATLEY PARK"/>
    <s v="WAYNE"/>
    <n v="15"/>
    <n v="8.3000000000000007"/>
  </r>
  <r>
    <x v="23"/>
    <n v="1704"/>
    <n v="2011"/>
    <s v="UNIVERSALLY ACCESSIBLE DESIGNED REST AREAS"/>
    <s v="C"/>
    <n v="34137.93"/>
    <s v="D"/>
    <s v="TOWNSHIP OF GERRISH"/>
    <s v="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
    <s v="GERRISH COMMUNITY PARK"/>
    <s v="ROSCOMMON"/>
    <n v="4"/>
    <n v="5.0999999999999996"/>
  </r>
  <r>
    <x v="23"/>
    <n v="1703"/>
    <n v="2011"/>
    <s v="LACRONE PARK IMPROVEMENT"/>
    <s v="C"/>
    <n v="113810"/>
    <s v="D"/>
    <s v="CITY OF KALAMAZOO"/>
    <s v="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
    <s v="LACRONE PARK"/>
    <s v="KALAMAZOO"/>
    <n v="6"/>
    <n v="5"/>
  </r>
  <r>
    <x v="23"/>
    <n v="1697"/>
    <n v="2011"/>
    <s v="BATH CHARTER TOWNSHIP-WISWASSER PARK PLAYGROUND"/>
    <s v="A"/>
    <n v="81555.600000000006"/>
    <s v="D"/>
    <s v="TOWNSHIP OF BATH"/>
    <s v="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
    <s v="WISWASSER PARK"/>
    <s v="CLINTON"/>
    <n v="4"/>
    <n v="1.5"/>
  </r>
  <r>
    <x v="23"/>
    <n v="1700"/>
    <n v="2011"/>
    <s v="ROTHCHILD PARK DEVELOPMENT"/>
    <s v="C"/>
    <n v="21370.05"/>
    <s v="D"/>
    <s v="CITY OF SPRINGFIELD"/>
    <s v="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
    <s v="ROTHCHILD PARK"/>
    <s v="CALHOUN"/>
    <n v="7"/>
    <n v="0.1"/>
  </r>
  <r>
    <x v="23"/>
    <n v="1705"/>
    <n v="2011"/>
    <s v="MONITOR TOWNSHIP PARK IMPROVEMENTS"/>
    <s v="C"/>
    <n v="78762.86"/>
    <s v="R"/>
    <s v="TOWNSHIP OF MONITOR"/>
    <s v="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
    <s v="MONITOR TOWNSHIP PARK"/>
    <s v="BAY"/>
    <n v="1"/>
    <n v="19.3"/>
  </r>
  <r>
    <x v="23"/>
    <n v="1710"/>
    <n v="2012"/>
    <s v="TOWNSHIP PARK MULTI-PURPOSE PAVILION"/>
    <s v="A"/>
    <n v="113550"/>
    <s v="D"/>
    <s v="TOWNSHIP OF PLYMOUTH"/>
    <s v="Plymouth Township (Wayne County) will improve the 63.12 acre Plymouth Township Park by constructing a pavilion with restrooms and a fireplace; a drinking fountain; a picnic area; and, an accessible walking path."/>
    <s v="PLYMOUTH TOWNSHIP PARK"/>
    <s v="WAYNE"/>
    <n v="11"/>
    <n v="63.1"/>
  </r>
  <r>
    <x v="23"/>
    <n v="1713"/>
    <n v="2012"/>
    <s v="CRAWFORD COUNTY SPORTS COMPLEX"/>
    <s v="A"/>
    <n v="113550"/>
    <s v="D"/>
    <s v="CRAWFORD COUNTY"/>
    <s v="Crawford County will improve the 54.95 acre Crawford County Sports Complex in Grayling by constructing accessible paths and undertaking general site work."/>
    <s v="CRAWFORD COUNTY SPORTS COMPLEX"/>
    <s v="CRAWFORD"/>
    <n v="1"/>
    <n v="55"/>
  </r>
  <r>
    <x v="23"/>
    <n v="1715"/>
    <n v="2012"/>
    <s v="RICHLAND TOWNSHIP PARK IMPROVEMENTS"/>
    <s v="A"/>
    <n v="95949.75"/>
    <s v="D"/>
    <s v="TOWNSHIP OF RICHLAND"/>
    <s v="Richland Township will improve the 37-acre Richland Township Park by constructing a 9-hole Frisbee golf course, fitness stations along an existing trail, a sand volleyball court, shuffleboard courts, and a parking lot."/>
    <s v="RICHLAND TOWNSHIP PARK"/>
    <s v="SAGINAW"/>
    <n v="4"/>
    <n v="37"/>
  </r>
  <r>
    <x v="23"/>
    <n v="1709"/>
    <n v="2012"/>
    <s v="MONA LAKE PARK IMPROVEMENTS PHASE II"/>
    <s v="A"/>
    <n v="64245"/>
    <s v="D"/>
    <s v="CITY OF MUSKEGON HEIGHTS"/>
    <s v="Muskegon Heights (Muskegon County, Michigan) will develop bike and walking paths, basketball courts, tennis courts, and a playground within the 32.22-acre Mona Lake Park."/>
    <s v="MONA LAKE PARK"/>
    <s v="MUSKEGON"/>
    <n v="2"/>
    <n v="32.200000000000003"/>
  </r>
  <r>
    <x v="23"/>
    <n v="1716"/>
    <n v="2012"/>
    <s v="TOWNSHIP RECREATION COMPLEX PAVILION"/>
    <s v="A"/>
    <n v="34065"/>
    <s v="D"/>
    <s v="LAKETOWN TOWNSHIP"/>
    <s v="Laketown Township (Allegan County) will improve the 10.2 acre Township Recreation Complex in Holland by constructing accessible paths, which will connect to a larger county trail network."/>
    <s v="TOWNSHIP RECREATION COMPLEX"/>
    <s v="ALLEGAN"/>
    <n v="2"/>
    <n v="10.199999999999999"/>
  </r>
  <r>
    <x v="23"/>
    <n v="1711"/>
    <n v="2012"/>
    <s v="NORTH LAKE PARK EDUCATION ENHANCEMENT PROJECT"/>
    <s v="A"/>
    <n v="85162.5"/>
    <s v="D"/>
    <s v="CHARTER TOWNSHIP OF LINCOLN"/>
    <s v="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
    <s v="NORTH LAKE PARK"/>
    <s v="Berrien"/>
    <n v="6"/>
    <n v="6.3"/>
  </r>
  <r>
    <x v="23"/>
    <n v="1712"/>
    <n v="2012"/>
    <s v="BAYFRONT PHASE I: CLINCH PARK BEACH"/>
    <s v="A"/>
    <n v="113550"/>
    <s v="D"/>
    <s v="CITY OF TRAVERSE CITY"/>
    <s v="Traverse City will construct a new bathhouse/restroom building within the 4.47-acre Clinch Park."/>
    <s v="CLINCH PARK"/>
    <s v="GRAND TRAVERSE"/>
    <n v="4"/>
    <n v="4.5"/>
  </r>
  <r>
    <x v="23"/>
    <n v="1701"/>
    <n v="2012"/>
    <s v="WATERWAYS TRAIL AND LAUNCH RENOVATION"/>
    <s v="A"/>
    <n v="32075"/>
    <s v="D"/>
    <s v="TOWNSHIP OF BRIDGETON"/>
    <s v="Bridgeton Township (Newaygo County, Michigan) will develop an accessible waterway trail by installing an “EZ” boat launch and docking system on the Muskegon River. This park site is also designated as Public Fishing Site 62-11 by the Michigan Conservation Department."/>
    <s v="BRIDGETON RIVER LAUNCH PARK"/>
    <s v="Newaygo"/>
    <n v="2"/>
    <n v="0.5"/>
  </r>
  <r>
    <x v="23"/>
    <n v="1738"/>
    <n v="2014"/>
    <s v="WARREN DUNES PARK-WIDE INFRASTRUCTURE DEVELOPMENT"/>
    <s v="A"/>
    <n v="509650"/>
    <s v="D"/>
    <s v="DEPT. OF NATURAL RESOURCES"/>
    <s v="The Michigan DNR, Parks and Recreation Division, will remove and replace the main restroom and concessions building in the beach day-use area at Warren Dunes State Park. This 1,952-acre state park is located along the eastern shore of Lake Michigan in Berrien County."/>
    <s v="WARREN DUNES STATE PARK"/>
    <s v="Berrien"/>
    <n v="6"/>
    <n v="1952"/>
  </r>
  <r>
    <x v="23"/>
    <n v="1727"/>
    <n v="2014"/>
    <s v="BLUEBERRY RIDGE WARMING HUT"/>
    <s v="A"/>
    <n v="95418"/>
    <s v="D"/>
    <s v="TOWNSHIP OF SANDS"/>
    <s v="Sands Township will improve the Blueberry Ridge Pathway by constructing a warming hut."/>
    <s v="BLUEBERRY RIDGE PATHWAY"/>
    <s v="MARQUETTE"/>
    <n v="1"/>
    <n v="880"/>
  </r>
  <r>
    <x v="23"/>
    <n v="1724"/>
    <n v="2014"/>
    <s v="MEINERT PARK ACCESSIBLE PLAYGROUND"/>
    <s v="A"/>
    <n v="35508"/>
    <s v="D"/>
    <s v="MUSKEGON COUNTY"/>
    <s v="Muskegon County will renovate the 183-acre Meinert Park along Lake Michigan by installing accessible playground equipment and constructing an accessible sidewalk."/>
    <s v="MEINERT PARK"/>
    <s v="Muskegon"/>
    <n v="2"/>
    <n v="183"/>
  </r>
  <r>
    <x v="23"/>
    <n v="1729"/>
    <n v="2014"/>
    <s v="WILLIAMS NATURE PARK IMPROVEMENTS"/>
    <s v="A"/>
    <n v="91700"/>
    <s v="D"/>
    <s v="TOWNSHIP OF DAVISON"/>
    <s v="Davison Township will construct a pavilion, a restroom facility, a grand entrance*, a special landscaping area*, and other amenities at the Williams Nature Park, an environmentally significant 102-acre property along the Kearsley Creek. •The Grand Entrance feature will be constructed along the existing access drive near the entrance from Atherton Road. The feature will be the primary entry gateway to the park, welcoming visitors and providing important park information. It is envisioned that the grand entrance will include an &quot;arch&quot; sign spanning the drive and supported by stone columns. Other smaller informational signs may be installed in this area, along with trees, shrubs and other plantings. A gate may be installed to prevent access to the park when the park is closed. •A Special Landscaping Area will be established near the existing park entrance from Atherton Road. This landscaping area will be designed to increase the proposed park's visibility and make it easily recognizable as a public recreation area. The landscaping area will consist of various trees, shrubs and other primarily native species plantings, in addition to certain hardscape elements such as stones and/or retaining wall features."/>
    <s v="WILLIAMS NATURE PARK"/>
    <s v="GENESEE"/>
    <n v="5"/>
    <n v="102"/>
  </r>
  <r>
    <x v="23"/>
    <n v="1731"/>
    <n v="2014"/>
    <s v="ROTARY PARK PLAY AREA"/>
    <s v="A"/>
    <n v="55600"/>
    <s v="D"/>
    <s v="CITY OF MANISTEE"/>
    <s v="The city of Manistee (Manistee County) will improve First Street Beach/Douglas Park by constructing a universally accessible playground. This park is Manistee’s largest and most diverse recreation area and sits along the Lake Michigan shoreline."/>
    <s v="DOUGLAS PARK"/>
    <s v="Manistee"/>
    <n v="1"/>
    <n v="68"/>
  </r>
  <r>
    <x v="23"/>
    <n v="1733"/>
    <n v="2014"/>
    <s v="GLASSMAN PARK DEVELOPMENT"/>
    <s v="A"/>
    <n v="115830"/>
    <s v="D"/>
    <s v="TOWNSHIP OF NEW BUFFALO"/>
    <s v="New Buffalo Township (Berrien County, Michigan) will 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
    <s v="GLASSMAN PARK"/>
    <s v="BERRIEN"/>
    <n v="6"/>
    <n v="47.6"/>
  </r>
  <r>
    <x v="23"/>
    <n v="1721"/>
    <n v="2014"/>
    <s v="LEWIS ANSTED COMMUNITY PARK"/>
    <s v="A"/>
    <n v="64319"/>
    <s v="D"/>
    <s v="TOWNSHIP OF BEDFORD"/>
    <s v="Bedford Township (Monroe County, Michigan) will improve Lewis Ansted Park by constructing a natural area, a fishing pond, a sledding hill, picnic areas, and a hiking/biking trail."/>
    <s v="LEWIS ANSTED COMMUNITY PARK"/>
    <s v="MONROE"/>
    <n v="7"/>
    <n v="35.799999999999997"/>
  </r>
  <r>
    <x v="23"/>
    <n v="1720"/>
    <n v="2014"/>
    <s v="CANNON TOWNSHIP CENTER PARK DEVELOPMENT"/>
    <s v="A"/>
    <n v="113500"/>
    <s v="D"/>
    <s v="CANNON TOWNSHIP"/>
    <s v="Cannon Township, Michigan, will construct accessible parking, a picnic shelter with several picnic tables, an open play lawn, and a universally designed nature trail within Center Park."/>
    <s v="CENTER PARK"/>
    <s v="KENT"/>
    <n v="3"/>
    <n v="27.9"/>
  </r>
  <r>
    <x v="23"/>
    <n v="1723"/>
    <n v="2014"/>
    <s v="RANGE LIGHT PARK EXPANSION"/>
    <s v="A"/>
    <n v="68304"/>
    <s v="D"/>
    <s v="TOWNSHIP OF PRESQUE ISLE"/>
    <s v="Presque Isle Township will 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
    <s v="RANGE LIGHT PARK"/>
    <s v="PRESQUE ISLE"/>
    <n v="1"/>
    <n v="6.4"/>
  </r>
  <r>
    <x v="23"/>
    <n v="1734"/>
    <n v="2014"/>
    <s v="BEULAH WATERFRONT PARK"/>
    <s v="A"/>
    <n v="36300"/>
    <s v="D"/>
    <s v="VILLAGE OF BEULAH"/>
    <s v="The village of Beulah (Benzie County, Michigan) will utilize a Land and Water Conservation Fund grant to assist in improving and increasing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The village will upgrade the existing beach retaining wall to include seating and will add a low water volume irrigation system to the park lawn including drip irrigation to the installed park trees."/>
    <s v="WATERFRONT PARK"/>
    <s v="Benzie"/>
    <n v="2"/>
    <n v="4.9000000000000004"/>
  </r>
  <r>
    <x v="23"/>
    <n v="1735"/>
    <n v="2014"/>
    <s v="BAY COUNTY RIVERWALK RAIL TRAIL IMPROVEMENTS"/>
    <s v="A"/>
    <n v="82600"/>
    <s v="D"/>
    <s v="TOWNSHIP OF PORTSMOUTH"/>
    <s v="The Township of Portsmouth (Bay County) will resurface approximately 4,600 feet of the Bay County Riverwalk – Rail Trail. The project scope also includes replacement of existing fencing, a new picnic table, a trash container, and a picnic pad."/>
    <s v="BAY COUNTY RIVERWALK RAIL TRAIL"/>
    <s v="BAY"/>
    <n v="5"/>
    <n v="3.7"/>
  </r>
  <r>
    <x v="23"/>
    <n v="1730"/>
    <n v="2014"/>
    <s v="LONGYEAR PARK IMPROVEMENTS"/>
    <s v="A"/>
    <n v="34800"/>
    <s v="D"/>
    <s v="CITY OF IRONWOOD"/>
    <s v="The city of Ironwood (Gogebic County) will construct an accessible playground, with a &quot;poured in place&quot; safety surface, at Longyear Park. The City will also replace and add asphalt pathways for access to the playground area and add portable restroom to the site."/>
    <s v="LONGYEAR PARK"/>
    <s v="GOGEBIC"/>
    <n v="1"/>
    <n v="3.3"/>
  </r>
  <r>
    <x v="23"/>
    <n v="1732"/>
    <n v="2014"/>
    <s v="HAWLEY STREET MULTI-USE PATHWAY EXTENSION"/>
    <s v="A"/>
    <n v="104200"/>
    <s v="D"/>
    <s v="CITY OF MARQUETTE"/>
    <s v="Marquette (Marquette County) will extend the Hawley Street Multi-Use Pathway by 2,500 feet which will provide non-motorized access to the Kaufman Sports Complex, Tourist Park, and the Tourist Park campground."/>
    <s v="HAWLEY STREET TRAIL"/>
    <s v="MARQUETTE"/>
    <n v="1"/>
    <n v="1.1000000000000001"/>
  </r>
  <r>
    <x v="23"/>
    <n v="1737"/>
    <n v="2014"/>
    <s v="FAYETTE HISTORIC STATE PARK TOILET/SHOWER BUILDING"/>
    <s v="A"/>
    <n v="427800"/>
    <s v="R"/>
    <s v="DEPT. OF NATURAL RESOURCES"/>
    <s v="The Michigan Department of Natural Resources will utilize a Land and Water Conservation Fund grant to assist the Parks and Recreation Division in constructing a new universally accessible toilet/shower building, an on-site sewage treatment system, and a sanitation station for the campground at Fayette Historic State Park."/>
    <s v="FAYETTE HISTORIC STATE PARK"/>
    <s v="DELTA"/>
    <n v="1"/>
    <n v="711"/>
  </r>
  <r>
    <x v="23"/>
    <n v="1719"/>
    <n v="2014"/>
    <s v="CAMP PETOSEGA PLAYGROUND"/>
    <s v="A"/>
    <n v="113840"/>
    <s v="R"/>
    <s v="EMMET COUNTY"/>
    <s v="Emmet County, Michigan, will renovate Camp Petosega by raising the area of the playground and volleyball courts above flood level and replacing these facilities at their same location."/>
    <s v="CAMP PETOSEGA"/>
    <s v="EMMET"/>
    <n v="1"/>
    <n v="282"/>
  </r>
  <r>
    <x v="23"/>
    <n v="1725"/>
    <n v="2014"/>
    <s v="FORD LAKE PARK IMPROVEMENTS"/>
    <s v="A"/>
    <n v="113438"/>
    <s v="R"/>
    <s v="TOWNSHIP OF YPSILANTI"/>
    <s v="Ypsilanti Township will utilize a Land and Water Conservation Fund grant to assist in removing six tennis courts and replacing these with five new tennis courts. The grant scope includes netting and fencing for the courts, a paved pathway from the parking lot to the tennis courts, and general landscaping."/>
    <s v="FORD LAKE PARK"/>
    <s v="Washtenaw"/>
    <n v="12"/>
    <n v="90.1"/>
  </r>
  <r>
    <x v="23"/>
    <n v="1717"/>
    <n v="2014"/>
    <s v="P.J. HOFFMASTER LAKE MICHIGAN OBSERVATION ACCESS"/>
    <s v="A"/>
    <n v="246914.5"/>
    <s v="R"/>
    <s v="DEPT. OF NATURAL RESOURCES"/>
    <s v="The Michigan DNR will replace several observation platforms along Lake Michigan within P.J. Hoffmaster State Park and replacing the stairway boardwalk system accessing these platforms from the Gillette Visitor Center."/>
    <s v="P. J. HOFFMASTER STATE PARK"/>
    <s v="Muskegon"/>
    <n v="2"/>
    <n v="36"/>
  </r>
  <r>
    <x v="23"/>
    <n v="1736"/>
    <n v="2014"/>
    <s v="AUBURN CITY PARK IMPROVEMENTS"/>
    <s v="A"/>
    <n v="71815"/>
    <s v="R"/>
    <s v="CITY OF AUBURN"/>
    <s v="The city of Auburn (Bay County) will improve City Park by creating fishing opportunities. The grant scope includes dredging the park’s pond and constructing fishing platforms."/>
    <s v="AUBURN CITY PARK"/>
    <s v="BAY"/>
    <n v="5"/>
    <n v="20"/>
  </r>
  <r>
    <x v="23"/>
    <n v="1728"/>
    <n v="2014"/>
    <s v="BERNIE RIVERS FIELD PARK RENOVATION"/>
    <s v="A"/>
    <n v="114000"/>
    <s v="R"/>
    <s v="CITY OF NEGAUNEE"/>
    <s v="The city of Negaunee (Marquette County) will improve Bernie Rivers Field Park by renovating the baseball field and basketball court, constructing a parking lot and sidewalks, and installing accessible playground equipment and fitness equipment."/>
    <s v="BERNIE RIVERS FIELD PARK"/>
    <s v="MARQUETTE"/>
    <n v="1"/>
    <n v="3.8"/>
  </r>
  <r>
    <x v="23"/>
    <n v="1714"/>
    <n v="2014"/>
    <s v="LESLIE COMMUNITY POOL RENOVATION"/>
    <s v="A"/>
    <n v="76192"/>
    <s v="R"/>
    <s v="CITY OF LESLIE"/>
    <s v="The city of Leslie (Ingham County) will renovate two swimming pools and a bathhouse containing locker rooms, bathrooms, a concession area."/>
    <s v="LESLIE COMMUNITY POOL"/>
    <s v="INGHAM"/>
    <n v="8"/>
    <n v="0.9"/>
  </r>
  <r>
    <x v="24"/>
    <n v="1380"/>
    <n v="2011"/>
    <s v="BERTRAM CHAIN OF LAKES REGIONAL PARK"/>
    <s v="C"/>
    <n v="600974"/>
    <s v="A"/>
    <s v="WRIGHT COUNTY"/>
    <s v="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
    <s v="BERTRAM CHAIN OF LAKES REGIONAL PARK"/>
    <s v="WRIGHT"/>
    <n v="6"/>
    <n v="126.7"/>
  </r>
  <r>
    <x v="24"/>
    <n v="982"/>
    <n v="2012"/>
    <s v="FORESTVILLE STATE PARK"/>
    <s v="A"/>
    <n v="840037"/>
    <s v="A"/>
    <s v="DEPT. OF NATURAL RESOURCES"/>
    <s v="The Minnesota Department of Natural Resources will acquire 454 acres as an addition to the 2,973-acre Forestville State Park near Preston in Fillmore County."/>
    <s v="FORESTVILLE STATE PARK"/>
    <s v="FILLMORE"/>
    <n v="1"/>
    <n v="3630"/>
  </r>
  <r>
    <x v="24"/>
    <n v="981"/>
    <n v="2012"/>
    <s v="WHITEWATER STATE PARK"/>
    <s v="C"/>
    <n v="55000"/>
    <s v="A"/>
    <s v="DEPT. OF NATURAL RESOURCES"/>
    <s v="The Minnesota Department of Natural Resources will acquire 16 acres as an addition to the 2,700-acre Whitewater State Park."/>
    <s v="WHITEWATER STATE PARK"/>
    <s v="Winona"/>
    <n v="0"/>
    <n v="2700"/>
  </r>
  <r>
    <x v="24"/>
    <n v="981"/>
    <n v="2012"/>
    <s v="WHITEWATER STATE PARK"/>
    <s v="C"/>
    <n v="55000"/>
    <s v="A"/>
    <s v="DEPT. OF NATURAL RESOURCES"/>
    <s v="The Minnesota Department of Natural Resources will acquire 16 acres as an addition to the 2,700-acre Whitewater State Park."/>
    <s v="SPLIT ROCK LIGHTHOUSE STATE PARK"/>
    <s v="Lake"/>
    <n v="0"/>
    <n v="1944"/>
  </r>
  <r>
    <x v="24"/>
    <n v="980"/>
    <n v="2012"/>
    <s v="WILLIAM O'BRIEN STATE PARK"/>
    <s v="C"/>
    <n v="400000"/>
    <s v="A"/>
    <s v="DEPT. OF NATURAL RESOURCES"/>
    <s v="The Minnesota DNR will acquire an additional 96.8 acres at William O’Brien State Park. This 1,850-acre park is located along the banks of the St. Croix River approximately one hour from the Twin Cities."/>
    <s v="WILLIAM O'BRIEN STATE PARK"/>
    <s v="WASHINGTON"/>
    <n v="6"/>
    <n v="1850"/>
  </r>
  <r>
    <x v="24"/>
    <n v="981"/>
    <n v="2012"/>
    <s v="WHITEWATER STATE PARK"/>
    <s v="C"/>
    <n v="55000"/>
    <s v="A"/>
    <s v="DEPT. OF NATURAL RESOURCES"/>
    <s v="The Minnesota Department of Natural Resources will acquire 16 acres as an addition to the 2,700-acre Whitewater State Park."/>
    <s v="UNIVERSITY OF MINNESOTA LANDSCAPE ARBORETUM"/>
    <s v="Carver"/>
    <n v="0"/>
    <n v="640"/>
  </r>
  <r>
    <x v="24"/>
    <n v="981"/>
    <n v="2012"/>
    <s v="WHITEWATER STATE PARK"/>
    <s v="C"/>
    <n v="55000"/>
    <s v="A"/>
    <s v="DEPT. OF NATURAL RESOURCES"/>
    <s v="The Minnesota Department of Natural Resources will acquire 16 acres as an addition to the 2,700-acre Whitewater State Park."/>
    <s v="OLD MILL STATE PARK"/>
    <s v="Marshall"/>
    <n v="0"/>
    <n v="406.3"/>
  </r>
  <r>
    <x v="24"/>
    <n v="981"/>
    <n v="2012"/>
    <s v="WHITEWATER STATE PARK"/>
    <s v="C"/>
    <n v="55000"/>
    <s v="A"/>
    <s v="DEPT. OF NATURAL RESOURCES"/>
    <s v="The Minnesota Department of Natural Resources will acquire 16 acres as an addition to the 2,700-acre Whitewater State Park."/>
    <s v="HEARTLAND STATE TRAIL"/>
    <s v="Hubbard"/>
    <n v="0"/>
    <n v="327"/>
  </r>
  <r>
    <x v="24"/>
    <n v="981"/>
    <n v="2012"/>
    <s v="WHITEWATER STATE PARK"/>
    <s v="C"/>
    <n v="55000"/>
    <s v="A"/>
    <s v="DEPT. OF NATURAL RESOURCES"/>
    <s v="The Minnesota Department of Natural Resources will acquire 16 acres as an addition to the 2,700-acre Whitewater State Park."/>
    <s v="PINE BEND BLUFF STATE NATURAL AREA"/>
    <s v="Dakota"/>
    <n v="0"/>
    <n v="207"/>
  </r>
  <r>
    <x v="24"/>
    <n v="981"/>
    <n v="2012"/>
    <s v="WHITEWATER STATE PARK"/>
    <s v="C"/>
    <n v="55000"/>
    <s v="A"/>
    <s v="DEPT. OF NATURAL RESOURCES"/>
    <s v="The Minnesota Department of Natural Resources will acquire 16 acres as an addition to the 2,700-acre Whitewater State Park."/>
    <s v="PENNINGTON BOG STATE NATURAL AREA"/>
    <s v="Beltrami"/>
    <n v="0"/>
    <n v="108"/>
  </r>
  <r>
    <x v="24"/>
    <n v="1391"/>
    <n v="2012"/>
    <s v="ATHLETIC COMPLEX ACQUISITION"/>
    <s v="C"/>
    <n v="369713"/>
    <s v="A"/>
    <s v="CITY OF MONTICELLO"/>
    <s v="Monticello (Wright County) will acquire 40 acres as an addition to their Athletic Complex."/>
    <s v="MONTICELLO ATHLETIC COMPLEX"/>
    <s v="Wright"/>
    <n v="2"/>
    <n v="50.6"/>
  </r>
  <r>
    <x v="24"/>
    <n v="981"/>
    <n v="2012"/>
    <s v="WHITEWATER STATE PARK"/>
    <s v="C"/>
    <n v="55000"/>
    <s v="A"/>
    <s v="DEPT. OF NATURAL RESOURCES"/>
    <s v="The Minnesota Department of Natural Resources will acquire 16 acres as an addition to the 2,700-acre Whitewater State Park."/>
    <s v="SAKATAH SINGING HILLS STATE TRAIL"/>
    <s v="MULTI-COUNTY"/>
    <n v="0"/>
    <n v="1"/>
  </r>
  <r>
    <x v="24"/>
    <n v="1390"/>
    <n v="2012"/>
    <s v="LAKE WINONA PARK"/>
    <s v="C"/>
    <n v="10000"/>
    <s v="D"/>
    <s v="CITY OF WINONA"/>
    <s v="Winona will improve Lake Winona Park by constructing an accessible transfer system for launching canoes and kayaks onto East Lake Winona."/>
    <s v="LAKE WINONA PARK"/>
    <s v="WINONA"/>
    <n v="1"/>
    <n v="182"/>
  </r>
  <r>
    <x v="24"/>
    <n v="1381"/>
    <n v="2012"/>
    <s v="STEINBERG NATURE CENTER"/>
    <s v="A"/>
    <n v="40000"/>
    <s v="D"/>
    <s v="CITY OF BLUE EARTH"/>
    <s v="Blue Earth will construct new picnic areas and general support facilities at the 33-acre Steinberg Nature Center located 1/4 mile east of Blue Earth on County Road 16."/>
    <s v="STEINBERG NATURE CENTER"/>
    <s v="FARIBAULT"/>
    <n v="1"/>
    <n v="33"/>
  </r>
  <r>
    <x v="24"/>
    <n v="1389"/>
    <n v="2012"/>
    <s v="GREENFIELD EAST PARK"/>
    <s v="C"/>
    <n v="13224"/>
    <s v="D"/>
    <s v="CITY OF SHAKOPEE"/>
    <s v="Shakopee (Scott County) will improve the 12.5-acre Greenfield East Park by constructing a picnic shelter with restrooms and a warming area."/>
    <s v="GREENFIELD EAST PARK"/>
    <s v="SCOTT"/>
    <n v="2"/>
    <n v="12.5"/>
  </r>
  <r>
    <x v="24"/>
    <n v="1385"/>
    <n v="2012"/>
    <s v="SKYVIEW PARK"/>
    <s v="C"/>
    <n v="86000"/>
    <s v="D"/>
    <s v="CITY OF INVER GROVE HEIGHTS"/>
    <s v="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
    <s v="SKYVIEW PARK"/>
    <s v="DAKOTA"/>
    <n v="2"/>
    <n v="8.1"/>
  </r>
  <r>
    <x v="24"/>
    <n v="1382"/>
    <n v="2012"/>
    <s v="TOWN PARK"/>
    <s v="C"/>
    <n v="12000"/>
    <s v="D"/>
    <s v="DEER RIVER TOWNSHIP"/>
    <s v="Deer River Township (Itasca County) will construct a shelter and restroom facility within Town Park near the community of Deer River."/>
    <s v="TOWN PARK"/>
    <s v="ITASCA"/>
    <n v="8"/>
    <n v="6"/>
  </r>
  <r>
    <x v="24"/>
    <n v="1384"/>
    <n v="2012"/>
    <s v="MEMORIAL PARK"/>
    <s v="A"/>
    <n v="50000"/>
    <s v="D"/>
    <s v="DOUGLAS COUNTY"/>
    <s v="Douglas County will construct lighted horseshoe courts and a picnic shelter with restrooms at Memorial Park within the community of Alexandria."/>
    <s v="MEMORIAL PARK"/>
    <s v="DOUGLAS"/>
    <n v="7"/>
    <n v="6"/>
  </r>
  <r>
    <x v="24"/>
    <n v="1383"/>
    <n v="2012"/>
    <s v="DENNISON CITY PARK"/>
    <s v="C"/>
    <n v="15000"/>
    <s v="D"/>
    <s v="CITY OF DENNISON"/>
    <s v="Dennison will remove and replace unsafe playground equipment within the 0.7-acre City Park."/>
    <s v="CITY PARK"/>
    <s v="GOODHUE"/>
    <n v="2"/>
    <n v="0.7"/>
  </r>
  <r>
    <x v="24"/>
    <n v="1388"/>
    <n v="2012"/>
    <s v="STAN HOLMASS MEMORIAL PARK"/>
    <s v="A"/>
    <n v="58000"/>
    <s v="D"/>
    <s v="CITY OF NEWFOLDEN"/>
    <s v="Newfolden (Marshall County) will improve Stan Holmass Memorial Park with a new playground, a new hiking trail through the park’s natural area, and accessible pathways throughout the park."/>
    <s v="STAN HOLMASS MEMORIAL PARK"/>
    <s v="MARSHALL"/>
    <n v="7"/>
    <n v="0.5"/>
  </r>
  <r>
    <x v="24"/>
    <n v="1386"/>
    <n v="2012"/>
    <s v="EASTWOOD ESTATES PARK"/>
    <s v="A"/>
    <n v="11500"/>
    <s v="D"/>
    <s v="CITY OF JANESVILLE"/>
    <s v="Janesville will improve the 0.25-acre Eastwood Estates Park with new walkways, general landscaping, and a half basketball court. This neighborhood park was created in 2006 with a playground as its only feature."/>
    <s v="EASTWOOD ESTATES PARK"/>
    <s v="WASECA"/>
    <n v="1"/>
    <n v="0.3"/>
  </r>
  <r>
    <x v="24"/>
    <n v="1387"/>
    <n v="2012"/>
    <s v="SPIRIT LAKE PARK"/>
    <s v="A"/>
    <n v="31500"/>
    <s v="R"/>
    <s v="CITY OF MENAHGA"/>
    <s v="Menahga will rehabilitate Spirit Lake Beach Park to improve safety, accessibility, and visitor services. The grant scope includes a boat/canoe access site, walking trail, picnic area, and beach."/>
    <s v="SPIRIT LAKE PARK"/>
    <s v="Wadena"/>
    <n v="7"/>
    <n v="3.5"/>
  </r>
  <r>
    <x v="24"/>
    <n v="1397"/>
    <n v="2014"/>
    <s v="MONTICELLO ATHLETIC COMPLEX EXPANSION"/>
    <s v="A"/>
    <n v="100000"/>
    <s v="A"/>
    <s v="CITY OF MONTICELLO"/>
    <s v="The city of Monticello (Wright County) will acquire 10.6 acres to expand the Athletic Complex for future development of sports and playfields. Upon acquisition the park will expand to 50.6 acres."/>
    <s v="MONTICELLO ATHLETIC COMPLEX"/>
    <s v="Wright"/>
    <n v="2"/>
    <n v="50.6"/>
  </r>
  <r>
    <x v="24"/>
    <n v="1392"/>
    <n v="2014"/>
    <s v="LOWER ADRIAN PARK"/>
    <s v="A"/>
    <n v="21800"/>
    <s v="R"/>
    <s v="CITY OF ADRIAN"/>
    <s v="The city of Adrian will utilize a Land and Water Conservation Fund grant to assist in improving the 50-acre Lower Adrian Park by replacing outdated, unsafe playground equipment and constructing accessible parking and an access route to the playground."/>
    <s v="LOWER ADRIAN PARK"/>
    <s v="Nobles"/>
    <n v="1"/>
    <n v="50"/>
  </r>
  <r>
    <x v="24"/>
    <n v="1395"/>
    <n v="2014"/>
    <s v="RIVERSIDE PARK"/>
    <s v="A"/>
    <n v="60400"/>
    <s v="R"/>
    <s v="CITY OF ROCKFORD"/>
    <s v="The city of Rockford will utilize a Land and Water Conservation Fund grant to assist in improving Riverside Park by replacing a substandard park building with a picnic shelter and restroom building."/>
    <s v="RIVERSIDE PARK"/>
    <s v="Wright"/>
    <n v="6"/>
    <n v="21.3"/>
  </r>
  <r>
    <x v="24"/>
    <n v="1393"/>
    <n v="2014"/>
    <s v="CENTRAL PARK"/>
    <s v="A"/>
    <n v="11200"/>
    <s v="R"/>
    <s v="CITY OF CANBY"/>
    <s v="The city of Canby will utilize a Land and Water Conservation Fund grant to assist in improving Central Park by replacing outdated, unsafe playground equipment and construction an accessible route to playground."/>
    <s v="CENTRAL PARK"/>
    <s v="YELLOW MEDICINE"/>
    <n v="7"/>
    <n v="2.8"/>
  </r>
  <r>
    <x v="24"/>
    <n v="1394"/>
    <n v="2014"/>
    <s v="SWIMMING POOL PARK"/>
    <s v="A"/>
    <n v="27700"/>
    <s v="R"/>
    <s v="CITY OF CANBY"/>
    <s v="The city of Canby will utilize a Land and Water Conservation Fund grant to assist in improving Swimming Pool Park by replacing outdated, unsafe playground equipment, constructing an accessible route to the playground, and renovating the swimming pool (install a lift chair, water side and climbing wall)."/>
    <s v="SWIMMING POOL PARK"/>
    <s v="YELLOW MEDICINE"/>
    <n v="7"/>
    <n v="1.1000000000000001"/>
  </r>
  <r>
    <x v="25"/>
    <n v="1582"/>
    <n v="2012"/>
    <s v="MEMORIAL PARK WALKING TRAIL EXTENSION"/>
    <s v="A"/>
    <n v="40858"/>
    <s v="D"/>
    <s v="CITY OF OWENSVILLE"/>
    <s v="The city of Owensville (Missouri) will extend an existing trail within the 95-acre Memorial Park. The grant scope provides section 6(f)(3) protection to an additional 60 acres of park land."/>
    <s v="MEMORIAL PARK"/>
    <s v="Gasconade"/>
    <n v="9"/>
    <n v="95"/>
  </r>
  <r>
    <x v="25"/>
    <n v="1580"/>
    <n v="2012"/>
    <s v="MALDEN R-1 BALLFIELD AMENITIES"/>
    <s v="C"/>
    <n v="83333.5"/>
    <s v="D"/>
    <s v="MALDEN R-1 SCHOOL DISTRICT"/>
    <s v="The Malden R-1 School District (Missouri) will construct a picnic shelter with a restroom facility at the District’s recently opened 20-acre baseball complex."/>
    <s v="DISTRICT BASEBALL/SOFTBALL COMPLEX"/>
    <s v="DUNKLIN"/>
    <n v="8"/>
    <n v="17"/>
  </r>
  <r>
    <x v="25"/>
    <n v="1579"/>
    <n v="2012"/>
    <s v="MCQUIRE PARK PLAYGROUND"/>
    <s v="C"/>
    <n v="17255.5"/>
    <s v="D"/>
    <s v="CITY OF LINN"/>
    <s v="Linn will construct a playground within the 15.7-acre McGuire Park."/>
    <s v="MCQUIRE PARK"/>
    <s v="GASCONADE"/>
    <n v="9"/>
    <n v="15.7"/>
  </r>
  <r>
    <x v="25"/>
    <n v="1575"/>
    <n v="2012"/>
    <s v="UNIVERSALLY ACCESSIBLE PLAYGROUND"/>
    <s v="C"/>
    <n v="83333.5"/>
    <s v="D"/>
    <s v="CITY OF ST. CHARLES"/>
    <s v="The city of St. Charles (Missouri) will construct an accessible playground within the 14-acre Jaycee Park."/>
    <s v="JAYCEES PARK"/>
    <s v="SAINT CHARLES"/>
    <n v="2"/>
    <n v="14"/>
  </r>
  <r>
    <x v="25"/>
    <n v="1587"/>
    <n v="2012"/>
    <s v="SENIOR OUTDOOR RECREATION PROJECT"/>
    <s v="A"/>
    <n v="28308"/>
    <s v="D"/>
    <s v="CITY OF HAYTI"/>
    <s v="Hayti will improve the 10-acre City Park by constructing an interior park trail with 21 exercise stations and accessible parking and adding a park bench, water fountain, and general landscaping."/>
    <s v="HAYTI CITY PARK"/>
    <s v="PEMISCOT"/>
    <n v="8"/>
    <n v="10"/>
  </r>
  <r>
    <x v="25"/>
    <n v="1595"/>
    <n v="2012"/>
    <s v="HOUSTON SOCCER FIELDS"/>
    <s v="A"/>
    <n v="52500"/>
    <s v="D"/>
    <s v="CITY OF HOUSTON"/>
    <s v="Houston will improve the 7-acre Rutherford Park by constructing one regulation size soccer field and an accessible parking area plus adding three picnic tables, fencing, park signage, and general landscaping."/>
    <s v="RUTHERFORD PARK"/>
    <s v="TEXAS"/>
    <n v="8"/>
    <n v="7"/>
  </r>
  <r>
    <x v="25"/>
    <n v="1574"/>
    <n v="2012"/>
    <s v="DON WARDEN PARK PROJECT"/>
    <s v="C"/>
    <n v="28865"/>
    <s v="D"/>
    <s v="CITY OF WEST PLAINS"/>
    <s v="The city of West Plains (Howell County, Missouri) will construct a walking trail, picnic facilities, an amphitheater, and general support facilities within the 2-acre Don Walden Park."/>
    <s v="DON WARDEN PARK"/>
    <s v="HOWELL"/>
    <n v="8"/>
    <n v="2"/>
  </r>
  <r>
    <x v="25"/>
    <n v="1593"/>
    <n v="2012"/>
    <s v="LAKE SHOW ME MULTI USE TRAIL"/>
    <s v="C"/>
    <n v="41111"/>
    <s v="R"/>
    <s v="CITY OF MEMPHIS"/>
    <s v="Memphis will improve the 250-acre Show Me Park by constructing a restroom and extending the interior park trail to connect two campgrounds."/>
    <s v="LAKE SHOW ME"/>
    <s v="SCOTLAND"/>
    <n v="9"/>
    <n v="250"/>
  </r>
  <r>
    <x v="25"/>
    <n v="1590"/>
    <n v="2012"/>
    <s v="SPORTS COMPLEX IMPROVEMENTS"/>
    <s v="A"/>
    <n v="63125"/>
    <s v="R"/>
    <s v="CITY OF WARSAW"/>
    <s v="Warsaw will improve the 27.5-acre Bledsoe Ferry Sports Complex by constructing a trail and renovating existing play fields and basic supports facilities."/>
    <s v="BLEDSOE FERRY PARK"/>
    <s v="BENTON"/>
    <n v="4"/>
    <n v="27.5"/>
  </r>
  <r>
    <x v="25"/>
    <n v="1576"/>
    <n v="2012"/>
    <s v="LEA MCKEIGHAN PARK VOLLEYBALL COURT RENOVATION"/>
    <s v="A"/>
    <n v="83333.5"/>
    <s v="R"/>
    <s v="CITY OF LEE'S SUMMIT"/>
    <s v="The city of Lee’s Summit (Missouri) will renovate the existing sand volleyball courts within the 22-acre Lea McKeighan Park."/>
    <s v="LEA MCKEIGHAN PARK"/>
    <s v="JACKSON"/>
    <n v="5"/>
    <n v="22"/>
  </r>
  <r>
    <x v="25"/>
    <n v="1578"/>
    <n v="2012"/>
    <s v="AVA CITY PARK RENOVATION AND IMPROVEMENTS"/>
    <s v="C"/>
    <n v="82500"/>
    <s v="R"/>
    <s v="CITY OF AVA"/>
    <s v="The city of Ava (Douglas County, Missouri) will renovate the existing restroom facility and construct a new 50’ x 100’ skate park component within the 20-acre Ava City Park."/>
    <s v="AVA PUBLIC PARK"/>
    <s v="Douglas"/>
    <n v="8"/>
    <n v="20"/>
  </r>
  <r>
    <x v="25"/>
    <n v="1577"/>
    <n v="2012"/>
    <s v="TENNIS COURT RENOVATION"/>
    <s v="C"/>
    <n v="82779"/>
    <s v="R"/>
    <s v="CITY OF RAYTOWN"/>
    <s v="The city of Raytown (Jackson County, Missouri) will renovate the tennis courts within the 14.25-acre Sarah Coleman-Livengood Park."/>
    <s v="SARAH COLEMAN-LIVENGOOD PARK"/>
    <s v="JACKSON"/>
    <n v="5"/>
    <n v="14.3"/>
  </r>
  <r>
    <x v="25"/>
    <n v="1583"/>
    <n v="2012"/>
    <s v="MATTHEWS CITY PARK IMPROVEMENTS"/>
    <s v="A"/>
    <n v="83333.5"/>
    <s v="R"/>
    <s v="CITY OF MATTHEWS"/>
    <s v="The city of Matthews (Missouri) will renovate the existing basketball court and playground within the 14-acre City Park."/>
    <s v="CITY PARK"/>
    <s v="NEW MADRID"/>
    <n v="8"/>
    <n v="14"/>
  </r>
  <r>
    <x v="25"/>
    <n v="1584"/>
    <n v="2012"/>
    <s v="PARR HILL TRAIL RENOVATION AND EXTENSION"/>
    <s v="A"/>
    <n v="222252.5"/>
    <s v="R"/>
    <s v="CITY OF JOPLIN"/>
    <s v="Joplin will improve the 12.6 acre Parr Hill Park by renovating and extending a trail and constructing new picnic areas and playgrounds."/>
    <s v="PARR HILL TRAIL"/>
    <s v="JASPER"/>
    <n v="7"/>
    <n v="12.6"/>
  </r>
  <r>
    <x v="25"/>
    <n v="1592"/>
    <n v="2012"/>
    <s v="JAYCEE PARK RENOVATION"/>
    <s v="C"/>
    <n v="38890"/>
    <s v="R"/>
    <s v="CITY OF KIRKSVILLE"/>
    <s v="Kirksville will renovate the 4.4-acre Jaycee Park by replacing the playground equipment, installing a safety impact surface, and constructing accessible sidewalks."/>
    <s v="JAYCEE PARK"/>
    <s v="ADAIR"/>
    <n v="9"/>
    <n v="4.4000000000000004"/>
  </r>
  <r>
    <x v="25"/>
    <n v="1573"/>
    <n v="2012"/>
    <s v="WILDKAT TRACK RENOVATION"/>
    <s v="A"/>
    <n v="83333.5"/>
    <s v="R"/>
    <s v="KING CITY R-I SCHOOL DIST."/>
    <s v="The King City R-1 School District (King City, Missouri) will renovate and expand a walking trail within the community."/>
    <s v="WILDKAT TRACK"/>
    <s v="GENTRY"/>
    <n v="6"/>
    <n v="2"/>
  </r>
  <r>
    <x v="25"/>
    <n v="1581"/>
    <n v="2012"/>
    <s v="SCHOOL/COMMUNITY PARK RENOVATION"/>
    <s v="C"/>
    <n v="10750"/>
    <s v="R"/>
    <s v="RISCO R-II SCHOOLS"/>
    <s v="The city of Risco (Missouri) will renovate the playground within the 20-acre Community Park."/>
    <s v="SCHOOL PLAYGROUND"/>
    <s v="NEW MADRID"/>
    <n v="8"/>
    <n v="1"/>
  </r>
  <r>
    <x v="25"/>
    <n v="1594"/>
    <n v="2013"/>
    <s v="NORTHWEST SPORTS COMPLEX PLAYGROUND DEVELOPMENT"/>
    <s v="A"/>
    <n v="59035"/>
    <s v="D"/>
    <s v="JEFFERSON COUNTY"/>
    <s v="Jefferson County will construct a playground within the Northwest Sports Complex."/>
    <s v="NORTHWEST SPORTS COMPLEX"/>
    <s v="Jefferson"/>
    <n v="0"/>
    <n v="20.8"/>
  </r>
  <r>
    <x v="25"/>
    <n v="1589"/>
    <n v="2013"/>
    <s v="ST. LOUIS FOX PARK SPRAY GROUND"/>
    <s v="A"/>
    <n v="43000"/>
    <s v="D"/>
    <s v="CITY OF ST. LOUIS"/>
    <s v="The city of Saint Louis, Missouri, will utilize a Land and Water Conservation Fund grant to construct a water “spray garden” within Fox Park. The new design incorporates a filtration and recirculation system that utilizes rain water to the greatest extent practicable."/>
    <s v="FOX PARK"/>
    <s v="SAINT LOUIS CITY"/>
    <n v="0"/>
    <n v="3"/>
  </r>
  <r>
    <x v="25"/>
    <n v="1591"/>
    <n v="2013"/>
    <s v="THOMPSON CAMPGROUND SHOWER HOUSE"/>
    <s v="A"/>
    <n v="28500"/>
    <s v="R"/>
    <s v="CITY OF MOBERLY"/>
    <s v="The city of Moberly (Randolph County) will construct an energy efficient, water conserving, and accessible shower house at the Thompson Campground within Rothwell Park."/>
    <s v="ROTHWELL PARK"/>
    <s v="Randolph"/>
    <n v="0"/>
    <n v="550"/>
  </r>
  <r>
    <x v="25"/>
    <n v="1618"/>
    <n v="2014"/>
    <s v="CARTERVILLE MULTI-USE RECREATIONAL FACILITIES"/>
    <s v="A"/>
    <n v="61111"/>
    <s v="C"/>
    <s v="CITY OF CARTERVILLE"/>
    <s v="The city of Carterville will utilize a Land and Water Conservation Fund grant to assist in acquiring, through donation, 18 acres to create Garrett Park and undertake the initial development which will include a walking trail, playground equipment, fencing and backstop for a ball field, skate park equipment, and parking."/>
    <s v="GARRETT PARK"/>
    <s v="JASPER"/>
    <n v="7"/>
    <n v="18"/>
  </r>
  <r>
    <x v="25"/>
    <n v="1615"/>
    <n v="2014"/>
    <s v="BUCK PARK DISC GOLF COURSE"/>
    <s v="A"/>
    <n v="83333"/>
    <s v="D"/>
    <s v="CITY OF WEST PLAINS"/>
    <s v="The city of West Plains will develop an 18-basket Frisbee disc golf course and repair the interior park road, parking lot, restroom, and park pavilion."/>
    <s v="BUCK PARK"/>
    <s v="HOWELL"/>
    <n v="8"/>
    <n v="75"/>
  </r>
  <r>
    <x v="25"/>
    <n v="1620"/>
    <n v="2014"/>
    <s v="WILDWOOD GREENWAY PHASE VI TRAIL DEVELOPMENT"/>
    <s v="A"/>
    <n v="83333"/>
    <s v="D"/>
    <s v="CITY OF WILDWOOD"/>
    <s v="The city of Wildwood will construct a 1/3-mile trail and support facilities through the 65-acre Community Park."/>
    <s v="WILDWOOD COMMUNITY PARK"/>
    <s v="SAINT LOUIS"/>
    <n v="2"/>
    <n v="65"/>
  </r>
  <r>
    <x v="25"/>
    <n v="1621"/>
    <n v="2014"/>
    <s v="DYER PARK LAKE VENITA TRAIL EXPANSION PROJECT"/>
    <s v="A"/>
    <n v="83333"/>
    <s v="D"/>
    <s v="CITY OF ODESSA"/>
    <s v="The city of Odessa will utilize a Land and Water Conservation Fund grant to assist in constructing 1,340 linear feet of 10-foot wide asphalt trail within the 52-acre Dyer Park."/>
    <s v="DYER PARK"/>
    <s v="LAFAYETTE"/>
    <n v="5"/>
    <n v="52"/>
  </r>
  <r>
    <x v="25"/>
    <n v="1622"/>
    <n v="2014"/>
    <s v="MEMORIAL PARK RENOVATIONS"/>
    <s v="A"/>
    <n v="75608"/>
    <s v="D"/>
    <s v="CITY OF BELTON"/>
    <s v="The city of Belton will utilize a Land and Water Conservation Fund grant to assist in renovating one park shelter and constructing one shelter and two restrooms within the 36-acre Memorial Park. The grant scope includes sidewalks, lighting, and picnic tables."/>
    <s v="MEMORIAL PARK"/>
    <s v="Cass"/>
    <n v="5"/>
    <n v="36.299999999999997"/>
  </r>
  <r>
    <x v="25"/>
    <n v="1604"/>
    <n v="2014"/>
    <s v="RAISBECK NATURE TRAIL"/>
    <s v="A"/>
    <n v="14490"/>
    <s v="D"/>
    <s v="CITY OF PECULIAR"/>
    <s v="The city of Peculiar, Missouri, will construct a 0.75 mile nature trail within the 29.8-acre Raisbeck Park. The grant scope includes the trail, bridges, and split rail fence."/>
    <s v="RAISBECK PARK"/>
    <s v="CASS"/>
    <n v="4"/>
    <n v="29.8"/>
  </r>
  <r>
    <x v="25"/>
    <n v="1614"/>
    <n v="2014"/>
    <s v="SOCCER PARK PLAYGROUND EQUIPMENT"/>
    <s v="A"/>
    <n v="10000"/>
    <s v="D"/>
    <s v="CITY OF JACKSON"/>
    <s v="The city of Jackson (Cape Girardeau County) will construct a playground, borders, and fall zone (safety) material at Soccer Park. This park contains 11 soccer fields in varying sizes to accommodate differing age groups, but there is no area for families with children for general play."/>
    <s v="SOCCER PARK"/>
    <s v="Cape Girardeau"/>
    <n v="8"/>
    <n v="25"/>
  </r>
  <r>
    <x v="25"/>
    <n v="1612"/>
    <n v="2014"/>
    <s v="MILLER J. FIELDS SPRAYGROUND"/>
    <s v="A"/>
    <n v="83333"/>
    <s v="D"/>
    <s v="CITY OF LEE'S SUMMIT"/>
    <s v="The city of Lee’s Summit will construct a spray pad within the 18.7-acre Miller J. Fields Park. The grant scope includes grading, site work, utilities, concrete pad, spray features, pump system, and shade furnishings."/>
    <s v="MILLER J. FIELDS PARK"/>
    <s v="JACKSON"/>
    <n v="6"/>
    <n v="18.7"/>
  </r>
  <r>
    <x v="25"/>
    <n v="1611"/>
    <n v="2014"/>
    <s v="TROY MIDDLE SCHOOL TENNIS COURTS AND TRAIL"/>
    <s v="A"/>
    <n v="83333"/>
    <s v="D"/>
    <s v="LINCOLN COUNTY R-III SCHOOL DISTRICT"/>
    <s v="The Lincoln County R-III School District will construct 4 tennis courts (fencing, nets, and striping) and a 1-mile, 6’ wide crushed limestone trail around the Troy Middle School campus."/>
    <s v="TROY MIDDLE SCHOOL TRAIL"/>
    <s v="LINCOLN"/>
    <n v="3"/>
    <n v="14.3"/>
  </r>
  <r>
    <x v="25"/>
    <n v="1610"/>
    <n v="2014"/>
    <s v="SOUTH ELEMENTARY PLAYGROUND EQUIPMENT"/>
    <s v="A"/>
    <n v="39614"/>
    <s v="D"/>
    <s v="ELDON R-1 SCHOOL DISTRICT"/>
    <s v="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
    <s v="SOUTH ELEMENTARY PLAYGROUND"/>
    <s v="MILLER"/>
    <n v="3"/>
    <n v="2"/>
  </r>
  <r>
    <x v="25"/>
    <n v="1609"/>
    <n v="2014"/>
    <s v="NORTHWEST MISSOURI OUTDOOR CLASSROOM"/>
    <s v="A"/>
    <n v="15782"/>
    <s v="D"/>
    <s v="NORTHWEST MISSOURI STATE UNIVERSITY"/>
    <s v="Northwest Missouri State University in Maryville will renovate and expand its playground into a cross-curricular Outdoor Classroom."/>
    <s v="NORTHWEST MISSOURI STATE UNIVERSITY OUTDOOR CLASSROOM"/>
    <s v="NODAWAY"/>
    <n v="6"/>
    <n v="0.7"/>
  </r>
  <r>
    <x v="25"/>
    <n v="1608"/>
    <n v="2014"/>
    <s v="NORTH EAST MISSOURI ACCESSIBLE PLAYGROUND"/>
    <s v="A"/>
    <n v="83333"/>
    <s v="D"/>
    <s v="KIRKSVILLE R-III SCHOOL DISTRICT"/>
    <s v="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
    <s v="KIRKSVILLE R-III SCHOOL PARK"/>
    <s v="ADAIR"/>
    <n v="6"/>
    <n v="0.5"/>
  </r>
  <r>
    <x v="25"/>
    <n v="1601"/>
    <n v="2014"/>
    <s v="MOERA MOZINGO LAKE PARK BOAT DOCK RENOVATION"/>
    <s v="A"/>
    <n v="20019"/>
    <s v="R"/>
    <s v="CITY OF MARYVILLE"/>
    <s v="The city of Maryville will improve the boat dock, sidewalk, and parking area at Moera Mozingo Lake Park."/>
    <s v="MOERA MOZINGA LAKE PARK"/>
    <s v="Nodaway"/>
    <n v="6"/>
    <n v="491.4"/>
  </r>
  <r>
    <x v="25"/>
    <n v="1603"/>
    <n v="2014"/>
    <s v="HYDE PARK BASEBALL COMPLEX"/>
    <s v="A"/>
    <n v="77222"/>
    <s v="R"/>
    <s v="CITY OF ST. JOSEPH"/>
    <s v="St. Joseph (Buchanan County, Missouri) will renovate the Hyde Park ball fields with fencing, backstops, dugouts, restrooms, concession area, bleachers, press box, score boards, grading, and lighting."/>
    <s v="HYDE PARK"/>
    <s v="Buchanan"/>
    <n v="6"/>
    <n v="89.7"/>
  </r>
  <r>
    <x v="25"/>
    <n v="1617"/>
    <n v="2014"/>
    <s v="WESTOFF PARK TENNIS COURT RENOVATION"/>
    <s v="A"/>
    <n v="83333"/>
    <s v="R"/>
    <s v="CITY OF O'FALLON"/>
    <s v="The city of O’Fallon will utilize a Land and Water Conservation Fund grant to the renovate tennis courts at the 65-acre Westhoff Park."/>
    <s v="WESTOFF PARK"/>
    <s v="Saint Charles"/>
    <n v="2"/>
    <n v="65"/>
  </r>
  <r>
    <x v="25"/>
    <n v="1623"/>
    <n v="2014"/>
    <s v="WESTBORO - CANTERBURY TRAIL REDEVELOPMENT"/>
    <s v="A"/>
    <n v="65000"/>
    <s v="R"/>
    <s v="CITY OF LIBERTY"/>
    <s v="The city of Belton will improve the Westboro - Canterbury Greenway by renovating 2 miles of trail and parking lots."/>
    <s v="WESTBORO - CANTERBURY GREENWAY"/>
    <s v="CLAY"/>
    <n v="6"/>
    <n v="42"/>
  </r>
  <r>
    <x v="25"/>
    <n v="1599"/>
    <n v="2014"/>
    <s v="LEGACY PARK PHASE II MULTI-SPORT FIELD"/>
    <s v="A"/>
    <n v="63778"/>
    <s v="R"/>
    <s v="CITY OF COTTLEVILLE"/>
    <s v="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
    <s v="LEGACY PARK"/>
    <s v="Saint Charles"/>
    <n v="2"/>
    <n v="36"/>
  </r>
  <r>
    <x v="25"/>
    <n v="1600"/>
    <n v="2014"/>
    <s v="PROCTOR PARK RESTORATION"/>
    <s v="A"/>
    <n v="83333"/>
    <s v="R"/>
    <s v="CITY OF CALIFORNIA"/>
    <s v="The city of California, Missouri, will renovate the 35-acre Proctor Park by replacing the shelter/restroom building and playground equipment and adding utilities."/>
    <s v="PROCTOR PARK"/>
    <s v="Moniteau"/>
    <n v="4"/>
    <n v="35"/>
  </r>
  <r>
    <x v="25"/>
    <n v="1598"/>
    <n v="2014"/>
    <s v="FROG HOLLOW GREENWAY PEDESTRIAN AND BICYCLE BRIDGE"/>
    <s v="A"/>
    <n v="30000"/>
    <s v="R"/>
    <s v="CITY OF JEFFERSON CITY"/>
    <s v="Jefferson City, Missouri, will install a bridge connecting the Jefferson City Greenway to the 26.5-acre West Edgewood Nature Area."/>
    <s v="WEST EDGEWOOD NATURE AREA"/>
    <s v="COLE"/>
    <n v="3"/>
    <n v="26.5"/>
  </r>
  <r>
    <x v="25"/>
    <n v="1605"/>
    <n v="2014"/>
    <s v="ROUBIDOUX PARK ADA PATHWAY ENHANCEMENT"/>
    <s v="A"/>
    <n v="83333"/>
    <s v="R"/>
    <s v="CITY OF WAYNESVILLE"/>
    <s v="The city of Waynesville, Missouri, will upgrade the trail within Roubidoux Park. The grant scope includes an 8’ x 2200’ concrete trail and accessible trailhead parking."/>
    <s v="ROUBIDOUX PARK"/>
    <s v="Pulaski"/>
    <n v="4"/>
    <n v="26"/>
  </r>
  <r>
    <x v="25"/>
    <n v="1597"/>
    <n v="2014"/>
    <s v="MCCOY PARK INCLUSIVE PLAYGROUND"/>
    <s v="A"/>
    <n v="83333"/>
    <s v="R"/>
    <s v="CITY OF INDEPENDENCE"/>
    <s v="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
    <s v="McCOY PARK"/>
    <s v="Jackson"/>
    <n v="5"/>
    <n v="14.6"/>
  </r>
  <r>
    <x v="25"/>
    <n v="1606"/>
    <n v="2014"/>
    <s v="PLAYGROUND EQUIPMENT FOR DEVELOPMENTALLY DELAYED"/>
    <s v="A"/>
    <n v="14642"/>
    <s v="R"/>
    <s v="CITY OF CARUTHERSVILLE"/>
    <s v="The city of Caruthersville (Pemiscot County, Missouri) will install new universally accessible playground equipment within French Park."/>
    <s v="FRENCH PARK"/>
    <s v="PEMISCOT"/>
    <n v="8"/>
    <n v="14"/>
  </r>
  <r>
    <x v="25"/>
    <n v="1602"/>
    <n v="2014"/>
    <s v="MILLAR PARK TRAIL IMPROVEMENTS"/>
    <s v="A"/>
    <n v="83333"/>
    <s v="R"/>
    <s v="CITY OF UNIVERSITY CITY"/>
    <s v="University City, Missouri, will widen and lengthen the trail within the 12-acre Millar Park. The grant scope also includes adding lighting, landscaping, a rain garden, and drinking fountains."/>
    <s v="MILLAR PARK"/>
    <s v="SAINT LOUIS"/>
    <n v="1"/>
    <n v="12.1"/>
  </r>
  <r>
    <x v="25"/>
    <n v="1616"/>
    <n v="2014"/>
    <s v="SALISBURY BASKETBALL COURT RENOVATION PROJECT"/>
    <s v="A"/>
    <n v="33965"/>
    <s v="R"/>
    <s v="CITY OF SALISBURY"/>
    <s v="The Salisbury Park Board will renovate the basketball court at City Park. The grant scope includes new court surfacing and lighting, landscaping, and handicap parking."/>
    <s v="CITY PARK"/>
    <s v="CHARITON"/>
    <n v="6"/>
    <n v="9"/>
  </r>
  <r>
    <x v="25"/>
    <n v="1613"/>
    <n v="2014"/>
    <s v="VIOLA BLECHLE PARK PLAYGROUND"/>
    <s v="A"/>
    <n v="71273"/>
    <s v="R"/>
    <s v="CITY OF PERRYVILLE"/>
    <s v="The city of Perryville will renovate the 8-acre Viola Blechle Park. The grant scope includes the installation of play equipment, construction of a pavilion with picnic tables, excavation and grading, and the construction of accessible walkways and parking."/>
    <s v="VIOLA BLECHLE PARK"/>
    <s v="PERRY"/>
    <n v="8"/>
    <n v="8"/>
  </r>
  <r>
    <x v="25"/>
    <n v="1596"/>
    <n v="2014"/>
    <s v="WOODBRIDGE PARK IMPROVEMENTS"/>
    <s v="A"/>
    <n v="83333"/>
    <s v="R"/>
    <s v="CITY OF COLUMBIA"/>
    <s v="The city of Columbia, Missouri, will construct a 2,100' walking and bike trail around the perimeter of Woodridge Park plus construct picnic shelters and a council ring, add a bike rack, renovate the playground, and general landscaping. A Ronald McDonald House is under construction adjacent to the park and the Thompson Autism Center and the University of Missouri Women’s and Children’s Hospital are in the immediate area."/>
    <s v="WOODRIDGE PARK"/>
    <s v="Boone"/>
    <n v="4"/>
    <n v="6.1"/>
  </r>
  <r>
    <x v="25"/>
    <n v="1607"/>
    <n v="2014"/>
    <s v="SHELDON PARK IMPROVEMENTS"/>
    <s v="A"/>
    <n v="6922"/>
    <s v="R"/>
    <s v="CITY OF SHELDON"/>
    <s v="The city of Sheldon, Missouri, will renovate City Park by constructing a 0.5 mile walking trail around the perimeter of the park, refurbishing the basketball court so it can also be used for tennis and volleyball, and upgrading the playground with new equipment and safety surfaces."/>
    <s v="SHELDON CITY PARK"/>
    <s v="VERNON"/>
    <n v="4"/>
    <n v="5.8"/>
  </r>
  <r>
    <x v="25"/>
    <n v="1624"/>
    <n v="2014"/>
    <s v="LINCOLN UNIVERSITY TENNIS COURT REHABILITATION"/>
    <s v="A"/>
    <n v="83333"/>
    <s v="R"/>
    <s v="LINCOLN UNIVERSITY"/>
    <s v="Lincoln University will utilize a Land and Water Conservation Fund grant to assist in renovating the Myrtle Smith Livingston Park tennis courts. The grant scope includes fencing, asphalt surfacing, restriping, nets, and lighting."/>
    <s v="MYRTLE SMITH LIVINGSTON PARK"/>
    <s v="Cole"/>
    <n v="3"/>
    <n v="3"/>
  </r>
  <r>
    <x v="26"/>
    <n v="617"/>
    <n v="2012"/>
    <s v="GREAT RIVER ROAD DAY USE AREA"/>
    <s v="C"/>
    <n v="150000"/>
    <s v="D"/>
    <s v="MS DEPT OF WILDLIFE, FISHERIES AND PARKS"/>
    <s v="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
    <s v="GRANT RIVER ROAD STATE PARK"/>
    <s v="BOLIVAR"/>
    <n v="2"/>
    <n v="756"/>
  </r>
  <r>
    <x v="26"/>
    <n v="615"/>
    <n v="2012"/>
    <s v="ROOSEVELT STATE PARK-WATER PARK"/>
    <s v="C"/>
    <n v="505170"/>
    <s v="D"/>
    <s v="DEPT OF WILDLIFE, FISH &amp; PARKS"/>
    <s v="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
    <s v="ROOSEVELT STATE PARK-WATER PARK"/>
    <s v="SCOTT"/>
    <n v="3"/>
    <n v="690.7"/>
  </r>
  <r>
    <x v="26"/>
    <n v="616"/>
    <n v="2012"/>
    <s v="CALLING PANTHER LAKE PHASE II"/>
    <s v="C"/>
    <n v="50000"/>
    <s v="D"/>
    <s v="MS DEPT OF WILDLIFE , FISHIERS AND PARKS"/>
    <s v="This grant will be used to improve the existing roads to acdess 23 concrete camping pads at Calling Panther Lake, a 30+/- park. The 20 feet wide gravel interior road will be repaved with 3 inches of asphalt to create a all weather paved road to provide year-round campground use."/>
    <s v="CALLING PANTHER LAKE"/>
    <s v="COPIAH"/>
    <n v="2"/>
    <n v="30"/>
  </r>
  <r>
    <x v="26"/>
    <n v="619"/>
    <n v="2013"/>
    <s v="PERCY QUIN STATE PARK GOLF COURSE RENOVATION"/>
    <s v="C"/>
    <n v="137500"/>
    <s v="D"/>
    <s v="MS DEPARTMENT OF WILDLIFE, FISHERIES AND PARKS"/>
    <s v="Grant will fund the renovation of an 18-hole golf course at Percy Quin State Park which is previously 6(f) protected existing 1701 acres park. This golf course is an impoertant part of the recreational opportunities offered at Percy Quin State Park."/>
    <s v="PERCY QUIN STATE PARK"/>
    <s v="Pike"/>
    <n v="0"/>
    <n v="1701"/>
  </r>
  <r>
    <x v="26"/>
    <n v="620"/>
    <n v="2013"/>
    <s v="BUCCANEER STATE PARK-SPLASH PAD/PLAY AREA"/>
    <s v="A"/>
    <n v="230000"/>
    <s v="D"/>
    <s v="MS DEPARTMENT OF WILDLIFE, FISHERIES AND PARKS"/>
    <s v="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
    <s v="BUCCANEER STATE PARK"/>
    <s v="Hancock"/>
    <n v="0"/>
    <n v="398"/>
  </r>
  <r>
    <x v="26"/>
    <n v="624"/>
    <n v="2014"/>
    <s v="HALL'S FERRY PARK-TENNIS COURT EXPANSION PROJECT"/>
    <s v="A"/>
    <n v="0"/>
    <s v="D"/>
    <s v="CITY OF VICKSBURG"/>
    <s v="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
    <s v="HALLS FERRY PARK"/>
    <s v="Warren"/>
    <n v="2"/>
    <n v="39"/>
  </r>
  <r>
    <x v="26"/>
    <n v="625"/>
    <n v="2014"/>
    <s v="PUCKETT TOWN PARK-PHASE II TENNIS COURTS"/>
    <s v="A"/>
    <n v="0"/>
    <s v="D"/>
    <s v="TOWN OF PUCKETT"/>
    <s v="The Town of Puckett is proposing the construction of three tennis courts on an existing Land and Water Conservation Fund Site. The three tennis courts will be constructed on one concrete pad including fencing and other support elements."/>
    <s v="PUCKETT TOWN PARK"/>
    <s v="Rankin"/>
    <n v="3"/>
    <n v="17"/>
  </r>
  <r>
    <x v="26"/>
    <n v="628"/>
    <n v="2014"/>
    <s v="LIBERTY VILLAGE INCLUSIVE PLAY"/>
    <s v="A"/>
    <n v="0"/>
    <s v="D"/>
    <s v="CITY OF MADISON"/>
    <s v="The project will construct Liberty Village Inclusive Playground ADA (Site 2) and consist of playground equipment, sidewalk, poured rubber surface and wood fiber playground mulch, and other support elements."/>
    <s v="LIBERTY VILLAGE (INCLUSIVE PLAY)"/>
    <s v="MADISON"/>
    <n v="2"/>
    <n v="9.1999999999999993"/>
  </r>
  <r>
    <x v="26"/>
    <n v="631"/>
    <n v="2014"/>
    <s v="STONEWALL CITY PARK- PHASE II"/>
    <s v="A"/>
    <n v="0"/>
    <s v="D"/>
    <s v="TOWN OF STONEWALL"/>
    <s v="The Town of Stonewall is proposing the construction of playground equipment and upgrading electrical support to upgrade the existing Stonewall City Park. The proposed project will allow children in the area to use updated playground equipment with safety features and will be ADA accessible. Long-term public benefits are the user-friendly features that will allow smaller children access to the equipment and parents the use of the walking trail that is on site."/>
    <s v="STONEWALL TOWN PARK"/>
    <s v="CLARKE"/>
    <n v="3"/>
    <n v="8.6"/>
  </r>
  <r>
    <x v="26"/>
    <n v="621"/>
    <n v="2014"/>
    <s v="BELL QUARTER COMMUNITY BALL FIELD PARK LIGHTING"/>
    <s v="A"/>
    <n v="0"/>
    <s v="D"/>
    <s v="CITY OG HAZELHURST"/>
    <s v="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
    <s v="BELL QUARTER COMMUNITY PARK"/>
    <s v="COPIAH"/>
    <n v="2"/>
    <n v="5.8"/>
  </r>
  <r>
    <x v="26"/>
    <n v="630"/>
    <n v="2014"/>
    <s v="MIZE TOWN PARK-PHASE II"/>
    <s v="A"/>
    <n v="0"/>
    <s v="D"/>
    <s v="TOWN OF MIZE"/>
    <s v="The Town of Mize is proposing the construction of a Splash Pad, which will include, concrete pad, pumps, filters, piping, water features and other support elements."/>
    <s v="MIZE TOWN PARK"/>
    <s v="SMITH"/>
    <n v="3"/>
    <n v="4"/>
  </r>
  <r>
    <x v="26"/>
    <n v="627"/>
    <n v="2014"/>
    <s v="CLARKE COUNTY PARK-ROCKY PARK PHASE II"/>
    <s v="A"/>
    <n v="0"/>
    <s v="D"/>
    <s v="CLARKE COUNTY BOARD OF SUPERVISORS"/>
    <s v="This is a proposal to upgrade an existing LWCF site, Rocky Park. Improvements include ball field, fencing, scoreboard, lighting, concession stand / comfort station / bleachers and other support elements."/>
    <s v="CLARKE COUNTY PARK-ROCKY PARK"/>
    <s v="CLARKE"/>
    <n v="4"/>
    <n v="3"/>
  </r>
  <r>
    <x v="26"/>
    <n v="629"/>
    <n v="2014"/>
    <s v="HARVEY LEE GREEN PARK"/>
    <s v="A"/>
    <n v="0"/>
    <s v="D"/>
    <s v="TOWN OF MOOREHEAD"/>
    <s v="The Town of Moorhead is proposing to upgrade the following elements of an existing park site: ball field, fencing, scoreboard, lighting, concession stand / comfort station / bleachers, parking, and other support elements."/>
    <s v="HARVEY LEE GREEN PARK"/>
    <s v="SUNFLOWER"/>
    <n v="2"/>
    <n v="2.6"/>
  </r>
  <r>
    <x v="26"/>
    <n v="626"/>
    <n v="2014"/>
    <s v="PELAHATCHIE RECREATIONAL PARK PHASE II"/>
    <s v="A"/>
    <n v="0"/>
    <s v="D"/>
    <s v="TOWN OF PELAHATCHIE"/>
    <s v="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s v="MUSCADINE PARK"/>
    <s v="RANKIN"/>
    <n v="3"/>
    <n v="1.2"/>
  </r>
  <r>
    <x v="26"/>
    <n v="626"/>
    <n v="2014"/>
    <s v="PELAHATCHIE RECREATIONAL PARK PHASE II"/>
    <s v="A"/>
    <n v="0"/>
    <s v="D"/>
    <s v="TOWN OF PELAHATCHIE"/>
    <s v="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s v="PELAHATCHIE RECREATION PARK"/>
    <s v="Rankin"/>
    <n v="3"/>
    <n v="1.2"/>
  </r>
  <r>
    <x v="26"/>
    <n v="622"/>
    <n v="2014"/>
    <s v="CITY OF FOREST-SPLASH PAD GADDIS PARK"/>
    <s v="A"/>
    <n v="0"/>
    <s v="D"/>
    <s v="CITY OF FOREST"/>
    <s v="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
    <s v="GADDIS PARK"/>
    <s v="SCOTT"/>
    <n v="3"/>
    <n v="1"/>
  </r>
  <r>
    <x v="26"/>
    <n v="623"/>
    <n v="2014"/>
    <s v="WESSON MUNICIPAL PARK"/>
    <s v="A"/>
    <n v="0"/>
    <s v="D"/>
    <s v="TOWN OF WESSON"/>
    <s v="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
    <s v="WESSON MUNICIPAL PARK"/>
    <s v="Copiah"/>
    <n v="2"/>
    <n v="1"/>
  </r>
  <r>
    <x v="26"/>
    <n v="632"/>
    <n v="2014"/>
    <s v="CITY OF AMORY-FRISCO PARK"/>
    <s v="A"/>
    <n v="0"/>
    <s v="D"/>
    <s v="CITY OF AMORY"/>
    <s v="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s v="FRISCO PARK"/>
    <s v="COUNTY NAME MISSING"/>
    <n v="0"/>
    <n v="0.2"/>
  </r>
  <r>
    <x v="26"/>
    <n v="632"/>
    <n v="2014"/>
    <s v="CITY OF AMORY-FRISCO PARK"/>
    <s v="A"/>
    <n v="0"/>
    <s v="D"/>
    <s v="CITY OF AMORY"/>
    <s v="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s v="FRISCO PARK"/>
    <s v="MONROE"/>
    <n v="1"/>
    <n v="0.2"/>
  </r>
  <r>
    <x v="27"/>
    <n v="718"/>
    <n v="2011"/>
    <s v="CITY OF LIVINGSTON WATER SPRAY PROJECT"/>
    <s v="C"/>
    <n v="81637.5"/>
    <s v="D"/>
    <s v="CITY OF LIVINGSTON"/>
    <s v="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
    <s v="MIKE WEBB (G STREET) PARK"/>
    <s v="PARK"/>
    <n v="0"/>
    <n v="2.4"/>
  </r>
  <r>
    <x v="27"/>
    <n v="717"/>
    <n v="2011"/>
    <s v="BIG HORN COUNTY TRAIL PROJECT"/>
    <s v="C"/>
    <n v="81637.5"/>
    <s v="D"/>
    <s v="BIG HORN COUNTY"/>
    <s v="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
    <s v="BIG HORN TRAIL"/>
    <s v="BIG HORN"/>
    <n v="0"/>
    <n v="0.5"/>
  </r>
  <r>
    <x v="27"/>
    <n v="719"/>
    <n v="2011"/>
    <s v="LEWIS AND CLARK CAVERNS STATE PARK WATER SYSTEMS"/>
    <s v="C"/>
    <n v="130003"/>
    <s v="R"/>
    <s v="STATE OF MONTANA"/>
    <s v="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
    <s v="LEWIS &amp; CLARK CAVERNS STATE PARK"/>
    <s v="JEFFERSON"/>
    <n v="0"/>
    <n v="2920"/>
  </r>
  <r>
    <x v="27"/>
    <n v="723"/>
    <n v="2012"/>
    <s v="MOUNT ASCENSION NATURAL PARK EXPANSION"/>
    <s v="C"/>
    <n v="86137.5"/>
    <s v="A"/>
    <s v="CITY OF HELENA"/>
    <s v="Helena (Lewis &amp; Clark County) will purchase a 20.41-acre parcel as an addition to the Mount Ascension Natural Park."/>
    <s v="MOUNT ASCENSION NATURAL PARK"/>
    <s v="LEWIS AND CLARK"/>
    <n v="0"/>
    <n v="20.399999999999999"/>
  </r>
  <r>
    <x v="27"/>
    <n v="722"/>
    <n v="2012"/>
    <s v="WHITEHALL COMMUNITY OUTDOOR RECREATION PARK"/>
    <s v="C"/>
    <n v="91200"/>
    <s v="D"/>
    <s v="WHITEHALL SCHOOL DIST."/>
    <s v="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
    <s v="WHITEHALL OUTDOOR RECREATION PARK"/>
    <s v="JEFFERSON"/>
    <n v="0"/>
    <n v="1"/>
  </r>
  <r>
    <x v="27"/>
    <n v="724"/>
    <n v="2012"/>
    <s v="MILLER PARK IMPROVEMENT"/>
    <s v="A"/>
    <n v="13376"/>
    <s v="D"/>
    <s v="TOWN OF SACO"/>
    <s v="Saco (Phillips County) will improve Miller Park by constructing a picnic area and adding general landscaping and an irrigation system."/>
    <s v="MILLER PARK"/>
    <s v="PHILLIPS"/>
    <n v="0"/>
    <n v="1"/>
  </r>
  <r>
    <x v="27"/>
    <n v="725"/>
    <n v="2012"/>
    <s v="MALTA CITY POOL IMPROVEMENT PROJECT"/>
    <s v="A"/>
    <n v="16011"/>
    <s v="D"/>
    <s v="CITY OF MALTA"/>
    <s v="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
    <s v="MALTA CITY POOL"/>
    <s v="PHILLIPS"/>
    <n v="0"/>
    <n v="1"/>
  </r>
  <r>
    <x v="27"/>
    <n v="721"/>
    <n v="2012"/>
    <s v="SHELBY SPLASH PARK"/>
    <s v="A"/>
    <n v="91200"/>
    <s v="R"/>
    <s v="CITY OF SHELBY"/>
    <s v="Shelby (Toole County) will replace the community wading pool with a zero-depth splash park. The splash park will incorporate multiple interactive water features and be located close to the municipal swimming pool."/>
    <s v="JOHNSON MEMORIAL PARK"/>
    <s v="Toole"/>
    <n v="0"/>
    <n v="2"/>
  </r>
  <r>
    <x v="27"/>
    <n v="726"/>
    <n v="2014"/>
    <s v="TRAVELERS' REST STATE PARK HOLT ACQUISITION"/>
    <s v="A"/>
    <n v="505000"/>
    <s v="A"/>
    <s v="STATE OF MONTANA"/>
    <s v="Montana State Parks will acquire 24 acres as an addition to Travelers' Rest State Park."/>
    <s v="TRAVELER'S REST STATE PARK"/>
    <s v="Missoula"/>
    <n v="0"/>
    <n v="65"/>
  </r>
  <r>
    <x v="27"/>
    <n v="727"/>
    <n v="2014"/>
    <s v="GIANT SPRINGS STATE PARK PLAYGROUND EQUIPMENT"/>
    <s v="A"/>
    <n v="22725"/>
    <s v="D"/>
    <s v="STATE OF MONTANA"/>
    <s v="Montana State Parks will install new playground equipment within the 261-acre Giant Springs State Park."/>
    <s v="GIANT SPRINGS STATE PARK"/>
    <s v="Cascade"/>
    <n v="0"/>
    <n v="261"/>
  </r>
  <r>
    <x v="27"/>
    <n v="728"/>
    <n v="2014"/>
    <s v="GALLATIN REGIONAL PARK PHASE II"/>
    <s v="A"/>
    <n v="65850"/>
    <s v="D"/>
    <s v="GALLATIN COUNTY"/>
    <s v="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
    <s v="GALLATIN COUNTY REGIONAL PARK"/>
    <s v="Gallatin"/>
    <n v="0"/>
    <n v="100"/>
  </r>
  <r>
    <x v="27"/>
    <n v="732"/>
    <n v="2014"/>
    <s v="HEIMAT PARK RESTROOMS"/>
    <s v="A"/>
    <n v="75000"/>
    <s v="D"/>
    <s v="HARDIN CITY"/>
    <s v="The city of Hardin City (Big Horn County, Montana) will utilize a Land and Water Conservation Fund grant to assist in constructing an accessible restroom facility within the 2.25-acre Heimat Park."/>
    <s v="HEIMAT PARK"/>
    <s v="BIG HORN"/>
    <n v="0"/>
    <n v="2.2999999999999998"/>
  </r>
  <r>
    <x v="27"/>
    <n v="733"/>
    <n v="2014"/>
    <s v="BILLINGS SOUTH PARK PLAYGROUND"/>
    <s v="A"/>
    <n v="75000"/>
    <s v="R"/>
    <s v="CITY OF BILLINGS"/>
    <s v="The city of Billings (Yellowstone County, Montana) will utilize a Land and Water Conservation Fund grant to replace the outdated playground equipment at South Park with a modern, accessible playground containing multiple units and apparatus."/>
    <s v="SOUTH PARK"/>
    <s v="YELLOWSTONE"/>
    <n v="0"/>
    <n v="16.5"/>
  </r>
  <r>
    <x v="27"/>
    <n v="731"/>
    <n v="2014"/>
    <s v="LEWISTOWN POOL PHASE 1"/>
    <s v="A"/>
    <n v="75000"/>
    <s v="R"/>
    <s v="CITY OF LEWISTOWN"/>
    <s v="The city of Lewistown (Fergus County, Montana) will utilize a Land and Water Conservation Fund grant to assist in renovating the Frank Day Park swimming pool. The grant scope includes replacing the mechanical pumps and filtration systems to bring the facilities into code."/>
    <s v="FRANK DAY PARK"/>
    <s v="FERGUS"/>
    <n v="0"/>
    <n v="7"/>
  </r>
  <r>
    <x v="27"/>
    <n v="730"/>
    <n v="2014"/>
    <s v="HELENA PARKS PLAYGROUND RENOVATION"/>
    <s v="A"/>
    <n v="42414"/>
    <s v="R"/>
    <s v="CITY OF HELENA"/>
    <s v="The city of Helena (Lewis &amp; Clark County, Montana) will utilize a Land and Water Conservation Fund grant to assist in renovating the Waukesha Park and Barney Park playgrounds."/>
    <s v="BARNEY PARK"/>
    <s v="LEWIS AND CLARK"/>
    <n v="0"/>
    <n v="5.0999999999999996"/>
  </r>
  <r>
    <x v="27"/>
    <n v="730"/>
    <n v="2014"/>
    <s v="HELENA PARKS PLAYGROUND RENOVATION"/>
    <s v="A"/>
    <n v="42414"/>
    <s v="R"/>
    <s v="CITY OF HELENA"/>
    <s v="The city of Helena (Lewis &amp; Clark County, Montana) will utilize a Land and Water Conservation Fund grant to assist in renovating the Waukesha Park and Barney Park playgrounds."/>
    <s v="WAUKESHA PARK"/>
    <s v="LEWIS AND CLARK"/>
    <n v="0"/>
    <n v="2.5"/>
  </r>
  <r>
    <x v="27"/>
    <n v="729"/>
    <n v="2014"/>
    <s v="SIDNEY EAST PARK PLAYGROUND RENOVATION"/>
    <s v="A"/>
    <n v="32600"/>
    <s v="R"/>
    <s v="TOWN OF SIDNEY"/>
    <s v="The Town of Sidney (Richland County) will renovate the East Park playground. The grant scope includes installing a playground with spot swings, jungle and play gyms, stage coach spring horse components, a spring surf board, connector platforms, safety surface, and park benches."/>
    <s v="EAST PARK"/>
    <s v="RICHLAND"/>
    <n v="0"/>
    <n v="2"/>
  </r>
  <r>
    <x v="28"/>
    <n v="1033"/>
    <n v="2011"/>
    <s v="YELLOW MOUNTAIN STATE NATURAL AREA ACQUISITION"/>
    <s v="A"/>
    <n v="872763"/>
    <s v="A"/>
    <s v="N.C. DEPARTMENT OF ENVIRONMENT AND NATURAL RESOURCES"/>
    <s v="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
    <s v="YELLOW MOUNTAIN STATE NATURAL AREA ACQUISITION"/>
    <s v="MITCHELL"/>
    <n v="10"/>
    <n v="556.70000000000005"/>
  </r>
  <r>
    <x v="28"/>
    <n v="1034"/>
    <n v="2012"/>
    <s v="PIMO YADKIN RIVER SECTION ACQUISITION"/>
    <s v="A"/>
    <n v="317926"/>
    <s v="A"/>
    <s v="NC DEPT OF ENVIRONMENT AND NATURAL RESOURCES"/>
    <s v="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
    <s v="PILOT MOUNTAIN STATE PARK"/>
    <s v="YADKIN"/>
    <n v="5"/>
    <n v="3847.7"/>
  </r>
  <r>
    <x v="28"/>
    <n v="1035"/>
    <n v="2013"/>
    <s v="MORRISVILLE RTP PARK"/>
    <s v="A"/>
    <n v="200000"/>
    <s v="D"/>
    <s v="TOWN OF MORRISVILLE"/>
    <s v="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
    <s v="MORRISVILLE RTP PARK"/>
    <s v="WAKE"/>
    <n v="0"/>
    <n v="25"/>
  </r>
  <r>
    <x v="28"/>
    <n v="1036"/>
    <n v="2013"/>
    <s v="CASTALIA NEIGHBORHOOD PARK"/>
    <s v="A"/>
    <n v="200000"/>
    <s v="D"/>
    <s v="TOWN OF CASTALIA"/>
    <s v="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
    <s v="CASTALIA NEIGHBORHOOD PARK"/>
    <s v="NASH"/>
    <n v="0"/>
    <n v="15"/>
  </r>
  <r>
    <x v="28"/>
    <n v="1037"/>
    <n v="2013"/>
    <s v="STALLING'S MUNICIPAL PARK"/>
    <s v="A"/>
    <n v="68199"/>
    <s v="D"/>
    <s v="TOWN OF STALLINGS"/>
    <s v="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
    <s v="STALLINGS MUNICIPAL PARK"/>
    <s v="Union"/>
    <n v="0"/>
    <n v="8.9"/>
  </r>
  <r>
    <x v="28"/>
    <n v="1038"/>
    <n v="2014"/>
    <s v="YELLOW MOUNTAIN STATE NATURAL AREA"/>
    <s v="A"/>
    <n v="0"/>
    <s v="A"/>
    <s v="NC DEPARTMENT OF ENVIRONMENT AND NATURAL RESOURCES"/>
    <s v="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
    <s v="YELLOW MOUNTAIN STATE NATURAL AREA II"/>
    <s v="AVERY"/>
    <n v="10"/>
    <n v="1485.7"/>
  </r>
  <r>
    <x v="28"/>
    <n v="1039"/>
    <n v="2014"/>
    <s v="CHIMNEY ROCK STATE PARK II"/>
    <s v="A"/>
    <n v="0"/>
    <s v="A"/>
    <s v="NC DEPARTMENT OF ENVIRONMENT AND NATURAL RESOURCES"/>
    <s v="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
    <s v="CHIMNEY ROCK STATE PARK II"/>
    <s v="RUTHERFORD"/>
    <n v="10"/>
    <n v="257.5"/>
  </r>
  <r>
    <x v="29"/>
    <n v="1289"/>
    <n v="2011"/>
    <s v="RUGER PARK PICNIC SHELTER"/>
    <s v="C"/>
    <n v="40241"/>
    <s v="D"/>
    <s v="DEVILS LAKE PARK BD."/>
    <s v="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
    <s v="RUGER PARK"/>
    <s v="Ramsey"/>
    <n v="0"/>
    <n v="114.9"/>
  </r>
  <r>
    <x v="29"/>
    <n v="1290"/>
    <n v="2011"/>
    <s v="NAPOLEON POOL RENOVATION"/>
    <s v="C"/>
    <n v="22900"/>
    <s v="R"/>
    <s v="NAPOLEON PARK DIST."/>
    <s v="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
    <s v="NAPOLEON CITY PARK"/>
    <s v="LOGAN"/>
    <n v="0"/>
    <n v="7.6"/>
  </r>
  <r>
    <x v="29"/>
    <n v="1288"/>
    <n v="2011"/>
    <s v="FINLEY POOL HOUSE"/>
    <s v="C"/>
    <n v="45112.59"/>
    <s v="R"/>
    <s v="FINLEY PARK DIST."/>
    <s v="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
    <s v="FINLEY CITY PARK"/>
    <s v="STEELE"/>
    <n v="0"/>
    <n v="6"/>
  </r>
  <r>
    <x v="29"/>
    <n v="1297"/>
    <n v="2012"/>
    <s v="GRAHAMS ISLAND STATE PARK CAMPGROUND DEVELOPMENT"/>
    <s v="C"/>
    <n v="316680"/>
    <s v="D"/>
    <s v="STATE OF NORTH DAKOTA"/>
    <s v="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
    <s v="GRAHAMS ISLAND STATE PARK"/>
    <s v="RAMSEY"/>
    <n v="0"/>
    <n v="1122"/>
  </r>
  <r>
    <x v="29"/>
    <n v="1296"/>
    <n v="2012"/>
    <s v="WALHALLA RIVERSIDE PARK CAMPGROUND RENOVATION"/>
    <s v="C"/>
    <n v="21375"/>
    <s v="R"/>
    <s v="WALHALLA PARK DIST."/>
    <s v="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
    <s v="RIVERSIDE PARK"/>
    <s v="PEMBINA"/>
    <n v="0"/>
    <n v="50"/>
  </r>
  <r>
    <x v="29"/>
    <n v="1295"/>
    <n v="2012"/>
    <s v="BISMARCK LIONS PARK PLAYGROUND RENOVATION"/>
    <s v="A"/>
    <n v="35362"/>
    <s v="R"/>
    <s v="BISMARCK PARK DIST."/>
    <s v="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
    <s v="LIONS PARK"/>
    <s v="Burleigh"/>
    <n v="0"/>
    <n v="30.5"/>
  </r>
  <r>
    <x v="29"/>
    <n v="1292"/>
    <n v="2012"/>
    <s v="FAIRMOUNT PLAYGROUND RENOVATION"/>
    <s v="C"/>
    <n v="29029"/>
    <s v="R"/>
    <s v="FAIRMOUNT PARKS BD."/>
    <s v="The Fairmount Parks Board (Richland County) will replace a playground at the 5-acre Fairmount Park within the community of Fairmount. The current playground is outdated, unsafe, and does not meet basic accessibility requirements."/>
    <s v="FAIRMOUNT PARK"/>
    <s v="RICHLAND"/>
    <n v="0"/>
    <n v="12"/>
  </r>
  <r>
    <x v="29"/>
    <n v="1291"/>
    <n v="2012"/>
    <s v="LAKE HOSKINS CAMPGROUND AND PLAYGROUND RENOVATION"/>
    <s v="C"/>
    <n v="26310"/>
    <s v="R"/>
    <s v="ASHLEY PARK BOARD"/>
    <s v="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
    <s v="LAKE HOSKINS PARK"/>
    <s v="MCINTOSH"/>
    <n v="0"/>
    <n v="5"/>
  </r>
  <r>
    <x v="29"/>
    <n v="1294"/>
    <n v="2012"/>
    <s v="BEULAH CENTRAL PARK PLAYGROUND RENOVATION"/>
    <s v="C"/>
    <n v="26444.52"/>
    <s v="R"/>
    <s v="BEULAH PARK DIST."/>
    <s v="The Beulah Park District (Mercer County) will replace a playground at Central Park within the community of Beulah. The current playground is outdated, unsafe, and does not meet basic accessibility requirements."/>
    <s v="CENTRAL PARK"/>
    <s v="MERCER"/>
    <n v="0"/>
    <n v="1"/>
  </r>
  <r>
    <x v="29"/>
    <n v="1299"/>
    <n v="2013"/>
    <s v="ARCHIE AND JESSIE CAMPBELL MEMORIAL PARK"/>
    <s v="A"/>
    <n v="31668"/>
    <s v="D"/>
    <s v="NEW ROCKFORD PARK DISTRICT"/>
    <s v="The New Rockford Park District (Eddy County) will construct dugouts, a concession and storage building, and a picnic area at Archie and Jessie Campbell Memorial Park."/>
    <s v="ARCHIE AND JESSIE CAMPBELL MEMORIAL PARK"/>
    <s v="Eddy"/>
    <n v="0"/>
    <n v="23"/>
  </r>
  <r>
    <x v="29"/>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UGER PARK"/>
    <s v="Ramsey"/>
    <n v="0"/>
    <n v="114.9"/>
  </r>
  <r>
    <x v="29"/>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OOSEVELT PARK"/>
    <s v="Ramsey"/>
    <n v="0"/>
    <n v="20"/>
  </r>
  <r>
    <x v="29"/>
    <n v="1302"/>
    <n v="2013"/>
    <s v="MUNICIPAL BASEBALL PARK UPGRADE"/>
    <s v="C"/>
    <n v="23593"/>
    <s v="R"/>
    <s v="BISMARCK PARK DISTRICT"/>
    <s v="The Bismarck Park District (Burleigh County) will improve Municipal Baseball Park by upgrading the baseball fields and adding a concession building."/>
    <s v="MUNICIPAL BASEBALL PARK"/>
    <s v="BURLEIGH"/>
    <n v="0"/>
    <n v="11.8"/>
  </r>
  <r>
    <x v="29"/>
    <n v="1301"/>
    <n v="2013"/>
    <s v="GOLDEN VALLEY COUNTY MEMORIAL PARK"/>
    <s v="C"/>
    <n v="21112"/>
    <s v="R"/>
    <s v="CITY OF BEACH"/>
    <s v="The city of Beach (Golden Valley County) will improve Golden Valley County Memorial Park by constructing a playground. Outdated, unsafe playground equipment will be replaced with modern, universally accessible playground apparatus."/>
    <s v="GOLDEN VALLEY COUNTY MEMORIAL PARK"/>
    <s v="GOLDEN VALLEY"/>
    <n v="0"/>
    <n v="1"/>
  </r>
  <r>
    <x v="29"/>
    <n v="1298"/>
    <n v="2014"/>
    <s v="PAINTED WOODS RECREATION AREA"/>
    <s v="C"/>
    <n v="179452"/>
    <s v="C"/>
    <s v="WASHBURN PARK DISTRICT"/>
    <s v="The Washburn Park District (North Dakota)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
    <s v="PAINTED WOODS RECREATION AREA"/>
    <s v="MCLEAN"/>
    <n v="0"/>
    <n v="260"/>
  </r>
  <r>
    <x v="29"/>
    <n v="1306"/>
    <n v="2014"/>
    <s v="SEEMAN PARK CAMPGROUND"/>
    <s v="A"/>
    <n v="16500"/>
    <s v="D"/>
    <s v="LINTON PARK BOARD"/>
    <s v="The Linton Park Board will improve Seeman Park by constructing seven camping pads complete with water, sewer, and 50 amp hookups."/>
    <s v="SEEMAN PARK"/>
    <s v="Emmons"/>
    <n v="0"/>
    <n v="40"/>
  </r>
  <r>
    <x v="29"/>
    <n v="1305"/>
    <n v="2014"/>
    <s v="RUGER PARK POOL VIEWING AREA"/>
    <s v="A"/>
    <n v="19000"/>
    <s v="R"/>
    <s v="DEVILS LAKE PARK BD."/>
    <s v="The Devils Lake Park Board will improve Ruger Park by constructing a viewing area on the north side of the Mike Dosch Memorial Pool and Waterslide."/>
    <s v="RUGER PARK"/>
    <s v="Ramsey"/>
    <n v="0"/>
    <n v="114.9"/>
  </r>
  <r>
    <x v="29"/>
    <n v="1303"/>
    <n v="2014"/>
    <s v="LIONS PARK HILLSIDE AQUATIC COMPLEX"/>
    <s v="A"/>
    <n v="150000"/>
    <s v="R"/>
    <s v="BISMARCK PARK DISTRICT"/>
    <s v="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
    <s v="LIONS PARK"/>
    <s v="Burleigh"/>
    <n v="0"/>
    <n v="30.5"/>
  </r>
  <r>
    <x v="29"/>
    <n v="1304"/>
    <n v="2014"/>
    <s v="CARRINGTON CITY PARK EQUIPMENT IMPROVEMENT"/>
    <s v="A"/>
    <n v="20576"/>
    <s v="R"/>
    <s v="CARRINGTON PARK DIST."/>
    <s v="The Carrington Park District will replace a playground within City Park."/>
    <s v="CARRINGTON CITY PARK"/>
    <s v="Foster"/>
    <n v="0"/>
    <n v="29.2"/>
  </r>
  <r>
    <x v="29"/>
    <n v="1307"/>
    <n v="2014"/>
    <s v="RIVERSIDE PARK SWIMMING POOL"/>
    <s v="A"/>
    <n v="150000"/>
    <s v="R"/>
    <s v="NEW ROCKFORD PARK DIST."/>
    <s v="The New Rockford Park District will improve Riverside Park by constructing a 3,000 square foot pool with a zero-depth entry, a 2,000 square foot bathhouse with locker and chemical rooms, a waterslide, and a splash park with small children's play structure and sprayers."/>
    <s v="RIVERSIDE PARK"/>
    <s v="Eddy"/>
    <n v="0"/>
    <n v="6"/>
  </r>
  <r>
    <x v="30"/>
    <n v="1000"/>
    <n v="2011"/>
    <s v="PLATTE RIVER STATE PARK ACQUISITION"/>
    <s v="C"/>
    <n v="137935.5"/>
    <s v="A"/>
    <s v="GAME &amp; PARKS COMM."/>
    <s v="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
    <s v="PLATTE RIVER STATE PARK"/>
    <s v="CASS"/>
    <n v="1"/>
    <n v="553.79999999999995"/>
  </r>
  <r>
    <x v="30"/>
    <n v="1003"/>
    <n v="2011"/>
    <s v="PLAYGROUND DEVELOPMENT-PONCA STATE PARK"/>
    <s v="A"/>
    <n v="75000"/>
    <s v="R"/>
    <s v="GAME &amp; PARKS COMM."/>
    <s v="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
    <s v="PONCA STATE PARK"/>
    <s v="Dixon"/>
    <n v="1"/>
    <n v="2166"/>
  </r>
  <r>
    <x v="30"/>
    <n v="1002"/>
    <n v="2011"/>
    <s v="DUMP STATION RENOVATION - FORT KEARNY SRA"/>
    <s v="A"/>
    <n v="75000"/>
    <s v="R"/>
    <s v="GAME &amp; PARKS COMM."/>
    <s v="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
    <s v="FORT KEARNY STATE RECREATION AREA"/>
    <s v="KEARNEY"/>
    <n v="3"/>
    <n v="186.2"/>
  </r>
  <r>
    <x v="30"/>
    <n v="1008"/>
    <n v="2011"/>
    <s v="HILDRETH POOL RENOVATION-VILLAGE OF HILDRETH"/>
    <s v="A"/>
    <n v="25000"/>
    <s v="R"/>
    <s v="VILLAGE OF HILDRETH"/>
    <s v="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
    <s v="HILDRETH POOL"/>
    <s v="FRANKLIN"/>
    <n v="3"/>
    <n v="2.5"/>
  </r>
  <r>
    <x v="30"/>
    <n v="1007"/>
    <n v="2011"/>
    <s v="RUSS THOMPSON PARK RENOVATION - CITY OF BELLEVUE"/>
    <s v="C"/>
    <n v="75000"/>
    <s v="R"/>
    <s v="CITY OF BELLEVUE"/>
    <s v="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
    <s v="RUSS THOMPSON PARK"/>
    <s v="SARPY"/>
    <n v="2"/>
    <n v="2.2000000000000002"/>
  </r>
  <r>
    <x v="30"/>
    <n v="1004"/>
    <n v="2012"/>
    <s v="CALAMUS SRA SHOWER/LATRINE BUILDING"/>
    <s v="A"/>
    <n v="75000"/>
    <s v="D"/>
    <s v="GAME &amp; PARKS COMM."/>
    <s v="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
    <s v="CALAMUS RESERVOIR STATE RECREATION AREA"/>
    <s v="Garfield"/>
    <n v="3"/>
    <n v="11370"/>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BRANCHED OAK STATE RECREATION AREA"/>
    <s v="LANCASTER"/>
    <n v="1"/>
    <n v="2980.4"/>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FREMONT LAKES STATE RECREATION AREA"/>
    <s v="SAUNDERS"/>
    <n v="1"/>
    <n v="667.4"/>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AKE OGALLALA STATE RECREATION AREA"/>
    <s v="KEITH"/>
    <n v="3"/>
    <n v="559"/>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OUISVILLE LAKES STATE RECREATION AREA"/>
    <s v="CASS"/>
    <n v="1"/>
    <n v="192.4"/>
  </r>
  <r>
    <x v="30"/>
    <n v="1016"/>
    <n v="2012"/>
    <s v="CAMPGROUND ELECTRICAL-3 SITES THROUGHOUT THE STATE"/>
    <s v="C"/>
    <n v="81072.47"/>
    <s v="R"/>
    <s v="GAME &amp; PARKS COMM."/>
    <s v="Update 47 RV pads at Branched Oak SRA, 57 RV pads at Two Rivers SRA, and 12 RV pads at Lake Ogallala SRA with 50 amp electrical boxes."/>
    <s v="BRANCHED OAK STATE RECREATION AREA"/>
    <s v="LANCASTER"/>
    <n v="1"/>
    <n v="2980.4"/>
  </r>
  <r>
    <x v="30"/>
    <n v="1016"/>
    <n v="2012"/>
    <s v="CAMPGROUND ELECTRICAL-3 SITES THROUGHOUT THE STATE"/>
    <s v="C"/>
    <n v="81072.47"/>
    <s v="R"/>
    <s v="GAME &amp; PARKS COMM."/>
    <s v="Update 47 RV pads at Branched Oak SRA, 57 RV pads at Two Rivers SRA, and 12 RV pads at Lake Ogallala SRA with 50 amp electrical boxes."/>
    <s v="TWO RIVERS STATE RECREATION AREA"/>
    <s v="DOUGLAS"/>
    <n v="2"/>
    <n v="621.9"/>
  </r>
  <r>
    <x v="30"/>
    <n v="1016"/>
    <n v="2012"/>
    <s v="CAMPGROUND ELECTRICAL-3 SITES THROUGHOUT THE STATE"/>
    <s v="C"/>
    <n v="81072.47"/>
    <s v="R"/>
    <s v="GAME &amp; PARKS COMM."/>
    <s v="Update 47 RV pads at Branched Oak SRA, 57 RV pads at Two Rivers SRA, and 12 RV pads at Lake Ogallala SRA with 50 amp electrical boxes."/>
    <s v="LAKE OGALLALA STATE RECREATION AREA"/>
    <s v="KEITH"/>
    <n v="3"/>
    <n v="559"/>
  </r>
  <r>
    <x v="30"/>
    <n v="1012"/>
    <n v="2012"/>
    <s v="RIVERSIDE CAMPGROUND PHASE II - BEATRICE"/>
    <s v="C"/>
    <n v="45588.24"/>
    <s v="R"/>
    <s v="CITY OF BEATRICE"/>
    <s v="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
    <s v="RIVERSIDE PARK"/>
    <s v="GAGE"/>
    <n v="1"/>
    <n v="32"/>
  </r>
  <r>
    <x v="30"/>
    <n v="1013"/>
    <n v="2012"/>
    <s v="CAMBRIDGE SPLASH PAD, CAMBRIDGE, NEBRASKA"/>
    <s v="C"/>
    <n v="66394.66"/>
    <s v="R"/>
    <s v="CITY OF CAMBRIDGE"/>
    <s v="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
    <s v="MCKINLEY PARK"/>
    <s v="FRONTIER"/>
    <n v="3"/>
    <n v="17.7"/>
  </r>
  <r>
    <x v="30"/>
    <n v="1014"/>
    <n v="2012"/>
    <s v="SPORTSMAN'S PARK - JOHNSON"/>
    <s v="C"/>
    <n v="112004"/>
    <s v="R"/>
    <s v="VILLAGE OF JOHNSON"/>
    <s v="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
    <s v="SPORTSMAN'S PARK"/>
    <s v="NEMAHA"/>
    <n v="1"/>
    <n v="12.6"/>
  </r>
  <r>
    <x v="30"/>
    <n v="1010"/>
    <n v="2012"/>
    <s v="PLAYGROUND IMPROVEMENTS - CERESCO, NE"/>
    <s v="C"/>
    <n v="94134"/>
    <s v="R"/>
    <s v="VILLAGE OF CERESCO"/>
    <s v="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
    <s v="CERESCO PARK"/>
    <s v="SAUNDERS"/>
    <n v="1"/>
    <n v="10"/>
  </r>
  <r>
    <x v="30"/>
    <n v="1015"/>
    <n v="2012"/>
    <s v="SOUTH PARK - ARAPAHOE, NEBRASKA"/>
    <s v="A"/>
    <n v="127675"/>
    <s v="R"/>
    <s v="CITY OF ARAPAHOE"/>
    <s v="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
    <s v="SOUTH PARK"/>
    <s v="FURNAS"/>
    <n v="3"/>
    <n v="8.3000000000000007"/>
  </r>
  <r>
    <x v="30"/>
    <n v="1011"/>
    <n v="2012"/>
    <s v="VILLAGE PARK SPORTS COURTS-ELMWOOD, NEBRASKA"/>
    <s v="A"/>
    <n v="10000"/>
    <s v="R"/>
    <s v="VILLAGE OF ELMWOOD"/>
    <s v="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
    <s v="ELMWOOD VILLAGE PARK"/>
    <s v="CASS"/>
    <n v="1"/>
    <n v="3.6"/>
  </r>
  <r>
    <x v="30"/>
    <n v="1017"/>
    <n v="2014"/>
    <s v="LAWSON PARK - WAVERLY"/>
    <s v="A"/>
    <n v="150000"/>
    <s v="D"/>
    <s v="CITY OF WAVERLY"/>
    <s v="Construct a 36’ X 38’ concession/restroom facility at the Lawson Park ball fields."/>
    <s v="LAWSON PARK"/>
    <s v="LANCASTER"/>
    <n v="1"/>
    <n v="26.5"/>
  </r>
  <r>
    <x v="30"/>
    <n v="1021"/>
    <n v="2014"/>
    <s v="PONCA STATE PARK POOL &amp; SPLASH PAD"/>
    <s v="A"/>
    <n v="375000"/>
    <s v="R"/>
    <s v="GAME &amp; PARKS COMM."/>
    <s v="Construct a bathhouse at the Ponca State Park swimming pool in Dixon County."/>
    <s v="PONCA STATE PARK"/>
    <s v="Dixon"/>
    <n v="1"/>
    <n v="2166"/>
  </r>
  <r>
    <x v="30"/>
    <n v="1019"/>
    <n v="2014"/>
    <s v="CRYSTAL COVE PARK OBSERVATORY - SOUTH SIOUX CITY"/>
    <s v="A"/>
    <n v="60000"/>
    <s v="R"/>
    <s v="CITY OF SOUTH SIOUX CITY"/>
    <s v="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
    <s v="CRYSTAL COVE PARK"/>
    <s v="DAKOTA"/>
    <n v="3"/>
    <n v="47"/>
  </r>
  <r>
    <x v="30"/>
    <n v="1020"/>
    <n v="2014"/>
    <s v="NORTH / MEMORIAL PARK PLAYGROUND - TEKAMAH"/>
    <s v="A"/>
    <n v="29500"/>
    <s v="R"/>
    <s v="CITY OF TEKAMAH"/>
    <s v="Install a custom playground structure containing 2 bay swing sections, 2 independent spinner play components, play panes, slides, and glides. This structure will be placed over a safety surface. Additional grant scope includes the construction of a paved sidewalk throughout the park."/>
    <s v="NORTH / MEMORIAL PARK"/>
    <s v="BURT"/>
    <n v="1"/>
    <n v="22.6"/>
  </r>
  <r>
    <x v="30"/>
    <n v="1018"/>
    <n v="2014"/>
    <s v="VETERANS MEMORIAL PARK SPLASH PAD - SHELTON"/>
    <s v="A"/>
    <n v="75900"/>
    <s v="R"/>
    <s v="VILLAGE OF SHELTON"/>
    <s v="Install a multiple-feature splash pad and upgrade the restrooms within Veterans Memorial Park."/>
    <s v="VETERANS MEMORIAL PARK"/>
    <s v="BUFFALO"/>
    <n v="3"/>
    <n v="9.8000000000000007"/>
  </r>
  <r>
    <x v="31"/>
    <n v="683"/>
    <n v="2011"/>
    <s v="Jericho Mountain State Park Phase II"/>
    <s v="A"/>
    <n v="130917.4"/>
    <s v="R"/>
    <s v="Dept. of Resources &amp; Economic Dev."/>
    <s v="Improvements will be made primarily to the infrastures throughout the park, a tool booth at the park entrance and some additional site and landscaping work."/>
    <s v="Jericho Mountain State Park"/>
    <s v="Coos"/>
    <n v="2"/>
    <n v="7500"/>
  </r>
  <r>
    <x v="31"/>
    <n v="688"/>
    <n v="2012"/>
    <s v="Town of Belmont Pavilion and Riverwalk"/>
    <s v="A"/>
    <n v="99943.5"/>
    <s v="C"/>
    <s v="Town of Belmont"/>
    <s v="The construction of a pavilion with restrooms, a storage area, two covered wings, a parking lot and the beginning of the development of the adjacent 26.23 +/-acres (20 acres acquired) as a riverwalk for passive recreation."/>
    <s v="Belmont Pavilion and Riverwalk"/>
    <s v="BELKNAP"/>
    <n v="1"/>
    <n v="26.2"/>
  </r>
  <r>
    <x v="31"/>
    <n v="685"/>
    <n v="2012"/>
    <s v="Carpenter Park Recreational Enhancement"/>
    <s v="A"/>
    <n v="110590"/>
    <s v="D"/>
    <s v="Town of Chichester"/>
    <s v="The existing picnic pavilion will be expanded and the playground equipment relocated."/>
    <s v="Carpenter Park"/>
    <s v="Merrimack"/>
    <n v="2"/>
    <n v="50"/>
  </r>
  <r>
    <x v="31"/>
    <n v="687"/>
    <n v="2012"/>
    <s v="Odell Park Overlook and Fishing Pier"/>
    <s v="A"/>
    <n v="24432"/>
    <s v="D"/>
    <s v="City of Franklin"/>
    <s v="Improvements Odell Park with construction of an observation deck, a new fishing pier, other site improvments and new landscaping."/>
    <s v="ODELL PARK"/>
    <s v="MERRIMACK"/>
    <n v="2"/>
    <n v="12"/>
  </r>
  <r>
    <x v="31"/>
    <n v="686"/>
    <n v="2012"/>
    <s v="Seabrook Harborside Park II"/>
    <s v="A"/>
    <n v="69692"/>
    <s v="D"/>
    <s v="Town of Seabrook"/>
    <s v="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
    <s v="Seabrook Harborside Park II"/>
    <s v="ROCKINGHAM"/>
    <n v="1"/>
    <n v="2.2000000000000002"/>
  </r>
  <r>
    <x v="31"/>
    <n v="690"/>
    <n v="2012"/>
    <s v="Newfound Pathway"/>
    <s v="A"/>
    <n v="112070"/>
    <s v="D"/>
    <s v="Town of Hebron"/>
    <s v="The Newfound Pathway Project will create a pathway around Newfound Lake. This first section will consist of the pathway to be constructed on the section of Route 3A (Meyhew Turnpike) by Camp Pasquaney. It will be about one half mile long and eleven feet wide."/>
    <s v="Newfound Pathway"/>
    <s v="GRAFTON"/>
    <n v="2"/>
    <n v="0.8"/>
  </r>
  <r>
    <x v="31"/>
    <n v="684"/>
    <n v="2012"/>
    <s v="Nobel Pines Park Improvments"/>
    <s v="A"/>
    <n v="43760"/>
    <s v="R"/>
    <s v="City of Somersworth"/>
    <s v="Two tennis courts will be removed and replaced with a gazebo and a skate park. Install four misting stations/water play towers at each corner after filling in the pool area with concrete."/>
    <s v="Nobel Pines Park"/>
    <s v="STRAFFORD"/>
    <n v="1"/>
    <n v="11.9"/>
  </r>
  <r>
    <x v="31"/>
    <n v="689"/>
    <n v="2012"/>
    <s v="North Hampton Beach State Park Redevelopment"/>
    <s v="A"/>
    <n v="179312"/>
    <s v="R"/>
    <s v="State of NH, Dept. of Resources &amp; Economic Dev."/>
    <s v="Replacement of outdated existing bathhouse with a 1,900 sq. ft. bathhouse connected to the municipal sewer system, retiring the failing septic system and adjacent site improvements to the parking lot, sidewalks and park signage"/>
    <s v="North Hampton State Beach Park"/>
    <s v="ROCKINGHAM"/>
    <n v="1"/>
    <n v="0"/>
  </r>
  <r>
    <x v="31"/>
    <n v="691"/>
    <n v="2014"/>
    <s v="Jericho Mountain State Park III"/>
    <s v="A"/>
    <n v="0"/>
    <s v="D"/>
    <s v="State of NH, DRED, Div of Parks &amp; Recreation"/>
    <s v="Reconstruction of bathhouse and related septic system,located between the park's day use/beach area and the campground, to provide the park guests with improved comfort station facilities."/>
    <s v="Jericho Mountain State Park"/>
    <s v="Coos"/>
    <n v="2"/>
    <n v="7500"/>
  </r>
  <r>
    <x v="31"/>
    <n v="692"/>
    <n v="2014"/>
    <s v="Carpenter Park Recreational Enhancement - Phase II"/>
    <s v="A"/>
    <n v="0"/>
    <s v="D"/>
    <s v="Town of Chichester"/>
    <s v="Phase II includes construction of a community services and storage bldg;expansion of the existing playground;construction of a new playground;landscaping, a natural amphitheater;completion of the picnic areas and community game courts."/>
    <s v="Carpenter Park"/>
    <s v="Merrimack"/>
    <n v="2"/>
    <n v="50"/>
  </r>
  <r>
    <x v="31"/>
    <n v="693"/>
    <n v="2014"/>
    <s v="Weirs Community Park Playground"/>
    <s v="A"/>
    <n v="0"/>
    <s v="D"/>
    <s v="City of Laconia"/>
    <s v="Installation of a vehicle parking, walkways, landscaping, playground structures, ADA access improvements picnic and pavilion. an amphitheater, and bathhouse facilities. Construction will be focused on constructing the playground."/>
    <s v="Weirs Community Park"/>
    <s v="BELKNAP"/>
    <n v="1"/>
    <n v="22"/>
  </r>
  <r>
    <x v="32"/>
    <n v="385"/>
    <n v="2011"/>
    <s v="Addition to Forest Education Resources Ctr."/>
    <s v="A"/>
    <n v="360000"/>
    <s v="A"/>
    <s v="New Jersey Dept. of Environmental Protection"/>
    <s v="Acquire 180 acres in Jackson Township in Ocean County as an addition to the State's Forest Education Resources Center."/>
    <s v="Forest Education Resource Center"/>
    <s v="OCEAN"/>
    <n v="4"/>
    <n v="180"/>
  </r>
  <r>
    <x v="32"/>
    <n v="387"/>
    <n v="2013"/>
    <s v="Addition to Island Beach State Park"/>
    <s v="A"/>
    <n v="1038000"/>
    <s v="A"/>
    <s v="State of NJ, Dept of Environmental Protection"/>
    <s v="Acquire .51 acre of land in Berkeley township in Ocean County as an Addition to Island Beach State Park"/>
    <s v="Island Beach State Park"/>
    <s v="OCEAN"/>
    <n v="0"/>
    <n v="0.5"/>
  </r>
  <r>
    <x v="33"/>
    <n v="1202"/>
    <n v="2012"/>
    <s v="BLUEWATER LAKE STATE PARK DEVELOPMENT"/>
    <s v="A"/>
    <n v="907500"/>
    <s v="D"/>
    <s v="NM STATE PARKS"/>
    <s v="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
    <s v="BLUEWATER LAKE STATE PARK"/>
    <s v="CIBOLA"/>
    <n v="2"/>
    <n v="3000"/>
  </r>
  <r>
    <x v="33"/>
    <n v="1201"/>
    <n v="2012"/>
    <s v="ROCKHOUND STATE PARK DEVELOPMENT"/>
    <s v="A"/>
    <n v="537000"/>
    <s v="D"/>
    <s v="NM STATE PARKS"/>
    <s v="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
    <s v="ROCK HOUND STATE PARK"/>
    <s v="LUNA"/>
    <n v="2"/>
    <n v="825"/>
  </r>
  <r>
    <x v="33"/>
    <n v="1204"/>
    <n v="2012"/>
    <s v="OASIS STATE PARK DEVELOPMENT"/>
    <s v="A"/>
    <n v="442000"/>
    <s v="D"/>
    <s v="NM STATE PARKS"/>
    <s v="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
    <s v="OASIS STATE PARK"/>
    <s v="Roosevelt"/>
    <n v="1"/>
    <n v="160"/>
  </r>
  <r>
    <x v="33"/>
    <n v="1203"/>
    <n v="2012"/>
    <s v="PANCHO VILLA STATE PARK DEVELOPMENT"/>
    <s v="A"/>
    <n v="175000"/>
    <s v="D"/>
    <s v="NM STATE PARKS"/>
    <s v="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
    <s v="PANCHO VILLA STATE PARK"/>
    <s v="LUNA"/>
    <n v="2"/>
    <n v="61"/>
  </r>
  <r>
    <x v="34"/>
    <n v="318"/>
    <n v="2011"/>
    <s v="VALLEY OF FIRE STATE PARK EAST FEE BOOTH"/>
    <s v="A"/>
    <n v="73287"/>
    <s v="R"/>
    <s v="NEVADA DIVISION OF STATE PARKS"/>
    <s v="One prefabricated building in the roadway to collect fees. The road will be widened and paved on one side to allow for access. Remove above ground power line, install new power line underground. Add visitor station and fee booth."/>
    <s v="VALLEY OF FIRE STATE PARK"/>
    <s v="Clark"/>
    <n v="0"/>
    <n v="42059.5"/>
  </r>
  <r>
    <x v="34"/>
    <n v="319"/>
    <n v="2011"/>
    <s v="CAVE LAKE SP SHOWER &amp; GENERATOR BLDG REMODEL"/>
    <s v="A"/>
    <n v="103959"/>
    <s v="R"/>
    <s v="NEVADA DIVISION OF STATE PARKS"/>
    <s v="Remodel the shower facility and generator building in the lake campground. The generator building's retaining wall will be rebuilt and the shower facility's interior and exterior will be remodeled, including the addition of solar panels."/>
    <s v="CAVE LAKE STATE PARK"/>
    <s v="WHITE PINE"/>
    <n v="2"/>
    <n v="490"/>
  </r>
  <r>
    <x v="34"/>
    <n v="324"/>
    <n v="2012"/>
    <s v="WILDHORSE SRA CAMPGROUND RENOVATION"/>
    <s v="A"/>
    <n v="150000"/>
    <s v="D"/>
    <s v="NEVADA DIVISION OF STATE PARKS"/>
    <s v="Install shade structures in the campground at Wild Horse State Recreation Area, extending the length of the season the facility can be used and improving the comfort and safety of visitors. Grant funds will also help install overnight cabins."/>
    <s v="WILD HORSE STATE RECREATION AREA"/>
    <s v="ELKO"/>
    <n v="2"/>
    <n v="80"/>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BOWERS MANSION REGIONAL PARK"/>
    <s v="WASHOE"/>
    <n v="2"/>
    <n v="49.5"/>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VIRGINIA FOOTHILLS PARK"/>
    <s v="WASHOE"/>
    <n v="2"/>
    <n v="14.5"/>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COLD SPRINGS PARK"/>
    <s v="WASHOE"/>
    <n v="2"/>
    <n v="13.5"/>
  </r>
  <r>
    <x v="34"/>
    <n v="320"/>
    <n v="2012"/>
    <s v="MOGUL PARK PLAYGROUND RESURFACE"/>
    <s v="A"/>
    <n v="86750"/>
    <s v="R"/>
    <s v="WASHOE COUNTY"/>
    <s v="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
    <s v="MOGUL PARK"/>
    <s v="WASHOE"/>
    <n v="2"/>
    <n v="13.1"/>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WILSON COMMONS PARK"/>
    <s v="WASHOE"/>
    <n v="2"/>
    <n v="4.9000000000000004"/>
  </r>
  <r>
    <x v="34"/>
    <n v="323"/>
    <n v="2012"/>
    <s v="IN-TOWN SKATE PARK REFURBISH"/>
    <s v="C"/>
    <n v="42450"/>
    <s v="R"/>
    <s v="CITY OF FERNLEY"/>
    <s v="Renovate a dilapidated and outdated skate park at In-Town Park. In accepting grant funds at this park, the City also commits to the American people, Nevada State Parks and the National Park Service that they will dedicate the land to public outdoor recreation in perpetuity."/>
    <s v="IN-TOWN PARK"/>
    <s v="Lyon"/>
    <n v="2"/>
    <n v="4.0999999999999996"/>
  </r>
  <r>
    <x v="34"/>
    <n v="325"/>
    <n v="2013"/>
    <s v="HERRERA SKATEBOARD PARK"/>
    <s v="C"/>
    <n v="49303"/>
    <s v="D"/>
    <s v="CITY OF ELKO"/>
    <s v="Install a new skateboard park in an existing city park."/>
    <s v="LEONARD HERRERA PARK"/>
    <s v="Elko"/>
    <n v="0"/>
    <n v="10.8"/>
  </r>
  <r>
    <x v="34"/>
    <n v="326"/>
    <n v="2013"/>
    <s v="GILMAN POND PARK AMENITIES"/>
    <s v="A"/>
    <n v="53654"/>
    <s v="D"/>
    <s v="TOWN OF GARDNERVILLE"/>
    <s v="Develop access and picnicking around the ponds, used by residents for fishing and wildlife viewing. Grant funds will also develop trail head parking for people to access the pathways in the park, which also connect to other public lands."/>
    <s v="GILMAN PONDS PARK"/>
    <s v="DOUGLAS"/>
    <n v="0"/>
    <n v="10.199999999999999"/>
  </r>
  <r>
    <x v="34"/>
    <n v="329"/>
    <n v="2013"/>
    <s v="AUTUMN WINDS PARK GAZEBO"/>
    <s v="A"/>
    <n v="30988"/>
    <s v="D"/>
    <s v="CITY OF FERNLEY"/>
    <s v="LWCF grant funds will help the city build a new gazebo and picnic area in their park."/>
    <s v="AUTUMN WINDS PARK"/>
    <s v="Churchill"/>
    <n v="0"/>
    <n v="4.9000000000000004"/>
  </r>
  <r>
    <x v="34"/>
    <n v="327"/>
    <n v="2013"/>
    <s v="BEATTY TOWN SQUARE"/>
    <s v="A"/>
    <n v="61285"/>
    <s v="D"/>
    <s v="NYE COUNTY"/>
    <s v="Develop a community gathering area. Development will include a memorial block wall with seating, benches, walkways, landscaping and irrigation. "/>
    <s v="ROBERT AND FLORENCE REVERT PARK"/>
    <s v="NYE"/>
    <n v="0"/>
    <n v="0.9"/>
  </r>
  <r>
    <x v="34"/>
    <n v="330"/>
    <n v="2013"/>
    <s v="VOF SP WATER LINE AND WELL"/>
    <s v="A"/>
    <n v="201853.2"/>
    <s v="R"/>
    <s v="NEVADA DIVISION OF STATE PARKS"/>
    <s v="LWCF grant funds will help State Parks install a new water line and well at Valley of Fire State Park to replace the one that is failing. This will ensure that the very popular park keeps a potable source of water for its visitors."/>
    <s v="VALLEY OF FIRE STATE PARK"/>
    <s v="Clark"/>
    <n v="0"/>
    <n v="42059.5"/>
  </r>
  <r>
    <x v="34"/>
    <n v="328"/>
    <n v="2013"/>
    <s v="CENTENNIAL PARK ADA ACCESS"/>
    <s v="A"/>
    <n v="75750"/>
    <s v="R"/>
    <s v="CITY OF CARSON CITY"/>
    <s v="LWCF grant funds will help the city rehabilitate an aged ballfield complex. Grant funds will upgrade surfaces, install a new picnic area, and add irrigation to extend the playing season"/>
    <s v="JOHN D. WINTERS CENTENNIAL PARK"/>
    <s v="Carson City"/>
    <n v="0"/>
    <n v="600"/>
  </r>
  <r>
    <x v="34"/>
    <n v="335"/>
    <n v="2014"/>
    <s v="KERSHAW RYAN EQUIPMENT GARAGE"/>
    <s v="A"/>
    <n v="0"/>
    <s v="D"/>
    <s v="NV DIVISION OF STATE PARKS"/>
    <m/>
    <s v="KERSHAW-RYAN STATE PARK"/>
    <s v="Lincoln"/>
    <n v="2"/>
    <n v="264"/>
  </r>
  <r>
    <x v="34"/>
    <n v="332"/>
    <n v="2014"/>
    <s v="JAKES WETLANDS TRAILHEAD"/>
    <s v="A"/>
    <n v="0"/>
    <s v="D"/>
    <s v="TOWN OF MINDEN"/>
    <s v="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
    <s v="JAKE'S WETLANDS TRAILHEAD"/>
    <s v="DOUGLAS"/>
    <n v="2"/>
    <n v="8.3000000000000007"/>
  </r>
  <r>
    <x v="34"/>
    <n v="336"/>
    <n v="2014"/>
    <s v="BEAVER DAM STATE PARK BURNED AREA REVEGETATION"/>
    <s v="A"/>
    <n v="0"/>
    <s v="R"/>
    <s v="NV DIVISION OF STATE PARKS"/>
    <m/>
    <s v="BEAVER DAM STATE PARK"/>
    <s v="Lincoln"/>
    <n v="2"/>
    <n v="5268.6"/>
  </r>
  <r>
    <x v="34"/>
    <n v="333"/>
    <n v="2014"/>
    <s v="NORTH VALLEYS REGIONAL PARK PLAYGROUND"/>
    <s v="A"/>
    <n v="0"/>
    <s v="R"/>
    <s v="WASHOE COUNTY"/>
    <s v="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
    <s v="NORTH VALLEYS REGIONAL PARK"/>
    <s v="WASHOE"/>
    <n v="2"/>
    <n v="74.599999999999994"/>
  </r>
  <r>
    <x v="34"/>
    <n v="334"/>
    <n v="2014"/>
    <s v="LION'S PARK ADA AND SAFETY IMPROVEMENTS"/>
    <s v="A"/>
    <n v="0"/>
    <s v="R"/>
    <s v="MINERAL COUNTY"/>
    <m/>
    <s v="LIONS PARK"/>
    <s v="Mineral"/>
    <n v="4"/>
    <n v="10.9"/>
  </r>
  <r>
    <x v="35"/>
    <n v="1307"/>
    <n v="2011"/>
    <s v="Chenango Valley State Park - Water Systems"/>
    <s v="A"/>
    <n v="525000"/>
    <s v="R"/>
    <s v="NYS OPRHP Central Region"/>
    <s v="Improve the esisting water distribution system. Deficiencies to be addressed are the aging distribution piping, low pressure in certain areas of the park and a labor intensive winterization process."/>
    <s v="CHENANGO VALLEY STATE PARK"/>
    <s v="BROOME"/>
    <n v="24"/>
    <n v="1136.5999999999999"/>
  </r>
  <r>
    <x v="35"/>
    <n v="1306"/>
    <n v="2011"/>
    <s v="Higley Flow State Park - Renovate Toilet/Shower"/>
    <s v="A"/>
    <n v="237500"/>
    <s v="R"/>
    <s v="NYS OPRHP Thousand Islands Region"/>
    <s v="Replace an existing toilet/shower bldg. The new concrete bldg, with wood siding and asphalt shingles, will replace the wood frames shower bldg built in 1981 and meet federal standards for accessibility with ADA compliant."/>
    <s v="HIGLEY Flow State Park"/>
    <s v="SAINT LAWRENCE"/>
    <n v="23"/>
    <n v="1115"/>
  </r>
  <r>
    <x v="35"/>
    <n v="1304"/>
    <n v="2011"/>
    <s v="Wildwood State Park - Renovation Development"/>
    <s v="A"/>
    <n v="750000"/>
    <s v="R"/>
    <s v="NYS OPRHP Long Island Region"/>
    <m/>
    <s v="Wildwood State Park"/>
    <s v="SUFFOLK"/>
    <n v="1"/>
    <n v="600"/>
  </r>
  <r>
    <x v="35"/>
    <n v="1305"/>
    <n v="2011"/>
    <s v="Keewaydin State Park - Renovate Bathhouse"/>
    <s v="A"/>
    <n v="115663.42"/>
    <s v="R"/>
    <s v="NYS OPRHP Thousand Islands Region"/>
    <s v="Renovate the deteriorated bathhouse in the pool area, install walkways and utilites, and create a lifeguard station at Keewaydin State Park. The new bath- house will meet ADA accessibility standards."/>
    <s v="KEEWAYDIN STATE PARK"/>
    <s v="JEFFERSON"/>
    <n v="23"/>
    <n v="241.1"/>
  </r>
  <r>
    <x v="35"/>
    <n v="1303"/>
    <n v="2011"/>
    <s v="Riverbank State Park - Renovate Track Facility"/>
    <s v="A"/>
    <n v="500000"/>
    <s v="R"/>
    <s v="NYS OPRHP New York City Region"/>
    <m/>
    <s v="Riverbank State Park"/>
    <s v="NEW YORK"/>
    <n v="15"/>
    <n v="28"/>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GRAFTON LAKE STATE PARK"/>
    <s v="RENSSELAER"/>
    <n v="20"/>
    <n v="2357"/>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Saratoga Spa State Park"/>
    <s v="SARATOGA"/>
    <n v="20"/>
    <n v="2033"/>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John B. Thacher State Park"/>
    <s v="ALBANY"/>
    <n v="21"/>
    <n v="1973.5"/>
  </r>
  <r>
    <x v="35"/>
    <n v="1310"/>
    <n v="2012"/>
    <s v="James Baird State Park - Golf Course Irrigation"/>
    <s v="A"/>
    <n v="750000"/>
    <s v="D"/>
    <s v="New York State - OPRHP"/>
    <s v="Install a new irrigation system on the 18 hole golf course as well as construct an irrigation pond to supply water for furture irrigation."/>
    <s v="James Baird State Park"/>
    <s v="DUTCHESS"/>
    <n v="20"/>
    <n v="660"/>
  </r>
  <r>
    <x v="35"/>
    <n v="1311"/>
    <n v="2012"/>
    <s v="Bear Mountain Bathhouse Renovation"/>
    <s v="A"/>
    <n v="500000"/>
    <s v="R"/>
    <s v="NY State OPRHP"/>
    <s v="This project is to provide a safe clean updated facility with improved access to the bathhouse, improved pedestrain circulation inside and and replacement of the plumbing and electric fixtures."/>
    <s v="Bear Mountain State Park"/>
    <s v="ROCKLAND"/>
    <n v="20"/>
    <n v="5067"/>
  </r>
  <r>
    <x v="35"/>
    <n v="1313"/>
    <n v="2012"/>
    <s v="Sunken Meadow Golf Course Irrigation"/>
    <s v="A"/>
    <n v="1200000"/>
    <s v="R"/>
    <s v="NY State OPRHP"/>
    <s v="This project will install a new irrigation system in two of the three 9-hole golf courses as well as construct an irrigation pond to supply water for future irrigation."/>
    <s v="SUNKEN MEADOW STATE PARK"/>
    <s v="Suffolk"/>
    <n v="0"/>
    <n v="1287.7"/>
  </r>
  <r>
    <x v="35"/>
    <n v="1314"/>
    <n v="2013"/>
    <s v="Sunken Meadow SP Bathhouse Renovation"/>
    <s v="A"/>
    <n v="1350000"/>
    <s v="R"/>
    <s v="State of NY - Office of Parks &amp; Rec and Historic Pres."/>
    <s v="Renovate and enlarge men's and women's bathrooms used in the summer and relocate the park police office to enable improvements to the winter bathrooms. Develop a park nature center."/>
    <s v="SUNKEN MEADOW STATE PARK"/>
    <s v="Suffolk"/>
    <n v="0"/>
    <n v="1287.7"/>
  </r>
  <r>
    <x v="36"/>
    <n v="1363"/>
    <n v="2011"/>
    <s v="FREDERICKTOWN RECREATION DISTRICT - COMMUNITY PARK"/>
    <s v="C"/>
    <n v="12562"/>
    <s v="A"/>
    <s v="FREDERICKTOWN RECREATION DISTRICT"/>
    <s v="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
    <s v="COMMUNITY PARK"/>
    <s v="KNOX"/>
    <n v="18"/>
    <n v="45.2"/>
  </r>
  <r>
    <x v="36"/>
    <n v="1362"/>
    <n v="2011"/>
    <s v="ERIE METROPARKS VERMILLION RIVER LAKESHORE"/>
    <s v="C"/>
    <n v="70343"/>
    <s v="A"/>
    <s v="ERIE METROPARKS"/>
    <s v="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
    <s v="VERMILLION RIVER LAKESHORE PRESERVE"/>
    <s v="ERIE"/>
    <n v="18"/>
    <n v="1.5"/>
  </r>
  <r>
    <x v="36"/>
    <n v="1371"/>
    <n v="2011"/>
    <s v="CITY OF WAUSEON - DOROTHY B. BIDDLE PARK"/>
    <s v="C"/>
    <n v="70343"/>
    <s v="D"/>
    <s v="CITY OF WAUSEON"/>
    <s v="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
    <s v="DOROTHY B. BIDDLE PARK"/>
    <s v="FULTON"/>
    <n v="5"/>
    <n v="64.8"/>
  </r>
  <r>
    <x v="36"/>
    <n v="1367"/>
    <n v="2011"/>
    <s v="ORANGE TOWNSHIP - GLEN OAK PARK"/>
    <s v="A"/>
    <n v="40196"/>
    <s v="D"/>
    <s v="ORANGE TOWNSHIP"/>
    <s v="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
    <s v="GLEN OAK PARK"/>
    <s v="DELAWARE"/>
    <n v="12"/>
    <n v="22.1"/>
  </r>
  <r>
    <x v="36"/>
    <n v="1370"/>
    <n v="2011"/>
    <s v="CITY OF ST. CLAIRSVILLE - CENTRAL PARK"/>
    <s v="C"/>
    <n v="70343"/>
    <s v="D"/>
    <s v="CITY OF CLAIRSVILLE"/>
    <s v="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
    <s v="CENTRAL PARK"/>
    <s v="BELMONT"/>
    <n v="18"/>
    <n v="15"/>
  </r>
  <r>
    <x v="36"/>
    <n v="1361"/>
    <n v="2011"/>
    <s v="AMHERST TOWNSHIP AM-TOWN PARK TRAIL"/>
    <s v="C"/>
    <n v="23349"/>
    <s v="D"/>
    <s v="AMHERST TOWNSHIP"/>
    <s v="Construct an additional 1,991 linear feet to the Am-Town Trail within Amherst Township Park. This project will complete a loop trail which will allow park users to more easily access the park’s soccer fields, baseball diamonds, playground, and picnic areas."/>
    <s v="AMHERST TOWNSHIP PARK"/>
    <s v="LORAIN"/>
    <n v="13"/>
    <n v="13.5"/>
  </r>
  <r>
    <x v="36"/>
    <n v="1368"/>
    <n v="2011"/>
    <s v="CITY OF SANDUSKY - LIONS PARK"/>
    <s v="C"/>
    <n v="70343"/>
    <s v="D"/>
    <s v="CITY OF SANDUSKY"/>
    <s v="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
    <s v="LIONS PARK"/>
    <s v="ERIE"/>
    <n v="9"/>
    <n v="13.3"/>
  </r>
  <r>
    <x v="36"/>
    <n v="1359"/>
    <n v="2011"/>
    <s v="VERNON TOWNSHIP COMMUNITY PARK"/>
    <s v="A"/>
    <n v="15034"/>
    <s v="D"/>
    <s v="VERNON TOWNSHIP"/>
    <s v="Develop 2 picnic shelters with accompanying sidewalks connecting them to each other and the adjacent parking lot. The long term benefit to this 7.35-acre park is in making it more useful to the overall community."/>
    <s v="VERNON TOWNSHIP COMMUNITY PARK"/>
    <s v="SCIOTO"/>
    <n v="6"/>
    <n v="7.4"/>
  </r>
  <r>
    <x v="36"/>
    <n v="1366"/>
    <n v="2011"/>
    <s v="CITY OF NEWARK - HOLLANDER POOL"/>
    <s v="C"/>
    <n v="33423"/>
    <s v="D"/>
    <s v="CITY OF NEWARK"/>
    <s v="The city of Newark (Licking County, Ohio) will utilize a Land and Water Conservation Fund grant to assist in replacing a pool liner at the community swimming pool. The pool has been closed since 2009 due to extensive water and chemical leakage problems."/>
    <s v="HOLLANDER PARK"/>
    <s v="Licking"/>
    <n v="12"/>
    <n v="5.6"/>
  </r>
  <r>
    <x v="36"/>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PYMATUNING STATE PARK"/>
    <s v="ASHTABULA"/>
    <n v="14"/>
    <n v="4918.7"/>
  </r>
  <r>
    <x v="36"/>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MOHICAN STATE PARK"/>
    <s v="ASHLAND"/>
    <n v="4"/>
    <n v="1108.3"/>
  </r>
  <r>
    <x v="36"/>
    <n v="1378"/>
    <n v="2012"/>
    <s v="FOREST RIDGE PRESERVE EXPANSION"/>
    <s v="A"/>
    <n v="75250"/>
    <s v="A"/>
    <s v="VILLAGE OF MORELAND HILLS"/>
    <s v="Moreland Hills (Cuyahoga County) will acquire 4.2-acres as an addition to the 14-acre Forest Ridge Preserve. The new land will create new recreational opportunities, link regional trails with parklands, and protect a stream restoration project on the existing parklands."/>
    <s v="FOREST RIDGE PRESERVE"/>
    <s v="CUYAHOGA"/>
    <n v="10"/>
    <n v="52"/>
  </r>
  <r>
    <x v="36"/>
    <n v="1379"/>
    <n v="2012"/>
    <s v="WINESBURG PARK"/>
    <s v="A"/>
    <n v="54319.5"/>
    <s v="A"/>
    <s v="PAINT TOWNSHIP TRUSTEES"/>
    <s v="Paint Township (Holmes County) will acquire 4.089 acres to expand the existing 4.8-acre Winesburg Park. Proposed future development includes a second baseball field, restrooms, a pavilion, and additional parking."/>
    <s v="WINESBURG PARK"/>
    <s v="HOLMES"/>
    <n v="18"/>
    <n v="8.9"/>
  </r>
  <r>
    <x v="36"/>
    <n v="1377"/>
    <n v="2012"/>
    <s v="HIRAM SCHOOL PARK"/>
    <s v="A"/>
    <n v="75250"/>
    <s v="A"/>
    <s v="VILLAGE OF HIRAM"/>
    <s v="Hiram (Portage County) will acquire 5.2 acres to create Hiram School Park. The proposed future development includes baseball and softball fields, soccer fields, a playground, picnic area, and parking lot."/>
    <s v="HIRAM SCHOOL PARK"/>
    <s v="PORTAGE"/>
    <n v="17"/>
    <n v="5.2"/>
  </r>
  <r>
    <x v="36"/>
    <n v="1374"/>
    <n v="2012"/>
    <s v="FAIRHOPE NATURE PRESERVE PICNIC SHELTER"/>
    <s v="C"/>
    <n v="33134"/>
    <s v="D"/>
    <s v="CITY OF CANTON"/>
    <s v="Canton (Stark County) will improve the 69-acre Fairhope Nature Preserve by constructing a picnic shelter."/>
    <s v="FAIRHOPE NATURE PRESERVE"/>
    <s v="STARK"/>
    <n v="16"/>
    <n v="69"/>
  </r>
  <r>
    <x v="36"/>
    <n v="1375"/>
    <n v="2012"/>
    <s v="ELYRIA TOWNSHIP-THE ROWLAND NATURE PRESERVE"/>
    <s v="A"/>
    <n v="71696"/>
    <s v="D"/>
    <s v="ELYRIA TOWNSHIP"/>
    <s v="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
    <s v="THE ROWLAND NATURE PRESERVE"/>
    <s v="LORAIN"/>
    <n v="13"/>
    <n v="58.3"/>
  </r>
  <r>
    <x v="36"/>
    <n v="1410"/>
    <n v="2014"/>
    <s v="DRODER ACQUISITION - NORTH RESERVOIR PORTAGE LAKES"/>
    <s v="A"/>
    <n v="68750"/>
    <s v="A"/>
    <s v="DEPT. OF NATURAL RESOURCES"/>
    <s v="The Ohio Department of Natural Resources will acquire a 1.94-acre lakefront parcel on North Reservoir, one of the canal feeder lakes in the Portage Lakes state system."/>
    <s v="NORTH RESERVOIR AT PORTAGE LAKES"/>
    <s v="SUMMIT"/>
    <n v="13"/>
    <n v="134"/>
  </r>
  <r>
    <x v="36"/>
    <n v="1385"/>
    <n v="2014"/>
    <s v="TIMBERSTONE ADDITION TO SYLVAN PARK PRAIRIE"/>
    <s v="A"/>
    <n v="87500"/>
    <s v="A"/>
    <s v="OLANDER PARK SYSTEM"/>
    <s v="The Olander Park System (Lucas County) will purchase 42 acres adjacent to Sylvan Prairie Park, an existing LWCF-assisted park."/>
    <s v="SYLVAN PRAIRIE PARK"/>
    <s v="Lucas"/>
    <n v="5"/>
    <n v="92.8"/>
  </r>
  <r>
    <x v="36"/>
    <n v="1376"/>
    <n v="2014"/>
    <s v="MIDDLEFIELD WETLANDS ACQUISITION"/>
    <s v="A"/>
    <n v="81109"/>
    <s v="A"/>
    <s v="GEAUGA PARK DISTRICT"/>
    <s v="The Geauga Park District (Geauga County) will acquire a 20-acre tract within the village of Middlefield containing 7.5 wetland acres."/>
    <s v="MIDDLEFIELD WETLANDS"/>
    <s v="GEAUGA"/>
    <n v="14"/>
    <n v="20"/>
  </r>
  <r>
    <x v="36"/>
    <n v="1402"/>
    <n v="2014"/>
    <s v="DRESDEN SWIM CENTER ACQUISITION"/>
    <s v="A"/>
    <n v="87500"/>
    <s v="A"/>
    <s v="VILLAGE OF DRESDEN"/>
    <s v="The village of Dresden will purchase the privately owned Dresden Swim Center. The Swim Center will become a public pool and the 6.74 acres included in the purchase will become a public park."/>
    <s v="DRESDEN SWIM CENTER"/>
    <s v="MUSKINGUM"/>
    <n v="6"/>
    <n v="6.7"/>
  </r>
  <r>
    <x v="36"/>
    <n v="1407"/>
    <n v="2014"/>
    <s v="MONDHANK ACQUISITION AT BUCKEYE LAKE"/>
    <s v="A"/>
    <n v="278125"/>
    <s v="A"/>
    <s v="DEPT. OF NATURAL RESOURCES"/>
    <s v="The Ohio Department of Natural Resources will acquire two parcels adjacent to Seller’s Point at Buckeye Lake. The total acreage for both parcels is 0.1553-acre. This acquisition will improve access to the state owned property for shoreline fishing and hiking."/>
    <s v="SELLER'S POINT AT BUCKEYE LAKE"/>
    <s v="FAIRFIELD"/>
    <n v="15"/>
    <n v="0.5"/>
  </r>
  <r>
    <x v="36"/>
    <n v="1408"/>
    <n v="2014"/>
    <s v="SCHAFER ACQUISITION AT BUCKEYE LAKE STATE PARK"/>
    <s v="A"/>
    <n v="93750"/>
    <s v="A"/>
    <s v="DEPT. OF NATURAL RESOURCES"/>
    <s v="The Ohio Department of Natural Resources will purchase a small lake front parcel for additional public access at Buckeye Lake, Ohio's oldest state park."/>
    <s v="BUCKEYE LAKE STATE PARK"/>
    <s v="FAIRFIELD"/>
    <n v="15"/>
    <n v="0"/>
  </r>
  <r>
    <x v="36"/>
    <n v="1409"/>
    <n v="2014"/>
    <s v="HOCKING STATE FOREST HORSE CAMP IMPROVEMENTS"/>
    <s v="A"/>
    <n v="143025"/>
    <s v="D"/>
    <s v="DEPT. OF NATURAL RESOURCES"/>
    <s v="The Ohio Department of Natural Resources (Division of Forestry) will improve an equestrian campground within the Hocking State Forest in Hocking County. Improvements will include replacement of an existing vault latrine, a new shelter house, and renovation of existing campsites."/>
    <s v="HOCKING STATE FOREST"/>
    <s v="Hocking"/>
    <n v="15"/>
    <n v="4370"/>
  </r>
  <r>
    <x v="36"/>
    <n v="1373"/>
    <n v="2014"/>
    <s v="BATH NATURE PRESERVE OBSERVATION AND FISHING DECK"/>
    <s v="A"/>
    <n v="52141"/>
    <s v="D"/>
    <s v="BATH TOWNSHIP"/>
    <s v="Bath Township will improve the Bath Nature Preserve by rebuilding an observation and fishing deck on Bath Pond. The grant scope includes the construction of a 460’ trail, a 124’ boardwalk, and a 20’ x 30’ deck which will benefit students, nature observers, and fishermen."/>
    <s v="BATH NATURE PRESERVE"/>
    <s v="Summit"/>
    <n v="13"/>
    <n v="60"/>
  </r>
  <r>
    <x v="36"/>
    <n v="1401"/>
    <n v="2014"/>
    <s v="CANFIELD PARK ACCESSIBILITY AND SAFETY UPGRADE"/>
    <s v="A"/>
    <n v="31250"/>
    <s v="D"/>
    <s v="CANFIELD TOWNSHIP"/>
    <s v="Canfield Township will build a pavilion, add picnic tables and charcoal grills, and install security cameras at Canfield Township Community Park."/>
    <s v="CANFIELD TOWNSHIP COMMUNITY PARK"/>
    <s v="MAHONING"/>
    <n v="6"/>
    <n v="56"/>
  </r>
  <r>
    <x v="36"/>
    <n v="1400"/>
    <n v="2014"/>
    <s v="RYAN SPORTS COMPLEX RENOVATION"/>
    <s v="A"/>
    <n v="88613"/>
    <s v="D"/>
    <s v="CITY OF CINCINNATI"/>
    <s v="Cincinnati will improve the Ryan Sports Complex by realigning and renovating the soccer and baseball fields and constructing an accessible, paved 2.5 mile walking pathway around the complex."/>
    <s v="RYAN SPORTS COMPLEX"/>
    <s v="HAMILTON"/>
    <n v="1"/>
    <n v="23"/>
  </r>
  <r>
    <x v="36"/>
    <n v="1382"/>
    <n v="2014"/>
    <s v="COUNTRYSIDE PARK"/>
    <s v="A"/>
    <n v="53015.5"/>
    <s v="D"/>
    <s v="WASHINGTON TOWNSHIP"/>
    <s v="Washington Township (Ohio) will improve the 26-acre Countryside Park by constructing the first of what will become a 5-pod playground. Each pod will have an environmental theme with this first one being referred to as the Butterfly Playground."/>
    <s v="COUNTRYSIDE PARK"/>
    <s v="MONTGOMERY"/>
    <n v="10"/>
    <n v="21.2"/>
  </r>
  <r>
    <x v="36"/>
    <n v="1397"/>
    <n v="2014"/>
    <s v="BEDFORD HEIGHTS MUNICIPAL PARK PAVILION PROJECT"/>
    <s v="A"/>
    <n v="37500"/>
    <s v="D"/>
    <s v="CITY OF BEDFORD HEIGHTS"/>
    <s v="The city of Bedford Heights (Cuyahoga County) will construct a picnic pavilion at Municipal Park."/>
    <s v="MUNICIPAL PARK"/>
    <s v="CUYAHOGA"/>
    <n v="11"/>
    <n v="14.5"/>
  </r>
  <r>
    <x v="36"/>
    <n v="1396"/>
    <n v="2014"/>
    <s v="VILLAGE PARK IMPROVEMENTS"/>
    <s v="A"/>
    <n v="41771"/>
    <s v="D"/>
    <s v="VILLAGE OF WASHINGTONVILLE"/>
    <s v="The village of Washingtonville will utilize a Land and Water Conservation Fund grant to assist in the installation of a playground and a basketball court within Village Park."/>
    <s v="WASHINGTONVILLE VILLAGE PARK"/>
    <s v="COLUMBIANA"/>
    <n v="6"/>
    <n v="14.1"/>
  </r>
  <r>
    <x v="36"/>
    <n v="1381"/>
    <n v="2014"/>
    <s v="KELLOGG PARK PLAYGROUND"/>
    <s v="A"/>
    <n v="29783"/>
    <s v="D"/>
    <s v="ANDERSON TOWNSHIP"/>
    <s v="Anderson Township (Hamilton County) will construct a playground at Kellogg Park."/>
    <s v="KELLOGG PARK"/>
    <s v="Hamilton"/>
    <n v="2"/>
    <n v="13.4"/>
  </r>
  <r>
    <x v="36"/>
    <n v="1386"/>
    <n v="2014"/>
    <s v="BELOIT COMMUNITY PARK RESTROOM"/>
    <s v="A"/>
    <n v="45755"/>
    <s v="D"/>
    <s v="VILLAGE OF BELOIT"/>
    <s v="The village of Beloit (Mahoning County) will construct an accessible restroom building within Village Park."/>
    <s v="BELOIT VILLAGE PARK"/>
    <s v="MAHONING"/>
    <n v="6"/>
    <n v="11.1"/>
  </r>
  <r>
    <x v="36"/>
    <n v="1384"/>
    <n v="2014"/>
    <s v="GRAFTON SPLASH STATION"/>
    <s v="A"/>
    <n v="56965"/>
    <s v="D"/>
    <s v="VILLAGE OF GRAFTON"/>
    <s v="The village of Grafton will improve North Park by installing a splash station."/>
    <s v="NORTH PARK"/>
    <s v="LORAIN"/>
    <n v="4"/>
    <n v="11"/>
  </r>
  <r>
    <x v="36"/>
    <n v="1395"/>
    <n v="2014"/>
    <s v="GALLOWAY PARK PLAYGROUND EXPANSION"/>
    <s v="A"/>
    <n v="5697"/>
    <s v="D"/>
    <s v="VILLAGE OF ENON"/>
    <s v="The village of Enon (Clark County, Ohio) will utilize a Land and Water Conservation Fund grant to assist in expanding the playground within the 6.96-acre Galloway Park to improve accessibility and enhance play opportunities for all children."/>
    <s v="GALLOWAY PARK"/>
    <s v="CLARK"/>
    <n v="8"/>
    <n v="7"/>
  </r>
  <r>
    <x v="36"/>
    <n v="1383"/>
    <n v="2014"/>
    <s v="HOLLANDER PARK POOL IMPROVEMENTS"/>
    <s v="A"/>
    <n v="60175.5"/>
    <s v="D"/>
    <s v="CITY OF NEWARK"/>
    <s v="The city of Newark (Ohio) will improve Hollander Park by constructing a spray pad within the swimming pool complex and adding traffic control features in the parking lot."/>
    <s v="HOLLANDER PARK"/>
    <s v="Licking"/>
    <n v="12"/>
    <n v="5.6"/>
  </r>
  <r>
    <x v="36"/>
    <n v="1404"/>
    <n v="2014"/>
    <s v="ROSEVILLE NEW SKATE PLAZA"/>
    <s v="A"/>
    <n v="87500"/>
    <s v="D"/>
    <s v="VILLAGE OF ROSEVILLE"/>
    <s v="The village of Roseville (Perry County) will improve Roseville Municipal Park by constructing a skate plaza and walking path."/>
    <s v="ROSEVILLE MUNICIPAL PARK"/>
    <s v="Perry"/>
    <n v="7"/>
    <n v="5"/>
  </r>
  <r>
    <x v="36"/>
    <n v="1387"/>
    <n v="2014"/>
    <s v="SHELBY HISTORIC BIKE AND RECREATION TRAIL"/>
    <s v="A"/>
    <n v="67500"/>
    <s v="D"/>
    <s v="CITY OF SHELBY"/>
    <s v="The city of Shelby (Richland County) will construct a recreation trail within Central Park in downtown Shelby."/>
    <s v="CENTRAL PARK"/>
    <s v="RICHLAND"/>
    <n v="7"/>
    <n v="3.2"/>
  </r>
  <r>
    <x v="36"/>
    <n v="1403"/>
    <n v="2014"/>
    <s v="VILLAGE OF OAK HARBOR NON MOTORIZED BOAT LAUNCH"/>
    <s v="A"/>
    <n v="78563"/>
    <s v="D"/>
    <s v="VILLAGE OF OAK HARBOR"/>
    <s v="The village of Oak Harbor (Ottawa County) will construct a boat launch along the Portage River for non-motorized vessels."/>
    <s v="OAK HARBOR BOAT LAUNCH"/>
    <s v="OTTAWA"/>
    <n v="5"/>
    <n v="0.2"/>
  </r>
  <r>
    <x v="36"/>
    <n v="1411"/>
    <n v="2014"/>
    <s v="LITTLE MIAMI SCENIC TRAIL RESURFACING PROJECT"/>
    <s v="A"/>
    <n v="388262"/>
    <s v="R"/>
    <s v="DEPT. OF NATURAL RESOURCES"/>
    <s v="The Ohio Department of Natural Resources will improve the state-owned sections of the Little Miami Scenic Trail."/>
    <s v="LITTLE MIAMI SCENIC TRAIL"/>
    <s v="CLINTON"/>
    <n v="15"/>
    <n v="427"/>
  </r>
  <r>
    <x v="36"/>
    <n v="1388"/>
    <n v="2014"/>
    <s v="MEADOWBROOK PARK POOL RENOVATION"/>
    <s v="C"/>
    <n v="88613"/>
    <s v="R"/>
    <s v="HOPEWELL TOWNSHIP"/>
    <s v="Hopewell Township (Ohio)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
    <s v="MEADOWBROOK PARK"/>
    <s v="Seneca"/>
    <n v="4"/>
    <n v="68"/>
  </r>
  <r>
    <x v="36"/>
    <n v="1399"/>
    <n v="2014"/>
    <s v="WYMAN WOODS ACCESSIBILITY IMPROVEMENTS"/>
    <s v="A"/>
    <n v="87500"/>
    <s v="R"/>
    <s v="CITY OF GRANDVIEW HEIGHTS"/>
    <s v="The city of Grandview Heights (Franklin County) will improve the 14.03-acre Wyman Woods Park by constructing a new playground to replace the existing play features, a vehicle turn around, and improvements to the shelter house restrooms."/>
    <s v="WYMAN WOODS"/>
    <s v="FRANKLIN"/>
    <n v="15"/>
    <n v="14"/>
  </r>
  <r>
    <x v="37"/>
    <n v="1191"/>
    <n v="2011"/>
    <s v="SCHROCK PARK BALLFIELD LIGHTING-PHASE II"/>
    <s v="A"/>
    <n v="147400"/>
    <s v="D"/>
    <s v="CITY OF TUTTLE"/>
    <s v="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
    <s v="SCHROCK PARK"/>
    <s v="GRADY"/>
    <n v="4"/>
    <n v="40"/>
  </r>
  <r>
    <x v="37"/>
    <n v="1194"/>
    <n v="2012"/>
    <s v="HARRAH SPLASH PARK-HERITAGE PARK"/>
    <s v="C"/>
    <n v="126642.3"/>
    <s v="D"/>
    <s v="TOWN OF HARRAH"/>
    <s v="The town of Harrah will install a new splash pad facility at Heritage Park. Harrah, located 25 miles east of downtown Oklahoma City does not have a swimming pool."/>
    <s v="HARRAH PARK"/>
    <s v="OKLAHOMA"/>
    <n v="5"/>
    <n v="25"/>
  </r>
  <r>
    <x v="37"/>
    <n v="1197"/>
    <n v="2012"/>
    <s v="COLLINSVILLE CITY PARK"/>
    <s v="C"/>
    <n v="132303"/>
    <s v="D"/>
    <s v="CITY OF COLLINSVILLE"/>
    <s v="Collinsville (Tulsa County) will improve Collinsville City Park by constructing two shelters, additional parking, and trail connections providing a link from the spray pad and playground area to the east side of the park where the tennis courts and softball field are located."/>
    <s v="COLLINSVILLE CITY PARK"/>
    <s v="TULSA"/>
    <n v="1"/>
    <n v="20"/>
  </r>
  <r>
    <x v="37"/>
    <n v="1199"/>
    <n v="2012"/>
    <s v="SUNRISE PARK SPLASHPAD"/>
    <s v="C"/>
    <n v="107200"/>
    <s v="D"/>
    <s v="CITY OF YUKON"/>
    <s v="Yukon (Canadian County) will improve Sunrise Park by constructing a splash pad with accessible sidewalks plus the installation of utilities and various park signs."/>
    <s v="SUNRISE PARK"/>
    <s v="CANADIAN"/>
    <n v="3"/>
    <n v="6.8"/>
  </r>
  <r>
    <x v="37"/>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LLOYD PLYLER PARK"/>
    <s v="BRYAN"/>
    <n v="2"/>
    <n v="5"/>
  </r>
  <r>
    <x v="37"/>
    <n v="1192"/>
    <n v="2012"/>
    <s v="LEGACY PARK PLAYGROUNDS"/>
    <s v="C"/>
    <n v="53600"/>
    <s v="D"/>
    <s v="TOWN OF GOLDSBY"/>
    <s v="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
    <s v="LEGACY PARK"/>
    <s v="MCCLAIN"/>
    <n v="4"/>
    <n v="3"/>
  </r>
  <r>
    <x v="37"/>
    <n v="1196"/>
    <n v="2012"/>
    <s v="HENNESSEY PARK &amp; AQUATIC CENTER-PHASE I"/>
    <s v="A"/>
    <n v="390709"/>
    <s v="D"/>
    <s v="TOWN OF HENNESSEY"/>
    <s v="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
    <s v="HENNESSEY RECREATIONAL PARK"/>
    <s v="KINGFISHER"/>
    <n v="3"/>
    <n v="3"/>
  </r>
  <r>
    <x v="37"/>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KEITHLEY PARK"/>
    <s v="BRYAN"/>
    <n v="2"/>
    <n v="2.5"/>
  </r>
  <r>
    <x v="37"/>
    <n v="1193"/>
    <n v="2012"/>
    <s v="TIGER VETERANS MEMORIAL PARK"/>
    <s v="A"/>
    <n v="118054"/>
    <s v="D"/>
    <s v="ROFF PUBLIC SCHOOLS"/>
    <s v="Roff Public Schools will improve Tiger Veterans Memorial Park by installing a new playground with a new fall safety surface, accessible sidewalks, an exercise trail with lighted fitness stations, and an amphitheater. Roff, population 734, is located in south central Oklahoma."/>
    <s v="TIGER VETERANS MEMORIAL PARK"/>
    <s v="PONTOTOC"/>
    <n v="4"/>
    <n v="1.7"/>
  </r>
  <r>
    <x v="37"/>
    <n v="1198"/>
    <n v="2012"/>
    <s v="CORDELL PARK SWIMMING POOL IMPROVEMENTS"/>
    <s v="C"/>
    <n v="39712"/>
    <s v="R"/>
    <s v="CITY OF CORDELL"/>
    <s v="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
    <s v="CORDELL PARK"/>
    <s v="WASHITA"/>
    <n v="3"/>
    <n v="2.5"/>
  </r>
  <r>
    <x v="37"/>
    <n v="1200"/>
    <n v="2013"/>
    <s v="BECKMAN PARK REVITALIZATION"/>
    <s v="C"/>
    <n v="159739"/>
    <s v="D"/>
    <s v="CITY OF MUSKOGEE"/>
    <m/>
    <s v="BECKMAN PARK"/>
    <s v="MUSKOGEE"/>
    <n v="0"/>
    <n v="3.8"/>
  </r>
  <r>
    <x v="37"/>
    <n v="1205"/>
    <n v="2014"/>
    <s v="HONOR HEIGHTS PARK ACQUISITION SOUTH"/>
    <s v="A"/>
    <n v="75000"/>
    <s v="A"/>
    <s v="CITY OF MUSKOGEE"/>
    <s v="The city of Muskogee (Muskogee County) will enlarge the 132-acre Honor Heights Park by acquiring 17.0 additional acres."/>
    <s v="HONOR HEIGHTS PARK"/>
    <s v="Muskogee"/>
    <n v="2"/>
    <n v="149"/>
  </r>
  <r>
    <x v="37"/>
    <n v="1203"/>
    <n v="2014"/>
    <s v="MORRIS EAGLE PARK"/>
    <s v="A"/>
    <n v="166194.60999999999"/>
    <s v="C"/>
    <s v="MORRIS PUBLIC SCHOOLS"/>
    <s v="The Morris Public Schools District (Okmulgee County) will acquire 30 acres and construct several picnic pavilions and a playground at Morris Eagle Park within the town of Morris. This community does not have another park."/>
    <s v="MORRIS EAGLE PARK"/>
    <s v="OKMULGEE"/>
    <n v="2"/>
    <n v="30"/>
  </r>
  <r>
    <x v="37"/>
    <n v="1202"/>
    <n v="2014"/>
    <s v="NEW PARK FIELDS - PHASE I"/>
    <s v="A"/>
    <n v="141000"/>
    <s v="D"/>
    <s v="CITY OF TUTTLE"/>
    <s v="The city of Tuttle (Grady County) will construct a series of soccer fields, a playground, and a 4,700 linear foot trail within the newly acquired 40-acre Tuttle Creek Park."/>
    <s v="TUTTLE CREEK PARK"/>
    <s v="GRADY"/>
    <n v="4"/>
    <n v="40"/>
  </r>
  <r>
    <x v="37"/>
    <n v="1206"/>
    <n v="2014"/>
    <s v="KELLY LANE PARK FITNESS ZONE AND PLAYGROUND"/>
    <s v="A"/>
    <n v="27271"/>
    <s v="D"/>
    <s v="CITY OF SAPULPA"/>
    <s v="The city of Sapulpa (Creek County) will develop a fitness zone and a new playground within Kelly Lane Park. The grant scope includes installing a modular play system and free standing play apparatus along with sidewalks, signs, and safety surfacing with a drainage system."/>
    <s v="KELLY LANE PARK"/>
    <s v="CREEK"/>
    <n v="3"/>
    <n v="25.4"/>
  </r>
  <r>
    <x v="37"/>
    <n v="1204"/>
    <n v="2014"/>
    <s v="REDBUD PARK"/>
    <s v="A"/>
    <n v="94467.5"/>
    <s v="D"/>
    <s v="CITY OF MARLOW"/>
    <s v="The city of Marlow (Stephens County) will construct a splashpad with shade shelters and site furnishings within the 14-acre Redbud Park."/>
    <s v="REDBUD PARK"/>
    <s v="STEPHENS"/>
    <n v="4"/>
    <n v="14.2"/>
  </r>
  <r>
    <x v="37"/>
    <n v="1201"/>
    <n v="2014"/>
    <s v="HEAVENER CITY PARK IMPROVEMENTS"/>
    <s v="A"/>
    <n v="132500"/>
    <s v="D"/>
    <s v="CITY OF HEAVENER"/>
    <s v="The city of Heavener (Le Flore County) will improve City Park by constructing a splash pad, a skate park, and walkways."/>
    <s v="HEAVENER CITY PARK"/>
    <s v="Leflore"/>
    <n v="2"/>
    <n v="8.1"/>
  </r>
  <r>
    <x v="37"/>
    <n v="1207"/>
    <n v="2014"/>
    <s v="SOUTH PARK SPLASH PAD"/>
    <s v="A"/>
    <n v="60199.5"/>
    <s v="D"/>
    <s v="CITY OF VINITA"/>
    <s v="The city of Vinita (Craig County) will construct a splash pad and install accessible sidewalks, utilities, fencing, and signs at South Park."/>
    <s v="SOUTH PARK"/>
    <s v="CRAIG"/>
    <n v="2"/>
    <n v="5.5"/>
  </r>
  <r>
    <x v="38"/>
    <n v="1579"/>
    <n v="2011"/>
    <s v="LAKE EWAUNA TRAIL PHASE 2"/>
    <s v="A"/>
    <n v="72516.33"/>
    <s v="D"/>
    <s v="CITY OF KLAMATH FALL &amp; KLAMATH COUNTY"/>
    <s v="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
    <s v="EWAUNA TRAIL"/>
    <s v="KLAMATH"/>
    <n v="2"/>
    <n v="6"/>
  </r>
  <r>
    <x v="38"/>
    <n v="1577"/>
    <n v="2011"/>
    <s v="NORTH SHORE TRAIL COUPLET"/>
    <s v="C"/>
    <n v="15616.8"/>
    <s v="D"/>
    <s v="CITY OF LEBANON"/>
    <s v="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
    <s v="CHEADLE LAKE TRAIL"/>
    <s v="Linn"/>
    <n v="4"/>
    <n v="2.2999999999999998"/>
  </r>
  <r>
    <x v="38"/>
    <n v="1572"/>
    <n v="2011"/>
    <s v="SHUTE PARK RENOVATION 2"/>
    <s v="C"/>
    <n v="102207.84"/>
    <s v="R"/>
    <s v="CITY OF HILLSBORO"/>
    <s v="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
    <s v="SHUTE PARK"/>
    <s v="WASHINGTON"/>
    <n v="1"/>
    <n v="11.4"/>
  </r>
  <r>
    <x v="38"/>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MILL CREEK PARK"/>
    <s v="MARION"/>
    <n v="5"/>
    <n v="8.5"/>
  </r>
  <r>
    <x v="38"/>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PORTER BOONE PARK"/>
    <s v="MARION"/>
    <n v="5"/>
    <n v="7.8"/>
  </r>
  <r>
    <x v="38"/>
    <n v="1574"/>
    <n v="2011"/>
    <s v="CENTRAL PARK PLAZA REHAB"/>
    <s v="C"/>
    <n v="64040"/>
    <s v="R"/>
    <s v="CITY OF CORVALLIS"/>
    <s v="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
    <s v="CENTRAL PARK"/>
    <s v="BENTON"/>
    <n v="5"/>
    <n v="4"/>
  </r>
  <r>
    <x v="38"/>
    <n v="1571"/>
    <n v="2011"/>
    <s v="ORCHARD PARK REHAB"/>
    <s v="A"/>
    <n v="190839.2"/>
    <s v="R"/>
    <s v="CITY OF HERMISTON"/>
    <s v="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
    <s v="VICTORY SQUARE PARK"/>
    <s v="Umatilla"/>
    <n v="2"/>
    <n v="2.8"/>
  </r>
  <r>
    <x v="38"/>
    <n v="1578"/>
    <n v="2012"/>
    <s v="PIONEER PARK DEVELOPMENT"/>
    <s v="A"/>
    <n v="140888"/>
    <s v="D"/>
    <s v="CITY OF SILVERTON"/>
    <s v="Grant funds will help the City realize their dream of turning this two acre vacant lot into a vibrant community park. Planned development elements include a picnic shelter, playground, and sports court. The grant will also help fund site improvements like irrigation and landscaping."/>
    <s v="PIONEER PARK"/>
    <s v="MARION"/>
    <n v="5"/>
    <n v="2"/>
  </r>
  <r>
    <x v="38"/>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TUMALO STATE PARK"/>
    <s v="Deschutes"/>
    <n v="0"/>
    <n v="330"/>
  </r>
  <r>
    <x v="38"/>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VALLEY OF THE ROGUE STATE PARK"/>
    <s v="JACKSON"/>
    <n v="2"/>
    <n v="238"/>
  </r>
  <r>
    <x v="38"/>
    <n v="1590"/>
    <n v="2014"/>
    <s v="LOWER DESCHUTES RIVER RANCH"/>
    <s v="A"/>
    <n v="0"/>
    <s v="A"/>
    <s v="OR DEPARTMENT OF FISH AND WILDLIFE"/>
    <s v="Acquisition of 965 acres of the Lower Deschutes River Ranch property to provide public access and recreation opportunities including indirect rate."/>
    <s v="LOWER DESCHUTES WILDLIFE AREA"/>
    <s v="MULTI-COUNTY"/>
    <n v="2"/>
    <n v="1165.7"/>
  </r>
  <r>
    <x v="38"/>
    <n v="1582"/>
    <n v="2014"/>
    <s v="OXBOW PARK NATURE BASED PLAY AREA"/>
    <s v="A"/>
    <n v="0"/>
    <s v="D"/>
    <s v="METRO"/>
    <s v="Construct nature-based play area at Oxbow Regional Park including design and engineering, utilities, surfacing, signs, trails, play pods, landscaping and indirect rate."/>
    <s v="OXBOW REGIONAL PARK"/>
    <s v="Clackamas"/>
    <n v="3"/>
    <n v="852.3"/>
  </r>
  <r>
    <x v="38"/>
    <n v="1585"/>
    <n v="2014"/>
    <s v="CROOKED RIVER WETLANDS PARK"/>
    <s v="A"/>
    <n v="0"/>
    <s v="D"/>
    <s v="CITY OF PRINEVILLE"/>
    <s v="Development of Crooked River Wetlands Park including multi-use paths, concrete sidewalks, benches, waterless restroom, interpretive facilities and indirect rate."/>
    <s v="CROOKED RIVER WETLANDS PARK"/>
    <s v="CROOK"/>
    <n v="2"/>
    <n v="280"/>
  </r>
  <r>
    <x v="38"/>
    <n v="1589"/>
    <n v="2014"/>
    <s v="TUMALO RETROOM BUILDING AND SEWER REHAB"/>
    <s v="A"/>
    <n v="0"/>
    <s v="R"/>
    <s v="OR DEPARTMENT OF PARKS AND RECREATION"/>
    <s v="Construction of restroom/shower building in the B-loop of Tumalo State Park including technical assistance, site work, sewage disposal systems and indirect rate."/>
    <s v="TUMALO STATE PARK"/>
    <s v="Deschutes"/>
    <n v="0"/>
    <n v="330"/>
  </r>
  <r>
    <x v="38"/>
    <n v="1587"/>
    <n v="2014"/>
    <s v="DALLAS CITY PARK RESTROOM REHABILITATION"/>
    <s v="A"/>
    <n v="0"/>
    <s v="R"/>
    <s v="CITY OF DALLAS"/>
    <s v="Rehabilitation of restroom structures in Dallas City Park including upgraded ventilation, stall partitions, lighting, plumbing, roofing and indirect rate."/>
    <s v="DALLAS CITY PARK"/>
    <s v="Polk"/>
    <n v="5"/>
    <n v="40"/>
  </r>
  <r>
    <x v="38"/>
    <n v="1584"/>
    <n v="2014"/>
    <s v="PIONEER PARK UPGRADE"/>
    <s v="A"/>
    <n v="0"/>
    <s v="R"/>
    <s v="CITY OF LA GRANDE"/>
    <s v="Restroom rehabilitation, playground replacement, playground surfacing, trail construction and indirect rate."/>
    <s v="PIONEER PARK"/>
    <s v="Union"/>
    <n v="2"/>
    <n v="30"/>
  </r>
  <r>
    <x v="38"/>
    <n v="1586"/>
    <n v="2014"/>
    <s v="CITY PARK REHABILITATION"/>
    <s v="A"/>
    <n v="0"/>
    <s v="R"/>
    <s v="CITY OF MCMINNVILLE"/>
    <s v="City Park rehabilitation including new kitchen shelter, barbeque, picnic table, drinking fountain, footbridge replacement, asphalt pathways, pavers, security cameras and indirect rate."/>
    <s v="MCMINNVILLE CITY PARK"/>
    <s v="Yamhill"/>
    <n v="1"/>
    <n v="13"/>
  </r>
  <r>
    <x v="38"/>
    <n v="1588"/>
    <n v="2014"/>
    <s v="LOST LAKE &amp; KEENIG CREEK CAMPGROUND TOILET"/>
    <s v="A"/>
    <n v="0"/>
    <s v="R"/>
    <s v="OR DEPARTMEN OF FORESTRY"/>
    <m/>
    <s v="CLATSOP STATE FOREST - LOST LAKE DAY USE AREA"/>
    <s v="CLATSOP"/>
    <n v="1"/>
    <n v="12.5"/>
  </r>
  <r>
    <x v="38"/>
    <n v="1588"/>
    <n v="2014"/>
    <s v="LOST LAKE &amp; KEENIG CREEK CAMPGROUND TOILET"/>
    <s v="A"/>
    <n v="0"/>
    <s v="R"/>
    <s v="OR DEPARTMEN OF FORESTRY"/>
    <m/>
    <s v="TILLAMOOK STATE FOREST - KEENIG CREEK CAMPGROUND"/>
    <s v="TILLAMOOK"/>
    <n v="5"/>
    <n v="12.3"/>
  </r>
  <r>
    <x v="38"/>
    <n v="1583"/>
    <n v="2014"/>
    <s v="VILLAGE GREEN RESTROOM AND BICYCLE STORAGE"/>
    <s v="A"/>
    <n v="0"/>
    <s v="R"/>
    <s v="CITY OF SISTERS"/>
    <s v="Improvements at Village Green Park including design, permits, site work, restroom facility, bicycle lockers, pathway, utilities and indirect rate."/>
    <s v="VILLAGE GREEN PARK"/>
    <s v="CLACKAMAS"/>
    <n v="3"/>
    <n v="1.3"/>
  </r>
  <r>
    <x v="39"/>
    <n v="1568"/>
    <n v="2011"/>
    <s v="Warwick Twp - Bates Property Acquisition"/>
    <s v="A"/>
    <n v="610000"/>
    <s v="A"/>
    <s v="Warwick Township"/>
    <s v="Warwick Twp has been awarded a LWCF grant to acquire 82.45 acres of open space and forest land know at the Bates Property. It is envisioned that this property will be transferred to PA state Game Lands #43 to be open for full breadth of public access, recreation and wild habitat."/>
    <s v="State Game Lands #43"/>
    <s v="CHESTER"/>
    <n v="6"/>
    <n v="82.5"/>
  </r>
  <r>
    <x v="39"/>
    <n v="1569"/>
    <n v="2011"/>
    <s v="Munro Property Acquisition"/>
    <s v="A"/>
    <n v="195000"/>
    <s v="A"/>
    <s v="Girard Borough"/>
    <s v="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
    <s v="Girard Borough Park"/>
    <s v="ERIE"/>
    <n v="3"/>
    <n v="73.099999999999994"/>
  </r>
  <r>
    <x v="39"/>
    <n v="1566"/>
    <n v="2011"/>
    <s v="Wineberry Estates Property Acquisition"/>
    <s v="A"/>
    <n v="372500"/>
    <s v="A"/>
    <s v="East Coventry Township"/>
    <s v="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
    <s v="Wineberry Estates Open Space"/>
    <s v="CHESTER"/>
    <n v="6"/>
    <n v="32.1"/>
  </r>
  <r>
    <x v="39"/>
    <n v="1564"/>
    <n v="2011"/>
    <s v="Sykes Properties Acquisition"/>
    <s v="C"/>
    <n v="248000"/>
    <s v="A"/>
    <s v="East Bradford Township"/>
    <s v="East Bradford Twp has been awarded a LWCF grant to acquire 2 parcels of land totaling 23.1 acres known as the Sykes properties. The township will protect critical habitat that includes threaten and endagered species.The Sykes properties are adjacent to Shaw's Bridge Park."/>
    <s v="Brandywide Farms"/>
    <s v="CHESTER"/>
    <n v="6"/>
    <n v="23.1"/>
  </r>
  <r>
    <x v="39"/>
    <n v="1567"/>
    <n v="2011"/>
    <s v="Pottstown Borough - Memorial Park"/>
    <s v="A"/>
    <n v="250000"/>
    <s v="R"/>
    <s v="Pottstown Borough"/>
    <m/>
    <s v="Memorial Park (Pottstown Borough)"/>
    <s v="MONTGOMERY"/>
    <n v="5"/>
    <n v="58"/>
  </r>
  <r>
    <x v="39"/>
    <n v="1565"/>
    <n v="2011"/>
    <s v="Brentwood Borough - Brentwood Community Park"/>
    <s v="A"/>
    <n v="838000"/>
    <s v="R"/>
    <s v="Brentwood Borough"/>
    <s v="This development project will be Phase I for the park and it will include 2 multi-purpose baseball, softball, foot- ball, and soccer fields, 4 tennis courts, 3 basketball courts, a deck for hockey rink and parking area."/>
    <s v="BRENTWOOD Community Park"/>
    <s v="ALLEGHENY"/>
    <n v="14"/>
    <n v="30"/>
  </r>
  <r>
    <x v="39"/>
    <n v="1570"/>
    <n v="2012"/>
    <s v="York City - Penn Park Phase I"/>
    <s v="A"/>
    <n v="265000"/>
    <s v="R"/>
    <s v="York City"/>
    <s v="This project on behalf of York city to develop new recreation facilities at Penn Park. This project will create new recreation opportunities that include new tot lot and playground equipment, a new misting pad and play area, and a rain garden."/>
    <s v="PENN PARK"/>
    <s v="YORK"/>
    <n v="19"/>
    <n v="15"/>
  </r>
  <r>
    <x v="39"/>
    <n v="1571"/>
    <n v="2012"/>
    <s v="Altoona Cty - Juniata Memorial Spray Park"/>
    <s v="A"/>
    <n v="318500"/>
    <s v="R"/>
    <s v="Altoona City"/>
    <s v="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
    <s v="Juniata Memorial Spray Park"/>
    <s v="BLAIR"/>
    <n v="17"/>
    <n v="5.7"/>
  </r>
  <r>
    <x v="39"/>
    <n v="1574"/>
    <n v="2013"/>
    <s v="Mayview Property Acquisition"/>
    <s v="A"/>
    <n v="395000"/>
    <s v="A"/>
    <s v="South Fayette Township"/>
    <s v="Acquisition of 67.9 +acres located adjacent to South Fayette Township Fairview Park with frontage along Mayview Road in South Fayette Twp. Waiver of retroactivity date is 08/08/2013"/>
    <s v="FAIRVIEW PARK"/>
    <s v="Allegheny"/>
    <n v="0"/>
    <n v="80.900000000000006"/>
  </r>
  <r>
    <x v="39"/>
    <n v="1579"/>
    <n v="2014"/>
    <s v="New Wilmington Community Park"/>
    <s v="A"/>
    <n v="0"/>
    <s v="R"/>
    <s v="New Wilmington Borough"/>
    <s v="The development will consist of Swimming Facilities and the Bathhouse."/>
    <s v="New Wilmington Community Park"/>
    <s v="LAWRENCE"/>
    <n v="3"/>
    <n v="7"/>
  </r>
  <r>
    <x v="40"/>
    <n v="168"/>
    <n v="2011"/>
    <s v="CERRO GORDO CAMPING AREA PARKING FACILITIES"/>
    <s v="C"/>
    <n v="206147"/>
    <s v="D"/>
    <s v="PUERTO RICO NATIONAL PARKS COMPANY"/>
    <s v="This project is for the development of parking facilities. This facility will improve the access for the general public, especially for people with special needs; and for visitors of the camping area and the bike trail. This is a 4.5+/- acre pre-existing recreational area park site."/>
    <s v="CERRO GORDO PUBLIC BEACH AND CAMPING FACILITIES"/>
    <s v="VEGA ALTA"/>
    <n v="99"/>
    <n v="4.5"/>
  </r>
  <r>
    <x v="40"/>
    <n v="169"/>
    <n v="2012"/>
    <s v="CERRO GORDO CAMPING FACILITIES"/>
    <s v="A"/>
    <n v="575000"/>
    <s v="R"/>
    <s v="PR NATIONAL PARKS COMPANY"/>
    <s v="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
    <s v="CERRO GORDO PUBLIC BEACH"/>
    <s v="VEGA ALTA"/>
    <n v="99"/>
    <n v="12.5"/>
  </r>
  <r>
    <x v="40"/>
    <n v="171"/>
    <n v="2013"/>
    <s v="MAUNABO LITTLE LEAGUE BASEBALL PARK"/>
    <s v="A"/>
    <n v="50000"/>
    <s v="D"/>
    <s v="PR NATIONAL PARK AND MUNICIPALITY OF MAUNABO"/>
    <s v="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
    <s v="MAUNABO LITTLE LEAGUE BASEBALL PARK"/>
    <s v="Maunabo"/>
    <n v="0"/>
    <n v="1.1000000000000001"/>
  </r>
  <r>
    <x v="40"/>
    <n v="172"/>
    <n v="2013"/>
    <s v="PATILLAS TRACK AND FIELD COMPLEX"/>
    <s v="A"/>
    <n v="420000"/>
    <s v="R"/>
    <s v="PR NATIONAL PARKS COMPANY"/>
    <s v="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
    <s v="PATILLAS TRACK AND FIELD COMPLEX"/>
    <s v="COUNTY NAME MISSING"/>
    <n v="0"/>
    <n v="8.6"/>
  </r>
  <r>
    <x v="40"/>
    <n v="176"/>
    <n v="2014"/>
    <s v="ADDITION TO SEVEN SEAS TRAILER CAMP AREA"/>
    <s v="A"/>
    <n v="0"/>
    <s v="D"/>
    <s v="PUERTO RICO NATIONAL PARKS COMPANY"/>
    <s v="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
    <s v="SEVEN SEAS TRAILER CAMP"/>
    <s v="COUNTY NAME MISSING"/>
    <n v="0"/>
    <n v="209.8"/>
  </r>
  <r>
    <x v="40"/>
    <n v="175"/>
    <n v="2014"/>
    <s v="COAMO VELODROME AND NEW SOCCER FIELD IMPROVEMENTS"/>
    <s v="A"/>
    <n v="0"/>
    <s v="D"/>
    <s v="MUNICIPALITY OF COAMO"/>
    <s v="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
    <s v="COAMO VELODROME"/>
    <s v="COUNTY NAME MISSING"/>
    <n v="0"/>
    <n v="38.299999999999997"/>
  </r>
  <r>
    <x v="40"/>
    <n v="174"/>
    <n v="2014"/>
    <s v="BARCELONETA MINI GOLF COURT"/>
    <s v="A"/>
    <n v="0"/>
    <s v="D"/>
    <s v="MUNICIPALITY OF BARCELONETA"/>
    <s v="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
    <s v="BARCELONETA MINIGOLF COURT"/>
    <s v="COUNTY NAME MISSING"/>
    <n v="99"/>
    <n v="2"/>
  </r>
  <r>
    <x v="40"/>
    <n v="173"/>
    <n v="2014"/>
    <s v="YABUCOA SKATEBOARD PARK"/>
    <s v="A"/>
    <n v="0"/>
    <s v="D"/>
    <s v="MUNICIPALITY OF YABUCOA"/>
    <s v="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
    <s v="YABUCOA SKATEBOARD PARK"/>
    <s v="COUNTY NAME MISSING"/>
    <n v="0"/>
    <n v="1.4"/>
  </r>
  <r>
    <x v="41"/>
    <n v="393"/>
    <n v="2011"/>
    <s v="East Matunuck State Beach"/>
    <s v="A"/>
    <n v="727845"/>
    <s v="R"/>
    <s v="State of Rhode Island Dept. of Environmental Mgmt."/>
    <m/>
    <s v="East Matnuck State Beach"/>
    <s v="WASHINGTON"/>
    <n v="2"/>
    <n v="31.5"/>
  </r>
  <r>
    <x v="42"/>
    <n v="1094"/>
    <n v="2012"/>
    <s v="WALNUT HILL PARK"/>
    <s v="A"/>
    <n v="125000"/>
    <s v="D"/>
    <s v="TOWN OF MEGGETT"/>
    <s v="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
    <s v="WALNUT HILL PARK"/>
    <s v="CHARLESTON"/>
    <n v="6"/>
    <n v="148.30000000000001"/>
  </r>
  <r>
    <x v="42"/>
    <n v="1095"/>
    <n v="2012"/>
    <s v="RIVERVIEW PARK ADAPTIVE PLAYGROUND"/>
    <s v="C"/>
    <n v="100000"/>
    <s v="D"/>
    <s v="CITY OF NORTH AUGUSTA"/>
    <s v="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
    <s v="RIVERVIEW PARK PHASE II"/>
    <s v="Aiken"/>
    <n v="3"/>
    <n v="125.2"/>
  </r>
  <r>
    <x v="42"/>
    <n v="1093"/>
    <n v="2012"/>
    <s v="GIVHANS FERRY STAE PARK RIVER ACCESS"/>
    <s v="A"/>
    <n v="150000"/>
    <s v="D"/>
    <s v="SC DEPT OF PARKS, RECREATION &amp; TOURISM"/>
    <s v="This grant will be used to help provide access to the Edisto River by stabilizing the shoreline and building pathways as well as develop a canoe/kayak launch at Givhans Ferry State Park. This project will add an additional 33.1± acres as 6(f) protected land."/>
    <s v="GIVHANS FERRY STATE PARK"/>
    <s v="DORCHESTER"/>
    <n v="6"/>
    <n v="40.1"/>
  </r>
  <r>
    <x v="42"/>
    <n v="1097"/>
    <n v="2013"/>
    <s v="HOLSTON CREEK PARK DEVELOPMENT"/>
    <s v="A"/>
    <n v="250000"/>
    <s v="D"/>
    <s v="SPARTANBURG COUNTY"/>
    <s v="Grant will fund new park 101.8 acres known as Holston Creek Park that will include the development of an 18 hole championship disc golf course, picnic shelters, wetland boardwalks, playground amenities access roads, and 236 spance parking area."/>
    <s v="HOLSTON CREEK PARK DEVELOPMENT"/>
    <s v="Spartanburg"/>
    <n v="0"/>
    <n v="101.8"/>
  </r>
  <r>
    <x v="42"/>
    <n v="1098"/>
    <n v="2013"/>
    <s v="MCBEE RECREATION COMPLEX"/>
    <s v="A"/>
    <n v="250000"/>
    <s v="D"/>
    <s v="TOWN OF MCBEE"/>
    <s v="This grant will be used to fund the development of two baseball fields, a concession/press box facility with restrooms, parking and other support facilities at an existing park, which 14.0 acres will be placed under 6(f) protection."/>
    <s v="MCBEE RECREATION COMPLEX"/>
    <s v="CHESTERFIELD"/>
    <n v="0"/>
    <n v="14"/>
  </r>
  <r>
    <x v="42"/>
    <n v="1096"/>
    <n v="2013"/>
    <s v="MCLEOD PLANTATION PARK PHASE I"/>
    <s v="A"/>
    <n v="250000"/>
    <s v="D"/>
    <s v="CHARLESTON COUNTY PARK &amp; RECREATION COMMISSION"/>
    <s v="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
    <s v="MCLEOD PLANTATION"/>
    <s v="CHARLESTON"/>
    <n v="0"/>
    <n v="11.6"/>
  </r>
  <r>
    <x v="43"/>
    <n v="1444"/>
    <n v="2011"/>
    <s v="BLOOD RUN ACQUISITION AND DEVELOPMENT"/>
    <s v="A"/>
    <n v="584088.11"/>
    <s v="C"/>
    <s v="STATE OF SOUTH DAKOTA"/>
    <s v="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
    <s v="GOOD EARCH STATE PARK AT BLOOD RUN"/>
    <s v="Lincoln"/>
    <n v="0"/>
    <n v="106"/>
  </r>
  <r>
    <x v="43"/>
    <n v="1428"/>
    <n v="2011"/>
    <s v="LAKE HIDDENWOOD PLAYGROUND INSTALLATION"/>
    <s v="C"/>
    <n v="11756.72"/>
    <s v="D"/>
    <s v="STATE OF SOUTH DAKOTA"/>
    <s v="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
    <s v="LAKE HIDDENWOOD RECREATION AREA"/>
    <s v="WALWORTH"/>
    <n v="0"/>
    <n v="330"/>
  </r>
  <r>
    <x v="43"/>
    <n v="1427"/>
    <n v="2011"/>
    <s v="ROY LAKE POWER LINE BURIAL"/>
    <s v="C"/>
    <n v="3438.64"/>
    <s v="D"/>
    <s v="STATE OF SOUTH DAKOTA"/>
    <s v="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
    <s v="ROY LAKE STATE PARK"/>
    <s v="MARSHALL"/>
    <n v="0"/>
    <n v="320"/>
  </r>
  <r>
    <x v="43"/>
    <n v="1429"/>
    <n v="2011"/>
    <s v="LAKE LOUISE PLAYGROUND INSTALLATION"/>
    <s v="C"/>
    <n v="11622.15"/>
    <s v="D"/>
    <s v="STATE OF SOUTH DAKOTA"/>
    <s v="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
    <s v="LAKE LOUISE RECREATION AREA"/>
    <s v="HAND"/>
    <n v="0"/>
    <n v="317"/>
  </r>
  <r>
    <x v="43"/>
    <n v="1431"/>
    <n v="2011"/>
    <s v="BERESFORD GRACE V NELSON MEMORIAL FIELDS &amp; SPORTS"/>
    <s v="C"/>
    <n v="12661"/>
    <s v="D"/>
    <s v="CITY OF BERESFORD"/>
    <s v="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
    <s v="GRACE V NELSON MEMORIAL FIELDS &amp; SPORTS COMPLEX"/>
    <s v="UNION"/>
    <n v="0"/>
    <n v="9"/>
  </r>
  <r>
    <x v="43"/>
    <n v="1435"/>
    <n v="2011"/>
    <s v="HARRISBURG HEARTLAND PARK DEVELOPMENT"/>
    <s v="C"/>
    <n v="16331.85"/>
    <s v="D"/>
    <s v="CITY OF HARRISBURG"/>
    <s v="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
    <s v="HEARTLAND PARK"/>
    <s v="LINCOLN"/>
    <n v="0"/>
    <n v="4.8"/>
  </r>
  <r>
    <x v="43"/>
    <n v="1440"/>
    <n v="2011"/>
    <s v="HOWLING RIDGE PARK DEVELOPMENT"/>
    <s v="C"/>
    <n v="23205.599999999999"/>
    <s v="D"/>
    <s v="CITY OF TEA"/>
    <s v="The city of Tea (South Dakota) will utilize a Land and Water Conservation Fund grant to assist in constructing a new playground in Howling Ridge Park which was established in 2010. Tea is a rapidly growing community on the edge of Sioux Falls (South Dakota’s largest city)."/>
    <s v="HOWLING RIDGE PARK"/>
    <s v="LINCOLN"/>
    <n v="0"/>
    <n v="2.4"/>
  </r>
  <r>
    <x v="43"/>
    <n v="1430"/>
    <n v="2011"/>
    <s v="ABERDEEN SOUTHWEST PARK PLAYGROUND DEVELOPMENT"/>
    <s v="C"/>
    <n v="26376"/>
    <s v="D"/>
    <s v="CITY OF ABERDEEN"/>
    <s v="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
    <s v="SOUTHWEST PARK"/>
    <s v="BROWN"/>
    <n v="0"/>
    <n v="1.4"/>
  </r>
  <r>
    <x v="43"/>
    <n v="1432"/>
    <n v="2011"/>
    <s v="BRANDON McHARDY PARK PLAYGROUND RENOVATION"/>
    <s v="C"/>
    <n v="23633"/>
    <s v="R"/>
    <s v="CITY OF BRANDON"/>
    <s v="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
    <s v="McHARDY PARK"/>
    <s v="MINNEHAHA"/>
    <n v="0"/>
    <n v="74.400000000000006"/>
  </r>
  <r>
    <x v="43"/>
    <n v="1439"/>
    <n v="2011"/>
    <s v="PIERRE GRIFFIN PARK PLAYGROUND RENOVATION"/>
    <s v="C"/>
    <n v="17936"/>
    <s v="R"/>
    <s v="CITY OF PIERRE"/>
    <s v="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
    <s v="GRIFFIN PARK"/>
    <s v="HUGHES"/>
    <n v="0"/>
    <n v="33.6"/>
  </r>
  <r>
    <x v="43"/>
    <n v="1443"/>
    <n v="2011"/>
    <s v="YANKTON SERTOMA PARK PLAYGROUND RENOVATION"/>
    <s v="C"/>
    <n v="41370"/>
    <s v="R"/>
    <s v="CITY OF YANKTON"/>
    <s v="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
    <s v="SERTOMA PARK"/>
    <s v="YANKTON"/>
    <n v="0"/>
    <n v="27.3"/>
  </r>
  <r>
    <x v="43"/>
    <n v="1434"/>
    <n v="2011"/>
    <s v="CENTERVILLE PEDER LARSON PARK PLAYGROUND"/>
    <s v="C"/>
    <n v="26376"/>
    <s v="R"/>
    <s v="CITY OF CENTERVILLE"/>
    <s v="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
    <s v="PEDER LARSON PARK"/>
    <s v="Turner"/>
    <n v="0"/>
    <n v="20.7"/>
  </r>
  <r>
    <x v="43"/>
    <n v="1441"/>
    <n v="2011"/>
    <s v="TYNDALL WEST SIDE PARK PLAYGROUND RENOVATION"/>
    <s v="C"/>
    <n v="31376"/>
    <s v="R"/>
    <s v="CITY OF TYNDALL"/>
    <s v="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
    <s v="WEST SIDE PARK"/>
    <s v="BON HOMME"/>
    <n v="0"/>
    <n v="17.2"/>
  </r>
  <r>
    <x v="43"/>
    <n v="1436"/>
    <n v="2011"/>
    <s v="MADISON WESTSIDE PARK TENNIS/BASKETBALL COURT"/>
    <s v="C"/>
    <n v="46376"/>
    <s v="R"/>
    <s v="CITY OF MADISON"/>
    <s v="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
    <s v="WESTSIDE PARK"/>
    <s v="LAKE"/>
    <n v="0"/>
    <n v="9"/>
  </r>
  <r>
    <x v="43"/>
    <n v="1433"/>
    <n v="2011"/>
    <s v="BROOKINGS LIONS PARK PLAYGROUND IMPROVEMENTS"/>
    <s v="C"/>
    <n v="25321"/>
    <s v="R"/>
    <s v="CITY OF BROOKINGS"/>
    <s v="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
    <s v="LIONS PARK"/>
    <s v="BROOKINGS"/>
    <n v="0"/>
    <n v="2.4"/>
  </r>
  <r>
    <x v="43"/>
    <n v="1442"/>
    <n v="2011"/>
    <s v="WOOD TOWN PARK PLAYGROUND RENOVATION"/>
    <s v="C"/>
    <n v="10578"/>
    <s v="R"/>
    <s v="CITY OF WOOD"/>
    <s v="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
    <s v="WOOD TOWN PARK"/>
    <s v="MELLETTE"/>
    <n v="0"/>
    <n v="2"/>
  </r>
  <r>
    <x v="43"/>
    <n v="1438"/>
    <n v="2011"/>
    <s v="PARKER PLAYGROUND EQUIPMENT REPLACEMENT"/>
    <s v="C"/>
    <n v="20820"/>
    <s v="R"/>
    <s v="CITY OF PARKER"/>
    <s v="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
    <s v="PARKER CITY PARK"/>
    <s v="TURNER"/>
    <n v="0"/>
    <n v="1.8"/>
  </r>
  <r>
    <x v="43"/>
    <n v="1437"/>
    <n v="2011"/>
    <s v="MAPLETON TOWNSHIP RENNER PARK PLAYGROUND"/>
    <s v="C"/>
    <n v="10567"/>
    <s v="R"/>
    <s v="MAPLETON TOWNSHIP"/>
    <s v="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
    <s v="RENNER PARK"/>
    <s v="MINNEHAHA"/>
    <n v="0"/>
    <n v="1.3"/>
  </r>
  <r>
    <x v="43"/>
    <n v="1445"/>
    <n v="2012"/>
    <s v="BLOOD RUN ROAD/COMFORT STATION"/>
    <s v="A"/>
    <n v="560703.12"/>
    <s v="D"/>
    <s v="STATE OF SOUTH DAKOTA"/>
    <s v="South Dakota State Parks will begin development of Blood Run State Park by constructing roads and a comfort station. An LWCF grant in 2011 assisted the State in purchasing 106 acres for the creation of the park. The entire acreage is within the Blood Run National Historic Landmark."/>
    <s v="GOOD EARCH STATE PARK AT BLOOD RUN"/>
    <s v="Lincoln"/>
    <n v="0"/>
    <n v="106"/>
  </r>
  <r>
    <x v="43"/>
    <n v="1448"/>
    <n v="2013"/>
    <s v="BRANDON ASPEN PARK LAND ACQUISITION PROJECT"/>
    <s v="C"/>
    <n v="51370"/>
    <s v="A"/>
    <s v="CITY OF BRANDON"/>
    <s v="The city of Brandon will acquire 11 acres as an addition to Aspen Park."/>
    <s v="ASPEN PARK"/>
    <s v="Minnehaha"/>
    <n v="0"/>
    <n v="78.2"/>
  </r>
  <r>
    <x v="43"/>
    <n v="1455"/>
    <n v="2013"/>
    <s v="PIERRE 4th STREET PARK IMPROVEMENTS"/>
    <s v="A"/>
    <n v="25331"/>
    <s v="D"/>
    <s v="CITY OF PIERRE"/>
    <s v="The city of Pierre will install playground equipment and construct a picnic shelter and walkways in the newly created Fourth Street Park."/>
    <s v="FOURTH STREET PARK"/>
    <s v="HUGHES"/>
    <n v="0"/>
    <n v="17"/>
  </r>
  <r>
    <x v="43"/>
    <n v="1449"/>
    <n v="2013"/>
    <s v="BROOKINGS VALLEY VIEW PARK DEVELOPMENT"/>
    <s v="A"/>
    <n v="46386"/>
    <s v="D"/>
    <s v="CITY OF BROOKINGS"/>
    <s v="The city of Brookings will implement the initial development of Valley View Park by installing playground equipment and a small pedestrian bridge."/>
    <s v="VALLEY VIEW PARK"/>
    <s v="BROOKINGS"/>
    <n v="0"/>
    <n v="1.5"/>
  </r>
  <r>
    <x v="43"/>
    <n v="1456"/>
    <n v="2013"/>
    <s v="STURGIS STARLINE PARK PROJECT"/>
    <s v="A"/>
    <n v="29386"/>
    <s v="D"/>
    <s v="CITY OF STURGIS"/>
    <m/>
    <s v="STARLINE PARK"/>
    <s v="MEADE"/>
    <n v="0"/>
    <n v="0.2"/>
  </r>
  <r>
    <x v="43"/>
    <n v="1450"/>
    <n v="2013"/>
    <s v="DELL RAPIDS CITY PARK PLAYGROUND PROJECT"/>
    <s v="C"/>
    <n v="39386"/>
    <s v="R"/>
    <s v="CITY OF DELL RAPIDS"/>
    <m/>
    <s v="DELL RAPIDS CITY PARK"/>
    <s v="Minnehaha"/>
    <n v="0"/>
    <n v="40"/>
  </r>
  <r>
    <x v="43"/>
    <n v="1452"/>
    <n v="2013"/>
    <s v="GREGORY MEMORIAL SPORTS PARK PLAYGROUND PROJECT"/>
    <s v="C"/>
    <n v="28386"/>
    <s v="R"/>
    <s v="CITY OF GREGORY"/>
    <m/>
    <s v="GREGORY MEMORIAL SPORTS PARK"/>
    <s v="GREGORY"/>
    <n v="0"/>
    <n v="16"/>
  </r>
  <r>
    <x v="43"/>
    <n v="1446"/>
    <n v="2013"/>
    <s v="BERESFORD BURLOW PARK PLAYGROUND EQUIPMENT PROJECT"/>
    <s v="A"/>
    <n v="19324"/>
    <s v="R"/>
    <s v="CITY OF BERESFORD"/>
    <m/>
    <s v="BULOW PARK"/>
    <s v="Union"/>
    <n v="0"/>
    <n v="15"/>
  </r>
  <r>
    <x v="43"/>
    <n v="1454"/>
    <n v="2013"/>
    <s v="LENNOX POOL AND BATHHOUSE IMPROVEMENT PROJECT"/>
    <s v="A"/>
    <n v="47386"/>
    <s v="R"/>
    <s v="CITY OF LENNOX"/>
    <m/>
    <s v="WESTERMAN PARK"/>
    <s v="LINCOLN"/>
    <n v="0"/>
    <n v="15"/>
  </r>
  <r>
    <x v="43"/>
    <n v="1447"/>
    <n v="2013"/>
    <s v="BOX ELDER BOYKIN PARK PLAYGROUND EQUIPMENT"/>
    <s v="A"/>
    <n v="51386"/>
    <s v="R"/>
    <s v="CITY OF BOX ELDER"/>
    <m/>
    <s v="BOYKIN PARK"/>
    <s v="PENNINGTON"/>
    <n v="0"/>
    <n v="3.3"/>
  </r>
  <r>
    <x v="43"/>
    <n v="1453"/>
    <n v="2013"/>
    <s v="GROTON CITY PARK EQUIPMENT REPLACEMENT PROJECT"/>
    <s v="C"/>
    <n v="12665"/>
    <s v="R"/>
    <s v="CITY OF GROTON"/>
    <s v="The city of Groton will remove outdated, unsafe playground equipment and replace it with modern, universally accessible apparatus at Groton City Park."/>
    <s v="GROTON CITY PARK"/>
    <s v="Brown"/>
    <n v="0"/>
    <n v="2.1"/>
  </r>
  <r>
    <x v="43"/>
    <n v="1451"/>
    <n v="2013"/>
    <s v="GETTYSBURG LITTLE ANGELS PLAYGROUND IMPROVEMENTS"/>
    <s v="A"/>
    <n v="21109"/>
    <s v="R"/>
    <s v="CITY OF GETTYSBURG"/>
    <s v="The city of Gettysburg will remove unsafe playground equipment and a picnic shelter and replace them with modern, universally accessible apparatus and structures at Little Angels Park."/>
    <s v="LITTLE ANGELS PARK"/>
    <s v="Potter"/>
    <n v="0"/>
    <n v="1.2"/>
  </r>
  <r>
    <x v="44"/>
    <n v="796"/>
    <n v="2011"/>
    <s v="FIERY GIZZARD LAND ACQUISITION"/>
    <s v="C"/>
    <n v="459031"/>
    <s v="A"/>
    <s v="TENNESSEE STATE PARKS"/>
    <s v="Grant funds will be used to acquire 2902+/- acres of Fiery Gizzard Land Acquisition. This land will be used for preservation and resource based public outdoor recreation."/>
    <s v="CUMBERLAND STATE RECREATION AREA"/>
    <s v="MARION"/>
    <n v="4"/>
    <n v="2902"/>
  </r>
  <r>
    <x v="44"/>
    <n v="798"/>
    <n v="2011"/>
    <s v="CUMMINS FALLS LAND ACQUISITION"/>
    <s v="A"/>
    <n v="507348"/>
    <s v="A"/>
    <s v="TENNESSEE STATE PARKS"/>
    <s v="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
    <s v="CUMMINS FALLS STATE NATURAL AREA"/>
    <s v="JACKSON"/>
    <n v="6"/>
    <n v="211"/>
  </r>
  <r>
    <x v="44"/>
    <n v="797"/>
    <n v="2011"/>
    <s v="T.O. FULLER STATE PARK-NATURE CENTER"/>
    <s v="A"/>
    <n v="466527"/>
    <s v="D"/>
    <s v="TENNESSEE STATE PARKS"/>
    <s v="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
    <s v="T.O. FULLER STATE PARK"/>
    <s v="Shelby"/>
    <n v="9"/>
    <n v="1459"/>
  </r>
  <r>
    <x v="44"/>
    <n v="799"/>
    <n v="2011"/>
    <s v="T.O. FULLER STATE PARK- SPRAY PARK"/>
    <s v="A"/>
    <n v="81642"/>
    <s v="D"/>
    <s v="TENNESSEE STATE PARKS"/>
    <s v="Grant funds will be used to enhance the existing 806.23+/- acres of T.O. Fuller State Park. This proposal is to replace an existing pool with a spray/splash pad that will receive enormous use from the community."/>
    <s v="T.O. FULLER STATE PARK"/>
    <s v="Shelby"/>
    <n v="9"/>
    <n v="1459"/>
  </r>
  <r>
    <x v="44"/>
    <n v="809"/>
    <n v="2012"/>
    <s v="FROZEN HEAD STATE PARK PLAYGROUND"/>
    <s v="A"/>
    <n v="36610"/>
    <s v="R"/>
    <s v="TENNESSEE STATE PARKS"/>
    <s v="Grant funds will be used to enhance the existing 22,409.55+ acres of Frozen Head State Park. This proposal is to renovate the existing playground equipment that has received enormous use from the community."/>
    <s v="FROZEN HEAD STATE PARK"/>
    <s v="MORGAN"/>
    <n v="5"/>
    <n v="19514"/>
  </r>
  <r>
    <x v="44"/>
    <n v="801"/>
    <n v="2012"/>
    <s v="MEEMAN SHELBY STATE PARK PLAYGROUND REPLACEMENT"/>
    <s v="A"/>
    <n v="36610"/>
    <s v="R"/>
    <s v="TENNESSEE STATE PARKS"/>
    <s v="Grant funds will be used to enhance the existing 12,576.79+ acres of Meeman-Shelby Forest State Park. This proposal is to renovate the existing playground equipment that has received enormous use from the community."/>
    <s v="MEEMAN-SHELBY STATE PARK"/>
    <s v="SHELBY"/>
    <n v="7"/>
    <n v="12617.5"/>
  </r>
  <r>
    <x v="44"/>
    <n v="800"/>
    <n v="2012"/>
    <s v="NATCHEZ TRACE STATE PARK PLAYGROUND REPLACEMENT"/>
    <s v="A"/>
    <n v="36610"/>
    <s v="R"/>
    <s v="TENNESSEE STATE PARKS"/>
    <s v="Grant funds will be used to enhance the existing 9,266.71+ acres of Natchez Trace State Park. This proposal is to renovate the existing playground equipment that has received enormous use from the community."/>
    <s v="NATCHEZ TRACE STATE PARK"/>
    <s v="HENDERSON"/>
    <n v="7"/>
    <n v="10154.5"/>
  </r>
  <r>
    <x v="44"/>
    <n v="811"/>
    <n v="2012"/>
    <s v="EDGAR EVINS STATE PARK PLAYGROUND"/>
    <s v="A"/>
    <n v="36610"/>
    <s v="R"/>
    <s v="TENNESSEE STATE PARKS"/>
    <s v="Grant funds will be used to enhance the existing 6,086.01+ acres of Edgar Evins State Park. This proposal is to renovate the existing playground equipment that has received enormous use from the community."/>
    <s v="EDGAR EVINS STATE PARK"/>
    <s v="DEKALB"/>
    <n v="6"/>
    <n v="6237"/>
  </r>
  <r>
    <x v="44"/>
    <n v="806"/>
    <n v="2012"/>
    <s v="NATHAN BEDFORD FORRESTSTATE PARK PLAYGROUND"/>
    <s v="A"/>
    <n v="36610"/>
    <s v="R"/>
    <s v="TENNESSEE STATE PARKS"/>
    <s v="Grant funds will be used to enhance the existing 2,641.15+ acres of Nathan Bedford State Park. This proposal is to renovate the existing playground equipment that has received enormous use from the community."/>
    <s v="NATHAN BEDFORD FOREST STATE PARK"/>
    <s v="BENTON"/>
    <n v="8"/>
    <n v="2650.3"/>
  </r>
  <r>
    <x v="44"/>
    <n v="807"/>
    <n v="2012"/>
    <s v="NORRIS DAM STATE PARK PLAYGROUND"/>
    <s v="A"/>
    <n v="36610"/>
    <s v="R"/>
    <s v="TENNESSEE STATE PARKS"/>
    <s v="Grant funds will be used to enhance the existing 2,373+ acres of Norris Dam State Park. This proposal is to renovate the existing playground equipment that has received enormous use from the community."/>
    <s v="NORRIS DAM STATE PARK"/>
    <s v="Campbell"/>
    <n v="4"/>
    <n v="2475.1999999999998"/>
  </r>
  <r>
    <x v="44"/>
    <n v="803"/>
    <n v="2012"/>
    <s v="ROAN MOUNTAIN STATE PARK PLAYGROUND"/>
    <s v="A"/>
    <n v="36610"/>
    <s v="R"/>
    <s v="TENNESSEE STATE PARKS"/>
    <s v="Grant funds will be used to enhance the existing 2,000.33+ acres of Roan Mountain State Park. This proposal is to renovate the existing playground equipment that has received enormous use from the community."/>
    <s v="ROAN MOUNTAIN STATE PARK"/>
    <s v="CARTER"/>
    <n v="1"/>
    <n v="1994.4"/>
  </r>
  <r>
    <x v="44"/>
    <n v="813"/>
    <n v="2012"/>
    <s v="CUMBERLAND MOUNTAIN STATE PARK PLAYGROUND"/>
    <s v="A"/>
    <n v="36610"/>
    <s v="R"/>
    <s v="TENNESSEE STATE PARKS"/>
    <s v="Grant funds will be used to enhance the existing 1,548.02+ acres of Cumberland Mountain State Park. This proposal is to renovate the existing playground equipment that has received enormous use from the community."/>
    <s v="CUMBERLAND MOUNTAIN STATE PARK"/>
    <s v="CUMBERLAND"/>
    <n v="4"/>
    <n v="1667"/>
  </r>
  <r>
    <x v="44"/>
    <n v="808"/>
    <n v="2012"/>
    <s v="HENRY HORTON STATE PARK PLAYGROUND"/>
    <s v="A"/>
    <n v="36610"/>
    <s v="R"/>
    <s v="TENNESSEE STATE PARKS"/>
    <s v="Grant funds will be used to enhance the existing 1,530.78+ acres of Henry Horton State Park. This proposal is to renovate the existing playground equipment that has received enormous use from the community."/>
    <s v="HENRY HORTON STATE PARK"/>
    <s v="MARSHALL"/>
    <n v="6"/>
    <n v="1537"/>
  </r>
  <r>
    <x v="44"/>
    <n v="810"/>
    <n v="2012"/>
    <s v="PICKWICK LANDING STATE PARK PLAYGROUND"/>
    <s v="A"/>
    <n v="36610"/>
    <s v="R"/>
    <s v="TENNESSEE STATE PARKS"/>
    <s v="Grant funds will be used to enhance the existing 1,313.15+ acres of Pickwick Landing State Park. This proposal is to renovate the existing playground equipment that has received enormous use from the community."/>
    <s v="PICKWICK LANDING STATE PARK"/>
    <s v="HARDIN"/>
    <n v="7"/>
    <n v="1491.4"/>
  </r>
  <r>
    <x v="44"/>
    <n v="802"/>
    <n v="2012"/>
    <s v="STANDING STONE STATE PARK PLAYGROUND"/>
    <s v="A"/>
    <n v="36610"/>
    <s v="R"/>
    <s v="TENNESSEE STATE PARKS"/>
    <s v="Grant funds will be used to enhance the existing 1,042.53+ acres of Standing Stone State Park. This proposal is to renovate the existing playground equipment that has received enormous use from the community."/>
    <s v="STANDING STONE STATE PARK"/>
    <s v="OVERTON"/>
    <n v="6"/>
    <n v="1042.5"/>
  </r>
  <r>
    <x v="44"/>
    <n v="804"/>
    <n v="2012"/>
    <s v="REELFOOT LAKE STATE PARK PLAYGROUND"/>
    <s v="A"/>
    <n v="36610"/>
    <s v="R"/>
    <s v="TENNESSEE STATE PARKS"/>
    <s v="Grant funds will be used to enhance the existing 358.92+ acres of Reelfoot Lake State Park. This proposal is to renovate the existing playground equipment that has received enormous use from the community."/>
    <s v="REELFOOT LAKE STATE PARK"/>
    <s v="LAKE"/>
    <n v="8"/>
    <n v="1032.7"/>
  </r>
  <r>
    <x v="44"/>
    <n v="812"/>
    <n v="2012"/>
    <s v="DAVID CROCKETT STATE PARK PLAYGROUND"/>
    <s v="A"/>
    <n v="36610"/>
    <s v="R"/>
    <s v="TENNESSEE STATE PARKS"/>
    <s v="Grant funds will be used to enhance the existing 1,030.56+ acres of David Crockett State Park. This proposal is to renovate the existing playground equipment that has received enormous use from the community."/>
    <s v="DAVID CROCKETT STATE PARK"/>
    <s v="LAWRENCE"/>
    <n v="4"/>
    <n v="1030.5999999999999"/>
  </r>
  <r>
    <x v="44"/>
    <n v="814"/>
    <n v="2012"/>
    <s v="PICKETT STATE PARK PLAYGROUND"/>
    <s v="A"/>
    <n v="36610"/>
    <s v="R"/>
    <s v="TENNESSEE STATE PARKS"/>
    <s v="Grant funds will be used to enhance the existing 865.97+ acres of Pickett State Park. This proposal is to renovate the existing playground equipment that has received enormous use from the community."/>
    <s v="PICKETT STATE PARK"/>
    <s v="Fentress"/>
    <n v="0"/>
    <n v="883.8"/>
  </r>
  <r>
    <x v="44"/>
    <n v="805"/>
    <n v="2012"/>
    <s v="CEDARS OF LEBANON STATE PARK PLAYGROUND"/>
    <s v="A"/>
    <n v="36610"/>
    <s v="R"/>
    <s v="TENNESSEE STATE PARKS"/>
    <s v="Grant funds will be used to enhance the existing 786.17+ acres of Cedars of Lebanon State Park. This proposal is to renovate the existing playground equipment that has received enormous use from the community."/>
    <s v="CEDARS OF LEBANON STATE PARK"/>
    <s v="WILSON"/>
    <n v="6"/>
    <n v="359"/>
  </r>
  <r>
    <x v="44"/>
    <n v="828"/>
    <n v="2013"/>
    <s v="PICKETT STATE PARK-RAINES ACQUISTION"/>
    <s v="A"/>
    <n v="71839"/>
    <s v="A"/>
    <s v="TN DEPT OF ENVIRONMENT AND CONSERVATION"/>
    <s v="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
    <s v="PICKETT STATE PARK"/>
    <s v="Fentress"/>
    <n v="0"/>
    <n v="883.8"/>
  </r>
  <r>
    <x v="44"/>
    <n v="823"/>
    <n v="2013"/>
    <s v="CUMBERLAND TRAIL STATE PARK-SA ALTERNATIVE ACQUISI"/>
    <s v="A"/>
    <n v="179598"/>
    <s v="A"/>
    <s v="TN DEPT OF ENVIRONMENT AND CONSERVATION"/>
    <s v="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
    <s v="CUMBERLAND TRAIL STATE PARK"/>
    <s v="Claiborne"/>
    <n v="3"/>
    <n v="124.5"/>
  </r>
  <r>
    <x v="44"/>
    <n v="826"/>
    <n v="2013"/>
    <s v="SOUTH CUMBERLAND STATE RECREATION PARK- PLAYGROUND"/>
    <s v="A"/>
    <n v="59866"/>
    <s v="R"/>
    <s v="TN DEPT OF ENVIRONMENT AND CONSERVATION"/>
    <s v="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
    <s v="SOUTH CUMBERLAND STATE RECREATION AREA"/>
    <s v="GRUNDY"/>
    <n v="0"/>
    <n v="127"/>
  </r>
  <r>
    <x v="44"/>
    <n v="827"/>
    <n v="2014"/>
    <s v="CUMBERLAND TRAIL STATE PARK SOAK CREEK ACQUISTION"/>
    <s v="A"/>
    <n v="0"/>
    <s v="A"/>
    <s v="TENNESSEE DEPARTMENT OF ENVIRONMENT AND CONSERVATION"/>
    <s v="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
    <s v="CUMBERLAND TRAIL STATE PARK SOAK CREEK ACQUISTION"/>
    <s v="RHEA"/>
    <n v="4"/>
    <n v="3710.2"/>
  </r>
  <r>
    <x v="44"/>
    <n v="817"/>
    <n v="2014"/>
    <s v="CUMBERLAND TRAIL STATE PARK MOY TOY ACQUISTION"/>
    <s v="A"/>
    <n v="0"/>
    <s v="A"/>
    <s v="TENNESSEE DEPARTMENT OF ENVIRONMENT AND CONSERVATION"/>
    <s v="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
    <s v="CUMBERLAND TRAIL STATE PARK MOY TOY ACQUISTION"/>
    <s v="CUMBERLAND"/>
    <n v="6"/>
    <n v="2750"/>
  </r>
  <r>
    <x v="44"/>
    <n v="822"/>
    <n v="2014"/>
    <s v="DUNBAR CAVE STATE PARK-RITTER ACQUISITION"/>
    <s v="A"/>
    <n v="0"/>
    <s v="A"/>
    <s v="TN DEPARTMENT OF ENVIRONMENT AND CONSEVATION"/>
    <s v="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
    <s v="DUNBAR CAVE STATE PARK"/>
    <s v="MONTGOMERY"/>
    <n v="7"/>
    <n v="135.6"/>
  </r>
  <r>
    <x v="44"/>
    <n v="829"/>
    <n v="2014"/>
    <s v="CUMBERLAND TRAIL CONSTRUCTION &amp; ACQUISITION NORTH"/>
    <s v="A"/>
    <n v="0"/>
    <s v="C"/>
    <s v="TN DEPT OF ENVIRONMENT AND CONSERVATION"/>
    <s v="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
    <s v="CUMBERLAND TRAIL STATE PARK"/>
    <s v="Claiborne"/>
    <n v="3"/>
    <n v="124.5"/>
  </r>
  <r>
    <x v="44"/>
    <n v="815"/>
    <n v="2014"/>
    <s v="FALLS CREEK FALLS STATE PARK"/>
    <s v="A"/>
    <n v="0"/>
    <s v="R"/>
    <s v="TENNESSEE STATE PARKS"/>
    <s v="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
    <s v="FALL CREEK FALLS STATE PARK"/>
    <s v="Bledsoe"/>
    <n v="4"/>
    <n v="22423"/>
  </r>
  <r>
    <x v="44"/>
    <n v="821"/>
    <n v="2014"/>
    <s v="MONTGOMERY BELL STATE PARK"/>
    <s v="A"/>
    <n v="0"/>
    <s v="R"/>
    <s v="TENNESSEE STATE PARKS"/>
    <s v="This is a proposal for the renovation of swimming docks and pedestriam footbridge at Lake Woodhaven. Tennessee State Parks proposes to renovate and replace swimming docks and pedestrian footbridge at Lake Woodhaven at Montgomery Bell State Park."/>
    <s v="MONTGOMERY BELL STATE PARK"/>
    <s v="Dickson"/>
    <n v="8"/>
    <n v="3737.1"/>
  </r>
  <r>
    <x v="44"/>
    <n v="825"/>
    <n v="2014"/>
    <s v="NORRIS DAM STATE PARK PLAYGROUND REPLACEMENT"/>
    <s v="A"/>
    <n v="0"/>
    <s v="R"/>
    <s v="TENNESSEE STATE PARKS"/>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
    <s v="NORRIS DAM STATE PARK"/>
    <s v="Campbell"/>
    <n v="4"/>
    <n v="2475.1999999999998"/>
  </r>
  <r>
    <x v="44"/>
    <n v="820"/>
    <n v="2014"/>
    <s v="TO FULLERSTATE PARK PLAYGROUND REPLACEMENT"/>
    <s v="A"/>
    <n v="0"/>
    <s v="R"/>
    <s v="TENNESSEE STATE PARKS"/>
    <s v="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
    <s v="T.O. FULLER STATE PARK"/>
    <s v="Shelby"/>
    <n v="9"/>
    <n v="1459"/>
  </r>
  <r>
    <x v="44"/>
    <n v="818"/>
    <n v="2014"/>
    <s v="CHICKASAW STATE PARK-PLAYGROUND REPLACEMENT"/>
    <s v="A"/>
    <n v="0"/>
    <s v="R"/>
    <s v="TENNESSEE STATE PARKS"/>
    <s v="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
    <s v="CHICKASAW STATE PARK-PLAYGROUND REPLACEMNENT"/>
    <s v="Chester"/>
    <n v="7"/>
    <n v="1437"/>
  </r>
  <r>
    <x v="44"/>
    <n v="819"/>
    <n v="2014"/>
    <s v="MOUSETAIL LANDING STATE PARK-PLAYGROUND REPLACEMEN"/>
    <s v="A"/>
    <n v="0"/>
    <s v="R"/>
    <s v="TENNESSEE STATE PARKS"/>
    <s v="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
    <s v="MOUSETAIL LANDING STATE PARK"/>
    <s v="PERRY"/>
    <n v="7"/>
    <n v="1403"/>
  </r>
  <r>
    <x v="44"/>
    <n v="824"/>
    <n v="2014"/>
    <s v="OLD STONE FORT STATE ARCHAEOLOGICAL PARK"/>
    <s v="A"/>
    <n v="0"/>
    <s v="R"/>
    <s v="TENNESSEE STATE PARKS"/>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
    <s v="OLD STONE FORT STATE PARK"/>
    <s v="Coffee"/>
    <n v="4"/>
    <n v="844.2"/>
  </r>
  <r>
    <x v="45"/>
    <n v="1106"/>
    <n v="2011"/>
    <s v="TPWD GARNER STATE PARK ADDITION III"/>
    <s v="C"/>
    <n v="305000"/>
    <s v="A"/>
    <s v="TX. DEPT. OF PARKS &amp; WILDLIFE"/>
    <s v="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
    <s v="GARNER STATE PARK"/>
    <s v="UVALDE"/>
    <n v="23"/>
    <n v="1773.7"/>
  </r>
  <r>
    <x v="45"/>
    <n v="1107"/>
    <n v="2011"/>
    <s v="TPWD DEVILS RIVER RANCH ACQUISITION"/>
    <s v="C"/>
    <n v="1337738.0900000001"/>
    <s v="A"/>
    <s v="TX. DEPT. OF PARKS &amp; WILDLIFE"/>
    <s v="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
    <s v="DEVILS RIVER RANCH"/>
    <s v="VAL VERDE"/>
    <n v="23"/>
    <n v="1697.8"/>
  </r>
  <r>
    <x v="45"/>
    <n v="1115"/>
    <n v="2011"/>
    <s v="TPWD NEW STATE PARK PALO PINTO/STEPHENS COUNTIES"/>
    <s v="C"/>
    <n v="552265.94999999995"/>
    <s v="A"/>
    <s v="TX. DEPT. OF PARKS &amp; WILDLIFE"/>
    <s v="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
    <s v="NEW STATE PARK"/>
    <s v="MULTI-COUNTY"/>
    <n v="99"/>
    <n v="1359"/>
  </r>
  <r>
    <x v="45"/>
    <n v="1108"/>
    <n v="2011"/>
    <s v="WILLACY COUNTY LAGUNA POINT RECREATION AREA"/>
    <s v="A"/>
    <n v="500000"/>
    <s v="C"/>
    <s v="WILLACY COUNTY"/>
    <s v="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
    <s v="LAGUNA POINT RECREATION AREA"/>
    <s v="WILLACY"/>
    <n v="27"/>
    <n v="48.5"/>
  </r>
  <r>
    <x v="45"/>
    <n v="1105"/>
    <n v="2011"/>
    <s v="KENDALL COUNTY YOUTH AGRICULTURE &amp; EQUESTRIAN CTR"/>
    <s v="A"/>
    <n v="500000"/>
    <s v="D"/>
    <s v="KENDALL COUNTY"/>
    <s v="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
    <s v="YOUTH AGRICULTURE &amp; EQUESTRIAN CENTER"/>
    <s v="KENDALL"/>
    <n v="21"/>
    <n v="33"/>
  </r>
  <r>
    <x v="45"/>
    <n v="1104"/>
    <n v="2011"/>
    <s v="LOS FRESNOS COMMUNITY PARK IMPROVEMENTS"/>
    <s v="C"/>
    <n v="249368"/>
    <s v="R"/>
    <s v="CITY OF LOS FRESNOS"/>
    <s v="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
    <s v="COMMUNITY PARK"/>
    <s v="CAMERON"/>
    <n v="27"/>
    <n v="4.2"/>
  </r>
  <r>
    <x v="45"/>
    <n v="1109"/>
    <n v="2012"/>
    <s v="ANNA SLAYTER CREEK PARK II"/>
    <s v="C"/>
    <n v="500000"/>
    <s v="C"/>
    <s v="CITY OF ANNA"/>
    <s v="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
    <s v="SLAYTER CREEK PARK"/>
    <s v="Collin"/>
    <n v="4"/>
    <n v="71.8"/>
  </r>
  <r>
    <x v="45"/>
    <n v="1110"/>
    <n v="2012"/>
    <s v="LORENA MC BRAYER PARK"/>
    <s v="A"/>
    <n v="75000"/>
    <s v="D"/>
    <s v="CITY OF LORENA"/>
    <s v="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
    <s v="MC BRAYER PARK"/>
    <s v="MCLENNAN"/>
    <n v="17"/>
    <n v="2.8"/>
  </r>
  <r>
    <x v="45"/>
    <n v="1111"/>
    <n v="2012"/>
    <s v="CENTERVILLE JOSEPH A. SULLIVAN PARK"/>
    <s v="C"/>
    <n v="75000"/>
    <s v="D"/>
    <s v="CITY OF CENTERVILLE"/>
    <s v="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
    <s v="JOSEPH A. SULLIVAN PARK"/>
    <s v="LEON"/>
    <n v="6"/>
    <n v="0.6"/>
  </r>
  <r>
    <x v="45"/>
    <n v="1113"/>
    <n v="2012"/>
    <s v="CRYSTAL CITY MUNICIPAL POOL"/>
    <s v="A"/>
    <n v="75000"/>
    <s v="R"/>
    <s v="CITY OF CRYSTAL CITY"/>
    <s v="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
    <s v="JUAN GARCIA PARK"/>
    <s v="ZAVALA"/>
    <n v="23"/>
    <n v="21.5"/>
  </r>
  <r>
    <x v="45"/>
    <n v="1112"/>
    <n v="2012"/>
    <s v="PITTSBURG FAIR PARK RENOVATION"/>
    <s v="C"/>
    <n v="75000"/>
    <s v="R"/>
    <s v="CITY OF PITTSBURG"/>
    <s v="The city of Pittsburg will improve Fair Park by renovating a basketball court and a pond area plus constructing a playground, shuffleboard and horseshoes courts, and a new picnic pavilion. Fair Park is located at the intersection of North Texas and Mattison Streets."/>
    <s v="FAIR PARK"/>
    <s v="CAMP"/>
    <n v="4"/>
    <n v="10.5"/>
  </r>
  <r>
    <x v="45"/>
    <n v="1117"/>
    <n v="2013"/>
    <s v="TPWD GOVERNMENT CANYON STATE NATURAL AREA III"/>
    <s v="C"/>
    <n v="150000"/>
    <s v="A"/>
    <s v="TX. DEPT. OF PARKS &amp; WILDLIFE"/>
    <s v="TPWD will acquire 461.23 acres as an addition to the Government Canyon State Natural Area. The parcel is west of Helotes in Bexar County. Federal share = $150,000 (LW 2012) Total costs = $300,000 PRISM grant number = P13AP00050"/>
    <s v="GOVERNMENT CANYON STATE NATURAL AREA"/>
    <s v="Bexar"/>
    <n v="0"/>
    <n v="6326"/>
  </r>
  <r>
    <x v="45"/>
    <n v="1116"/>
    <n v="2013"/>
    <s v="TPWD PALTO PINTO MOUNTAINS STATE PARK III"/>
    <s v="C"/>
    <n v="215125.98"/>
    <s v="A"/>
    <s v="TX. DEPT. OF PARKS &amp; WILDLIFE"/>
    <s v="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
    <s v="PALO PINTO MOUNTAINS STATE PARK"/>
    <s v="MULTI-COUNTY"/>
    <n v="0"/>
    <n v="1958.9"/>
  </r>
  <r>
    <x v="45"/>
    <n v="1130"/>
    <n v="2013"/>
    <s v="TPWD PALO PINTO MOUNTAINS STATE PARK IV"/>
    <s v="C"/>
    <n v="322499.90999999997"/>
    <s v="A"/>
    <s v="TX. DEPT. OF PARKS &amp; WILDLIFE"/>
    <s v="The Texas Parks and Wildlife Department will acquire a 307.09-acre addition to Palo Pinto Mountains State Park in Palo Pinto County."/>
    <s v="PALO PINTO MOUNTAINS STATE PARK"/>
    <s v="MULTI-COUNTY"/>
    <n v="0"/>
    <n v="1958.9"/>
  </r>
  <r>
    <x v="45"/>
    <n v="1121"/>
    <n v="2013"/>
    <s v="CENTER PARK II"/>
    <s v="C"/>
    <n v="100000"/>
    <s v="C"/>
    <s v="CITY OF CENTER"/>
    <s v="The city of Center will acquire a 19.68-acre addition to Center Park and construct one unlighted and two lighted softball fields and a playground."/>
    <s v="CENTER PARK"/>
    <s v="SHELBY"/>
    <n v="0"/>
    <n v="69.7"/>
  </r>
  <r>
    <x v="45"/>
    <n v="1124"/>
    <n v="2013"/>
    <s v="NUECES COUNTY LYONDELLBASELL PARK"/>
    <s v="A"/>
    <n v="100000"/>
    <s v="C"/>
    <s v="NUECES COUNTY"/>
    <s v="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
    <s v="LYONDELLBASELL PARK"/>
    <s v="NUECES"/>
    <n v="0"/>
    <n v="40.799999999999997"/>
  </r>
  <r>
    <x v="45"/>
    <n v="1122"/>
    <n v="2013"/>
    <s v="HAYS COUNTY JACOB'S WELL"/>
    <s v="A"/>
    <n v="100000"/>
    <s v="C"/>
    <s v="HAYS COUNTY"/>
    <s v="Hays County will acquire 31.5-acres and construct an outdoor classroom, a playscape, nature trails with interpretive signs and a kiosk, nature observation blinds, and picnic areas."/>
    <s v="JACOB'S WELL NATURAL AREA"/>
    <s v="HAYS"/>
    <n v="0"/>
    <n v="31.5"/>
  </r>
  <r>
    <x v="45"/>
    <n v="1118"/>
    <n v="2013"/>
    <s v="BELTON NOLAN CREEK PARK"/>
    <s v="A"/>
    <n v="100000"/>
    <s v="C"/>
    <s v="CITY OF BELTON"/>
    <s v="The city of Belton will acquire 3.26 acres plus improve Nolan Creek Park by constructing a ½-mile nature trail, kayak drop in and take out spots along Nolan Creek, interpretive signs, a 2-acre natural area, horseshoe courts, and a picnic area."/>
    <s v="NOLAN CREEK PARK"/>
    <s v="BELL"/>
    <n v="0"/>
    <n v="8.9"/>
  </r>
  <r>
    <x v="45"/>
    <n v="1120"/>
    <n v="2013"/>
    <s v="SONTERRA MUD PARK"/>
    <s v="A"/>
    <n v="100000"/>
    <s v="C"/>
    <s v="SONTERRA MUNICIPAL UTILITY DISTRICT"/>
    <s v="The Sonterra Municipal Utilities District (Williamson County) will develop 2.946 acres of donated land to create a new park by adding game tables, picnic tables with grills, benches, playground equipment, and interpretive signs plus constructing a trail and a community garden."/>
    <s v="SONTERRA MUD PARK"/>
    <s v="WILLIAMSON"/>
    <n v="0"/>
    <n v="2.9"/>
  </r>
  <r>
    <x v="45"/>
    <n v="1125"/>
    <n v="2013"/>
    <s v="BEDFORD BOYS RANCH PARK II"/>
    <s v="A"/>
    <n v="100000"/>
    <s v="D"/>
    <s v="CITY OF BEDFORD"/>
    <s v="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
    <s v="BOYS RANCH PARK"/>
    <s v="Tarrant"/>
    <n v="0"/>
    <n v="68"/>
  </r>
  <r>
    <x v="45"/>
    <n v="1126"/>
    <n v="2013"/>
    <s v="BROWNWOOD CAMP BOWIE SOCCER COMPLEX"/>
    <s v="A"/>
    <n v="100000"/>
    <s v="D"/>
    <s v="CITY OF BROWNWOOD"/>
    <s v="The city of Brownwood will construct lighted and irrigated soccer fields, a pavilion, and a covered playground at the Camp Bowie Soccer Complex."/>
    <s v="CAMP BOWIE SOCCER COMPLEX"/>
    <s v="BROWN"/>
    <n v="0"/>
    <n v="24"/>
  </r>
  <r>
    <x v="45"/>
    <n v="1127"/>
    <n v="2013"/>
    <s v="CAMERON COUNTY EL RANCHITO PARK"/>
    <s v="A"/>
    <n v="100000"/>
    <s v="D"/>
    <s v="CAMERON COUNTY"/>
    <s v="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
    <s v="EL RANCHITO PARK"/>
    <s v="CAMERON"/>
    <n v="0"/>
    <n v="20.100000000000001"/>
  </r>
  <r>
    <x v="45"/>
    <n v="1129"/>
    <n v="2013"/>
    <s v="HOUSTON SHADY LANE PARK"/>
    <s v="C"/>
    <n v="220000"/>
    <s v="D"/>
    <s v="CITY OF HOUSTON"/>
    <s v="The city of Houston will construct a playground, benches, trails, walkways, and signs within Shady Lane Park."/>
    <s v="SHADY LANE PARK"/>
    <s v="HARRIS"/>
    <n v="0"/>
    <n v="12.4"/>
  </r>
  <r>
    <x v="45"/>
    <n v="1119"/>
    <n v="2013"/>
    <s v="GRANITE SHOALS QUARRY PARK"/>
    <s v="A"/>
    <n v="100000"/>
    <s v="D"/>
    <s v="CITY OF GRANITE SHOALS"/>
    <s v="The city of Granite Shoals will construct an exercise trail with fitness stations, a tennis pavilion, native wildflower gardens, and an interpretive display at Quarry Park."/>
    <s v="QUARRY PARK"/>
    <s v="BURNET"/>
    <n v="0"/>
    <n v="2"/>
  </r>
  <r>
    <x v="45"/>
    <n v="1123"/>
    <n v="2013"/>
    <s v="LA FERIA UNGER PARK"/>
    <s v="A"/>
    <n v="100000"/>
    <s v="D"/>
    <s v="CITY OF LA FERIA"/>
    <s v="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
    <s v="UNGER PARK"/>
    <s v="CAMERON"/>
    <n v="0"/>
    <n v="1.1000000000000001"/>
  </r>
  <r>
    <x v="45"/>
    <n v="1128"/>
    <n v="2013"/>
    <s v="FORT WORTH ROTARY PLAZA TRAILHEAD PARK"/>
    <s v="A"/>
    <n v="110000"/>
    <s v="D"/>
    <s v="CITY OF FT. WORTH"/>
    <s v="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
    <s v="ROTARY PLAZA TRAILHEAD PARK"/>
    <s v="TARRANT"/>
    <n v="0"/>
    <n v="1"/>
  </r>
  <r>
    <x v="45"/>
    <n v="1131"/>
    <n v="2014"/>
    <s v="POWDERHORN WILDLIFE MANAGEMENT AREA AND STATE PARK"/>
    <s v="A"/>
    <n v="457641.66"/>
    <s v="A"/>
    <s v="TX. DEPT. OF PARKS &amp; WILDLIFE"/>
    <s v="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
    <s v="POWDERHORN WILDLIFE MANAGEMENT AREA AND STATE PARK"/>
    <s v="Calhoun"/>
    <n v="27"/>
    <n v="398"/>
  </r>
  <r>
    <x v="46"/>
    <n v="373"/>
    <n v="2011"/>
    <s v="FAIRVIEW CITY SPORTS PARK"/>
    <s v="A"/>
    <n v="200379"/>
    <s v="D"/>
    <s v="FAIRVIEW CITY"/>
    <s v="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
    <s v="FAIRVIEW CITY SPORTS PARK"/>
    <s v="SANPETE"/>
    <n v="2"/>
    <n v="6"/>
  </r>
  <r>
    <x v="46"/>
    <n v="375"/>
    <n v="2012"/>
    <s v="ARCHIE. H. GUBLER PARK"/>
    <s v="C"/>
    <n v="68600"/>
    <s v="D"/>
    <s v="CITY OF SANTA CLARA"/>
    <s v="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
    <s v="ARCHIE. H. GUBLER PARK"/>
    <s v="Washington"/>
    <n v="0"/>
    <n v="24.6"/>
  </r>
  <r>
    <x v="46"/>
    <n v="376"/>
    <n v="2012"/>
    <s v="SALT HALLOW PARK"/>
    <s v="C"/>
    <n v="150000"/>
    <s v="D"/>
    <s v="CITY OF HYRUM"/>
    <s v="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
    <s v="SALT HALLOW PARK"/>
    <s v="CACHE"/>
    <n v="1"/>
    <n v="6.5"/>
  </r>
  <r>
    <x v="46"/>
    <n v="377"/>
    <n v="2012"/>
    <s v="SKY RIDGE PARK"/>
    <s v="C"/>
    <n v="148117"/>
    <s v="D"/>
    <s v="CITY OF HURRICANE"/>
    <s v="Hurricane (Washington County) will develop the 1.94-acre Sky Ridge Park by constructing off street parking, a pavilion, picnic areas, a playground, a splash pad, a half-court basketball court, pickle ball courts, a restroom facility, and paved trails linking the various use areas."/>
    <s v="SKY RIDGE PARK"/>
    <s v="WASHINGTON"/>
    <n v="2"/>
    <n v="1.9"/>
  </r>
  <r>
    <x v="46"/>
    <n v="381"/>
    <n v="2013"/>
    <s v="DRY CREEK PARK"/>
    <s v="A"/>
    <n v="200000"/>
    <s v="D"/>
    <s v="CITY OF LEHI"/>
    <s v="The city of Lehi will improve the 13.6-acre Dry Creek Park by constructing sidewalks, landscaped play areas, picnic pavilions, and a disk-golf course."/>
    <s v="DRY CREEK PARK"/>
    <s v="UTAH"/>
    <n v="0"/>
    <n v="13.6"/>
  </r>
  <r>
    <x v="46"/>
    <n v="379"/>
    <n v="2013"/>
    <s v="CANYON VIEW PARK SPLASH PAD"/>
    <s v="A"/>
    <n v="62882"/>
    <s v="D"/>
    <s v="CITY OF EPHRAIM"/>
    <s v="The city of Ephraim will construct of a splash pad and associated infrastructure within the 7.79-acre Canyon View Park."/>
    <s v="CANYON VIEW PARK"/>
    <s v="Sanpete"/>
    <n v="0"/>
    <n v="7.8"/>
  </r>
  <r>
    <x v="46"/>
    <n v="380"/>
    <n v="2013"/>
    <s v="CITY HALL PARK PHASE I"/>
    <s v="A"/>
    <n v="150000"/>
    <s v="D"/>
    <s v="CITY OF HOLLADAY"/>
    <s v="The city of Holladay will improve the 6.58-acre City Hall Park by constructing walkways, picnic area, and general playfields."/>
    <s v="CITY HALL PARK"/>
    <s v="SALT LAKE"/>
    <n v="0"/>
    <n v="6.6"/>
  </r>
  <r>
    <x v="46"/>
    <n v="382"/>
    <n v="2014"/>
    <s v="CENTENNIAL PARK SUNSHINE PLAYGROUND"/>
    <s v="A"/>
    <n v="200000"/>
    <s v="D"/>
    <s v="SYRACUSE CITY"/>
    <s v="Syracuse City will improve the 4.7-acre Centennial Park by constructing an accessible playground to be known as the Sunshine Playground."/>
    <s v="CENTENNIAL PARK"/>
    <s v="DAVIS"/>
    <n v="1"/>
    <n v="4.7"/>
  </r>
  <r>
    <x v="46"/>
    <n v="383"/>
    <n v="2014"/>
    <s v="BEAR LAKE STATE PARK MARINA BOAT DOCKS"/>
    <s v="A"/>
    <n v="450000"/>
    <s v="R"/>
    <s v="STATE OF UTAH"/>
    <s v="Utah State Parks will renovate the Bear Lake State Park marina boat docks. This 40-year old marina boat dock, with almost 300 slips, has been deteriorating, despite small renovations and improvements over the years."/>
    <s v="BEAR LAKE STATE PARK"/>
    <s v="Rich"/>
    <n v="1"/>
    <n v="64.400000000000006"/>
  </r>
  <r>
    <x v="47"/>
    <n v="420"/>
    <n v="2011"/>
    <s v="Lily Ruckstuhl Property Acquisition"/>
    <s v="A"/>
    <n v="137325"/>
    <s v="A"/>
    <s v="Town of Falls Church"/>
    <m/>
    <s v="Lily Ruckstuhl Park"/>
    <s v="FAIRFAX"/>
    <n v="8"/>
    <n v="6"/>
  </r>
  <r>
    <x v="47"/>
    <n v="422"/>
    <n v="2011"/>
    <s v="Gilbert's Corner Regional Park"/>
    <s v="A"/>
    <n v="60566"/>
    <s v="D"/>
    <s v="Northern Virginia Regional Park Authority"/>
    <s v="This development project will include a parking area, park entrance sign, a multi-use trail system with bridge corssings and interpretive signage, hiking and horseback riding, site improvements and landscaping. Gilbert's Corner will become a new regional park in N. Virginia."/>
    <s v="Gilbert's Corner Regional Park"/>
    <s v="LOUDOUN"/>
    <n v="10"/>
    <n v="88.6"/>
  </r>
  <r>
    <x v="47"/>
    <n v="421"/>
    <n v="2011"/>
    <s v="Azalea Park Improvements"/>
    <s v="A"/>
    <n v="54930"/>
    <s v="D"/>
    <s v="City of Charlottesville"/>
    <s v="This city of Charlottesville grant was approved to make recreation improvements to Azalea Park. It will rehabilitate and existing pathway into a multi use ADA paved trail, improve drainage along the trail and renovate an old used concession stand into a comfort station."/>
    <s v="Azalea Park"/>
    <s v="ALBEMARLE"/>
    <n v="5"/>
    <n v="21.2"/>
  </r>
  <r>
    <x v="47"/>
    <n v="430"/>
    <n v="2012"/>
    <s v="Waid Park Restroom and Concession Facility"/>
    <s v="A"/>
    <n v="100000"/>
    <s v="D"/>
    <s v="County of Franklin"/>
    <s v="The state on behalf of Franklin County to construct a comfort station and concession facility at Waid Park. These support facilities are being constructed to enhance the existing recreation facilities at this park."/>
    <s v="Waid Park"/>
    <s v="FRANKLIN"/>
    <n v="5"/>
    <n v="219"/>
  </r>
  <r>
    <x v="47"/>
    <n v="431"/>
    <n v="2012"/>
    <s v="Nike Skate Park"/>
    <s v="A"/>
    <n v="100000"/>
    <s v="D"/>
    <s v="Isle of Wight County"/>
    <s v="On behalf of Isle of Wight county to develop a skate facility at Nike Skate Park. This new skate facility will replace an existing skate park that has deterorated due the age and extensive use from children and adults."/>
    <s v="Carrollton Nike District Park"/>
    <s v="ISLE OF WIGHT"/>
    <n v="4"/>
    <n v="156.30000000000001"/>
  </r>
  <r>
    <x v="47"/>
    <n v="428"/>
    <n v="2012"/>
    <s v="Sleepy Hole Park Boat Ramp"/>
    <s v="A"/>
    <n v="125000"/>
    <s v="D"/>
    <s v="City of Suffolk"/>
    <s v="The city of Suffolk will construct a boat ramp with fishing platform along the Nansemond River at Sleepy Hole Park. The will provide access for canoe and kayak users to enjoy the water related activities. The design of the facilities will be meet ADA standards."/>
    <s v="SLEEPY HOLE PARK"/>
    <s v="PORTSMOUTH CITY"/>
    <n v="4"/>
    <n v="72"/>
  </r>
  <r>
    <x v="47"/>
    <n v="429"/>
    <n v="2012"/>
    <s v="Bluestone Trail at Purcell Park"/>
    <s v="A"/>
    <n v="200000"/>
    <s v="D"/>
    <s v="City of Harrisonburg"/>
    <s v="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
    <s v="PURCELL PARK"/>
    <s v="Harrisonburg City"/>
    <n v="6"/>
    <n v="57.2"/>
  </r>
  <r>
    <x v="47"/>
    <n v="427"/>
    <n v="2012"/>
    <s v="Woodville Park Enhancement"/>
    <s v="A"/>
    <n v="200000"/>
    <s v="D"/>
    <s v="County of Gloucester"/>
    <s v="This project will include developing the following facilities: three multi-use athletic fields for football, soccer, softball, field hockey, lacrosse and a concession stand/building, site improvements and landscaping."/>
    <s v="Woodville Park"/>
    <s v="GLOUCESTER"/>
    <n v="1"/>
    <n v="43"/>
  </r>
  <r>
    <x v="47"/>
    <n v="424"/>
    <n v="2012"/>
    <s v="Jamestown Beach Park Revitalization"/>
    <s v="A"/>
    <n v="152049"/>
    <s v="D"/>
    <s v="James City County"/>
    <s v="Developments to include accessible walkway to beach, entrance road/parking, beach shoreline restoration, restrooms, gates, Bollards and signage."/>
    <s v="Jamestown Beach"/>
    <s v="JAMES CITY"/>
    <n v="1"/>
    <n v="33.6"/>
  </r>
  <r>
    <x v="47"/>
    <n v="425"/>
    <n v="2012"/>
    <s v="Chessie's Big Backyard at Lee District Park"/>
    <s v="A"/>
    <n v="200000"/>
    <s v="D"/>
    <s v="Fairfax County Park Authority"/>
    <s v="This project will develop a unique tot lot/playground area named Chessie's Big Backyard at Lee District Park. This project will creat a recreation experience that children with a variety of abilities/and special needs can enjoy with accompanying adults."/>
    <s v="Lee District Park"/>
    <s v="FAIRFAX"/>
    <n v="8"/>
    <n v="2.9"/>
  </r>
  <r>
    <x v="47"/>
    <n v="426"/>
    <n v="2012"/>
    <s v="Robert N. Reed Park Annex"/>
    <s v="A"/>
    <n v="100000"/>
    <s v="D"/>
    <s v="Town of Chincotegue"/>
    <s v="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
    <s v="Robert N. Reed Park"/>
    <s v="ACCOMACK"/>
    <n v="1"/>
    <n v="1.8"/>
  </r>
  <r>
    <x v="47"/>
    <n v="434"/>
    <n v="2013"/>
    <s v="Scott County Improvements at Two Parks"/>
    <s v="A"/>
    <n v="75000"/>
    <s v="D"/>
    <s v="Scott County"/>
    <s v="Scott County Park - upgrade to golf cart paths and parking area. Duffield Community Pk will upgrade walking trail, resurface 3 tennis courts and construction of the picnic shelter."/>
    <s v="Scott County Park &amp; Golf Course"/>
    <s v="SCOTT"/>
    <n v="0"/>
    <n v="99"/>
  </r>
  <r>
    <x v="47"/>
    <n v="433"/>
    <n v="2013"/>
    <s v="Paradise Creek Nature Park"/>
    <s v="A"/>
    <n v="168550"/>
    <s v="D"/>
    <s v="City of Portsmouth"/>
    <s v="Paradise Creek Nature Park in Portsmouth, VA - Construction of canoe/kayak launch, parking area and pavilion"/>
    <s v="Paradise Creek Nature Park"/>
    <s v="PORTSMOUTH CITY"/>
    <n v="0"/>
    <n v="33.799999999999997"/>
  </r>
  <r>
    <x v="47"/>
    <n v="434"/>
    <n v="2013"/>
    <s v="Scott County Improvements at Two Parks"/>
    <s v="A"/>
    <n v="75000"/>
    <s v="D"/>
    <s v="Scott County"/>
    <s v="Scott County Park - upgrade to golf cart paths and parking area. Duffield Community Pk will upgrade walking trail, resurface 3 tennis courts and construction of the picnic shelter."/>
    <s v="DUFFIELD COMMUNITY PARK"/>
    <s v="Scott"/>
    <n v="0"/>
    <n v="3.7"/>
  </r>
  <r>
    <x v="48"/>
    <n v="57"/>
    <n v="2011"/>
    <s v="RUDY KRIEGER RECREATIONAL COMPLEX RENOVATIONS"/>
    <s v="C"/>
    <n v="152969"/>
    <s v="R"/>
    <s v="DEPT OF HOUSING, PARKS &amp; RECREATION"/>
    <s v="Grant funds will be used to enhance the existing 4.7+/- acres of Rudy Krieger Recreational Complex. This project will remove the unusable restrooms and uprgrade the facility; which will increase the use and life of the facility."/>
    <s v="RUDY KRIEGER RECREATION COMPLEX"/>
    <s v="SAINT CROIX"/>
    <n v="0"/>
    <n v="4.7"/>
  </r>
  <r>
    <x v="48"/>
    <n v="58"/>
    <n v="2014"/>
    <s v="HONEY MOON BEACH RESTROOM CONSTRUCTION"/>
    <s v="A"/>
    <n v="0"/>
    <s v="D"/>
    <s v="DEPARTMENT OF SPORTS, PARKS AND RECREATION"/>
    <s v="Grant funds will be used for the development of support facilities at this .5+/- of an acre site of Honey Moon Beach Recreation Restroom Construction. This facility will accommodate the handicap and the rapidly increasing number of people utilizing the beach facility."/>
    <s v="HONEYMOON BEACH PARK"/>
    <s v="COUNTY NAME MISSING"/>
    <n v="0"/>
    <n v="0.5"/>
  </r>
  <r>
    <x v="49"/>
    <n v="624"/>
    <n v="2011"/>
    <s v="Tunbridge Recreation Area Acquisition"/>
    <s v="A"/>
    <n v="11035"/>
    <s v="A"/>
    <s v="Town of Tunbridge"/>
    <m/>
    <s v="Tunbridge Playground"/>
    <s v="ORANGE"/>
    <n v="0"/>
    <n v="1.2"/>
  </r>
  <r>
    <x v="49"/>
    <n v="629"/>
    <n v="2011"/>
    <s v="Cabin Construction - Three State Parks"/>
    <s v="A"/>
    <n v="153638"/>
    <s v="D"/>
    <s v="State of Vermont, Dept.of Forests and Parks"/>
    <m/>
    <s v="WOODFORD STATE PARK"/>
    <s v="BENNINGTON"/>
    <n v="0"/>
    <n v="401.1"/>
  </r>
  <r>
    <x v="49"/>
    <n v="629"/>
    <n v="2011"/>
    <s v="Cabin Construction - Three State Parks"/>
    <s v="A"/>
    <n v="153638"/>
    <s v="D"/>
    <s v="State of Vermont, Dept.of Forests and Parks"/>
    <m/>
    <s v="Button Bay State Park"/>
    <s v="ADDISON"/>
    <n v="0"/>
    <n v="236.2"/>
  </r>
  <r>
    <x v="49"/>
    <n v="629"/>
    <n v="2011"/>
    <s v="Cabin Construction - Three State Parks"/>
    <s v="A"/>
    <n v="153638"/>
    <s v="D"/>
    <s v="State of Vermont, Dept.of Forests and Parks"/>
    <m/>
    <s v="Wilgus State Park"/>
    <s v="WINDSOR"/>
    <n v="0"/>
    <n v="89.1"/>
  </r>
  <r>
    <x v="49"/>
    <n v="627"/>
    <n v="2011"/>
    <s v="Chester Recreation - Community Pavilion Project"/>
    <s v="C"/>
    <n v="17000"/>
    <s v="D"/>
    <s v="Town of Chester"/>
    <m/>
    <s v="Chester (Pinnacle) Recreation Area"/>
    <s v="WINDSOR"/>
    <n v="0"/>
    <n v="37"/>
  </r>
  <r>
    <x v="49"/>
    <n v="625"/>
    <n v="2011"/>
    <s v="Fair Haven Recreation Area and Playground"/>
    <s v="C"/>
    <n v="13000"/>
    <s v="D"/>
    <s v="Town of Fair Haven"/>
    <m/>
    <s v="Fair Haven Playground"/>
    <s v="RUTLAND"/>
    <n v="0"/>
    <n v="28"/>
  </r>
  <r>
    <x v="49"/>
    <n v="623"/>
    <n v="2011"/>
    <s v="Fairfax Community Park - Phase III"/>
    <s v="A"/>
    <n v="39250"/>
    <s v="D"/>
    <s v="Town of Fairfax"/>
    <m/>
    <s v="Fairfax Community Recreation Park"/>
    <s v="FRANKLIN"/>
    <n v="0"/>
    <n v="6"/>
  </r>
  <r>
    <x v="49"/>
    <n v="622"/>
    <n v="2011"/>
    <s v="Newark Street Playground"/>
    <s v="C"/>
    <n v="20000"/>
    <s v="D"/>
    <s v="Town of Newark"/>
    <m/>
    <s v="Newark Street Playground"/>
    <s v="CALEDONIA"/>
    <n v="0"/>
    <n v="5.6"/>
  </r>
  <r>
    <x v="49"/>
    <n v="626"/>
    <n v="2011"/>
    <s v="Grand Isle School Community Playground"/>
    <s v="C"/>
    <n v="34962"/>
    <s v="D"/>
    <s v="Town of Grand Isle"/>
    <m/>
    <s v="Grand Isle School Community Park"/>
    <s v="GRAND ISLE"/>
    <n v="0"/>
    <n v="1"/>
  </r>
  <r>
    <x v="49"/>
    <n v="628"/>
    <n v="2011"/>
    <s v="Lyndon Skate Park"/>
    <s v="C"/>
    <n v="32220"/>
    <s v="D"/>
    <s v="Town of Lyndon"/>
    <m/>
    <s v="Lyndon Skate Park"/>
    <s v="CALEDONIA"/>
    <n v="0"/>
    <n v="1"/>
  </r>
  <r>
    <x v="50"/>
    <n v="698"/>
    <n v="2011"/>
    <s v="KLICKITAT PRAIRIE PARK ACQUISITION"/>
    <s v="A"/>
    <n v="662042.48"/>
    <s v="C"/>
    <s v="CITY OF MOSSYROCK"/>
    <s v="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
    <s v="KLICKITAT PRAIRIE PARK"/>
    <s v="LEWIS"/>
    <n v="3"/>
    <n v="30"/>
  </r>
  <r>
    <x v="50"/>
    <n v="697"/>
    <n v="2011"/>
    <s v="KANDLE PARK AQUATICS FACILITY"/>
    <s v="C"/>
    <n v="509900"/>
    <s v="D"/>
    <s v="METROPOLITAN PARK DISTRICT OF TACOMA"/>
    <s v="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
    <s v="GEORGE B. KANDLE PLAYFIELD"/>
    <s v="PIERCE"/>
    <n v="6"/>
    <n v="10.4"/>
  </r>
  <r>
    <x v="50"/>
    <n v="702"/>
    <n v="2012"/>
    <s v="NORTH CREEK FOREST ACQUISITION"/>
    <s v="C"/>
    <n v="112433.5"/>
    <s v="A"/>
    <s v="CITY OF BOTHELL"/>
    <s v="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
    <s v="NORTH CREEK FOREST"/>
    <s v="King"/>
    <n v="1"/>
    <n v="27.7"/>
  </r>
  <r>
    <x v="50"/>
    <n v="701"/>
    <n v="2012"/>
    <s v="SUNSET BLUFF ACQUISITION"/>
    <s v="C"/>
    <n v="202646.1"/>
    <s v="C"/>
    <s v="MASON COUNTY"/>
    <s v="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
    <s v="SUNSET BLUFF NATURAL AREA PARK"/>
    <s v="MASON"/>
    <n v="6"/>
    <n v="36.5"/>
  </r>
  <r>
    <x v="50"/>
    <n v="704"/>
    <n v="2012"/>
    <s v="CLAYBELL PARK REDEVELOPMENT"/>
    <s v="C"/>
    <n v="399230.67"/>
    <s v="D"/>
    <s v="CITY OF RICHLAND"/>
    <s v="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
    <s v="CLAYBELL PARK"/>
    <s v="BENTON"/>
    <n v="4"/>
    <n v="28.7"/>
  </r>
  <r>
    <x v="50"/>
    <n v="703"/>
    <n v="2012"/>
    <s v="SHANE PARK PLAYGROUND"/>
    <s v="C"/>
    <n v="40875.120000000003"/>
    <s v="R"/>
    <s v="CITY OF PORT ANGELES"/>
    <s v="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
    <s v="SHANE PARK"/>
    <s v="CLALLAM"/>
    <n v="6"/>
    <n v="16.3"/>
  </r>
  <r>
    <x v="50"/>
    <n v="708"/>
    <n v="2014"/>
    <s v="NORTH CREEK FOREST ACQUISITION PHASE 2"/>
    <s v="A"/>
    <n v="0"/>
    <s v="A"/>
    <s v="CITY OF BOTHELL"/>
    <s v="Acquisition of 21.84 acres in the City of Bothell in King County: -Land -Cultural Resources -Signage -State indirect costs"/>
    <s v="NORTH CREEK FOREST"/>
    <s v="King"/>
    <n v="1"/>
    <n v="27.7"/>
  </r>
  <r>
    <x v="50"/>
    <n v="707"/>
    <n v="2014"/>
    <s v="POINT DEFIANCE MISSING LINK TRAIL"/>
    <s v="A"/>
    <n v="0"/>
    <s v="D"/>
    <s v="METRO PARKS TACOMA"/>
    <s v="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
    <s v="POINT DEFIANCE PARK"/>
    <s v="Pierce"/>
    <n v="6"/>
    <n v="761.5"/>
  </r>
  <r>
    <x v="50"/>
    <n v="706"/>
    <n v="2014"/>
    <s v="CHEHALIS POOL RENOVATION"/>
    <s v="A"/>
    <n v="0"/>
    <s v="R"/>
    <s v="CITY OF CHEHALIS"/>
    <s v="Renovate the Chehalis Community Pool (Shaw Aquatics Center): replace pool building, pool liner, mechanical systems, guard stands, locker rooms and bathroom. Grant also includes state indirect costs."/>
    <s v="SHAW AQUATICS CENTER"/>
    <s v="LEWIS"/>
    <n v="3"/>
    <n v="1.2"/>
  </r>
  <r>
    <x v="51"/>
    <n v="1868"/>
    <n v="2011"/>
    <s v="CANA ISLAND COUNTY PARK ACQUISITION &amp; DEVELOPMENT"/>
    <s v="A"/>
    <n v="389976.61"/>
    <s v="C"/>
    <s v="DOOR COUNTY"/>
    <s v="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
    <s v="CANA ISLAND COUNTY PARK"/>
    <s v="DOOR"/>
    <n v="8"/>
    <n v="5.3"/>
  </r>
  <r>
    <x v="51"/>
    <n v="1869"/>
    <n v="2011"/>
    <s v="HORICON MARSH INTL. ED. CTR INTERPRETATIVE EXHIBIT"/>
    <s v="A"/>
    <n v="205838"/>
    <s v="D"/>
    <s v="DEPT. OF NATURAL RESOURCES"/>
    <s v="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
    <s v="HORICON MARSH WILDLIFE AREA"/>
    <s v="DODGE"/>
    <n v="6"/>
    <n v="11146"/>
  </r>
  <r>
    <x v="51"/>
    <n v="1867"/>
    <n v="2011"/>
    <s v="INTERSTATE STATE PARK VAULT TOILET REPLACEMENT"/>
    <s v="A"/>
    <n v="179500"/>
    <s v="D"/>
    <s v="DEPT. OF NATURAL RESOURCES"/>
    <s v="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
    <s v="INTERSTATE STATE PARK"/>
    <s v="POLK"/>
    <n v="7"/>
    <n v="1254.0999999999999"/>
  </r>
  <r>
    <x v="51"/>
    <n v="1876"/>
    <n v="2012"/>
    <s v="WHITE RIVER CROSSING ACQUISITION"/>
    <s v="A"/>
    <n v="85000"/>
    <s v="A"/>
    <s v="CITY OF LAKE GENEVA"/>
    <s v="Lake Geneva will acquire 60.6-acres for a new city park. Future development includes a nature trail, canoeing and kayaking, fishing, snowshoeing, and cross-country skiing."/>
    <s v="WHITE RIVER TRAIL PARK"/>
    <s v="WALWORTH"/>
    <n v="1"/>
    <n v="60.6"/>
  </r>
  <r>
    <x v="51"/>
    <n v="1875"/>
    <n v="2012"/>
    <s v="5 ARCH STONE BRIDGE ACQUISITION"/>
    <s v="A"/>
    <n v="20500"/>
    <s v="A"/>
    <s v="ROCKY COUNTY"/>
    <s v="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
    <s v="MARYBELLE'S VIEW PARK"/>
    <s v="ROCK"/>
    <n v="1"/>
    <n v="8.1999999999999993"/>
  </r>
  <r>
    <x v="51"/>
    <n v="1872"/>
    <n v="2012"/>
    <s v="WYALUSING STATE PARK-HOMESTEAD CAMPGROUND SHOWER"/>
    <s v="A"/>
    <n v="295387"/>
    <s v="D"/>
    <s v="DEPT. OF NATURAL RESOURCES"/>
    <s v="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
    <s v="WYALUSING STATE PARK"/>
    <s v="Grant"/>
    <n v="3"/>
    <n v="2628"/>
  </r>
  <r>
    <x v="51"/>
    <n v="1871"/>
    <n v="2012"/>
    <s v="BIG FOOT BEACH STATE PK-TOILET/SHOWER BUIDLING DEV"/>
    <s v="A"/>
    <n v="271669.96000000002"/>
    <s v="D"/>
    <s v="DEPT. OF NATURAL RESOURCES"/>
    <s v="The Wisconsin DNR will improve the 271-acre Big Foot Beach State Park along the shore of Geneva Lake by removing and replacing the shower building in the campground area with an accessible structure."/>
    <s v="BIG FOOT BEACH STATE PARK"/>
    <s v="WALWORTH"/>
    <n v="1"/>
    <n v="271.5"/>
  </r>
  <r>
    <x v="51"/>
    <n v="1874"/>
    <n v="2012"/>
    <s v="ABENDSCHEIN PARK DEVELOPMENT"/>
    <s v="C"/>
    <n v="202965"/>
    <s v="D"/>
    <s v="CITY OF OAK CREEK"/>
    <s v="Oak Creek (Milwaukee County) will improve the 75-acre Abendschein Park by constructing trails, pedestrian bridges, and a parking area; adding landscaping; and, installing utilities and general signage."/>
    <s v="ABENDSCHEIN PARK"/>
    <s v="MILWAUKEE"/>
    <n v="1"/>
    <n v="75"/>
  </r>
  <r>
    <x v="51"/>
    <n v="1873"/>
    <n v="2012"/>
    <s v="SIMMONS ISLAND PARK BOARDWALK"/>
    <s v="A"/>
    <n v="250026"/>
    <s v="D"/>
    <s v="CITY OF KENOSHA"/>
    <s v="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
    <s v="SIMMONS ISLAND PARK"/>
    <s v="KENOSHA"/>
    <n v="1"/>
    <n v="27.7"/>
  </r>
  <r>
    <x v="51"/>
    <n v="1878"/>
    <n v="2014"/>
    <s v="EAST RIVER TRAIL CANOE/KAYAK LAUNCH ACQUISITION"/>
    <s v="A"/>
    <n v="55000"/>
    <s v="A"/>
    <s v="CITY OF GREEN BAY"/>
    <s v="The city of Green Bay will acquire 2 parcels (0.2 and 0.45 totaling 0.65 acres) to expand the East River Trail."/>
    <s v="EAST RIVER TRAIL"/>
    <s v="BROWN"/>
    <n v="8"/>
    <n v="0.7"/>
  </r>
  <r>
    <x v="51"/>
    <n v="1877"/>
    <n v="2014"/>
    <s v="BLUE MOUNDS STATE PARK SWIMMING POOL RENOVATION"/>
    <s v="A"/>
    <n v="979900"/>
    <s v="D"/>
    <s v="DEPT. OF NATURAL RESOURCES"/>
    <s v="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
    <s v="BLUE MOUNDS STATE PARK"/>
    <s v="Dane"/>
    <n v="2"/>
    <n v="1153"/>
  </r>
  <r>
    <x v="51"/>
    <n v="1879"/>
    <n v="2014"/>
    <s v="CITY OF OSHKOSH WILLIAM STEIGER RIVERWALK"/>
    <s v="A"/>
    <n v="126661.75"/>
    <s v="D"/>
    <s v="CITY OF OSHKOSH"/>
    <s v="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
    <s v="WILLIAM STEIGER PARK"/>
    <s v="WINNEBAGO"/>
    <n v="6"/>
    <n v="1.8"/>
  </r>
  <r>
    <x v="51"/>
    <n v="1880"/>
    <n v="2014"/>
    <s v="CITY OF MENASHA - FOX RIVER PARK DEVELOPMENT"/>
    <s v="A"/>
    <n v="216400"/>
    <s v="D"/>
    <s v="CITY OF MENASHA"/>
    <s v="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
    <s v="FOX RIVER PARK"/>
    <s v="WINNEBAGO"/>
    <n v="6"/>
    <n v="1"/>
  </r>
  <r>
    <x v="51"/>
    <n v="1881"/>
    <n v="2014"/>
    <s v="CITY OF OSHKOSH - SOUTH RIVERWALK DEVELOPMENT"/>
    <s v="A"/>
    <n v="463878.5"/>
    <s v="D"/>
    <s v="CITY OF OSHKOSH"/>
    <s v="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
    <s v="SOUTH RIVERWALK"/>
    <s v="WINNEBAGO"/>
    <n v="6"/>
    <n v="0.3"/>
  </r>
  <r>
    <x v="52"/>
    <n v="484"/>
    <n v="2012"/>
    <s v="Mayfield Park Acquisition"/>
    <s v="A"/>
    <n v="100000"/>
    <s v="A"/>
    <s v="City of Morgantown"/>
    <s v="The city of Morgantown will acquire 2.055 acres of parkland known as Mayfield park, located on the southwest corner of Mineral Street and Denver Avenue."/>
    <s v="Mayfield Park"/>
    <s v="MONONGALIA"/>
    <n v="1"/>
    <n v="2.1"/>
  </r>
  <r>
    <x v="52"/>
    <n v="482"/>
    <n v="2012"/>
    <s v="Hite Road Park - Phase One"/>
    <s v="A"/>
    <n v="99000"/>
    <s v="D"/>
    <s v="Jefferson County Parks &amp; Recreation Commission"/>
    <s v="The Jefferson County Parks &amp; Recreation will perform site preparation and development of a soccer field at its Hite Road Park, including parking and driveway improvements &amp; Installation of NPS LWCF acknowledgement signage."/>
    <s v="Hite Road Park"/>
    <s v="JEFFERSON"/>
    <n v="2"/>
    <n v="122.3"/>
  </r>
  <r>
    <x v="52"/>
    <n v="480"/>
    <n v="2012"/>
    <s v="Ferguson Park Playground"/>
    <s v="A"/>
    <n v="12532"/>
    <s v="D"/>
    <s v="City of Shinnston"/>
    <s v="The city of Shinnston will purchase and install an ADA compliant playground for toddlers at the city's Ferguson Memorial Park."/>
    <s v="Ferguson Memorial Park"/>
    <s v="HARRISON"/>
    <n v="1"/>
    <n v="16.600000000000001"/>
  </r>
  <r>
    <x v="52"/>
    <n v="483"/>
    <n v="2012"/>
    <s v="River City Skatepark"/>
    <s v="A"/>
    <n v="25000"/>
    <s v="D"/>
    <s v="City of Parsons"/>
    <s v="The City of Parsons will purchas and install skateboard eequipment at River City Park, including correct restroom threshold and handicapped parking signage for improved ADA accessibility."/>
    <s v="River City Park"/>
    <s v="TUCKER"/>
    <n v="1"/>
    <n v="3.2"/>
  </r>
  <r>
    <x v="52"/>
    <n v="477"/>
    <n v="2012"/>
    <s v="Fort Neal Park Restrooms"/>
    <s v="A"/>
    <n v="40000"/>
    <s v="D"/>
    <s v="City of Parkersburg"/>
    <s v="The City of Parkersburg will construct a 570 SF masonry comfort station at Fort Neal Park, up to the limits of the grant award."/>
    <s v="Fort Neal Park"/>
    <s v="WOOD"/>
    <n v="1"/>
    <n v="1.6"/>
  </r>
  <r>
    <x v="52"/>
    <n v="478"/>
    <n v="2012"/>
    <s v="Barbour County Park Playground"/>
    <s v="A"/>
    <n v="17384"/>
    <s v="R"/>
    <s v="Barbour County Commission"/>
    <s v="The Barbour County Commission will replace obsolete play- ground equipment at the Barbour County Park playground with ADA compliant equipment, up to the limits of the grant award."/>
    <s v="Barbour County Park"/>
    <s v="BARBOUR"/>
    <n v="1"/>
    <n v="165.9"/>
  </r>
  <r>
    <x v="52"/>
    <n v="481"/>
    <n v="2012"/>
    <s v="Ridenour Lake Shelter Repairs"/>
    <s v="A"/>
    <n v="60966"/>
    <s v="R"/>
    <s v="City of Nitro"/>
    <s v="The city of Nitro will perform repairs to Shelter #4 at Ridenour Park, including improved ADA Accessiblity, the sponsor funded demolition of an abandoned comfort station in the vicinity of Shelter Four."/>
    <s v="Ridenour Lake Park"/>
    <s v="Kanawha"/>
    <n v="0"/>
    <n v="70"/>
  </r>
  <r>
    <x v="52"/>
    <n v="476"/>
    <n v="2012"/>
    <s v="Veterans Memorial Park Bathhouse Renovation"/>
    <s v="A"/>
    <n v="100000"/>
    <s v="R"/>
    <s v="City of Clarksburg"/>
    <s v="The city of Clarksburg will complete interior renovations of its existing pool bathhouse at the Veterans Memorial Park to comply iwth the requirements of the 1990 Americans With Disability Act."/>
    <s v="Veteran's Memorial Park"/>
    <s v="Harrison"/>
    <n v="0"/>
    <n v="38.9"/>
  </r>
  <r>
    <x v="52"/>
    <n v="479"/>
    <n v="2012"/>
    <s v="Glen Dale Bathhouse &amp; Group Shelter Repairs"/>
    <s v="A"/>
    <n v="40000"/>
    <s v="R"/>
    <s v="City of Glen Dale"/>
    <s v="The city of Glen Dale will perform structural repairs and renovations to the bathhouse and group shelter repairs located at Glen Dale City Park."/>
    <s v="Glen Dale City Park"/>
    <s v="MARSHALL"/>
    <n v="1"/>
    <n v="1.8"/>
  </r>
  <r>
    <x v="52"/>
    <n v="490"/>
    <n v="2013"/>
    <s v="Sam Michael's Park Shelter &amp; Playground"/>
    <s v="A"/>
    <n v="40000"/>
    <s v="D"/>
    <s v="Jefferson County Parks &amp; Recreation Commission"/>
    <s v="The Jefferson County Parks &amp; Recreation Commission will construct a new group picnic shelter, ADA compliant playground and LWCF signage at Sam Michaels's Park."/>
    <s v="Sam Michael's Park"/>
    <s v="JEFFERSON"/>
    <n v="0"/>
    <n v="137.4"/>
  </r>
  <r>
    <x v="52"/>
    <n v="486"/>
    <n v="2013"/>
    <s v="Veterans Memorial Park Improvements II"/>
    <s v="A"/>
    <n v="100000"/>
    <s v="D"/>
    <s v="City of Clarksburg"/>
    <s v="The City of Clarksburg will construct improvements to the park including a new group picnic shelter and pool complex shade structure."/>
    <s v="Veteran's Memorial Park"/>
    <s v="Harrison"/>
    <n v="0"/>
    <n v="38.9"/>
  </r>
  <r>
    <x v="52"/>
    <n v="488"/>
    <n v="2013"/>
    <s v="Parkersburg Southwood Park Mini-Golf"/>
    <s v="A"/>
    <n v="35000"/>
    <s v="D"/>
    <s v="City of Parkersburg"/>
    <s v="The city of Parkersburg will construct an ADA compliant mini golf course at Southwood Park"/>
    <s v="SOUTHWOOD PARK"/>
    <s v="Wood"/>
    <n v="0"/>
    <n v="28.7"/>
  </r>
  <r>
    <x v="52"/>
    <n v="487"/>
    <n v="2013"/>
    <s v="City of Huntington Harris Riverfront Park"/>
    <s v="A"/>
    <n v="50000"/>
    <s v="D"/>
    <s v="City of Huntington"/>
    <s v="The city of Huntington will construct a new path and skateboard elements within its Harris Riverfront Park."/>
    <s v="Harris Park"/>
    <s v="Cabell"/>
    <n v="0"/>
    <n v="20.100000000000001"/>
  </r>
  <r>
    <x v="52"/>
    <n v="491"/>
    <n v="2013"/>
    <s v="Wheeling Park Stifel Playground Improvements"/>
    <s v="A"/>
    <n v="100000"/>
    <s v="R"/>
    <s v="Wheeling Park Commission"/>
    <s v="The Wheeling Park Commission will perform playground and comfort station renovations including ADA improvements and LWCF signage at Stifel Playground."/>
    <s v="WHEELING PARK"/>
    <s v="Ohio"/>
    <n v="0"/>
    <n v="302.10000000000002"/>
  </r>
  <r>
    <x v="52"/>
    <n v="485"/>
    <n v="2013"/>
    <s v="Pleasants County Park Pool Complex"/>
    <s v="A"/>
    <n v="100000"/>
    <s v="R"/>
    <s v="Plesants County Commission"/>
    <s v="Pleasants Cty will perform pool &amp; bathhouse renovations including ADA improvements and LWCF signage installation at the Park in St. Mary's."/>
    <s v="Pleasants County Park"/>
    <s v="PLEASANTS"/>
    <n v="0"/>
    <n v="50"/>
  </r>
  <r>
    <x v="52"/>
    <n v="489"/>
    <n v="2013"/>
    <s v="Lewis County Park ADA Improvements"/>
    <s v="A"/>
    <n v="60000"/>
    <s v="R"/>
    <s v="Lewis County Commission"/>
    <s v="Lewis County Commission will perform ADA improvements to its pool complex and playground."/>
    <s v="LEWIS COUNTY PARK"/>
    <s v="Lewis"/>
    <n v="0"/>
    <n v="17.2"/>
  </r>
  <r>
    <x v="53"/>
    <n v="876"/>
    <n v="2012"/>
    <s v="GLENDO STATE PARK TRIALS PHASE 3"/>
    <s v="A"/>
    <n v="181731.73"/>
    <s v="D"/>
    <s v="STATE OF WYOMING"/>
    <s v="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
    <s v="GLENDO STATE PARK"/>
    <s v="PLATTE"/>
    <n v="0"/>
    <n v="18381.900000000001"/>
  </r>
  <r>
    <x v="53"/>
    <n v="884"/>
    <n v="2012"/>
    <s v="HOLLIDAY PARK EXPANSION"/>
    <s v="C"/>
    <n v="31192.5"/>
    <s v="D"/>
    <s v="CITY OF CHEYENNE"/>
    <s v="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
    <s v="HOLLIDAY PARK"/>
    <s v="Laramie"/>
    <n v="0"/>
    <n v="38.5"/>
  </r>
  <r>
    <x v="53"/>
    <n v="877"/>
    <n v="2012"/>
    <s v="MOUNTAIN VIEW TOWN PARK IMPROVEMENTS PHASE II"/>
    <s v="C"/>
    <n v="61730"/>
    <s v="D"/>
    <s v="TOWN OF MOUNTAIN VIEW"/>
    <s v="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
    <s v="MOUNTAIN VIEW TOWN PARK"/>
    <s v="UINTA"/>
    <n v="0"/>
    <n v="22"/>
  </r>
  <r>
    <x v="53"/>
    <n v="885"/>
    <n v="2012"/>
    <s v="WEST VIEW PARK"/>
    <s v="A"/>
    <n v="90916"/>
    <s v="D"/>
    <s v="CITY OF MOORCROFT"/>
    <s v="Moorcroft (Crook County) will improve Westview Park by constructing a regulation size “Little League” baseball field, a scorer’s booth/concession stand/restroom facility, and a playground plus installing lighting, park signage, utilities, and flag poles."/>
    <s v="WESTVIEW PARK"/>
    <s v="Crook"/>
    <n v="0"/>
    <n v="15.3"/>
  </r>
  <r>
    <x v="53"/>
    <n v="887"/>
    <n v="2012"/>
    <s v="UNDINE PARK SPLASH PAD PHASE 2"/>
    <s v="C"/>
    <n v="58075.41"/>
    <s v="D"/>
    <s v="CITY OF LARAMIE"/>
    <s v="Laramie (Albany County) will improve Undine Park by constructing an additional 662 s.f. of the splash pad and the installation of seven play features along with a UV water filtration system. Undine Park is Laramie’s oldest park."/>
    <s v="UNDINE PARK"/>
    <s v="ALBANY"/>
    <n v="0"/>
    <n v="10"/>
  </r>
  <r>
    <x v="53"/>
    <n v="888"/>
    <n v="2012"/>
    <s v="ALTA PARK PLAYGROUND"/>
    <s v="C"/>
    <n v="12477"/>
    <s v="D"/>
    <s v="TETON COUNTY"/>
    <s v="Teton County will improve Alta Park by installing a climbing boulder and ropes playground upon an engineered wood fiber protective surfacing."/>
    <s v="ALTA PARK"/>
    <s v="Teton"/>
    <n v="0"/>
    <n v="3.5"/>
  </r>
  <r>
    <x v="53"/>
    <n v="886"/>
    <n v="2012"/>
    <s v="CROSSROADS WEST PARK"/>
    <s v="A"/>
    <n v="81100.5"/>
    <s v="R"/>
    <s v="SWEETWATER COUNTY"/>
    <s v="Sweetwater County will utilize improve Crossroads West Park in Rock Springs by replacing two fixed playground structures."/>
    <s v="CROSSROADS WEST PARK"/>
    <s v="Sweetwater"/>
    <n v="0"/>
    <n v="114.5"/>
  </r>
  <r>
    <x v="53"/>
    <n v="879"/>
    <n v="2012"/>
    <s v="MEETEETSE RODEO GROUNDS PHASE 2"/>
    <s v="C"/>
    <n v="54755"/>
    <s v="R"/>
    <s v="TOWN OF MEETEETSE"/>
    <s v="The Town of Meeteetse will improve the Rodeo Grounds by constructing new arena support facilities including underground electrical utilities."/>
    <s v="MEETEETSE RODEO ARENA"/>
    <s v="PARK"/>
    <n v="0"/>
    <n v="48.4"/>
  </r>
  <r>
    <x v="53"/>
    <n v="880"/>
    <n v="2012"/>
    <s v="CENTENNIAL PARK PLAYGROUND"/>
    <s v="C"/>
    <n v="30428"/>
    <s v="R"/>
    <s v="SHERIDAN COUNTY"/>
    <s v="Sheridan County will improve Centennial Park by replacing the outdated playground equipment and re-surfacing the playground to meet current safety standards."/>
    <s v="CENTENNIAL PARK"/>
    <s v="SHERIDAN"/>
    <n v="0"/>
    <n v="11"/>
  </r>
  <r>
    <x v="53"/>
    <n v="878"/>
    <n v="2012"/>
    <s v="OWEN BIRCHER PARK"/>
    <s v="C"/>
    <n v="18715"/>
    <s v="R"/>
    <s v="TETON COUNTY"/>
    <s v="Teton County will remove an old picnic shelter and replace it with a larger, updated shelter within the 4.68-acre Owen Bircher Park. The project will include the use of recycled and sustainable building materials. Owen Bircher Park is sited within the community of Wilson."/>
    <s v="OWEN BIRCHER PARK"/>
    <s v="TETON"/>
    <n v="0"/>
    <n v="4.7"/>
  </r>
  <r>
    <x v="53"/>
    <n v="881"/>
    <n v="2012"/>
    <s v="SUNDANCE SWIMMING POOL"/>
    <s v="A"/>
    <n v="62385"/>
    <s v="R"/>
    <s v="CITY OF SUNDANCE"/>
    <s v="Sundance (Crook County) will renovate the Sundance Municipal Pool by replacing the plumbing and updating the shower house to accessible standards. This pool is one of only a few outdoor recreational activities Sundance has to offer."/>
    <s v="SUNDANCE MUNICIPAL POOL"/>
    <s v="CROOK"/>
    <n v="0"/>
    <n v="2.5"/>
  </r>
  <r>
    <x v="53"/>
    <n v="889"/>
    <n v="2013"/>
    <s v="CURT GOWDY STATE PARK VISITOR CENTER SHOWER HOUSE"/>
    <s v="A"/>
    <n v="132311"/>
    <s v="D"/>
    <s v="STATE OF WYOMING"/>
    <s v="The Wyoming Department of State Parks and Cultural Resources will construct a shower house at the Curt Gowdy State Park visitor center."/>
    <s v="CURT GOWDY STATE PARK"/>
    <s v="Laramie"/>
    <n v="0"/>
    <n v="2117"/>
  </r>
  <r>
    <x v="53"/>
    <n v="892"/>
    <n v="2013"/>
    <s v="GUERNSEY COMMUNITY PICNIC SHELTER"/>
    <s v="A"/>
    <n v="15709.11"/>
    <s v="D"/>
    <s v="CITY OF GUERNSEY"/>
    <s v="The Town of Guernsey will construct a group picnic shelter and accessible sidewalk within City Park."/>
    <s v="SWIMMING POOL PARK"/>
    <s v="Platte"/>
    <n v="0"/>
    <n v="6.5"/>
  </r>
  <r>
    <x v="53"/>
    <n v="891"/>
    <n v="2014"/>
    <s v="CURT GOWDY STATE PARK PLAYGROUND IMPROVEMENTS"/>
    <s v="A"/>
    <n v="50000"/>
    <s v="D"/>
    <s v="STATE OF WYOMING"/>
    <s v="Wyoming State Parks will install new playground equipment near the group facilities at the Sherman Hills and Camp Jack areas of Curt Gowdy State Park. These replace the equipment at the Monte Cristo area."/>
    <s v="CURT GOWDY STATE PARK"/>
    <s v="Laramie"/>
    <n v="0"/>
    <n v="2117"/>
  </r>
  <r>
    <x v="53"/>
    <n v="893"/>
    <n v="2014"/>
    <s v="LEWIS PARK WILD WEST SPLASH PAD"/>
    <s v="A"/>
    <n v="127525.27"/>
    <s v="D"/>
    <s v="TOWN OF WHEATLAND"/>
    <s v="Wheatland will develop a splash park within Lewis Park."/>
    <s v="LEWIS CITY PARK"/>
    <s v="Platte"/>
    <n v="0"/>
    <n v="42"/>
  </r>
  <r>
    <x v="53"/>
    <n v="894"/>
    <n v="2014"/>
    <s v="SOUTH PARK ELEVATED BOARDWALK/CLASSROOM PLATFORM"/>
    <s v="A"/>
    <n v="54665"/>
    <s v="D"/>
    <s v="CITY OF SHERIDAN"/>
    <s v="The city of Sheridan will construct an elevated boardwalk leading to a raised viewing platform which will be used as an outdoor educational tool at South Park."/>
    <s v="SOUTH PARK"/>
    <s v="Sheridan"/>
    <n v="0"/>
    <n v="38.4"/>
  </r>
  <r>
    <x v="53"/>
    <n v="890"/>
    <n v="2014"/>
    <s v="MARTIN LUTHER KING, JR. PARK TENNIS COURTS"/>
    <s v="A"/>
    <n v="70446.899999999994"/>
    <s v="D"/>
    <s v="CITY OF CHEYENNE"/>
    <s v="Cheyenne will construct QuickStart tennis courts. The previous courts have aged and deteriorated beyond repair. QuickStart tennis courts are smaller allowing four courts to fit onto the footprint of a standard court."/>
    <s v="MARTIN LUTHER KING PARK"/>
    <s v="Laramie"/>
    <n v="0"/>
    <n v="10.5"/>
  </r>
  <r>
    <x v="53"/>
    <n v="895"/>
    <n v="2014"/>
    <s v="HIGHLAND NEIGHBORHOOD PARK DEVELOPMENT PHASE I"/>
    <s v="A"/>
    <n v="68331.25"/>
    <s v="D"/>
    <s v="CITY OF CHEYENNE"/>
    <s v="The city of Cheyenne will develop a 2.79-acre parcel into a new neighborhood park within the Buffalo Ridge neighborhood as its first park. This development will include the installation of a picnic shelter with furnishings, a playground, and a basketball court."/>
    <s v="HIGHLAND NEIGHBORHOOD PARK"/>
    <s v="LARAMIE"/>
    <n v="0"/>
    <n v="2.8"/>
  </r>
</pivotCacheRecords>
</file>

<file path=xl/pivotCache/pivotCacheRecords2.xml><?xml version="1.0" encoding="utf-8"?>
<pivotCacheRecords xmlns="http://schemas.openxmlformats.org/spreadsheetml/2006/main" xmlns:r="http://schemas.openxmlformats.org/officeDocument/2006/relationships" count="114">
  <r>
    <n v="2011"/>
    <x v="0"/>
    <s v="Pulaski"/>
    <s v="Mill Springs"/>
    <n v="16.396000000000001"/>
    <n v="63147"/>
  </r>
  <r>
    <n v="2011"/>
    <x v="0"/>
    <s v="Boyle"/>
    <s v="Perryville"/>
    <n v="52.94"/>
    <n v="110124"/>
  </r>
  <r>
    <n v="2011"/>
    <x v="0"/>
    <s v="Boyle"/>
    <s v="Perryville"/>
    <n v="141"/>
    <n v="366764"/>
  </r>
  <r>
    <n v="2011"/>
    <x v="0"/>
    <s v="Boyle"/>
    <s v="Perryville"/>
    <n v="66.47"/>
    <n v="101156"/>
  </r>
  <r>
    <n v="2011"/>
    <x v="1"/>
    <s v="Frederick"/>
    <s v="South Mountain"/>
    <n v="13.96"/>
    <n v="119500"/>
  </r>
  <r>
    <n v="2011"/>
    <x v="2"/>
    <s v="Yellow Medicine"/>
    <s v="Wood Lake"/>
    <n v="240"/>
    <n v="70250"/>
  </r>
  <r>
    <n v="2011"/>
    <x v="3"/>
    <s v="Christian"/>
    <s v="Wilson's Creek"/>
    <n v="40"/>
    <n v="87868"/>
  </r>
  <r>
    <n v="2011"/>
    <x v="4"/>
    <s v="Warren"/>
    <s v="Vicksburg"/>
    <n v="1.5"/>
    <n v="35075"/>
  </r>
  <r>
    <n v="2011"/>
    <x v="4"/>
    <s v="Warren"/>
    <s v="Vicksburg"/>
    <n v="3"/>
    <n v="65550"/>
  </r>
  <r>
    <n v="2011"/>
    <x v="4"/>
    <s v="Claiborne"/>
    <s v="Port Gibson"/>
    <n v="4.5"/>
    <n v="100800"/>
  </r>
  <r>
    <n v="2011"/>
    <x v="5"/>
    <s v="Lenoir"/>
    <s v="Wyse Fork"/>
    <n v="91.24"/>
    <n v="120000"/>
  </r>
  <r>
    <n v="2011"/>
    <x v="5"/>
    <s v="Johnston"/>
    <s v="Bentonville"/>
    <n v="12.16"/>
    <n v="45325"/>
  </r>
  <r>
    <n v="2011"/>
    <x v="5"/>
    <s v="Johnston"/>
    <s v="Bentonville"/>
    <n v="39.35"/>
    <n v="114000"/>
  </r>
  <r>
    <n v="2011"/>
    <x v="5"/>
    <s v="Johnston"/>
    <s v="Bentonville"/>
    <n v="28.815000000000001"/>
    <n v="77000"/>
  </r>
  <r>
    <n v="2011"/>
    <x v="5"/>
    <s v="Johnston"/>
    <s v="Bentonville"/>
    <n v="14.42"/>
    <n v="41000"/>
  </r>
  <r>
    <n v="2011"/>
    <x v="5"/>
    <s v="Johnston"/>
    <s v="Bentonville"/>
    <n v="25.49"/>
    <n v="73000"/>
  </r>
  <r>
    <n v="2011"/>
    <x v="5"/>
    <s v="Johnston"/>
    <s v="Bentonville"/>
    <n v="15"/>
    <n v="41000"/>
  </r>
  <r>
    <n v="2011"/>
    <x v="6"/>
    <s v="Mayes"/>
    <s v="Cabin Creek"/>
    <n v="42.7"/>
    <n v="127875"/>
  </r>
  <r>
    <n v="2011"/>
    <x v="6"/>
    <s v="Mayes"/>
    <s v="Cabin Creek"/>
    <n v="43.8"/>
    <n v="57700"/>
  </r>
  <r>
    <n v="2011"/>
    <x v="7"/>
    <s v="Adams"/>
    <s v="Gettysburg"/>
    <n v="0.46200000000000002"/>
    <n v="133727"/>
  </r>
  <r>
    <n v="2011"/>
    <x v="7"/>
    <s v="Adams"/>
    <s v="Gettysburg"/>
    <n v="0.96"/>
    <n v="82000"/>
  </r>
  <r>
    <n v="2011"/>
    <x v="8"/>
    <s v="McNairy"/>
    <s v="Shiloh"/>
    <n v="145"/>
    <n v="162809"/>
  </r>
  <r>
    <n v="2011"/>
    <x v="8"/>
    <s v="McNairy"/>
    <s v="Shiloh"/>
    <n v="65.599999999999994"/>
    <n v="139254"/>
  </r>
  <r>
    <n v="2011"/>
    <x v="8"/>
    <s v="McNairy"/>
    <s v="Shiloh"/>
    <n v="55.85"/>
    <n v="99985"/>
  </r>
  <r>
    <n v="2011"/>
    <x v="8"/>
    <s v="Henderson"/>
    <s v="Parker's Crossroads"/>
    <n v="0.5"/>
    <n v="40850"/>
  </r>
  <r>
    <n v="2011"/>
    <x v="8"/>
    <s v="Williamson"/>
    <s v="Franklin II"/>
    <n v="4.8899999999999997"/>
    <n v="103000"/>
  </r>
  <r>
    <n v="2011"/>
    <x v="9"/>
    <s v="Henrico"/>
    <s v="Chaffin's Farm"/>
    <n v="7.1550000000000002"/>
    <n v="59875"/>
  </r>
  <r>
    <n v="2011"/>
    <x v="9"/>
    <s v="Spotsylvania"/>
    <s v="Chancellorsville"/>
    <n v="9.23"/>
    <n v="132200"/>
  </r>
  <r>
    <n v="2011"/>
    <x v="9"/>
    <s v="Fauquier"/>
    <s v="Buckland Mills"/>
    <n v="59.38"/>
    <n v="2300000"/>
  </r>
  <r>
    <n v="2011"/>
    <x v="9"/>
    <s v="Spotsylvania"/>
    <s v="Chancellorsville"/>
    <n v="13.95"/>
    <n v="246425"/>
  </r>
  <r>
    <n v="2011"/>
    <x v="9"/>
    <s v="Frederick/Orange"/>
    <s v="Cedar Creek/Mine Run"/>
    <n v="69.5"/>
    <n v="430000"/>
  </r>
  <r>
    <n v="2011"/>
    <x v="9"/>
    <s v="Shenandoah"/>
    <s v="Tom's Brook"/>
    <n v="211.25"/>
    <n v="78157"/>
  </r>
  <r>
    <n v="2011"/>
    <x v="9"/>
    <s v="Shenandoah"/>
    <s v="Tom's Brook"/>
    <n v="78.314999999999998"/>
    <n v="62500"/>
  </r>
  <r>
    <n v="2011"/>
    <x v="9"/>
    <s v="Orange"/>
    <s v="Mine Run"/>
    <n v="5"/>
    <n v="43690"/>
  </r>
  <r>
    <n v="2011"/>
    <x v="10"/>
    <s v="Jefferson"/>
    <s v="Shepherdstown"/>
    <n v="13.25"/>
    <n v="85000"/>
  </r>
  <r>
    <n v="2011"/>
    <x v="10"/>
    <s v="Jefferson County"/>
    <s v="Summit Point"/>
    <n v="264.32"/>
    <n v="883700"/>
  </r>
  <r>
    <n v="2011"/>
    <x v="10"/>
    <s v="Jefferson"/>
    <s v="Smithfield Crossing"/>
    <n v="73"/>
    <n v="189778.1"/>
  </r>
  <r>
    <n v="2012"/>
    <x v="11"/>
    <s v="Cobb"/>
    <s v="Marietta Operations"/>
    <n v="132"/>
    <n v="2011551"/>
  </r>
  <r>
    <n v="2012"/>
    <x v="0"/>
    <s v="Wayne"/>
    <s v="Mill Springs"/>
    <n v="78.22"/>
    <n v="328425"/>
  </r>
  <r>
    <n v="2012"/>
    <x v="0"/>
    <s v="Boyle"/>
    <s v="Perryville"/>
    <n v="1"/>
    <n v="42792.53"/>
  </r>
  <r>
    <n v="2012"/>
    <x v="12"/>
    <s v="DeSoto"/>
    <s v="Mansfield"/>
    <n v="0.79"/>
    <n v="40116"/>
  </r>
  <r>
    <n v="2012"/>
    <x v="5"/>
    <s v="Johnston"/>
    <s v="Bentonville"/>
    <n v="61.1"/>
    <n v="168720"/>
  </r>
  <r>
    <n v="2012"/>
    <x v="5"/>
    <s v="Johnston"/>
    <s v="Bentonville"/>
    <n v="22.17"/>
    <n v="58600"/>
  </r>
  <r>
    <n v="2012"/>
    <x v="5"/>
    <s v="Cumberland"/>
    <s v="Averasborough"/>
    <n v="44"/>
    <n v="102289"/>
  </r>
  <r>
    <n v="2012"/>
    <x v="5"/>
    <s v="Johnston"/>
    <s v="Bentonville"/>
    <n v="108.47"/>
    <n v="253442.5"/>
  </r>
  <r>
    <n v="2012"/>
    <x v="8"/>
    <s v="Williamson"/>
    <s v="Franklin I"/>
    <n v="0.21"/>
    <n v="112800"/>
  </r>
  <r>
    <n v="2012"/>
    <x v="9"/>
    <s v="Culpeper"/>
    <s v="Kelly's Ford"/>
    <n v="964"/>
    <n v="500000"/>
  </r>
  <r>
    <n v="2012"/>
    <x v="9"/>
    <s v="Hanover"/>
    <s v="Totopotomoy Creek"/>
    <n v="2"/>
    <n v="91430"/>
  </r>
  <r>
    <n v="2012"/>
    <x v="9"/>
    <s v="City of Petersburg"/>
    <s v="Peebles' Farm"/>
    <n v="19.3"/>
    <n v="33190"/>
  </r>
  <r>
    <n v="2012"/>
    <x v="9"/>
    <s v="Prince William "/>
    <s v="Manassas II"/>
    <n v="3"/>
    <n v="195221"/>
  </r>
  <r>
    <n v="2012"/>
    <x v="9"/>
    <s v="Clark"/>
    <s v="Cool Springs"/>
    <n v="915"/>
    <n v="1800000"/>
  </r>
  <r>
    <n v="2012"/>
    <x v="9"/>
    <s v="Chesterfield"/>
    <s v="Ware Bottom Church"/>
    <n v="31"/>
    <n v="367263"/>
  </r>
  <r>
    <n v="2012"/>
    <x v="9"/>
    <s v="Clark"/>
    <s v="Cool Springs/Kelly's Ford"/>
    <n v="195"/>
    <n v="800000"/>
  </r>
  <r>
    <n v="2012"/>
    <x v="9"/>
    <s v="Rockingham"/>
    <s v="Cross Keys"/>
    <n v="83"/>
    <n v="181000"/>
  </r>
  <r>
    <n v="2012"/>
    <x v="9"/>
    <s v="Fauquier"/>
    <s v="Buckland Mills"/>
    <n v="3.66"/>
    <n v="1050000"/>
  </r>
  <r>
    <n v="2012"/>
    <x v="9"/>
    <s v="Shenandoah"/>
    <s v="Tom's Brook"/>
    <n v="161"/>
    <n v="25000"/>
  </r>
  <r>
    <n v="2012"/>
    <x v="9"/>
    <s v="Warren"/>
    <s v="Vicksburg"/>
    <n v="1"/>
    <n v="43865"/>
  </r>
  <r>
    <n v="2012"/>
    <x v="9"/>
    <s v="City of Leesburg"/>
    <s v="Ball's Bluff"/>
    <n v="3.22"/>
    <n v="230475"/>
  </r>
  <r>
    <n v="2012"/>
    <x v="9"/>
    <s v="Fauquier"/>
    <s v="Buckland Mills"/>
    <n v="50"/>
    <n v="1160000"/>
  </r>
  <r>
    <n v="2012"/>
    <x v="9"/>
    <s v="Prince Edward"/>
    <s v="Sailor's Creek"/>
    <n v="130"/>
    <n v="94003"/>
  </r>
  <r>
    <n v="2012"/>
    <x v="9"/>
    <s v="Culpeper"/>
    <s v="Cedar Mountain"/>
    <n v="4.4669999999999996"/>
    <n v="129309"/>
  </r>
  <r>
    <n v="2012"/>
    <x v="9"/>
    <s v="Spotsylvania"/>
    <s v="Chancellorsville"/>
    <n v="81.69"/>
    <n v="289999"/>
  </r>
  <r>
    <n v="2012"/>
    <x v="9"/>
    <s v="Appomattox"/>
    <s v="Appomattox Courthouse"/>
    <n v="49"/>
    <n v="139528"/>
  </r>
  <r>
    <n v="2013"/>
    <x v="11"/>
    <s v="Catoosa"/>
    <s v="Chickamauga"/>
    <n v="102.74"/>
    <n v="556967"/>
  </r>
  <r>
    <n v="2013"/>
    <x v="11"/>
    <s v="Catoosa"/>
    <s v="Chickamauga"/>
    <n v="7.21"/>
    <n v="105358.73"/>
  </r>
  <r>
    <n v="2013"/>
    <x v="1"/>
    <s v="Frederick"/>
    <s v="South Mountain"/>
    <n v="4.33"/>
    <n v="166600"/>
  </r>
  <r>
    <n v="2013"/>
    <x v="1"/>
    <s v="Washington"/>
    <s v="Antietam"/>
    <n v="15"/>
    <n v="157075"/>
  </r>
  <r>
    <n v="2013"/>
    <x v="1"/>
    <s v="Frederick"/>
    <s v="South Mountain"/>
    <n v="264.22000000000003"/>
    <n v="561687.5"/>
  </r>
  <r>
    <n v="2013"/>
    <x v="3"/>
    <s v="Jasper"/>
    <s v="Carthage"/>
    <n v="180"/>
    <n v="105075"/>
  </r>
  <r>
    <n v="2013"/>
    <x v="4"/>
    <s v="Lee"/>
    <s v="Brice's Crossroads"/>
    <n v="0.9"/>
    <n v="34027.5"/>
  </r>
  <r>
    <n v="2013"/>
    <x v="4"/>
    <s v="Warren"/>
    <s v="Vicksburg"/>
    <n v="5"/>
    <n v="220500"/>
  </r>
  <r>
    <n v="2013"/>
    <x v="5"/>
    <s v="Johnston"/>
    <s v="Bentonville"/>
    <n v="53.89"/>
    <n v="124973"/>
  </r>
  <r>
    <n v="2013"/>
    <x v="5"/>
    <s v="Johnston"/>
    <s v="Bentonville"/>
    <n v="55.73"/>
    <n v="142191"/>
  </r>
  <r>
    <n v="2013"/>
    <x v="5"/>
    <s v="Johnston"/>
    <s v="Bentonville"/>
    <n v="13.382"/>
    <n v="27250.5"/>
  </r>
  <r>
    <n v="2013"/>
    <x v="5"/>
    <s v="Johnston"/>
    <s v="Bentonville"/>
    <n v="7.5720000000000001"/>
    <n v="45798"/>
  </r>
  <r>
    <n v="2013"/>
    <x v="8"/>
    <s v="Hamilton"/>
    <s v="Chattanooga III"/>
    <n v="31.01"/>
    <n v="440000"/>
  </r>
  <r>
    <n v="2013"/>
    <x v="8"/>
    <s v="Hamilton"/>
    <s v="Chattanooga III"/>
    <n v="17.04"/>
    <n v="390000"/>
  </r>
  <r>
    <n v="2013"/>
    <x v="9"/>
    <s v="Culpeper"/>
    <s v="Rappahannock Station I"/>
    <n v="67.349999999999994"/>
    <n v="111454"/>
  </r>
  <r>
    <n v="2013"/>
    <x v="9"/>
    <s v="Culpeper"/>
    <s v="Kelly's Ford"/>
    <n v="43.28"/>
    <n v="71920"/>
  </r>
  <r>
    <n v="2013"/>
    <x v="9"/>
    <s v="Culpeper"/>
    <s v="Rappahannock Station II"/>
    <n v="52"/>
    <n v="52000"/>
  </r>
  <r>
    <n v="2013"/>
    <x v="9"/>
    <s v="Culpeper"/>
    <s v="Rappahannock Station I"/>
    <n v="508"/>
    <n v="464000"/>
  </r>
  <r>
    <n v="2013"/>
    <x v="9"/>
    <s v="Dinwiddie"/>
    <s v="Peebles' Farm"/>
    <n v="2.52"/>
    <n v="104725"/>
  </r>
  <r>
    <n v="2013"/>
    <x v="9"/>
    <s v="Culpeper"/>
    <s v="Kelly's Ford"/>
    <n v="218.37"/>
    <n v="250000"/>
  </r>
  <r>
    <n v="2013"/>
    <x v="9"/>
    <s v="Prince Edward"/>
    <s v="High Bridge"/>
    <n v="115.12"/>
    <n v="104075"/>
  </r>
  <r>
    <n v="2013"/>
    <x v="9"/>
    <s v="Henrico"/>
    <s v="Glendale"/>
    <n v="34.4"/>
    <n v="118319"/>
  </r>
  <r>
    <n v="2013"/>
    <x v="9"/>
    <s v="Spotsylvania"/>
    <s v="Chancellorsville"/>
    <n v="27.4"/>
    <n v="330457"/>
  </r>
  <r>
    <n v="2013"/>
    <x v="9"/>
    <s v="Shenandoah"/>
    <s v="New Market"/>
    <n v="0.25700000000000001"/>
    <n v="303662"/>
  </r>
  <r>
    <n v="2013"/>
    <x v="9"/>
    <s v="Chesterfield"/>
    <s v="Ware Bottom Church"/>
    <n v="14.749000000000001"/>
    <n v="143400"/>
  </r>
  <r>
    <n v="2013"/>
    <x v="9"/>
    <s v="Prince William"/>
    <s v="Manassas II"/>
    <n v="3.16"/>
    <n v="274179.19"/>
  </r>
  <r>
    <n v="2013"/>
    <x v="9"/>
    <s v="Culpeper"/>
    <s v="Brandy Station"/>
    <n v="56.68"/>
    <n v="1795600"/>
  </r>
  <r>
    <n v="2013"/>
    <x v="9"/>
    <s v="Henrico"/>
    <s v="Deep Bottom I"/>
    <n v="30.65"/>
    <n v="297870"/>
  </r>
  <r>
    <n v="2013"/>
    <x v="10"/>
    <s v="Jefferson"/>
    <s v="Shepherdstown"/>
    <n v="1.8"/>
    <n v="95775"/>
  </r>
  <r>
    <n v="2013"/>
    <x v="10"/>
    <s v="Jefferson"/>
    <s v="Shepherdstown"/>
    <n v="0.62"/>
    <n v="37812.5"/>
  </r>
  <r>
    <n v="2014"/>
    <x v="0"/>
    <s v="Wayne"/>
    <s v="Mill Springs"/>
    <n v="102.6"/>
    <n v="361475"/>
  </r>
  <r>
    <n v="2014"/>
    <x v="12"/>
    <s v="DeSoto"/>
    <s v="Mansfield"/>
    <n v="282"/>
    <n v="337230"/>
  </r>
  <r>
    <n v="2014"/>
    <x v="1"/>
    <s v="Frederick"/>
    <s v="South Mountain"/>
    <n v="42.5"/>
    <n v="116492.25"/>
  </r>
  <r>
    <n v="2014"/>
    <x v="5"/>
    <s v="Johnston"/>
    <s v="Bentonville"/>
    <n v="14.74"/>
    <n v="41163.5"/>
  </r>
  <r>
    <n v="2014"/>
    <x v="5"/>
    <s v="Wayne"/>
    <s v="Bentonville"/>
    <n v="5.43"/>
    <n v="17213"/>
  </r>
  <r>
    <n v="2014"/>
    <x v="13"/>
    <s v="Santa Fe"/>
    <s v="Glorieta Pass"/>
    <n v="16.7"/>
    <n v="22300"/>
  </r>
  <r>
    <n v="2014"/>
    <x v="7"/>
    <s v="Adams"/>
    <s v="Gettysburg"/>
    <n v="4.1399999999999997"/>
    <n v="1500000"/>
  </r>
  <r>
    <n v="2014"/>
    <x v="7"/>
    <s v="Adams"/>
    <s v="Gettysburg"/>
    <n v="3"/>
    <n v="81752"/>
  </r>
  <r>
    <n v="2014"/>
    <x v="7"/>
    <s v="Adams"/>
    <s v="Gettysburg"/>
    <n v="0.98"/>
    <n v="31162"/>
  </r>
  <r>
    <n v="2014"/>
    <x v="7"/>
    <s v="Adams"/>
    <s v="Gettysburg"/>
    <n v="0.63"/>
    <n v="144813.75"/>
  </r>
  <r>
    <n v="2014"/>
    <x v="7"/>
    <s v="Adams"/>
    <s v="Gettysburg"/>
    <n v="10.5"/>
    <n v="92352"/>
  </r>
  <r>
    <n v="2014"/>
    <x v="8"/>
    <s v="Williamson"/>
    <s v="Thompson's Station"/>
    <n v="32"/>
    <n v="202472.21"/>
  </r>
  <r>
    <n v="2014"/>
    <x v="9"/>
    <s v="Appomattox"/>
    <s v="Appomattox Courthouse"/>
    <n v="2.81"/>
    <n v="92676"/>
  </r>
  <r>
    <n v="2014"/>
    <x v="9"/>
    <s v="Loudoun"/>
    <s v="Aldie"/>
    <n v="10"/>
    <n v="81985"/>
  </r>
  <r>
    <n v="2014"/>
    <x v="9"/>
    <s v="Appomattox"/>
    <s v="Appomattox Courthouse"/>
    <n v="3.67"/>
    <n v="58595.81"/>
  </r>
  <r>
    <n v="2014"/>
    <x v="9"/>
    <s v="Fauquier"/>
    <s v="Rappahannock Station II"/>
    <n v="1.7609999999999999"/>
    <n v="130000"/>
  </r>
  <r>
    <n v="2014"/>
    <x v="9"/>
    <s v="Caroline"/>
    <s v="North Anna"/>
    <n v="10.5"/>
    <n v="57225"/>
  </r>
  <r>
    <n v="2014"/>
    <x v="9"/>
    <s v="Prince William "/>
    <s v="Manassas II"/>
    <n v="2.58"/>
    <n v="230249"/>
  </r>
  <r>
    <n v="2014"/>
    <x v="9"/>
    <s v="Dinwiddie"/>
    <s v="White Oak Road"/>
    <n v="4.6100000000000003"/>
    <n v="154391.5"/>
  </r>
  <r>
    <n v="2014"/>
    <x v="9"/>
    <s v="Dinwiddie"/>
    <s v="Reams Station II"/>
    <n v="10.525"/>
    <n v="24931"/>
  </r>
  <r>
    <n v="2014"/>
    <x v="10"/>
    <s v="Jefferson"/>
    <s v="Harpers Ferry"/>
    <n v="12.97"/>
    <n v="1329802"/>
  </r>
</pivotCacheRecords>
</file>

<file path=xl/pivotCache/pivotCacheRecords3.xml><?xml version="1.0" encoding="utf-8"?>
<pivotCacheRecords xmlns="http://schemas.openxmlformats.org/spreadsheetml/2006/main" xmlns:r="http://schemas.openxmlformats.org/officeDocument/2006/relationships" count="122">
  <r>
    <s v="FWS-FY2012-1"/>
    <n v="2012"/>
    <n v="1"/>
    <s v="FWS"/>
    <s v="Alaska Maritime NWR"/>
    <s v="Core"/>
    <x v="0"/>
    <s v="AK-AL"/>
    <s v="Kenai Peninsula, Kodiak Island"/>
    <n v="400000"/>
    <n v="99000"/>
    <n v="613"/>
    <n v="151"/>
    <s v="Fee"/>
    <n v="152004"/>
    <s v="Y"/>
    <s v="Purpose of Acquisition: To conserve and restore seabird colonies and contribute to landscape scale_x000a_conservation within the Western Alaska Landscape Conservation Cooperative._x000a_Project Cooperators: Alaska Native Corporations, State of Alaska_x000a_Project Description: The Service would use funds to acquire two islands. The smaller of the islands, Flat_x000a_Island, only 13 acres in size, supports regionally significant seabird colonies. At least five species nest here,_x000a_including about 30,000 tufted puffins and small colonies of common murres, black-legged kittiwakes,_x000a_glaucous-winged gulls, and black oystercatchers. Cherni Island is a 600-acre island that supports 11 seabird_x000a_species, including large nesting populations of double-crested, red-faced, and pelagic cormorants (about_x000a_2,500 birds)._x000a_These islands provided habitat for large concentrations of burrow-nesting seabirds. However, the presence_x000a_of introduced predators has been detrimental to these vulnerable species. Acquiring these island habitats in_x000a_their entirety would enable the Service to provide long-term protection of seabird colonies, remove_x000a_introduced predators if necessary, restrict incompatible uses, and restore seabird habitat."/>
    <n v="0"/>
    <n v="0"/>
    <m/>
  </r>
  <r>
    <s v="FWS-FY2012-5"/>
    <n v="2012"/>
    <n v="5"/>
    <s v="FWS"/>
    <s v="Cache River NWR"/>
    <s v="Core"/>
    <x v="1"/>
    <s v="AR-1"/>
    <s v="Jackson, Woodruff, Monroe and Prairie"/>
    <n v="4250000"/>
    <n v="4143200"/>
    <n v="1700"/>
    <n v="1657"/>
    <s v="Fee"/>
    <n v="116957"/>
    <s v="Y"/>
    <s v="Purpose of Acquisition: To protect fisheries and wildlife resources and provide public access to refuge_x000a_lands._x000a_Project Cooperators: The Wildlife Federation, The Nature Conservancy, The Conservation Fund,_x000a_Audubon Society, and Arkansas Game and Fish Commission._x000a_Project Description: Funding would acquire fee title to approximately 1,700 acres of a 3,100-acre_x000a_property from The Conservation Fund. This would be a phased acquisition as funding becomes available._x000a_This tract contains some of the best quality and last remaining old growth hardwood forest in the area. This_x000a_acquisition would contribute greatly to the Cache River project area, which encompasses some of the_x000a_largest remaining contiguous blocks of bottomland hardwood forest in the Lower Mississippi Valley and_x000a_some of the largest remaining expanses of forested wetlands on any tributary within the Mississippi Alluvial_x000a_Valley. The area is considered the most important wintering area for mallards in North America, and one of_x000a_the most important for pintails, teal, Canada geese, and other migratory waterfowl. The wetland and_x000a_aquatic habitats of the Cache/Lower White Rivers ecosystem support 52 species of mammals, 232 species_x000a_of birds, 48 species of reptiles and amphibians, and approximately 95 species of freshwater fish._x000a_"/>
    <n v="5000"/>
    <n v="300"/>
    <s v="O&amp;M: To properly mark the boundary for 1700 acres the Service would have an initial cost of_x000a_approximately $5,000 for signs, posts, rivets, nails, paint, and boundary tags which the Service would fund_x000a_from Refuge System base funding. Once initially marked, annual costs would be &lt;$300 for maintenance."/>
  </r>
  <r>
    <s v="BLM-FY2013-1"/>
    <n v="2013"/>
    <n v="1"/>
    <s v="BLM"/>
    <s v="Ironwood Forest National Monument"/>
    <s v="Core"/>
    <x v="2"/>
    <s v="AZ-7"/>
    <s v="Pima County"/>
    <n v="1000000"/>
    <n v="800000"/>
    <n v="459"/>
    <n v="459"/>
    <s v="Fee"/>
    <n v="6362"/>
    <s v="Y"/>
    <s v="Purpose Consolidate landownership, prevent_x000a_residential development and mining and_x000a_provide long-term protection of_x000a_ecosystem, open space, species and_x000a_watershed values within the Monument._x000a_Purchase_x000a_Opportunities_x000a_Several inholding parcels are currently_x000a_available from highly-motivated willing_x000a_sellers. Acquisition of these parcels_x000a_would provide an opportunity to_x000a_consolidate land ownership and further_x000a_the protection of Monument objects._x000a_Partner Arizona Land and Water Trust._x000a_Cooperators Tohono O’odham Nation, Pima County, Friends of Ironwood Forest._x000a_Project_x000a_Description_x000a_Taking its name from one of the longest living trees in the Arizona desert, the 129,000-_x000a_acre Ironwood Forest National Monument is a true Sonoran Desert showcase. The_x000a_Ironwood is a very long-lived tree, with some specimens estimated to be more than_x000a_800 years old. Ironwood is a keystone species because it provides a nursery_x000a_environment of shade and protection that enables young seedlings of other species to_x000a_become established despite the harsh desert climate, where night-time lows can_x000a_exceed 105°F. Studies by the Arizona-Sonora Desert Museum have documented 560_x000a_plant species within the Monument. Resident birdwatchers have documented more_x000a_than 80 species of migratory and non-migratory birds. The Monument lies within the_x000a_scenic viewshed of the 1,210-mile Juan Bautista de Anza National Historic Trail, which_x000a_skirts its eastern boundary._x000a_The proposal involves the acquisition of two properties from highly-motivated willing_x000a_sellers. The parcels have been proposed for residential development, however a_x000a_reduced demand for residential units now provides an opportunity to eliminate this_x000a_potential threat._x000a_The Cocoraque parcel is within the Cocoraque Butte Archeological District which was_x000a_listed on the National Register of Historic Places in October 1975. More than_x000a_200 Hohokam and Paleoindian archaeological sites dated between 600 and 1450_x000a_(including many petroglyphs) have been identified on this parcel and within the_x000a_Monument._x000a_The Waterman parcel provides habitat to a small population of Nichol Turk’s Head_x000a_cactus, occurring in localized limestone-rich areas. The Nichol Turk’s Head is a very_x000a_slow-growing cactus, taking 10 years to reach a height of 2-3 inches. It was listed as_x000a_an endangered plant in 1976 and has an approved recovery plan."/>
    <n v="5000"/>
    <n v="1000"/>
    <m/>
  </r>
  <r>
    <s v="NPS-FY2011-1"/>
    <n v="2011"/>
    <n v="1"/>
    <s v="NPS"/>
    <s v="Petrified Forest National Park"/>
    <s v="Core"/>
    <x v="2"/>
    <s v="AZ-1"/>
    <s v="Apache and Navajo Counties"/>
    <n v="7540000"/>
    <n v="5100000"/>
    <n v="35960"/>
    <n v="24000"/>
    <s v="Fee"/>
    <n v="12205"/>
    <s v="Y"/>
    <s v="Description: The Act of December 3, 2004 (Public Law 108-430), revised the boundary of the park to include_x000a_an additional 125,000 acres of land, of which approximately 76,473 acres are privately owned. The act_x000a_authorized the Secretary of the Interior to acquire such privately owned land from a willing seller, by_x000a_donation, purchase with donated or appropriated funds, or exchange. The Service’s appropriation for 2010_x000a_included $4,575,000 for acquisition of Twin Buttes Ranch that was among the lands added to the park in_x000a_2004. This is the first funding to be directed to this project._x000a_Natural/Cultural Resources Associated with Proposal: Petrified Forest National Park contains globally_x000a_significant fossil from the Late Triassic Period. The park is a virtual laboratory offering opportunities for_x000a_paleontological research and visitor understanding that are unparalleled. The conservation and protection_x000a_of the fossil resources, especially petrified wood (critical park resource) is the reason for the original_x000a_establishment of the park, while the protection of vast cultural resources (the secondary unit resource) is_x000a_a major focus and the intent of later expansion legislation._x000a_Threat: Direct threats to natural and cultural resources in the proposed expansion area include theft and_x000a_vandalism of fragile and non-renewable archaeological and paleontological sites and resources. Although_x000a_these occurrences are all within the park’s congressionally approved administrative boundary, the park_x000a_currently has no jurisdiction over these lands and therefore non-renewable paleontological and_x000a_archaeological resources are unattended and subject to ongoing theft and vandalism._x000a_Need: The funds requested would be used to complete acquisition of Twin Buttes Ranch and NZ Milky_x000a_Ranch. The remainder would be obligated to commence acquisition of the Paulsell Ranch that includes_x000a_numerous significant cultural sites including rock art panels, as well as structures from the Puebloan_x000a_period of southwest. This property also includes nine miles of the Puerco River Riparian area. The Puerco_x000a_River Riparian Area provides crucial habitat for many of the species found in this area from insects and_x000a_rodents to raptors and migrating elk._x000a_Letters of support for this project have been received by the cities of Holbrook and Winslow, Arizona, the_x000a_State of Arizona, Arizona Department of Fish and Wildlife, the Navajo Nation, the Hopi Tribe, and the_x000a_Society of Vertebrate Paleontology._x000a_This acquisition will serve to protect riparian habitat and watershed resources and preserves an_x000a_overarching natural landscape and significant American cultural and historic resources."/>
    <s v="N/A"/>
    <s v="N/A"/>
    <m/>
  </r>
  <r>
    <s v="NPS-FY2013-4"/>
    <n v="2013"/>
    <n v="4"/>
    <s v="NPS"/>
    <s v="Petrified Forest National Park"/>
    <s v="Core"/>
    <x v="2"/>
    <s v="AZ-1"/>
    <s v="Apache and Navajo Counties"/>
    <n v="5000000"/>
    <n v="5000000"/>
    <n v="26495"/>
    <n v="26495"/>
    <s v="Fee"/>
    <n v="21670"/>
    <s v="Y"/>
    <s v="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_x000a__x000a_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_x000a__x000a_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_x000a__x000a_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_x000a_"/>
    <n v="315000"/>
    <s v="N/A"/>
    <s v="An estimated $315,000 would be needed to manage and maintain this land_x000a_and provide, via an agreement with the State, management of State lands currently checker boarded with_x000a_NPS land."/>
  </r>
  <r>
    <s v="BLM-FY2011-1"/>
    <n v="2011"/>
    <n v="1"/>
    <s v="BLM"/>
    <s v="Santa Rosa And San Jacinto Mountains National Monument"/>
    <s v="Core"/>
    <x v="3"/>
    <s v="CA-44"/>
    <s v="Riverside County"/>
    <n v="500000"/>
    <n v="500000"/>
    <n v="160"/>
    <n v="160"/>
    <s v="Fee"/>
    <n v="24080"/>
    <s v="Y"/>
    <s v="Partner: Friends of the Desert Mountains._x000a__x000a_Cooperators: U.S. Forest Service, California Department of Fish and Game, Cities of Palm Desert, Palm Springs, Cathedral City, City of Rancho Mirage, Agua Caliente Band of Cahuilla Indians, Coachella Valley Mountains Conservancy, The Nature Conservancy._x000a__x000a_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Purpose_x000a_Conserve significant scenic, recreational, and wilderness resources within the Santa Rosa and San Jacinto Mountains National Monument. Increase recreational access/public use._x000a_Purchase_x000a_Opportunities_x000a_Multiple properties facing immediate threat from high-density suburban/urban residential development and incompatible recreational use and demands._x000a_"/>
    <n v="10000"/>
    <n v="1000"/>
    <m/>
  </r>
  <r>
    <s v="BLM-FY2011-6"/>
    <n v="2011"/>
    <n v="6"/>
    <s v="BLM"/>
    <s v="Carrizo Plain National Monument"/>
    <s v="Core"/>
    <x v="3"/>
    <s v="CA-22"/>
    <s v="Kern and San Luis Obispo Counties"/>
    <n v="2200000"/>
    <n v="1300000"/>
    <n v="2853"/>
    <n v="1680"/>
    <s v="Fee"/>
    <n v="26000"/>
    <s v="Y"/>
    <s v="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I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_x000a__x000a_"/>
    <n v="5000"/>
    <n v="1000"/>
    <m/>
  </r>
  <r>
    <s v="BLM-FY2011-8"/>
    <n v="2011"/>
    <n v="8"/>
    <s v="BLM"/>
    <s v="California Wilderness"/>
    <s v="Core"/>
    <x v="3"/>
    <s v="CA-1"/>
    <s v="Mendocino County"/>
    <n v="1800000"/>
    <n v="1800000"/>
    <n v="595"/>
    <n v="595"/>
    <s v="Fee"/>
    <n v="325000"/>
    <s v="Y"/>
    <s v="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_x000a__x000a_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_x000a_"/>
    <n v="5000"/>
    <n v="1000"/>
    <m/>
  </r>
  <r>
    <s v="BLM-FY2012-2"/>
    <n v="2012"/>
    <n v="2"/>
    <s v="BLM"/>
    <s v="Santa Rosa And San Jacinto Mountains National Monument "/>
    <s v="Core"/>
    <x v="3"/>
    <s v="CA-45"/>
    <s v="Riverside County"/>
    <n v="1200000"/>
    <n v="1198080"/>
    <n v="160"/>
    <n v="160"/>
    <s v="Fee"/>
    <n v="24000"/>
    <s v="Y"/>
    <s v="Purpose: Consolidate land ownership pattern within the Monument to conserve significant scenic, recreational, and wilderness resources. Improve and increase recreational access/public use._x000a__x000a_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_x000a_ _x000a_ _x000a_ _x000a_"/>
    <n v="5000"/>
    <n v="1000"/>
    <m/>
  </r>
  <r>
    <s v="BLM-FY2012-4"/>
    <n v="2012"/>
    <n v="4"/>
    <s v="BLM"/>
    <s v="Trinity National Wild and Scenic River"/>
    <s v="Core"/>
    <x v="3"/>
    <s v="CA-2"/>
    <s v="Trinity County"/>
    <n v="500000"/>
    <n v="1798000"/>
    <n v="8"/>
    <n v="28"/>
    <s v="Fee"/>
    <n v="2000"/>
    <s v="Y"/>
    <s v="Purpose: Consolidate, conserve, and enhance significant scenic, recreational, and wildlife resources and improve public  access within the Trinity National Wild and Scenic River corridor."/>
    <n v="10000"/>
    <n v="5000"/>
    <m/>
  </r>
  <r>
    <s v="BLM-FY2012-6"/>
    <n v="2012"/>
    <n v="6"/>
    <s v="BLM"/>
    <s v="Upper Sacramento  River ACEC"/>
    <s v="Core"/>
    <x v="3"/>
    <s v="CA-2"/>
    <s v="Tehama County"/>
    <n v="1000000"/>
    <n v="500000"/>
    <n v="500"/>
    <n v="250"/>
    <s v="Fee"/>
    <n v="5500"/>
    <s v="Y"/>
    <s v="Purpose Purchase multiple private inholdings within the boundary of the Upper Sacramento River Area of Critical Environmental Concern."/>
    <n v="15000"/>
    <n v="5000"/>
    <m/>
  </r>
  <r>
    <s v="BLM-FY2013-2"/>
    <n v="2013"/>
    <n v="2"/>
    <s v="BLM"/>
    <s v="Carrizo Plain National Monument"/>
    <s v="Core"/>
    <x v="3"/>
    <s v="CA-22"/>
    <s v="Kern and San Luis Obispo Counties"/>
    <n v="1200000"/>
    <n v="408000"/>
    <n v="1200"/>
    <n v="408"/>
    <s v="Fee"/>
    <n v="22800"/>
    <s v="Y"/>
    <s v="Purpose: Acquire private inholdings within the Carrizo Plain National Monument to consolidate ownership and protect outstanding biological and cultural values._x000a__x000a_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_x000a__x000a_The adjoining First Solar parcels are within the northern quadrant of the Monument and are nearly surrounded by BLM-managed public land._x000a_"/>
    <n v="5000"/>
    <n v="1000"/>
    <m/>
  </r>
  <r>
    <s v="BLM-FY2013-5"/>
    <n v="2013"/>
    <n v="5"/>
    <s v="BLM"/>
    <s v="California Wilderness"/>
    <s v="Core"/>
    <x v="3"/>
    <s v="CA-1, CA-22, CA-25, CA-41, CA-51,"/>
    <s v="Imperial, Kern, Lake, Mendocino, Napa,_x000a_San Bernardino and Tulare Counties"/>
    <n v="3068000"/>
    <n v="500000"/>
    <n v="3800"/>
    <n v="620"/>
    <s v="Fee"/>
    <n v="326472"/>
    <s v="Y"/>
    <s v="Purpose: Consolidate public ownership within designated wilderness to preserve wilderness character, and increase opportunities for the public to experience primitive recreation._x000a_ 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_x000a__x000a_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_x000a__x000a_ _x000a_ _x000a_"/>
    <n v="10000"/>
    <n v="35000"/>
    <m/>
  </r>
  <r>
    <s v="BLM-FY2013-6"/>
    <n v="2013"/>
    <n v="6"/>
    <s v="BLM"/>
    <s v="California Coastal National Monument"/>
    <s v="Core"/>
    <x v="3"/>
    <s v="CA-1"/>
    <s v="Humboldt and Mendocino Counties"/>
    <n v="4500000"/>
    <n v="4500000"/>
    <n v="407"/>
    <n v="407"/>
    <s v="Fee"/>
    <n v="20"/>
    <s v="N"/>
    <s v="Purpose: Establish multiple contact areas to provide for public education and interpretation of the multiple resource and recreational values associated with the Monument._x000a__x000a_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_x000a__x000a_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_x000a__x000a_"/>
    <n v="15000"/>
    <n v="15000"/>
    <s v=" Edgeholding. Acquisition links Stornetta ACEC with the community of Point Arena."/>
  </r>
  <r>
    <s v="BLM-FY2014-3"/>
    <n v="2014"/>
    <n v="3"/>
    <s v="BLM"/>
    <s v="California Coastal National Monument"/>
    <s v="Core"/>
    <x v="3"/>
    <s v="CA-1"/>
    <s v="Mendocino County"/>
    <n v="2000000"/>
    <n v="2000000"/>
    <n v="23"/>
    <n v="23"/>
    <s v="Fee"/>
    <n v="0"/>
    <s v="Y"/>
    <s v="Purpose: Establish a contact area to provide for public education and interpretation of the multiple resource and recreational values associated with the Monument._x000a__x000a_Purchase Opportunities: Two oceanfront edgeholding parcels are currently available from highly motivated willing sellers.  Coastal properties in California face immediate threat from commercial and rural residential development._x000a__x000a_Partner: The Trust for Public Land._x000a__x000a_Cooperators: U.S. Fish and Wildlife Service, The California Coastal Conservancy, California Department of Fish and Game, Wildlife Conservation Board, Coastwalk California._x000a__x000a_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_x000a__x000a_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_x000a_"/>
    <n v="35000"/>
    <n v="15000"/>
    <m/>
  </r>
  <r>
    <s v="BLM-FY2014-4"/>
    <n v="2014"/>
    <n v="4"/>
    <s v="BLM"/>
    <s v="California Wilderness"/>
    <s v="CLP"/>
    <x v="3"/>
    <s v="CA-21, CA-22, CA-25, CA-41, CA-45, CA-51"/>
    <s v="Imperial, Kern, Riverside,                   San Bernardino and Tulare Counties"/>
    <n v="6701600"/>
    <n v="6702000"/>
    <n v="12235"/>
    <n v="12235"/>
    <s v="Fee"/>
    <n v="193618"/>
    <s v="Y"/>
    <s v="Partners: Mojave Desert Land Trust, Friends of the Desert Mountains, Wilderness Land Trust, Resources Legacy Fund Foundation._x000a_ _x000a_Cooperators: The Wilderness Society, The California Wilderness Coalition, The Nature Conservancy, The Sierra Club, The Wildlands Conservancy, California State Lands Commission, California Native Plants Society, Pacific Crest Trail Association._x000a_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_x000a_"/>
    <n v="20000"/>
    <n v="10000"/>
    <m/>
  </r>
  <r>
    <s v="BLM-FY2014-5"/>
    <n v="2014"/>
    <n v="5"/>
    <s v="BLM"/>
    <s v="Santa Rosa And San Jacinto Mountains National Monument"/>
    <s v="CLP"/>
    <x v="3"/>
    <s v="CA-45"/>
    <s v="Riverside County"/>
    <n v="5948000"/>
    <n v="1124000"/>
    <n v="3261"/>
    <n v="1040"/>
    <s v="Fee"/>
    <n v="22054"/>
    <s v="Y"/>
    <s v="Partners Friends of the Desert Mountains, Coachella Valley Mountains Conservancy._x000a_ _x000a_Cooperators U.S. Fish and Wildlife Service, U.S. Forest Service, California Department of Fish and Game, Coachella Valley Conservation Commission, Cities of Palm Desert, Palm Springs, Cathedral City, La Quinta, and Rancho Mirage, Agua Caliente Band of Cahuilla Indians._x000a__x000a_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
    <n v="20000"/>
    <n v="10000"/>
    <m/>
  </r>
  <r>
    <s v="FWS-FY2011-9"/>
    <n v="2011"/>
    <n v="9"/>
    <s v="FWS"/>
    <s v="San Joaquin River NWR"/>
    <s v="Core"/>
    <x v="3"/>
    <s v="CA-18"/>
    <s v="San Joaquin, Stanislaus"/>
    <n v="2500000"/>
    <n v="2000000"/>
    <n v="208"/>
    <n v="166"/>
    <s v="Easement"/>
    <n v="3258"/>
    <s v="Y"/>
    <s v="Purpose of Acquisition: To protect native grasslands and wetlands essential for the long-term survival of_x000a_the Aleutian Canada goose. It would also protect a large piece of riparian habitat valuable to a variety of_x000a_wildlife species._x000a_Project Cooperators: State of California CALFED Bay Delta Grant Program_x000a_Project Description: The Service would use funds to acquire a conservation easement on two tracts_x000a_consisting of approximately 208 acres, from private landowners. These properties are predominantly_x000a_native, irrigated pasture and would be protected by means of a perpetual conservation easement. The_x000a_biggest threat to this habitat is residential development and the conversion from grasslands and wetlands_x000a_habitat to croplands, orchards, or dairy operations that would provide little or no benefit to wildlife. The_x000a_acquisition of these properties would provide long-term viability to the grassland and wetland ecosystem_x000a_as well as provide a safe haven for migratory birds and other wildlife species."/>
    <n v="0"/>
    <n v="0"/>
    <m/>
  </r>
  <r>
    <s v="FWS-FY2011-12"/>
    <n v="2011"/>
    <n v="12"/>
    <s v="FWS"/>
    <s v="Grasslands WMA"/>
    <s v="Core"/>
    <x v="3"/>
    <s v="CA-18"/>
    <s v="Merced"/>
    <n v="4000000"/>
    <n v="1369000"/>
    <n v="1648"/>
    <n v="564"/>
    <s v="Fee"/>
    <n v="40568"/>
    <s v="Y"/>
    <s v="Purpose of Acquisition: To protect important wintering area for the Pacific Flyway waterfowl_x000a_populations._x000a_Project Cooperators: State of California_x000a_Project Description: The Service would use funds to acquire fee title for five tracts consisting of_x000a_approximately 1,648 acres. These properties are predominantly low lying, with a portion of, irrigated_x000a_pasture and the Service would protect them by means of a perpetual conservation easement. The biggest_x000a_threat is residential development and the conversion from grasslands, wetlands, and riparian habitat to_x000a_croplands, orchards, or dairy operations that would provide little or no benefit to wildlife. The acquisition_x000a_of these properties would provide long-term viability to the grassland ecosystem as well as provide a safe_x000a_haven for migratory birds and other wildlife species."/>
    <n v="0"/>
    <n v="0"/>
    <m/>
  </r>
  <r>
    <s v="FWS-FY2011-15"/>
    <n v="2011"/>
    <n v="15"/>
    <s v="FWS"/>
    <s v="San Diego NWR"/>
    <s v="Core"/>
    <x v="3"/>
    <s v="CA-50, CA-51, CA-52"/>
    <s v="San Diego"/>
    <n v="1500000"/>
    <n v="385000"/>
    <n v="80"/>
    <n v="20"/>
    <s v="Fee"/>
    <n v="29234"/>
    <s v="Y"/>
    <s v="Purpose of Acquisition: To resume the U. S. Fish and Wildlife Service’s (Service) participation in an_x000a_extremely successful federal, state and local land conservation partnership._x000a_Project Cooperators: State of California and Trust for Public Lands_x000a_Project Description: The San Diego National Wildlife Refuge (NWR) was established to protect and_x000a_manage key habitat for several endangered, threatened, and rare species, and to provide a Federal_x000a_contribution to the regional Multiple Species Conservation Plan (MSCP). The funding would provide for_x000a_the acquisition of fee title for four tracts consisting of approximately 80 acres. The acquisition of these_x000a_lands would continue the Service’s efforts to cooperate with more than a dozen local jurisdictions, the_x000a_California Department of Fish and Game, and many private landowners to permanently protect 172,000_x000a_acres of natural habitat within a 582,000-acre planning area. This partnership would assist in the recovery_x000a_efforts of listed species by restoring habitat on acquired lands and provide wildlife experiences and_x000a_environmental education opportunities for nearly 3 million people that live in the area. Refuge land_x000a_acquisitions not only help meet Federal, State and local natural resource goals, but may also reduce the_x000a_need for additional listings under the Federal and State Endangered Species Acts."/>
    <n v="197500"/>
    <n v="0"/>
    <s v="O &amp; M Costs: The Service estimates that the annual costs and any associated restoration costs would be_x000a_$197,500, which the Service would fund out of Refuge System base funding."/>
  </r>
  <r>
    <s v="FWS-FY2012-12"/>
    <n v="2012"/>
    <n v="12"/>
    <s v="FWS"/>
    <s v="San Joaquin River NWR"/>
    <s v="Core"/>
    <x v="3"/>
    <s v="CA-18"/>
    <s v="San Joaquin, Stanislaus"/>
    <n v="4000000"/>
    <n v="2994000"/>
    <n v="482"/>
    <n v="360"/>
    <s v="Easement"/>
    <n v="2722"/>
    <s v="Y"/>
    <s v="Purpose of Acquisition: To protect native grasslands and wetlands essential for long-term survival of the_x000a_Aleutian Canada goose. It will also protect a large piece of riparian habitat valuable to a variety of wildlife_x000a_species._x000a_Project Cooperators: State of California CALFED Bay Delta Grant Program_x000a_Project Description: Funds would acquire 482 acres in a perpetual conservation easement. The property_x000a_is predominantly native, irrigated pasture. The biggest threat is residential development and the conversion_x000a_from grasslands and wetlands habitat to croplands, orchards, or dairy operations that provide little or no_x000a_benefit to wildlife. The acquisition of this perpetual conservation easement would provide long-term_x000a_viability to the grassland and wetland ecosystem and provide a safe haven for migratory birds and other_x000a_wildlife species."/>
    <n v="0"/>
    <n v="0"/>
    <m/>
  </r>
  <r>
    <s v="FWS-FY2012-13"/>
    <n v="2012"/>
    <n v="13"/>
    <s v="FWS"/>
    <s v="Grasslands WMA"/>
    <s v="Core"/>
    <x v="3"/>
    <s v="CA-18"/>
    <s v="Merced"/>
    <n v="3040000"/>
    <n v="1000000"/>
    <n v="1415"/>
    <n v="473"/>
    <s v="Easement"/>
    <n v="38399"/>
    <s v="Y"/>
    <s v="Purpose of Acquisition: To protect an important wintering area for the Pacific Flyway waterfowl_x000a_populations._x000a_Project Cooperators: State of California_x000a_Project Description: Funds would acquire eight perpetual conservation easements on approximately 1,415_x000a_total acres. These properties are predominantly low-lying irrigated pasture. The biggest threat is residential_x000a_development and the conversion from grasslands, wetlands, and riparian habitat to croplands, orchards, or_x000a_dairy operations that provide little or no benefit to wildlife. The acquisition of these perpetual conservation_x000a_easements would provide long-term"/>
    <n v="0"/>
    <n v="0"/>
    <m/>
  </r>
  <r>
    <s v="FWS-FY2013-8"/>
    <n v="2013"/>
    <n v="8"/>
    <s v="FWS"/>
    <s v="San Joaquin River NWR"/>
    <s v="Core"/>
    <x v="3"/>
    <s v="CA-18"/>
    <s v="San Joaquin, Stanislaus"/>
    <n v="1000000"/>
    <n v="1000000"/>
    <n v="167"/>
    <n v="167"/>
    <s v="Easement"/>
    <n v="2780"/>
    <s v="Y"/>
    <s v="Purpose of Acquisition: To protect native grasslands and wetlands that are essential for long-term survival of the Aleutian Canada goose, and to protect a large piece of riparian habitat valuable to a variety of wildlife species._x000a_Project Cooperators: State of California CALFED Bay Delta Grant Program._x000a_Project Description: Funds would be used to acquire a perpetual conservation easement on_x000a_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
    <n v="0"/>
    <n v="0"/>
    <m/>
  </r>
  <r>
    <s v="FWS-FY2013-11"/>
    <n v="2013"/>
    <n v="11"/>
    <s v="FWS"/>
    <s v="Grasslands WMA"/>
    <s v="Core"/>
    <x v="3"/>
    <s v="CA-18"/>
    <s v="Merced"/>
    <n v="1000000"/>
    <n v="1000000"/>
    <n v="247"/>
    <n v="247"/>
    <s v="Easement"/>
    <n v="39637"/>
    <s v="Y"/>
    <s v="Purpose of Acquisition: To protect important wintering area for the Pacific Flyway waterfowl_x000a_populations._x000a_Project Cooperators: State of California._x000a_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
    <n v="0"/>
    <n v="0"/>
    <m/>
  </r>
  <r>
    <s v="NPS-FY2011-2"/>
    <n v="2011"/>
    <n v="2"/>
    <s v="NPS"/>
    <s v="Golden Gate National Recreation Area"/>
    <s v="Core"/>
    <x v="3"/>
    <s v="CA-6, CA-8, CA-12, CA-14"/>
    <s v="Marin, San Francisco and San Mateo Counties"/>
    <n v="6057500"/>
    <n v="4100000"/>
    <n v="1500"/>
    <n v="1000"/>
    <s v="Fee"/>
    <n v="2422"/>
    <s v="Y"/>
    <s v="Description: Golden Gate National Recreation Area was authorized October 27, 1972, to preserve_x000a_outstanding historic, scenic, and recreational values. The Act of December 20, 2005 (Public Law 109-_x000a_131), revised the boundary to include approximately 4,500 acres of additional land known as the ‘Rancho_x000a_Corral de Tierra Additions’ and authorized the acquisition of those lands only from a willing seller. The_x000a_land features mountain peaks, coastal watersheds, threatened and endangered habitats, historic ranch_x000a_landscape and structures, and potential for recreational enjoyment related to trails. The tract provides a_x000a_key corridor to connect the Congressionally-designated Bay Area Ridge Trail with the California Coastal_x000a_Trail and is accessible to more than 6 million people who live within a one hour drive._x000a_Natural/Cultural Resources Associated with Proposal: The national recreation area encompasses_x000a_shoreline areas of San Francisco, Marin, and San Mateo Counties, including ocean beaches, redwood_x000a_forest, lagoons, marshes, military properties, a cultural center at Fort Mason, and Alcatraz Island._x000a_Threat: Intense pressure to develop open space in the San Francisco area threatens the integrity of the_x000a_national recreation area._x000a_Need: In combination with previously appropriated funds, the requested funding level will be obligated to_x000a_complete the acquisition of a 4,076-acre, largely undeveloped parcel that was added to the national_x000a_recreation area in 2005. It is expected that the requested funds will permit acquisition of the final 1,500-_x000a_acre portion of the property. This property was privately owned until purchased for approximately $30_x000a_million in 2003 by Peninsula Open Space Trust, a non-profit conservation organization. In light of a_x000a_bargain sale offered by the Trust, the Federal share of the total acquisition cost is expected to be_x000a_approximately $15 million. The FY 2009 appropriation included $4,000,000 for the acquisition; the FY_x000a_2010 appropriation included an additional $5,000,000._x000a_This acquisition project has seen strong local support. The matching funds raised by Peninsula Open_x000a_Space Trust are evidence of such support._x000a_This acquisition will preserve an overarching natural landscape, in conjunction with NPS partners while_x000a_providing access to recreational opportunities and open space in a large urban environment."/>
    <s v="N/A"/>
    <s v="N/A"/>
    <m/>
  </r>
  <r>
    <s v="NPS-FY2011-3"/>
    <n v="2011"/>
    <n v="3"/>
    <s v="NPS"/>
    <s v="Mojave National Preserve"/>
    <s v="Core"/>
    <x v="3"/>
    <s v="CA-25 and CA-41"/>
    <s v="San Bernardino County"/>
    <n v="1250000"/>
    <n v="876000"/>
    <n v="846"/>
    <n v="584"/>
    <s v="Fee"/>
    <n v="25857"/>
    <s v="Y"/>
    <s v="Description: The Act of October 31, 1994 established Mojave National Preserve and authorized acquisition_x000a_by donation, purchase, or exchange. As of December 31, 2009, the preserve contains a total of 1,535,199_x000a_acres, of which 26,703 acres are privately owned. ._x000a_Natural/Cultural Resources Associated with Proposal: The preserve protects the fragile habitat of the desert_x000a_tortoise, vast open spaces, and historic mining scenes such as the Kelso railroad depot._x000a_Threat: Unchecked development threatens the significant natural, scenic, and archeological resources in the_x000a_core of the preserve and along the southern and eastern gateways._x000a_Need: The requested funds will be used to acquire eight tracts totaling 846 acres that surround the park’s_x000a_main visitor use center within a significant designated historic district in the middle of the preserve. The_x000a_park’s enabling legislation recognized the importance of this historic district and specifically suggested_x000a_that the Kelso train depot be used as the new park’s central visitor center. The subject tracts carry a_x000a_threat of potential development that would destroy the historic scene and impact the district. Developers_x000a_for commercial and industrial uses are currently considering these parcels. In addition, due to natural_x000a_drainage in the vicinity of the historic depot, some private lands that lie between the depot and the_x000a_adjacent large desert wash may be instrumental to flood protection for the historic structures and other_x000a_historic resources._x000a_This acquisition will serve to protect significant American cultural and historic resources and preserves an_x000a_overarching natural landscape in collaboration with other Federal agencies."/>
    <s v="N/A"/>
    <s v="N/A"/>
    <m/>
  </r>
  <r>
    <s v="NPS-FY2011-4"/>
    <n v="2011"/>
    <n v="4"/>
    <s v="NPS"/>
    <s v="Santa Monica Mountains National Recreation Area"/>
    <s v="Core"/>
    <x v="3"/>
    <s v="CA-23, CA-24, CA-27, CA-31"/>
    <s v="Los Angeles and Ventura Counties"/>
    <n v="3750000"/>
    <n v="880000"/>
    <n v="286"/>
    <n v="66"/>
    <s v="Fee"/>
    <n v="20595"/>
    <s v="Y"/>
    <s v="Description: The national recreation area was authorized November 10, 1978, to protect and enhance the_x000a_scenic, natural, and historic values of the area, and to preserve its public health value as an airshed for_x000a_southern California metropolitan areas while providing recreational and educational opportunities. To date,_x000a_funds in the amount of $162,836,118 have been appropriated for land acquisition at the area. The State of_x000a_California and other conservation groups have also spent over $269.5 million for land acquisition within the_x000a_park boundaries. After fiscal year 2010, approximately 20,881 acres of privately owned land will remain to_x000a_be acquired._x000a_Natural/Cultural Resources Associated with Proposal: The national recreation area contains excellent_x000a_examples of Mediterranean-type ecosystems not well represented in other areas of the National Park_x000a_System. There are outstanding landforms and habitats, and rare biological and geological resources. The_x000a_area provides natural habitat necessary to the survival of species such as the mountain lion. There are_x000a_abundant fossil deposits and outstanding scenery. Cultural resources include remnants of the Gabrielino_x000a_and Chumash cultures._x000a_Threat: Residential and commercial developments threaten the resources of the area and reduce_x000a_recreational opportunities._x000a_Need: The requested funds will permit the acquisition of 16 tracts totaling 286.01 acres of land within the_x000a_national recreation area needed to ensure the preservation of the 9,000-acre core habitat area in Zuma_x000a_and Trancas Canyons. If these tracts are developed as residential properties, the damage to the local_x000a_ecosystem would be irreversible. Removal of the undisturbed shrub community will open the way for_x000a_establishment of invasive non-native plant species._x000a_Letters of support for these acquisitions have been provided by 12 local city governments (cities of_x000a_Malibu, Thousand Oaks, Westlake Village, Santa Monica, Los Angeles, Calabasas, Agoura Hills, Hidden_x000a_Hills, Beverly Hills, Wooden Hills, San Fernando, and Camarillo), State Senator Fran Pavley, State_x000a_Assembly Member Julia Brownley, and Los Angeles County Supervisor Zev Yaroslavsky._x000a_This acquisition will serve to preserve an overarching natural landscape and provide recreational_x000a_opportunities and access to open space in an urban environment."/>
    <s v="N/A"/>
    <s v="N/A"/>
    <m/>
  </r>
  <r>
    <s v="NPS-FY2013-5"/>
    <n v="2013"/>
    <n v="5"/>
    <s v="NPS"/>
    <s v="Santa Monica Mountains National Recreation Area"/>
    <s v="Core"/>
    <x v="3"/>
    <s v="CA-23-24, CA-27-31"/>
    <s v="Los Angeles and Ventura Counties"/>
    <n v="2441000"/>
    <n v="1977000"/>
    <n v="238"/>
    <n v="193"/>
    <s v="Fee"/>
    <n v="18804"/>
    <s v="Y"/>
    <s v="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_x000a__x000a_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_x000a__x000a_Threat:  Residential and commercial developments threaten the resources of the area and reduce recreational opportunities._x000a__x000a_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
    <n v="10000"/>
    <n v="0"/>
    <s v="Current,_x000a_on-going legal costs dealing with private landowners and development possibilities should be reduced over_x000a_the following couple of years, unless other legal issues arise."/>
  </r>
  <r>
    <s v="NPS-FY2014-8"/>
    <n v="2014"/>
    <n v="8"/>
    <s v="NPS"/>
    <s v="Mojave NP, Joshua Tree NP"/>
    <s v="CLP"/>
    <x v="3"/>
    <s v="CA-8, CA-36"/>
    <s v="Riverside and San Bernardino Counties"/>
    <n v="7595000"/>
    <n v="2278000"/>
    <n v="9558"/>
    <n v="2800"/>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The California Desert Southwest Focal Area is_x000a_comprised of Riverside, San Bernardino, San Diego and Imperial Counties located in Southern California._x000a_The area features extensive wildlife corridors, miles of national trails, and 72 federally protected species._x000a_Southern California contains two distinct deserts: the Sonoran Desert and the Mojave Desert. The Mojave_x000a_Desert occupies more than 25,000 square miles and receives less than six inches of rain per year. Plant_x000a_and animal life varies by elevation. Desert tortoises burrow in creosote bush flats, while the black and_x000a_yellow Scott’s oriole nests in Joshua trees higher up the slopes. Mule deer and bighorn sheep roam_x000a_among pinyon pine and juniper in the park’s many mountain ranges. Perennial vegetation is composed_x000a_mostly of low shrubs. To preserve and protect the desert wildlands of Southern California, the California_x000a_Desert Protection Act of 1994 established Mojave National Preserve as a unit of the National Park System_x000a_and revised the boundaries and designations of Death Valley National Park and Joshua Tree National Park_x000a_Threat: In the Mojave Desert, the wilderness portions of NPS units are threatened by growing residential_x000a_and commercial development and by increased use of recreational vehicles that damage the fragile_x000a_desert resources._x000a_Need: The requested funds totaling $7,595,000 are needed to acquire 3,381.13 acres in Joshua Tree_x000a_National Park and 6,176.46 acres in Mojave National Preserve. Much of this land is located within or_x000a_adjacent to wilderness areas and has been acquired by The Mojave Desert Land Trust (MDLT) for_x000a_eventual conveyance to the United States, subject to the availability of federal acquisition funds. MDLT is_x000a_a small land trust and the costs to hold and maintain these lands are a significant drain on the MDLT_x000a_budget. Failure to acquire these tracts from MDLT would threaten this partnership effort which has_x000a_successfully protected many tracts of land at Mojave National Preserve and Joshua Tree National Park."/>
    <n v="0"/>
    <n v="0"/>
    <m/>
  </r>
  <r>
    <s v="BLM-FY2011-7"/>
    <n v="2011"/>
    <n v="7"/>
    <s v="BLM"/>
    <s v="Canyons Of The Ancients National Monument"/>
    <s v="Core"/>
    <x v="4"/>
    <s v="CO-3"/>
    <s v="Montezuma County"/>
    <n v="2521000"/>
    <n v="1000000"/>
    <n v="1800"/>
    <n v="714"/>
    <s v="Fee"/>
    <n v="10000"/>
    <s v="Y"/>
    <s v="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_x000a_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_x000a_"/>
    <n v="30000"/>
    <n v="5000"/>
    <m/>
  </r>
  <r>
    <s v="BLM-FY2012-5"/>
    <n v="2012"/>
    <n v="5"/>
    <s v="BLM"/>
    <s v="Gunnison Gorge NCA"/>
    <s v="Core"/>
    <x v="4"/>
    <s v="CO-3"/>
    <s v="Delta, Mesa and Montrose Counties"/>
    <n v="2700000"/>
    <n v="3493000"/>
    <n v="188"/>
    <n v="243"/>
    <s v="Fee"/>
    <n v="2000"/>
    <s v="Y"/>
    <s v="Purpose: Consolidate ownership to protect fisheries, riparian, and cultural values and provide access and quality recreation experiences within the Gunnison River corridor."/>
    <n v="50000"/>
    <n v="12000"/>
    <m/>
  </r>
  <r>
    <s v="BLM-FY2013-3"/>
    <n v="2013"/>
    <n v="3"/>
    <s v="BLM"/>
    <s v="Dominguez-Escalante National Conservation Area"/>
    <s v="Core"/>
    <x v="4"/>
    <s v="CO-3"/>
    <s v="Delta, Mesa and Montrose Counties"/>
    <n v="575000"/>
    <n v="280000"/>
    <n v="304"/>
    <n v="160"/>
    <s v="Fee"/>
    <n v="7696"/>
    <s v="Y"/>
    <s v="Purpose: Acquisition of critical inholdings to preserve habitat for threatened and endangered plants and fish, protect cultural, riparian and scenic values, and enhance recreational opportunities. _x000a__x000a_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_x000a__x000a_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_x000a__x000a_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_x000a_"/>
    <n v="5000"/>
    <n v="5000"/>
    <m/>
  </r>
  <r>
    <s v="BLM-FY2014-2"/>
    <n v="2014"/>
    <n v="2"/>
    <s v="BLM"/>
    <s v="Canyons Of The Ancients National Monument"/>
    <s v="Core"/>
    <x v="4"/>
    <s v="CO-3"/>
    <s v="Montezuma County"/>
    <n v="1703000"/>
    <n v="1703000"/>
    <n v="1562"/>
    <n v="1562"/>
    <s v="Fee"/>
    <n v="9678"/>
    <s v="Y"/>
    <s v="Purpose_x000a_Purchase multiple private inholdings and edgeholdings to protect significant cultural, scenic, recreation and wildlife values and to preserve the integrity of the landscape._x000a_Purchase_x000a_Opportunities_x000a_Multiple properties facing immediate threat from rural residential development, vandalism, and degrading land use practices._x000a_"/>
    <n v="7500"/>
    <n v="2000"/>
    <m/>
  </r>
  <r>
    <s v="FWS-FY2011-2"/>
    <n v="2011"/>
    <n v="2"/>
    <s v="FWS"/>
    <s v="Silvio O. Conte NWR"/>
    <s v="Core"/>
    <x v="5"/>
    <s v="VT at large, NH-2, MA-1, MA-2, CT-1, CT-2, CT-3"/>
    <s v="Multiple"/>
    <n v="6000000"/>
    <n v="2308000"/>
    <n v="2250"/>
    <n v="865"/>
    <s v="Fee"/>
    <n v="45523"/>
    <s v="Y"/>
    <s v="Purpose of Acquisition: To protect fisheries and wildlife resources and provide public access to refuge_x000a_lands._x000a_Project Cooperators: Trust for Public Lands and The Nature Conservancy_x000a_Project Description: The Service would use funds to acquire fee title for tracts in the Fort River division_x000a_from private land owners, TPL, or the TNC that would contribute to the protection of a large grassland_x000a_project. Recovery and long-term viability of habitats for the upland sandpiper, dwarf wedge mussel, and_x000a_many fish species, rely on the longest, unobstructed tributary to the Connecticut River in Massachusetts._x000a_Tracts in the Nulhegan Basin Division of the northern boreal forest and associated wetland complex and_x000a_tracts in the"/>
    <n v="0"/>
    <n v="0"/>
    <m/>
  </r>
  <r>
    <s v="FWS-FY2012-2"/>
    <n v="2012"/>
    <n v="2"/>
    <s v="FWS"/>
    <s v="Silvio O. Conte NWR"/>
    <s v="Core"/>
    <x v="5"/>
    <s v="CT-1, CT-2, CT-3, MA-1, MA-2, NH-2, VT-AL_x000a_"/>
    <s v="Multiple"/>
    <n v="6500000"/>
    <n v="6490000"/>
    <n v="812"/>
    <n v="812"/>
    <s v="Fee"/>
    <n v="39220"/>
    <s v="Y"/>
    <s v="Purpose of Acquisition: To protect fisheries and wildlife resources and provide public access to refuge_x000a_lands._x000a_Project Cooperators: The Trust for Public Land and The Nature Conservancy._x000a_Project Description: Funds would acquire fee title to tracts in the Fort River Division that would_x000a_contribute towards the protection of a large grassland project. Recovery and long-term viability of habitats_x000a_for the upland sandpiper, dwarf wedge mussel, and fish which rely on the longest, unobstructed tributary to_x000a_the Connecticut River in Massachusetts. Tracts in the Nulhegan Basin Division of the northern boreal_x000a_forest and associated wetland complex in Vermont and tracts in the Salmon Brook Division in Connecticut_x000a_will provide wildlife-dependent recreation and education opportunities."/>
    <n v="0"/>
    <n v="0"/>
    <s v="PDS requested $6M"/>
  </r>
  <r>
    <s v="FWS-FY2013-7"/>
    <n v="2013"/>
    <n v="7"/>
    <s v="FWS"/>
    <s v="Silvio O. Conte National Fish and Wildlife Refuge  "/>
    <s v="Core"/>
    <x v="5"/>
    <s v="CT-1, CT-2, CT-3, MA-1, MA-2, NH-2, VT-AL_x000a__x000a_"/>
    <s v="Multiple"/>
    <n v="1500000"/>
    <n v="1500000"/>
    <n v="1041"/>
    <n v="1041"/>
    <s v="Fee"/>
    <n v="41872"/>
    <s v="Y"/>
    <s v="Purpose of Acquisition: To protect fisheries and wildlife resources and provide public access to refuge_x000a_lands._x000a_Project Cooperators: The Trust for Public Land, The Nature Conservancy, The Conservation Fund, and_x000a_the Kestrel Land Trust._x000a_Project Description: Funds would be used to acquire fee title to approximately 1,041 acres from eight_x000a_owners. Acquisition of tracts within the Refuge’s Fort River Division would contribute toward the_x000a_protection of a large grassland project for the upland sandpiper and other grassland species. The Fort_x000a_River is the longest unobstructed tributary to the Connecticut River in Massachusetts, providing habitat_x000a_for the endangered dwarf wedge mussel and anadromous fish. In addition, acquisition of northern boreal_x000a_forest tracts in the Nulhegan Basin Division, and acquisition of wetland tracts in the Pondicherry_x000a_Division, would protect nesting songbirds and provide wildlife-dependent recreational and educational_x000a_opportunities."/>
    <n v="0"/>
    <n v="0"/>
    <m/>
  </r>
  <r>
    <s v="FWS-FY2012-18"/>
    <n v="2012"/>
    <n v="18"/>
    <s v="FWS"/>
    <s v="Highlands Conservation"/>
    <s v="Core"/>
    <x v="6"/>
    <s v="Multiple"/>
    <s v="Multiple"/>
    <n v="5000000"/>
    <n v="4992000"/>
    <s v="N/A"/>
    <s v="N/A"/>
    <s v="N/A"/>
    <n v="0"/>
    <s v="N/A"/>
    <s v="The Highlands Conservation Act (HCA) authorizes the Secretary of the Interior to work in partnership with the Secretary of Agriculture to provide financial 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 "/>
  </r>
  <r>
    <s v="FWS-FY2013-18"/>
    <n v="2013"/>
    <n v="18"/>
    <s v="FWS"/>
    <s v="Highlands Conservation"/>
    <s v="CT, NJ, NY, PA"/>
    <x v="6"/>
    <s v="Multiple"/>
    <s v="Multiple"/>
    <n v="0"/>
    <n v="123000"/>
    <s v="N/A"/>
    <s v="N/A"/>
    <s v="N/A"/>
    <s v="N/A"/>
    <s v="N/A"/>
    <s v="The Highlands Conservation Act (HCA) authorizes the Secretary of the Interior to work in partnership with the Secretary of Agriculture to provide financial 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No Project Data Sheet. Budget request spreadsheet indicates this was project that had $0 in the request."/>
  </r>
  <r>
    <s v="FWS-FY2011-1"/>
    <n v="2011"/>
    <n v="1"/>
    <s v="FWS"/>
    <s v="St. Marks NWR"/>
    <s v="Core"/>
    <x v="7"/>
    <s v="FL-2"/>
    <s v="Wakulla, Jefferson, and Taylor"/>
    <n v="1000000"/>
    <n v="1000000"/>
    <n v="750"/>
    <n v="750"/>
    <s v="Fee"/>
    <n v="6078"/>
    <s v="Y"/>
    <s v="Purpose of Acquisition:  To acquire slash pine and shrub bog flatwood communities which are important components of the vast adjoining upland and estuarine systems._x000a_Project Cooperators: The Nature Conservancy, the Trust for Public Land, and the St. Marks Refuge_x000a_Association._x000a_Project Description: The Service would use funds to acquire fee title to approximately 750 acres of_x000a_property owned by TNC. This parcel would benefit Federally endangered species such as red-cockaded_x000a_woodpecker, woodstork, and flatwood salamanders, as well as a variety of resident and migratory species_x000a_such as American bald eagle, wood duck, swallow-tailed kite, and state-listed Florida black bear. The_x000a_project has been designated an Important Bird Area, a Land Management Research and Demonstration_x000a_Site for Longleaf Pine Ecosystems, and is a key segment of the Florida National Scenic Trail."/>
    <n v="0"/>
    <n v="0"/>
    <m/>
  </r>
  <r>
    <s v="FWS-FY2012-4"/>
    <n v="2012"/>
    <n v="4"/>
    <s v="FWS"/>
    <s v="St. Marks NWR"/>
    <s v="Core"/>
    <x v="7"/>
    <s v="FL-2"/>
    <s v="Wakulla, Jefferson, and Taylor"/>
    <n v="4000000"/>
    <n v="3994000"/>
    <n v="2350"/>
    <n v="1410"/>
    <s v="Fee"/>
    <n v="39908"/>
    <s v="Y"/>
    <s v="Purpose of Acquisition: Conserve and enhance populations of threatened, endangered, rare and imperiled_x000a_plants and animals and their native habitats. Provide suitable black bear habitat, including corridors and_x000a_links to major population center habitat. Provide high-quality habitat for migratory birds, shorebirds,_x000a_waterbirds, and marshbirds. Provide public recreation opportunities for hunting and fishing._x000a_Project Cooperators: The Nature Conservancy, Florida Chapter of the Wildlife Society, The Florida_x000a_Natural Areas Inventory, St. Marks Refuge Association, Florida Trail Association, Blue Goose Alliance,_x000a_Apalachee Audobon Society, and Florida Wildlife Federation._x000a_Project Description: Funds would acquire fee title to approximately 2,350 acres owned by The Nature_x000a_Conservancy. Acquisition of this parcel would benefit federally endangered species such as red-cockaded_x000a_woodpecker, woodstork, and flatwood salamanders, as well as a variety of resident and migratory species_x000a_such as American bald eagle, wood duck, swallow-tailed kite, and state-listed Florida black bear. The_x000a_project was designated an Important Bird Area and a Land Management Research and Demonstration Site_x000a_for Longleaf Pine Ecosystems, and it is a key segment of the Florida National Scenic Trail."/>
    <n v="0"/>
    <n v="5000"/>
    <s v="O&amp;M: The Service estimates annual costs of $5,000 for Service signage, boundary markings, and fencing,_x000a_which the Service would fund out of Refuge System base funding."/>
  </r>
  <r>
    <s v="FWS-FY2012-7"/>
    <n v="2012"/>
    <n v="7"/>
    <s v="FWS"/>
    <s v="Lower Suwannee NWR"/>
    <s v="Core"/>
    <x v="7"/>
    <s v="FL-2"/>
    <s v="Dixie, Levy"/>
    <n v="1000000"/>
    <n v="998000"/>
    <n v="667"/>
    <n v="667"/>
    <s v="Fee"/>
    <n v="29104"/>
    <s v="Y"/>
    <s v="Purpose of Acquisition: To preserve and protect fish and wildlife habitat for the benefit of waterfowl,_x000a_shore and wading birds, neotropical migratory birds, and at least 11 federally endangered species including_x000a_the Gulf sturgeon and West Indian manatee._x000a_Project Cooperators: The Nature Conservancy, The Conservation Fund, and Lower Suwannee Water_x000a_Management District._x000a_Project Description: Funding this project would preserve and protect approximately 667 acres of fish and_x000a_wildlife habitat for the benefit of waterfowl, shore and wading birds, neotropical migratory birds, and at_x000a_least 11 federally endangered species including the Gulf sturgeon and West Indian manatee. The subject_x000a_property includes habitats of upland scrub, hardwood hammock, marshes, and tributaries of the Suwannee_x000a_River, the last remaining river where significant spawning migrations of Gulf sturgeon still occur. This_x000a_inholding abuts the Refuge’s highest public use and recreation area, and if not acquired by the Service,_x000a_residential homes could be built on the property."/>
    <n v="0"/>
    <n v="0"/>
    <m/>
  </r>
  <r>
    <s v="FWS-FY2012-15"/>
    <n v="2012"/>
    <n v="15"/>
    <s v="FWS"/>
    <s v="Everglades Headwaters NWR/CA"/>
    <s v="Core"/>
    <x v="7"/>
    <s v="FL-12, FL-15, FL-16"/>
    <s v="Polk, Osceola, Okeechobee, and Highlands Counties"/>
    <n v="0"/>
    <n v="1500000"/>
    <s v="Reprogramming"/>
    <n v="375"/>
    <s v="Fee &amp; easement"/>
    <n v="150000"/>
    <s v="Y"/>
    <s v="Purpose of Acquisition:  To protect, restore, and conserve habitat for 278 federal and state listed species, the headwaters, groundwater recharge and watershed, and improve water quantity and quality in the Everglades Watershed."/>
    <n v="500000"/>
    <n v="10000"/>
    <s v="O&amp;M: Startup would include salary, vehicles, office rental and miscellaneous supplies estimated at $500,000."/>
  </r>
  <r>
    <s v="FWS-FY2013-3"/>
    <n v="2013"/>
    <n v="3"/>
    <s v="FWS"/>
    <s v="Everglades Headwaters"/>
    <s v="Core"/>
    <x v="7"/>
    <s v="FL-12, FL-15, FL-16"/>
    <s v="Polk, Osceola, Okeechobee, and Highlands Counties"/>
    <n v="3000000"/>
    <n v="3000000"/>
    <n v="750"/>
    <n v="750"/>
    <s v="Fee"/>
    <n v="149250"/>
    <s v="Y"/>
    <s v="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_x000a__x000a_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
    <n v="3500000"/>
    <n v="0"/>
    <s v="O&amp;M: Initial costs would include salary, start-up, and support funding for three permanent staff,_x000a_vehicles, office rental, and miscellaneous supplies estimated at $500,000. An office and visitor center_x000a_would be added at a one-time cost of $3,000,000."/>
  </r>
  <r>
    <s v="FWS-FY2013-14"/>
    <n v="2013"/>
    <n v="14"/>
    <s v="FWS"/>
    <s v="St. Vincent NWR"/>
    <s v="Core"/>
    <x v="7"/>
    <s v="FL-2"/>
    <s v="Franklin"/>
    <n v="1000000"/>
    <n v="1000000"/>
    <n v="5"/>
    <n v="5"/>
    <s v="Fee"/>
    <n v="927"/>
    <s v="Y"/>
    <s v="Purpose: of Acquisition:  To restore and manage sensitive habitats along St. Vincent Sound for migratory birds, neotropical migratory songbirds, wintering waterfowl, arctic peregrine falcon, and bald eagle, among others._x000a__x000a_Project Cooperator: The Trust for Public Land_x000a__x000a_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
    <n v="20000"/>
    <n v="0"/>
    <s v="O&amp;M: The Service estimates initial costs of $20,000 for boundary marking which the Service would_x000a_fund from Refuge System base funding. There may be an initial dredging/rehabilitation cost which the_x000a_Service would also fund from Refuge System base funding."/>
  </r>
  <r>
    <s v="FWS-FY2014-4"/>
    <n v="2014"/>
    <n v="4"/>
    <s v="FWS"/>
    <s v="Everglades Headwaters NWR  and Conservation Area"/>
    <s v="Core"/>
    <x v="7"/>
    <s v="FL-12, FL-15, FL-16"/>
    <s v="Polk, Osceola, Okeechobee, and Highlands Counties"/>
    <n v="5000000"/>
    <n v="5000000"/>
    <n v="1250"/>
    <n v="1250"/>
    <s v="Fee"/>
    <n v="145863"/>
    <s v="Y"/>
    <s v="Purpose: of Acquisition:  To protect, restore, and conserve habitat for 278 federal and state listed species, including Florida panther, Florida black bear, Audubon’s crested caracara, Florida scrub jay, _x000a_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_x000a__x000a_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_x000a__x000a_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_x000a_"/>
    <n v="0"/>
    <n v="25000"/>
    <s v="O&amp;M: The Service estimates annual costs of up to $25,000 for habitat management and restoration,_x000a_prescribed burning, and hunting and public use management."/>
  </r>
  <r>
    <s v="NPS-FY2012-1"/>
    <n v="2012"/>
    <n v="1"/>
    <s v="NPS"/>
    <s v="Big Cypress National Preserve"/>
    <s v="Core"/>
    <x v="7"/>
    <s v="FL-14, FL-20"/>
    <s v="Collier, Dade, and Monroe Counties"/>
    <n v="5560000"/>
    <n v="5551100"/>
    <n v="43000"/>
    <n v="43000"/>
    <s v="Fee"/>
    <n v="1348"/>
    <s v="Y"/>
    <s v="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_x000a__x000a_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_x000a__x000a_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_x000a__x000a_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
    <n v="853000"/>
    <n v="0"/>
    <s v="Estimated O&amp;M Costs/Savings: Once the restoration and reclamation of the lands are completed,_x000a_operational costs are expected to be incidental. Initial, non-recurring costs for the restoration and_x000a_reclamation are expected to about $955,000. About $740,000 would remove 37 camps, or about $20,000_x000a_per camp. An additional $255,000 would be needed to do restoration work such as fill removal from_x000a_wetlands, and restoring natural grade and hydrology in remote, road-less backcountry areas. However, with_x000a_this acquisition, pollution and exotic vegetation seed sources would be eliminated from non-Federal lands_x000a_and remove the maintenance needs for approximately 60 miles of owner-access to non-NPS lands_x000a_wilderness trails. This would result in an approximate one-time savings of $102,000."/>
  </r>
  <r>
    <s v="NPS-FY2012-2"/>
    <n v="2012"/>
    <n v="2"/>
    <s v="NPS"/>
    <s v="Everglades National Park"/>
    <s v="Core"/>
    <x v="7"/>
    <s v="FL-18, FL-25"/>
    <s v="Collier, Dade, and Monroe Counties"/>
    <n v="25000000"/>
    <n v="24960000"/>
    <n v="477"/>
    <n v="477"/>
    <s v="Fee"/>
    <n v="330"/>
    <s v="Y"/>
    <s v="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_x000a__x000a_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_x000a__x000a_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_x000a__x000a_Need: The requested funds are needed to acquire six tracts containing 477.37 acres of land that will be flooded once bridge construction is complete. The tracts include three airboat operations sites, two radio tower sites, and the Florida Power and Light Company property. "/>
    <n v="-2925000"/>
    <n v="76000"/>
    <s v="An initial cost of $2.275 million is required to clear the two radio tower sites. This would avert a $5.2 million cost to construct flood control structures.. Annual costs are estimated at $76,000."/>
  </r>
  <r>
    <s v="NPS-FY2014-5"/>
    <n v="2014"/>
    <n v="5"/>
    <s v="NPS"/>
    <s v="Timucuan Ecological and Historic Preserve"/>
    <s v="CLP"/>
    <x v="7"/>
    <s v="FL-4"/>
    <s v="Duval County"/>
    <n v="2031000"/>
    <n v="2031000"/>
    <n v="262"/>
    <n v="262"/>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The_x000a_262-acre tract to be acquired at Timucuan Preserve would protect bottomland forest that is threatened by_x000a_degraded water quality an increased development pressure."/>
    <n v="0"/>
    <n v="0"/>
    <m/>
  </r>
  <r>
    <s v="FWS-FY2014-5"/>
    <n v="2014"/>
    <n v="5"/>
    <s v="FWS"/>
    <s v="Longleaf Initiative: Okefenokee NWR"/>
    <s v="CLP"/>
    <x v="8"/>
    <s v="FL-2, FL-4, GA-1"/>
    <s v="Charlton, Ware, and Clinch counties, Georgia; Baker County, Florida"/>
    <n v="9481000"/>
    <n v="9481000"/>
    <n v="3900"/>
    <n v="3900"/>
    <s v="Fee/Easement"/>
    <n v="109408"/>
    <s v="Y"/>
    <s v="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_x000a__x000a_Project Cooperators:  Charleston County Greenbelt, The Nature Conservancy, Conservation Fund, Georgia Department of Natural Resources, Pee Dee Land Trust, American Rivers, Sam Shine Foundation_x000a__x000a_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_x000a_"/>
    <n v="0"/>
    <n v="100000"/>
    <s v="O&amp;M: The Service estimates annual costs of up to $100,000 for habitat management and restoration,_x000a_prescribed burning, and hunting and public use management. Acquisition may produce efficiency_x000a_improvements in Service law enforcement and boundary posting, which would reduce these costs. Costs_x000a_associated with restoration work could be offset by hunting fees or outside funding."/>
  </r>
  <r>
    <s v="FWS-FY2013-15"/>
    <n v="2013"/>
    <n v="15"/>
    <s v="FWS"/>
    <s v="Longleaf Pine Okefenokee NWR"/>
    <s v="CLP"/>
    <x v="9"/>
    <s v="FL-4, GA-1"/>
    <s v="Charlton, Ware, and Clinch counties, Georgia; Baker County, Florida"/>
    <n v="13635850"/>
    <n v="3000000"/>
    <n v="16863"/>
    <n v="3708"/>
    <s v="Fee"/>
    <n v="37970"/>
    <s v="Y"/>
    <s v="Purpose: of Acquisition:  To conserve and protect virgin bottomland hardwood migratory bird habitat and to prevent detrimental impacts caused by development on wetland habitat._x000a__x000a_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
    <s v="N/A"/>
    <n v="100000"/>
    <m/>
  </r>
  <r>
    <s v="FWS-FY2012-6"/>
    <n v="2012"/>
    <n v="6"/>
    <s v="FWS"/>
    <s v="Savannah NWR"/>
    <s v="Core"/>
    <x v="10"/>
    <s v="SC-1"/>
    <s v="Chatham and Effingham counties, Georgia;  Jasper County in South Carolina"/>
    <n v="1250000"/>
    <n v="1248000"/>
    <n v="100"/>
    <n v="100"/>
    <s v="Fee"/>
    <n v="17141"/>
    <s v="Y"/>
    <s v="Purpose of Acquisition:  To conserve and protect virgin bottomland hardwood migratory bird habitat and to prevent detrimental impacts caused by development in wetlands habitat._x000a__x000a_Project Cooperators:  The Trust for Public Land Project Description:  Funding would acquire fee title to approximately 100 acres of a 388-acre property _x000a_from The Trust for Public Land.  This would be a phased acquisition as funding becomes available.  The _x000a_addition of this tract would complement the Refuge by adding the highly productive ecotone between the _x000a_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_x000a_king rails, American alligators, and wood duck.  This acquisition would provide road access to the adjacent _x000a_2,000-acre Abercorn Island, which is currently only accessible by boat.  Having road access to Abercorn _x000a_Island would allow the Service to increase public use activities at the Refuge and provide easier access for _x000a_refuge maintenance and law enforcement."/>
    <n v="0"/>
    <n v="3000"/>
    <s v="O&amp;M: The Service estimates annual costs of $3,000 for Service signage, boundary markings, and fencing_x000a_which the Service would fund from Refuge System base funding."/>
  </r>
  <r>
    <s v="FWS-FY2012-9"/>
    <n v="2012"/>
    <n v="9"/>
    <s v="FWS"/>
    <s v="Upper Mississippi River Nw&amp;Fr"/>
    <s v="Core"/>
    <x v="11"/>
    <s v="MN-1, IA-1 IA-4_x000a_IL-16, IL-17,WI-3"/>
    <s v="Multiple"/>
    <n v="2750000"/>
    <n v="2246000"/>
    <n v="690"/>
    <n v="563"/>
    <s v="Fee"/>
    <n v="20831"/>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_x000a_Minnesota Department of Natural Resources (DNR), Wisconsin DNR, Iowa DNR, Illinois DNR, and_x000a_Friends of the Upper Mississippi Refuge._x000a__x000a_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_x000a_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
    <n v="10000"/>
    <n v="0"/>
    <s v="O&amp;M: The Service estimates an initial cost of $10,000 for restoration and enhancement work (spraying,_x000a_mowing, burning, and fencing supplies and signage) which the Service would fund from Refuge base_x000a_funding."/>
  </r>
  <r>
    <s v="FWS-FY2011-3"/>
    <n v="2011"/>
    <n v="3"/>
    <s v="FWS"/>
    <s v="Upper Mississippi River NW&amp;FR"/>
    <s v="Core"/>
    <x v="12"/>
    <s v="MN-1, IA-1, IA-4, IL-16, IL-17, WI-3"/>
    <s v="Multiple"/>
    <n v="2500000"/>
    <n v="400000"/>
    <n v="625"/>
    <n v="100"/>
    <s v="Fee"/>
    <n v="21447"/>
    <s v="Y"/>
    <s v="Purpose of Acquisition: To protect, restore, and manage grassland and wetland habitat for migratory_x000a_birds, including waterfowl, resident wildlife, and public recreation._x000a_Project Cooperators: U.S. Army Corps of Engineers, Ducks Unlimited, The Nature Conservancy,_x000a_Minnesota Department of Natural Resources (DNR), Wisconsin DNR, Iowa DNR, Illinois DNR, Friends_x000a_of the Upper Mississippi Refuge._x000a_Project Description: The Service would use funds to acquire fee title of approximately 625 acres in the_x000a_Upper Mississippi National Wildlife and Fish Refuge from private landowners. The Refuge consists of_x000a_wooded islands, sandbars, deep water, wet meadows and other wetlands. The Refuge extends 260 miles_x000a_down the Mississippi River._x000a_The Refuge is a critical feeding and resting corridor for waterfowl and other birds in the Mississippi_x000a_Flyway. Up to 500,000 canvasback ducks and 30,000 tundra swans use portions of the Refuge during_x000a_migration. A wide variety of other wildlife species are also present, including 306 bird, 119 fish, 42_x000a_mussel, and 45 reptile and amphibian. The Refuge is important habitat for the Federally endangered_x000a_Higgins' Eye pearly mussel. The numerous and extensive wetland complexes in the Refuge perform_x000a_many functions, such as flood control and nutrient recycling."/>
    <n v="0"/>
    <n v="7000"/>
    <s v="O&amp;M Costs: Annual costs would be approximately $7,000 for initial restoration and enhancement work,_x000a_which the Service would fund out of Refuge System base funding."/>
  </r>
  <r>
    <s v="FWS-FY2013-9"/>
    <n v="2013"/>
    <n v="9"/>
    <s v="FWS"/>
    <s v="Upper Mississippi River NW&amp;FR"/>
    <s v="Core"/>
    <x v="12"/>
    <s v="MN-1, IA-1 , IA-4, IL-16, IL-17, WI-3_x000a_"/>
    <s v="Multiple"/>
    <n v="1000000"/>
    <n v="1000000"/>
    <n v="335"/>
    <n v="335"/>
    <s v="Fee"/>
    <n v="21137"/>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 the_x000a_Minnesota DNR, Wisconsin DNR, Iowa DNR, Illinois DNR, and Friends of the Upper Mississippi_x000a_Refuge._x000a__x000a_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
    <n v="10000"/>
    <n v="0"/>
    <s v="O&amp;M: The Service estimates an initial cost of $10,000 for restoration and enhancement work (spraying,_x000a_mowing, burning, and fencing supplies and signage), which the Service would fund from Refuge base_x000a_funding."/>
  </r>
  <r>
    <s v="FWS-FY2013-10"/>
    <n v="2013"/>
    <n v="10"/>
    <s v="FWS"/>
    <s v="Northern Tallgrass Prairie Nwr"/>
    <s v="Core"/>
    <x v="13"/>
    <s v="MN-1, MN-2, MN-7, IA-2, IA-3, IA-4, IA-5_x000a_"/>
    <s v="Multiple"/>
    <n v="500000"/>
    <n v="500000"/>
    <n v="166"/>
    <n v="166"/>
    <s v="Fee/Easement"/>
    <n v="72411"/>
    <s v="Y"/>
    <s v="Purpose: of Acquisition:  To protect, restore, and enhance the remaining northern tallgrass prairie habitats and associated wildlife species._x000a__x000a_Project Cooperators: Minnesota Department of Natural Resources (DNR), Iowa Department of Natural_x000a_Resources, Ducks Unlimited, Pheasants Forever, The Nature Conservancy, Minnesota Waterfowl_x000a_Association, several county conservation boards, and several local Chambers of Commerce._x000a__x000a_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_x000a__x000a_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
    <n v="0"/>
    <n v="30000"/>
    <s v="O&amp;M: Annual operation and maintenance costs are expected to be approximately $30,000 for initial_x000a_restoration and enhancement work (spraying, mowing, burning, and signage)."/>
  </r>
  <r>
    <s v="BLM-FY2011-10"/>
    <n v="2011"/>
    <n v="10"/>
    <s v="BLM"/>
    <s v="Snake River Rim Recreation Area/Oregon National Historic Trail"/>
    <s v="Core"/>
    <x v="14"/>
    <s v="ID-2"/>
    <s v="Jerome County"/>
    <n v="400000"/>
    <n v="2400000"/>
    <n v="497"/>
    <n v="2980"/>
    <s v="Fee"/>
    <n v="1743"/>
    <s v="Y"/>
    <s v="Purpose: Protect key properties to conserve open space, allow public recreational access, preserve an existing trail corridor and  provide environmental education  opportunities."/>
    <n v="10000"/>
    <n v="5000"/>
    <m/>
  </r>
  <r>
    <s v="BLM-FY2012-3"/>
    <n v="2012"/>
    <n v="3"/>
    <s v="BLM"/>
    <s v="Upper Snake/South Fork Snake River ACEC/SMRA"/>
    <s v="Core"/>
    <x v="14"/>
    <s v="ID-2"/>
    <s v="Bonneville, Fremont, Jefferson,_x000a_and Madison Counties"/>
    <n v="6000000"/>
    <n v="5990000"/>
    <n v="3045"/>
    <n v="3045"/>
    <s v="Easement"/>
    <n v="1000"/>
    <s v="Y"/>
    <s v="Purpose: Conserve and enhance significant scenic, recreational and wildlife resources within the Snake River corridors, predominately through the acquisition of conservation easements."/>
    <n v="5000"/>
    <n v="5000"/>
    <m/>
  </r>
  <r>
    <s v="FWS-FY2013-12"/>
    <n v="2013"/>
    <n v="12"/>
    <s v="FWS"/>
    <s v="Red Rock Lakes NWR"/>
    <s v="Core"/>
    <x v="15"/>
    <s v="MT-AL"/>
    <s v="Beaverhead"/>
    <n v="0"/>
    <n v="2822000"/>
    <s v="Recast Ops Plan"/>
    <n v="1979.94"/>
    <s v="Fee &amp; easement"/>
    <n v="172605.87"/>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dependent_x000a_birds. Acquisition of this tract would expand opportunities for wildlife-dependent forms of_x000a_public recreation on the east end of the refuge."/>
    <n v="10000"/>
    <n v="10000"/>
    <s v="O &amp; M: The Service would spend a minimal amount for easement monitoring and inspections, fencing, and boundary posting, estimated_x000a_at less than $10,000 per year, which the Service would fund out of Refuge System base funding."/>
  </r>
  <r>
    <s v="FWS-FY2011-20"/>
    <n v="2011"/>
    <n v="20"/>
    <s v="FWS"/>
    <s v="Flint Hills Legacy Conservation Area"/>
    <s v="Core"/>
    <x v="16"/>
    <s v="KS-1, KS-2, KS-4"/>
    <s v="Butler, Chase, Chautauqua, Clay, Cowley, Dickinson, Elk, Geary, Greenwood, Harvey, Jackson, Lyon, Marion, Marshall, Morris, Pottawatomie, Riley, Shawnee, Washington, Woodson, and Waubansee"/>
    <n v="0"/>
    <n v="1000000"/>
    <s v="earmark"/>
    <n v="2158"/>
    <s v="Easement"/>
    <n v="1097842"/>
    <s v="Y"/>
    <s v="(complete if known)"/>
    <n v="0"/>
    <n v="2000"/>
    <s v="O &amp; M: Within the base funding for the Refuge System, the Service would use approximately $2,000 for_x000a_annual maintenance of the new acquisitions, mainly for easement enforcement."/>
  </r>
  <r>
    <s v="FWS-FY2013-4"/>
    <n v="2013"/>
    <n v="4"/>
    <s v="FWS"/>
    <s v="Flint Hills Legacy Conservation Area"/>
    <s v="Core"/>
    <x v="16"/>
    <s v="KS-1, KS-2, KS-4"/>
    <s v="Butler, Chase, Chautauqua, Clay, Cowley, Dickinson, Elk, Geary, Greenwood, Harvey, Jackson, Lyon, Marion, Marshall, Morris, Pottawatomie, Riley, Shawnee, Washington, Woodson, and Waubansee"/>
    <n v="1951000"/>
    <n v="1000000"/>
    <n v="6503"/>
    <n v="3333"/>
    <s v="Easement"/>
    <n v="1083328"/>
    <s v="Y"/>
    <s v="Purpose of Acquisition: To protect the Flint Hills tallgrass prairie ecosystem and associated grasslanddependent_x000a_wildlife species._x000a_Project Cooperators: The Nature Conservancy, the Kansas Land Trust, The Ranchland Trust of Kansas,_x000a_the Tallgrass Legacy Alliance, and the local community._x000a_Project Description: Funds would be used to acquire perpetual conservation easements on_x000a_approximately 6,503 acres of tallgrass prairie. Tallgrass prairie is one of the most endangered ecosystems_x000a_in the United States, with less than four percent of the original acreage remaining. This project makes_x000a_exclusive use of conservation easements to protect 1,100,000 acres of the remaining tallgrass prairie in_x000a_the Flint Hills ecoregion in eastern Kansas from the threat of fragmentation. This fragmentation occurs as_x000a_the result of residential, commercial, and industrial development, as well as encroachment of woody_x000a_vegetation. Acquisition of perpetual conservation easements from willing sellers provides permanent_x000a_protection for tallgrass prairie ecosystems and fosters landscape level conservation, while helping to_x000a_maintain traditional ranching operations. Landowner interest is high, and the Service is currently_x000a_identifying lands for acquisition that contain high quality tallgrass habitat with minimal fragmentation and_x000a_woody vegetation encroachment. In addition to preserving some of the last remaining tallgrass prairie,_x000a_conservation easements would protect habitat that is important for the threatened Topeka shiner, as well_x000a_as a wide variety of grassland-dependent birds and other species."/>
    <n v="0"/>
    <n v="1000"/>
    <s v="O&amp;M: Within the base funding for the Refuge System, the Service would use approximately $1,000 for_x000a_annual maintenance of the new acquisitions, mainly for easement enforcement."/>
  </r>
  <r>
    <s v="FWS-FY2011-16"/>
    <n v="2011"/>
    <n v="16"/>
    <s v="FWS"/>
    <s v="Upper Ouachita NWR"/>
    <s v="Core"/>
    <x v="17"/>
    <s v="LA-5"/>
    <s v="Morehouse Parish"/>
    <n v="3000000"/>
    <n v="3000000"/>
    <n v="1200"/>
    <n v="1200"/>
    <s v="Fee"/>
    <n v="13073"/>
    <s v="Y"/>
    <s v="Purpose of Acquisition: To preserve wintering habitat for mallards, pintails and wood ducks, and to_x000a_contribute to the goals of the Lower Mississippi River Valley Ecosystem, the North American Waterfowl_x000a_Management Plan and the Red-cockaded Woodpecker Recovery Plan._x000a_Project Cooperators: None at this time._x000a_Project Description: Funding would provide for the fee title acquisition of approximately 1,200 acres_x000a_of land, a portion of a 3,875-acre tract that the Service has leased since 1997. Currently the property is_x000a_cropland in rice production. Acquisition and management of this property would contribute to the goals_x000a_of the refuge through the management of habitat for migratory waterfowl, neotropical migratory birds and_x000a_other wildlife. This property is contiguous to approximately 13,000 acres of refuge lands, which lie east_x000a_of the Ouachita River. Acquisition of this tract would provide additional habitat for large numbers of_x000a_wintering waterfowl, which visit this refuge annually."/>
    <n v="0"/>
    <n v="0"/>
    <m/>
  </r>
  <r>
    <s v="FWS-FY2011-7"/>
    <n v="2011"/>
    <n v="7"/>
    <s v="FWS"/>
    <s v="Blackwater NWR"/>
    <s v="Core"/>
    <x v="18"/>
    <s v="MD-1"/>
    <s v="Dorchester"/>
    <n v="2500000"/>
    <n v="1500000"/>
    <n v="1515"/>
    <n v="909"/>
    <s v="Fee"/>
    <n v="31264"/>
    <s v="Y"/>
    <s v="Purpose of Acquisition: To protect high quality habitat for the threatened American bald eagle,_x000a_Delmarva fox squirrel and other endangered species, along with nesting and wintering habitat for_x000a_migratory waterfowl, colonial waterbirds, shorebirds, and forest interior dwelling bird species._x000a_Project Cooperators: The Conservation Fund_x000a_Project Description: The requested funds of $2,500,000 for FY 2011 would provide the refuge with fee_x000a_title to the remainder of the funding needed for a 1,065-acre tract in the area of the Refuge referred to as_x000a_Russell Swamp and two parcels on the northern border of the Refuge boundary totaling 450 acres. These_x000a_tracts consist mainly of forested wetlands interspersed with tidal waters, ponds and marsh. Both these_x000a_areas provide excellent habitat for migratory birds, such as Osprey, Black and Wood Ducks, Canada_x000a_Geese, marsh and water birds, the Bald Eagle, as well as foraging opportunities for the Peregrine Falcon._x000a_It is also excellent habitat for the endangered Delmarva fox squirrel._x000a_The areas are important to Federal and state endangered and threatened species and many migratory bird_x000a_species. Acquisition of these areas would also expand opportunities for wildlife-dependent forms of_x000a_public recreation."/>
    <n v="0"/>
    <n v="0"/>
    <m/>
  </r>
  <r>
    <s v="NPS-FY2011-5"/>
    <n v="2011"/>
    <n v="5"/>
    <s v="NPS"/>
    <s v="Catoctin Mountain Park"/>
    <s v="Core"/>
    <x v="18"/>
    <s v="MD-6"/>
    <s v="Frederick and Washington Counties"/>
    <n v="640000"/>
    <n v="640000"/>
    <n v="18"/>
    <n v="18"/>
    <s v="Fee"/>
    <n v="0"/>
    <s v="N"/>
    <s v="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_x000a__x000a_Natural/Cultural Resources Associated with Proposal:  Part of the forested ridge that forms the eastern rampart of the Appalachian Mountains in Maryland, this mountain park has sparkling streams and panoramic vistas of the Monocacy Valley.  _x000a__x000a_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_x000a__x000a_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_x000a_"/>
    <s v="N/A"/>
    <s v="N/A"/>
    <s v="Tract was included in the park via a minor boundary adjustment. It was an inholding at the time of purchase but not at the time of appropriation. Appropriation (4/11), boundary adjustment (2/12), purchase finalized (3/12) "/>
  </r>
  <r>
    <s v="NPS-FY2011-9"/>
    <n v="2011"/>
    <n v="9"/>
    <s v="NPS"/>
    <s v="Acadia National Park"/>
    <s v="Core"/>
    <x v="19"/>
    <s v="ME-1, ME-2"/>
    <s v="Hancock and Knox Counties"/>
    <n v="1764000"/>
    <n v="1700000"/>
    <n v="23"/>
    <n v="23"/>
    <s v="Conservation Easement"/>
    <n v="1285"/>
    <s v="Y"/>
    <s v="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_x000a__x000a_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_x000a__x000a_Threat:  Little of New England's rockbound coast remains in public ownership, undeveloped and natural.  The primary threat to park resources is the development of previously undeveloped land, an action not compatible with preserving the natural and scenic resources of the area._x000a__x000a_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_x000a__x000a_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_x000a_"/>
    <s v="N/A"/>
    <s v="N/A"/>
    <m/>
  </r>
  <r>
    <s v="NPS-FY2014-2"/>
    <n v="2014"/>
    <n v="2"/>
    <s v="NPS"/>
    <s v="Sleeping Bear Dunes National Lakeshore"/>
    <s v="Core"/>
    <x v="20"/>
    <s v="MI-1"/>
    <s v="Benzie and Leelanau Counties"/>
    <n v="5269000"/>
    <n v="5269000"/>
    <n v="37"/>
    <n v="37"/>
    <s v="Fee"/>
    <n v="1679"/>
    <s v="Y"/>
    <s v="Description: The Act of October 21, 1970, authorized establishment of Sleeping Bear Dunes National_x000a_Lakeshore to protect and preserve outstanding natural resources along the mainland shore of Lake_x000a_Michigan and on certain nearby islands in Benzie and Leelanau Counties, Michigan._x000a_Natural/Cultural Resources Associated with Proposal: The national lakeshore is a diverse landscape with_x000a_massive sand dunes, quiet rivers, sand beaches, beech-maple forests, clear lakes, and rugged bluffs_x000a_towering as high as 460 feet above Lake Michigan. Two offshore wilderness islands offer tranquility and_x000a_seclusion._x000a_Threat: Congress recognized the importance of the natural features of the Sleeping Bear Dunes area of_x000a_Michigan in establishing the National Lakeshore in 1970. Acquisition is necessary to minimize or eliminate_x000a_the impact of constant threats, disturbances, past land use practices, increasing use and special_x000a_interests, and pressures of outside growth and development._x000a_Need: The funds would be used to acquire, from willing sellers, fee interest in five tracts totaling 36.75_x000a_acres needed to prevent development that would adversely impact the national lakeshore. Three of the_x000a_tracts are improved with small homes, two of which are on the waterfront. It has been a recent practice of_x000a_landowners in the area to raze such homes and replace them with larger trophy homes complete with_x000a_swimming beach, patio, and boathouse. The remaining two tracts are undeveloped wooded land._x000a_Acquisition is necessary to prevent development that would impair landscape continuity and to provide_x000a_visitor use and enjoyment of the waterfront."/>
    <n v="0"/>
    <n v="0"/>
    <m/>
  </r>
  <r>
    <s v="NPS-FY2011-11"/>
    <n v="2011"/>
    <n v="11"/>
    <s v="NPS"/>
    <s v="Voyageurs National Park"/>
    <s v="Core"/>
    <x v="21"/>
    <s v="MN-8"/>
    <s v="Koochiching and St. Louis Counties"/>
    <n v="366000.5"/>
    <n v="315000"/>
    <n v="3.5"/>
    <n v="3"/>
    <s v="Fee"/>
    <n v="1011"/>
    <s v="Y"/>
    <s v="Description: Voyageurs National Park was authorized January 1, 1971. The land acquisition program has_x000a_been underway since fiscal year 1972. Of the 218,200 acres comprising the park, only 1,155 acres remain_x000a_privately owned. Approximately 1,014 acres of privately owned land have been identified for acquisition_x000a_after fiscal year 2010._x000a_Natural/Cultural Resources Associated with Proposal: The park was established to preserve and protect the_x000a_outstanding scenery, geological conditions, and waterway systems that constituted part of the historic route_x000a_of the voyageurs who contributed to the opening of the United States. The park contains more than 30 lakes_x000a_dotted with islands and surrounded by forests._x000a_Threat: Threats of recreational and residential development require expeditious completion of the acquisition_x000a_program at the park._x000a_Need: For fiscal year 2011, $366,500 are needed to acquire a 3.5-acre tract of privately owned land_x000a_located adjacent to an active bald eagle nesting site and near the primary gateway water entrance into_x000a_the north half of the park. Acquisition is necessary to permit the removal of structures to return the site to_x000a_a more natural condition and minimize disturbance to nesting activity. In addition the structures on site are_x000a_susceptible to use for continued hunting on the tract due to the absent landowner._x000a_The tract was acquired in 2008 by the Parks and Trails Council of Minnesota, a non-profit conservation_x000a_organization. The intent of the Council’s action was to temporarily secure and hold ownership of the tract_x000a_until the appropriation of sufficient funds would permit Federal acquisition. Without assurance that such_x000a_an appropriation is forthcoming, the Council, due to financial hardship, may place the property on sale_x000a_again. Such a result would jeopardize the likelihood of future cooperative ventures with the Council._x000a_This acquisition will serve to protect riparian habitat and watershed resources in conjunction with NPS_x000a_partners."/>
    <s v="N/A"/>
    <s v="N/A"/>
    <m/>
  </r>
  <r>
    <s v="BLM-FY2011-9"/>
    <n v="2011"/>
    <n v="9"/>
    <s v="BLM"/>
    <s v="Chain-of-Lakes RMA/Lewis and Clark NHT"/>
    <s v="Core"/>
    <x v="22"/>
    <s v="MT-1"/>
    <s v="Broadwater and Lewis and Clark Counties"/>
    <n v="1000000"/>
    <n v="717000"/>
    <n v="1165"/>
    <n v="835"/>
    <s v="Fee"/>
    <n v="1500"/>
    <s v="Y"/>
    <s v="Purpose: Acquisition of multiple parcels within the Chain-of-Lakes Recreation Management Area/Lewis and Clark National Historic Trail."/>
    <n v="10000"/>
    <n v="5000"/>
    <m/>
  </r>
  <r>
    <s v="BLM-FY2013-7"/>
    <n v="2013"/>
    <n v="7"/>
    <s v="BLM"/>
    <s v="Blackfoot River Srma/Lewis And Clark National Historic Trail"/>
    <s v="CLP"/>
    <x v="22"/>
    <s v="MT-1"/>
    <s v="Missoula and Powell Counties"/>
    <n v="5572000"/>
    <n v="5572000"/>
    <n v="4620"/>
    <n v="4620"/>
    <s v="Fee"/>
    <n v="0"/>
    <s v="Y"/>
    <s v="Purpose: Protect exceptional biological diversity, wildlife habitat and rural landscapes from the impacts of residential subdivision. Preservation of the Lewis and Clark National Historic Trail (NHT) corridor._x000a_ 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_x000a__x000a_The proposed acquisition, supported by the Montana Department of Fish, Wildlife and Parks is a component of The Nature Conservancy’s broader Montana Legacy Project and is the final TNC-BLM acquisition in the project area. _x000a_ _x000a_ _x000a_"/>
    <n v="5000"/>
    <n v="1000"/>
    <m/>
  </r>
  <r>
    <s v="BLM-FY2014-1"/>
    <n v="2014"/>
    <n v="1"/>
    <s v="BLM"/>
    <s v="Blackfoot River Watershed"/>
    <s v="CLP"/>
    <x v="22"/>
    <s v="MT-1"/>
    <s v="Missoula and Powell Counties"/>
    <n v="2600000"/>
    <n v="2600000"/>
    <n v="3680"/>
    <n v="3680"/>
    <s v="Fee"/>
    <n v="8000"/>
    <s v="Y"/>
    <s v="Purpose: Protect exceptional biological diversity, wildlife habitat and rural landscapes from the impacts of residential subdivision. Prevent denial and loss of public access providing year-round recreational opportunities._x000a__x000a_Purchase Opportunities: Funding request continues an ongoing phased acquisition of properties purchased and held by the partner for conveyance to federal and state agency partners._x000a_ _x000a_Partner: The Nature Conservancy._x000a_ _x000a_Cooperators: U.S. Fish and Wildlife Service, U.S. Forest Service, Montana Department of Fish, Wildlife and Parks, Montana Department of Natural Resource and Conservation, Blackfoot Challenge. _x000a_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_x000a__x000a_The proposed acquisition, supported by the U.S. Fish and Wildlife Service and Montana Department of Fish, Wildlife and Parks is a component of Blackfoot Challenge and The Nature Conservancy’s broader Blackfoot Community Project._x000a_"/>
    <n v="5000"/>
    <n v="1000"/>
    <m/>
  </r>
  <r>
    <s v="FWS-FY2011-11"/>
    <n v="2011"/>
    <n v="11"/>
    <s v="FWS"/>
    <s v="Rocky Mountain Front CA"/>
    <s v="Core"/>
    <x v="22"/>
    <s v="MT-AL"/>
    <s v="Lewis and Clark, Pondera, and Teton Counties"/>
    <n v="7895000"/>
    <n v="5300000"/>
    <n v="17545"/>
    <n v="11777"/>
    <s v="Easement"/>
    <n v="126035"/>
    <s v="Y"/>
    <s v="Purpose of Acquisition: To provide for long-term viability of fish and wildlife habitat on a large_x000a_landscape basis in the Northern Continental Divide Ecosystem. These conservation easements would_x000a_preserve habitat where existing biological communities are functioning well and maintain the traditional_x000a_rural economies for present and future generations._x000a_Project Cooperators: The Nature Conservancy, The Conservation Fund, Montana Fish, Wildlife and_x000a_Parks, Teton County Commission, Pondera County Commission and Lewis &amp; Clark County Commission,_x000a_Montana Wilderness Association, and Montana Audubon Society._x000a_Project Description: The Service would use the requested funds to acquire conservation easements on_x000a_five tracts totaling 17,545 acres. Each of these properties border existing protected lands (either Service_x000a_or TNC easements or other Federal lands) and include important habitat for grizzly bears and other_x000a_grassland dependent species including migratory birds._x000a_The Rocky Mountain Front is considered by experts to be one of the best remaining intact, ecosystems_x000a_left in the lower 48 states. Nearly every wildlife species described by Lewis and Clark in 1806, with the_x000a_exception of free ranging bison, still exist on the Front in relatively stable or increasing numbers. There is_x000a_increasing pressure to subdivide and develop this landscape. Protecting these tracts with conservation_x000a_easements would prevent fragmentation and preserve the environmental and economic health of trust_x000a_species habitat along the Rocky Mountain Front."/>
    <n v="0"/>
    <n v="2000"/>
    <s v="O &amp; M: Within the base funding for the Refuge System, the Service would use approximately $2,000 for_x000a_annual maintenance of the new acquisitions, mainly for easement enforcement."/>
  </r>
  <r>
    <s v="FWS-FY2011-13"/>
    <n v="2011"/>
    <n v="13"/>
    <s v="FWS"/>
    <s v="Red Rock Lakes NWR"/>
    <s v="Core"/>
    <x v="22"/>
    <s v="MT-AL"/>
    <s v="Beaverhead"/>
    <n v="3000000"/>
    <n v="1500000"/>
    <n v="670"/>
    <n v="1484.9"/>
    <s v="Fee &amp; easement"/>
    <n v="25074.1"/>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dependent_x000a_birds. Acquisition of this tract would expand opportunities for wildlife-dependent forms of_x000a_public recreation on the east end of the refuge."/>
    <n v="0"/>
    <n v="10000"/>
    <s v="O &amp; M: The Service would spend a minimal amount for easement monitoring and inspections, estimated_x000a_at less than $10,000 per year, which the Service would fund out of Refuge System base funding."/>
  </r>
  <r>
    <s v="FWS-FY2012-14"/>
    <n v="2012"/>
    <n v="14"/>
    <s v="FWS"/>
    <s v="Rocky Mountain Front CA"/>
    <s v="Core"/>
    <x v="22"/>
    <s v="MT-AL"/>
    <s v="Lewis and Clark, Pondera, and Teton Counties"/>
    <n v="8000000"/>
    <n v="1500000"/>
    <n v="19277"/>
    <n v="3333"/>
    <s v="Easement"/>
    <n v="106835"/>
    <s v="Y"/>
    <s v="Purpose of Acquisition: To provide for long-term viability of fish and wildlife habitat on a large_x000a_landscape in the Northern Continental Divide Ecosystem. These conservation easements would preserve_x000a_habitat with existing ecosystem functions and maintain traditional rural economies for future generatio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acquire 19,277 acres in permanent conservation easement. The_x000a_properties border existing protected lands (either Service or TNC easements or other Federal lands) and_x000a_provide important habitat for grizzly bears and grassland-dependent species including migratory birds._x000a_The Rocky Mountain Front is considered by experts to be one of the best intact ecosystems remaining in the_x000a_lower 48 states. Nearly every wildlife species described by Lewis and Clark in 1806, with the exception of_x000a_free ranging bison, still exist on the Front in relatively stable or increasing numbers. There is increasing_x000a_pressure to subdivide and develop this landscape. Protecting these tracts with conservation easements_x000a_would prevent fragmentation and preserve the environmental and economic health of trust species habitat_x000a_along the Rocky Mountain Front."/>
    <n v="0"/>
    <n v="4000"/>
    <s v="O&amp;M: The Service estimates annual costs of $4,000 for maintenance of the new acquisitions, mainly for_x000a_easement enforcement, which the Service would fund from Refuge System base funding."/>
  </r>
  <r>
    <s v="FWS-FY2013-16"/>
    <n v="2013"/>
    <n v="16"/>
    <s v="FWS"/>
    <s v="Blackfoot Valley CA"/>
    <s v="CLP"/>
    <x v="22"/>
    <s v="MT-AL"/>
    <s v="Lewis and Clark, Missoula, and Powell Counties"/>
    <n v="9871000"/>
    <n v="4825000"/>
    <n v="15342.5"/>
    <n v="3957.63"/>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3-17"/>
    <n v="2013"/>
    <n v="17"/>
    <s v="FWS"/>
    <s v="Rocky Mountain Front CA"/>
    <s v="CLP"/>
    <x v="22"/>
    <s v="MT-AL"/>
    <s v="Lewis and Clark, Pondera, and Teton Counties"/>
    <n v="9871000"/>
    <n v="5018000"/>
    <n v="15342.5"/>
    <n v="14987.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4-1"/>
    <n v="2014"/>
    <n v="1"/>
    <s v="FWS"/>
    <s v="Blackfoot Valley CA"/>
    <s v="CLP"/>
    <x v="22"/>
    <s v="MT-AL"/>
    <s v="Lewis and Clark, Missoula, and Powell Counties"/>
    <n v="4680000"/>
    <n v="4680000"/>
    <n v="8750"/>
    <n v="8750"/>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FWS-FY2014-2"/>
    <n v="2014"/>
    <n v="2"/>
    <s v="FWS"/>
    <s v="Rocky Mountain Front CA"/>
    <s v="CLP"/>
    <x v="22"/>
    <s v="MT-AL"/>
    <s v="Lewis and Clark, Pondera, and Teton Counties"/>
    <n v="7260000"/>
    <n v="7260000"/>
    <n v="13124"/>
    <n v="1312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NPS-FY2013-6"/>
    <n v="2013"/>
    <n v="6"/>
    <s v="NPS"/>
    <s v="Glacier National Park"/>
    <s v="CLP"/>
    <x v="22"/>
    <s v="MT-AL"/>
    <s v="Flathead and Glacier Counties"/>
    <n v="3323000"/>
    <n v="1200000"/>
    <n v="318"/>
    <n v="114"/>
    <s v="Fee"/>
    <n v="97"/>
    <s v="Y"/>
    <s v="Description: The Act of May 11, 1910, established Glacier National Park and today contains approximately_x000a_1,000,000 acres. A total of 415 acres remain privately owned at the park. Four collaborating agencies_x000a_(NPS, FWS, BLM, and FS) are working to take advantage of opportunities to build resiliency in ecological_x000a_systems and communities. Building ecological resiliency includes maintaining intact, interconnected_x000a_landscapes, and restoring fragmented or degraded (but restorable) habitats. They have been working_x000a_with NGO partners (including The Nature Conservancy, The Conservation Fund, Trust for Public Land,_x000a_local land trusts), local community groups such as the Blackfoot Challenge &amp; Rocky Mountain Front_x000a_Landowner Advisory Group and state &amp; county government officials, to tailor the federal acquisition_x000a_program in a way to achieve synergy between private rights, open space, traditional land uses and_x000a_conservation. This shared vision includes maintaining working ranches and forests by acquiring_x000a_conservation easements as well as acquiring lands in fee that will provide public access and enjoyment._x000a_Natural/Cultural Resources Associated with Proposal: Executing the planned acquisitions in all four_x000a_agencies can contribute to species conservation, such as, grizzly bears, wolverine, lynx, goshawk, willow_x000a_flycatcher, sage grouse, sharp-tailed grouse, burrowing owl, Lewis' woodpecker, trumpeter swan, yellowbilled_x000a_cuckoo, cutthroat trout, arctic grayling, and Columbia spotted frog. The federal projects complement_x000a_the conservation goals of Montana Comprehensive Fish and Wildlife Conservation Strategy (State_x000a_Wildlife Action Plan) as well as other conservation plans including the Montana Partners in Flight,_x000a_threatened and endangered species recovery plans (bull trout, grizzly bears, lynx, gray wolf), Forest_x000a_Management Plans and agency general management and Departmental level strategic plans (i.e., Great_x000a_Northern Landscape Conservation Cooperative, etc)._x000a_Funds are requested for eight tracts. They include the Harrison Creek Tract, a prime example of upland,_x000a_riparian and floodplain wildlife habitat; Cracker Lake tracts, in a glacial basin that is the third largest private_x000a_holding in the park and the only mining patents in the park; Big Prairie tracts, along the North Fork of the_x000a_Flathead in the major migration corridor for grizzly bear, wolf and ungulates; and the Cummings Meadow_x000a_tract, which is home to many T&amp;E species and an intact riparian ecosystem, as well as the site of one of the_x000a_areas homesteads from the early 1900s._x000a_Threat: If these tracts remain in private ownership, cabins and year-round housing may be developed,_x000a_floodplain manipulation or stream bank stabilization measures may be employed to decrease the impact_x000a_of natural flooding, migration corridors will be cut and displaced and ecosystems will be degraded. These_x000a_activities would jeopardize the natural resources, wilderness, and recreational values of the area._x000a_Resource extraction, including logging or mining, is also likely on some of the properties. Large waterfront_x000a_parcels of private property are highly desirable and lack or difficulty of access has proven not to be a_x000a_deterrent to purchase and development. Parcels in areas within easy reach of existing infrastructure are_x000a_prime for development allowing further displacement of species, and riparian areas are desirable for_x000a_human use and development._x000a_National Park Service FY 2013 Budget Justifications_x000a_LASA-16_x000a_Need: The funds are needed to acquire eight parcels, totaling 318 acres located in the park along the_x000a_North Fork and Middle Fork of the Flathead River about one mile upstream from the confluence with_x000a_Harrison Creek and in the Cummings Meadow area. These tracts have very high resource value as_x000a_upland, riparian, and floodplain landscapes and habitat. Some of the tracts are surrounded by the park’s_x000a_recommended wilderness area and are candidates for eventual addition to the wilderness system._x000a_Development of the land would jeopardize wilderness resource values as well as the backcountry_x000a_character of the surrounding land."/>
    <n v="0"/>
    <n v="0"/>
    <m/>
  </r>
  <r>
    <s v="NPS-FY2014-1"/>
    <n v="2014"/>
    <n v="1"/>
    <s v="NPS"/>
    <s v="Glacier NP"/>
    <s v="CLP"/>
    <x v="22"/>
    <s v="MT-AL"/>
    <s v="Flathead County"/>
    <n v="1030000"/>
    <n v="1030000"/>
    <n v="2"/>
    <n v="2"/>
    <s v="Fee"/>
    <s v="TBD"/>
    <s v="Y"/>
    <s v="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_x000a_northern Rocky Mountains that encompasses national parks, national wilderness areas, national forests,_x000a_national wildlife refuges, and non-federal conservation lands that are either privately owned, or owned by_x000a_tribe, states and local governments. The full suite of native forest carnivores are found within the Crown,_x000a_including wolf, wolverine, pine marten, bobcat, black bears, and grizzlies. Included within the Crown of the_x000a_Continent is Glacier National Park that was established in 1910 and today contains over 1,000,000 acres_x000a_within its boundary in northern Montana. In establishing the Department of the Interior America’s Great_x000a_Outdoors Program, Secretary’s Order No. 3323 of September 12, 2012, designated Crown of the Continent_x000a_as a Landscape of National Significance._x000a_Threat: Development in the Crown of the Continent will fragment threatened and endangered species_x000a_habitat. A male grizzly can occupy a home range of 300 square acres which can only be accommodated in_x000a_the vast spaces of this landscape._x000a_Need: The funds are needed to acquire, from willing sellers, six parcels totaling 2.09 acres located in the_x000a_Big Prairie area of Glacier National Park along the North Fork of the Flathead River. These tracts have_x000a_very high resource value as riparian and floodplain landscapes, migration corridors and habitat. Four of_x000a_the tracts are completely surrounded by NPS-owned lands and some of the tracts are surrounded by the_x000a_park’s recommended wilderness area and are candidates for eventual addition to the wilderness system._x000a_Development of the land would jeopardize wilderness resource values as well as the backcountry_x000a_character of the surrounding land."/>
    <n v="100000"/>
    <n v="0"/>
    <m/>
  </r>
  <r>
    <s v="NPS-FY2013-1"/>
    <n v="2013"/>
    <n v="1"/>
    <s v="NPS"/>
    <s v="Civil War Sesquicentennial"/>
    <s v="Core"/>
    <x v="23"/>
    <s v="Multiple"/>
    <s v="various"/>
    <n v="5000000"/>
    <n v="5000000"/>
    <s v="NA"/>
    <n v="200"/>
    <s v="Fee/Easement"/>
    <s v="NA"/>
    <s v="Y"/>
    <s v="Description: Funds provided in FY 2013 will be used for the Federal acquisition of lands or interests in_x000a_lands needed to preserve and protect Civil War battlefield sites located within the National Park System._x000a_Need: There are many tracts available for acquisition that are privately owned, or are held by non-profit_x000a_partners, in the NPS’ Civil War battlefield parks. NPS partners have acquired and continue to hold, in_x000a_anticipation of Federal acquisition, lands within many core areas of Civil War battlefields located within_x000a_the National Park System. This funding request would provide the flexibility necessary to acquire land_x000a_within the battlefield as the need arises, with special emphasis on those units which are currently_x000a_commemorating the sesquicentennial anniversary of the particular battle. Priority needs exist at Fort_x000a_Donelson National Battlefield, Fredericksburg and Spotsylvania County Battlefields Memorial National_x000a_Military Park, Kennesaw Mountain National Battlefield Park, Pecos National Historical Park, Richmond_x000a_National Battlefield Park, and Shiloh National Military Park. These funds would be allocated to projects as_x000a_they are ready to be acquired, including due diligence requirements, land acquisition, and closing and_x000a_relocation activities."/>
    <n v="0"/>
    <n v="0"/>
    <m/>
  </r>
  <r>
    <s v="NPS-FY2013-2"/>
    <n v="2013"/>
    <n v="2"/>
    <s v="NPS"/>
    <s v="National Rivers And Trails Initiative"/>
    <s v="Core"/>
    <x v="23"/>
    <s v="Multiple"/>
    <s v="various"/>
    <n v="4000000"/>
    <n v="4000000"/>
    <s v="NA"/>
    <s v="&quot;Pre-Acq_x000a_and 37&quot;"/>
    <s v="Fee/Easement"/>
    <s v="NA"/>
    <s v="Y"/>
    <s v="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_x000a__x000a_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
    <n v="0"/>
    <n v="0"/>
    <s v="Funds paid for pre-acquisition work on some parcels, plus purchase of 37 acres."/>
  </r>
  <r>
    <s v="NPS-FY2014-6"/>
    <n v="2014"/>
    <n v="6"/>
    <s v="NPS"/>
    <s v="Civil War Sesquicentennial Units"/>
    <s v="Core"/>
    <x v="23"/>
    <s v="N/A"/>
    <s v="various"/>
    <n v="5500000"/>
    <n v="5500000"/>
    <s v="N/A"/>
    <n v="826"/>
    <s v="Fee/Easement"/>
    <s v="N/A"/>
    <s v="Y"/>
    <s v="Description: Funds provided in FY 2014 would be used for the federal acquisition, from willing sellers, of lands or interests in lands needed to preserve and protect Civil War battlefield sites located within the National Park System._x000a_Need: For FY 2014, funding needs have been identified for many privately owned tracts at Civil War_x000a_battlefield sites within the National Park System. Some of these tracts have been acquired by NPS_x000a_partners who continue to hold the land in anticipation of federal acquisition. This funding request would_x000a_provide the flexibility necessary to acquire land at these battlefield sites as the need arises. Priority_x000a_funding needs for FY 2014 have been identified in Antietam National Battlefield, Cedar Creek and Belle_x000a_Grove National Historical Park, Chickamauga and Chattanooga National Military Park, Fort Scott National_x000a_Historic Site, Fort Donelson National Battlefield, Gettysburg National Military Park, Harpers Ferry National_x000a_Historical Park, Kennesaw Mountain National Battlefield Park, Manassas National Battlefield Park,_x000a_Monocacy National Battlefield, Pecos National Historical Park, Richmond National Battlefield Park,_x000a_Stones River National Battlefield, Vicksburg National Military Park, and Wilson’s Creek National_x000a_Battlefield."/>
    <n v="0"/>
    <n v="0"/>
    <m/>
  </r>
  <r>
    <s v="FWS-FY2011-6"/>
    <n v="2011"/>
    <n v="6"/>
    <s v="FWS"/>
    <s v="North Dakota WMA"/>
    <s v="Core"/>
    <x v="24"/>
    <s v="ND-AL  "/>
    <s v="Multiple"/>
    <n v="2500000"/>
    <n v="1000000"/>
    <n v="14286"/>
    <n v="5714"/>
    <s v="Easement"/>
    <n v="244055"/>
    <s v="Y"/>
    <s v="Purpose of Acquisition: Purchase perpetual easements to protect native grassland and associated_x000a_wetlands ecosystem located in the crucial wildlife habitat area of the Prairie Pothole Region (PPR)._x000a_Project Cooperators: North Dakota Game &amp; Fish Department, North Dakota Natural Resources Trust,_x000a_Ducks Unlimited, and TheNature Conservancy. Landowner interest remains strong._x000a_Project Description: The requested funds would allow the Service to acquire 14,286 acres in fee title_x000a_from multiple owners for perpetual easements and allow the land to remain in native grassland to keep the_x000a_ecosystem intact. There is a backlog of over 100 willing sellers to keep land in native grassland habitat._x000a_The Prairie Pothole Region (PPR) ecosystem contains native mixed-grass prairie intermingled with high_x000a_densities of temporary, semi-permanent and permanent wetlands and supports some of the highest_x000a_breeding waterfowl and shorebird populations in North America, including the endangered piping plover._x000a_The grassland easement prevents the conversion of grassland and primarily focuses on large blocks of_x000a_native grassland habitat. This landscape level ecosystem protection maintains the natural habitat,_x000a_provides long-term viability, and improves its health for the benefit of wildlife and people; while at the_x000a_same time allows private ownership with restricted uses._x000a_Habitat fragmentation remains the greatest threat to PPR habitat. Conversion of grassland to cropland for_x000a_bio-fuels production and loss of Conservation Reserve Program acres diminishes the natural function of_x000a_the PPR ecosystem and its productivity for wildlife. Grassland loss rates in some areas have reached two_x000a_percent a year. With the protection afforded by perpetual grassland easements, this highly productive yet_x000a_fragile ecosystem would remain intact, preserving habitat where biological communities can flourish."/>
    <n v="0"/>
    <n v="2000"/>
    <s v="O &amp; M: The Service anticipates spending a minimal amount for annual compliance over-flights,_x000a_estimated at less than $2,000 per year, which the Service would fund out of Refuge System base funding."/>
  </r>
  <r>
    <s v="FWS-FY2011-5"/>
    <n v="2011"/>
    <n v="5"/>
    <s v="FWS"/>
    <s v="Dakota Tallgrass Prairie NWR"/>
    <s v="Core"/>
    <x v="25"/>
    <s v="ND-AL, SD-AL"/>
    <s v="Multiple"/>
    <n v="3000000"/>
    <n v="1000000"/>
    <n v="6667"/>
    <n v="2222"/>
    <s v="Easement"/>
    <n v="123394"/>
    <s v="Y"/>
    <s v="Purpose of Acquisition: To protect the northern tallgrass prairie ecosystem and associated wildlife_x000a_species._x000a_Project Cooperators: The Nature Conservancy and the local community_x000a_Project Description: This project makes exclusive use of grassland easements to protect 190,000 acres_x000a_of tallgrass prairie in the Dakotas. The project would protect a maximum 5,000 acres of remaining native_x000a_prairie within northeastern Brown County, South Dakota, and an additional 185,000 acres identified in a_x000a_large project boundary of eastern South Dakota and southeast North Dakota. Protection of the prairie_x000a_would be accomplished through the acquisition of perpetual grassland easements from willing sellers."/>
    <n v="0"/>
    <n v="1000"/>
    <s v="O &amp; M: A minimal amount of resources would be needed for annual compliance over-flights, estimated_x000a_at less than $1,000, which would be funded out of Refuge System base funding."/>
  </r>
  <r>
    <s v="FWS-FY2012-16"/>
    <n v="2012"/>
    <n v="16"/>
    <s v="FWS"/>
    <s v="Dakota Grassland CA"/>
    <s v="Core"/>
    <x v="25"/>
    <s v="ND-AL, SD-AL"/>
    <s v="Multiple"/>
    <n v="0"/>
    <n v="1000000"/>
    <s v="Reprogramming"/>
    <n v="4160"/>
    <s v="Easement"/>
    <n v="296323.95"/>
    <s v="Y"/>
    <s v="Purpose of Acquisition:  To protect wildlife habitats of native grassland and associated wetlands located in the Prairie Pothole Region."/>
    <n v="0"/>
    <n v="3500"/>
    <s v="O&amp;M: Annual compliance over-flights."/>
  </r>
  <r>
    <s v="FWS-FY2013-1"/>
    <n v="2013"/>
    <n v="1"/>
    <s v="FWS"/>
    <s v="Dakota Grassland CA"/>
    <s v="Core"/>
    <x v="25"/>
    <s v="ND-AL, SD-AL"/>
    <s v="Multiple"/>
    <n v="2500000"/>
    <n v="2500000"/>
    <n v="10333"/>
    <n v="10333"/>
    <s v="Easement"/>
    <n v="281187"/>
    <s v="Y"/>
    <s v="Purpose of Acquisition: Purchase perpetual wetland and grassland easements to protect wildlife habitats_x000a_of native grassland and associated wetlands located in the Prairie Pothole Region (PPR)._x000a_Project Cooperators: North Dakota Game &amp; Fish Department, North Dakota Natural Resources Trust,_x000a_Ducks Unlimited, Inc., The Nature Conservancy, South Dakota Grassland Coalition, and private_x000a_landowners._x000a_Project Description: Funds would be used to acquire perpetual conservation easements on_x000a_approximately 10,333 acres from 19 owners. The PPR ecosystem consists of native mixed-grass prairie_x000a_intermingled with high densities of temporary, seasonal, semi-permanent, and permanent wetlands that_x000a_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n v="0"/>
    <n v="3500"/>
    <s v="O&amp;M: The Service anticipates spending a minimal amount for annual compliance over-flights, estimated_x000a_at less than $3,500 per year, which the Service would fund out of NWRS base funding."/>
  </r>
  <r>
    <s v="FWS-FY2013-2"/>
    <n v="2013"/>
    <n v="2"/>
    <s v="FWS"/>
    <s v="Dakota Tallgrass Prairie NWR"/>
    <s v="Core"/>
    <x v="25"/>
    <s v="ND-AL, SD-AL"/>
    <s v="Multiple"/>
    <n v="500000"/>
    <n v="500000"/>
    <n v="1020"/>
    <n v="1020"/>
    <s v="Easement"/>
    <n v="124478"/>
    <s v="Y"/>
    <s v="Purpose of Acquisition: To protect the northern tallgrass prairie ecosystem and associated wildlife_x000a_species._x000a_Project Cooperators: The Nature Conservancy and the local community._x000a_Project Description: Funds would be used to acquire perpetual conservation easements on_x000a_approximately 1,020 acres of tallgrass prairie. Tallgrass prairie once covered 90 percent of the Dakotas,_x000a_but less than three percent remains. Habitat fragmentation and conversion to crop production are the_x000a_primary threats to this ecosystem. The Service plans to use grassland easements to protect 190,000 acres_x000a_of the remaining tallgrass prairie in the eastern Dakotas, including 25,000 acres in North Dakota and_x000a_165,000 acres in South Dakota. These easement acquisitions will help to maintain traditional ranching_x000a_operations while fostering landscape-level conservation._x000a_The project area has a rich variety of plant, animal, and insect species including more than 147 species of_x000a_breeding birds ranging from neotropical migrants to waterfowl. Several candidate endangered species are_x000a_found within the tallgrass prairie ecosystem, including Baird’s sparrow, loggerhead shrike, ferruginous_x000a_hawk, and rare butterflies such as the Dakota skipper. The endangered western prairie fringed orchid also_x000a_occurs in the tallgrass prairie. These large blocks of grasslands help to buffer prairie ecosystems from_x000a_agricultural chemicals and invasive species, and provide the natural habitat mosaic required by prairiedependent_x000a_species. Existing prairie is a well-documented store of terrestrial carbon. Preventing_x000a_conversion with grassland easements ensures this sequestered carbon is maintained."/>
    <n v="0"/>
    <n v="1500"/>
    <s v="O&amp;M: A minimal amount of resources would be needed for annual compliance over-flights, estimated at_x000a_less than $1,500, which would be funded out of NWRS base funding."/>
  </r>
  <r>
    <s v="FWS-FY2014-3"/>
    <n v="2014"/>
    <n v="3"/>
    <s v="FWS"/>
    <s v="Dakota Grassland CA"/>
    <s v="Core"/>
    <x v="25"/>
    <s v="At large"/>
    <s v="Multiple"/>
    <n v="8650000"/>
    <n v="8650000"/>
    <n v="23053"/>
    <n v="23053"/>
    <s v="Easement"/>
    <n v="1902261"/>
    <s v="Y"/>
    <s v="Purpose of Acquisition: Purchase perpetual wetland and grassland easements to protect wildlife habitats_x000a_of native grassland and associated wetlands located in the Prairie Pothole Region (PPR)._x000a_Project Cooperators: North Dakota Game and Fish Department, North Dakota Natural Resources Trust,_x000a_Ducks Unlimited, Inc., The Nature Conservancy, South Dakota Grassland Coalition, and private_x000a_landowners._x000a_Project Description: Funds would be used to acquire perpetual conservation easements on_x000a_approximately 23,053 acres from multiple owners. The PPR ecosystem consists of native mixed-grass_x000a_prairie intermingled with high densities of temporary, seasonal, semi-permanent, and permanent wetlands_x000a_that 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to maintain traditional farming and ranching_x000a_operations while fostering landscape-level conservation."/>
    <n v="0"/>
    <n v="3600"/>
    <s v="O&amp;M: The Service anticipates spending a minimal amount for annual compliance over-flights, estimated_x000a_at less than $3,600 per year, which the Service would fund out of NWRS base funding."/>
  </r>
  <r>
    <s v="FWS-FY2011-17"/>
    <n v="2011"/>
    <n v="17"/>
    <s v="FWS"/>
    <s v="Umbagog NWR (Lake Umbagog National Wildlife Refuge)"/>
    <s v="Core"/>
    <x v="26"/>
    <s v="NH-2, ME-2"/>
    <s v="Coos County New Hampshire and Oxford County Maine"/>
    <n v="2000000"/>
    <n v="2240000"/>
    <n v="2000"/>
    <n v="2240"/>
    <s v="Fee"/>
    <n v="47303"/>
    <s v="Y"/>
    <s v="Purpose of Acquisition: To protect fisheries and wildlife resources and provide public access to refuge_x000a_lands._x000a_Project Cooperators: Trust for Public Lands_x000a_Project Description: The proposed addition of 2,000 acres of fee title purchased from private_x000a_landowners includes forested, shrub, and bog-like wetlands dominated by spruce, fir, and alder, several_x000a_beaver ponds with associated marsh and wet meadow, and adjacent cut-over forestland in various stages_x000a_of regrowth. The Lake Umbagog NWR project area focuses on one of the largest freshwater wetland_x000a_complexes in New England. The lake and tributaries are bordered by extensive palustrine, lacustrine, and_x000a_riverine wetlands recognized as some of the finest wildlife habitat in New Hampshire and Maine, and_x000a_designated a priority North American Waterfowl Management Plan site. Wildlife values include_x000a_waterfowl production and migration habitat, with a large amount of forested wetland important for black_x000a_ducks and cavity nesters such as wood ducks, common goldeneye, and common and hooded mergansers._x000a_Ring-necked ducks, blue- and green-winged teal, and mallards also nest here, and the refuge functions as_x000a_a staging area during migration for scaup, scoters, Canada geese, and others. The first bald eagle nest in_x000a_New Hampshire since 1949 is located here, and the area is noted for its high density of nesting ospreys."/>
    <n v="0"/>
    <n v="0"/>
    <m/>
  </r>
  <r>
    <s v="FWS-FY2011-21"/>
    <n v="2011"/>
    <n v="21"/>
    <s v="FWS"/>
    <s v="Edwin B. Forsythe NWR"/>
    <s v="Core"/>
    <x v="27"/>
    <s v="NJ-2"/>
    <s v="Atlantic, Ocean"/>
    <n v="1100000"/>
    <n v="250000"/>
    <s v="earmark"/>
    <n v="66.31"/>
    <s v="Fee"/>
    <n v="12663"/>
    <s v="Y"/>
    <s v="Purpose of Acquisition: To protect long term viability of habitat important to Atlantic brant and other waterfowl and waterb irds."/>
    <n v="0"/>
    <n v="5000"/>
    <m/>
  </r>
  <r>
    <s v="BLM-FY2011-2"/>
    <n v="2011"/>
    <n v="2"/>
    <s v="BLM"/>
    <s v="Lesser Prairie Chicken Habitat ACEC"/>
    <s v="Core"/>
    <x v="28"/>
    <s v="NM-2"/>
    <s v="Chaves County"/>
    <n v="1750000"/>
    <n v="750000"/>
    <n v="7440"/>
    <n v="1383"/>
    <s v="Fee"/>
    <n v="640"/>
    <s v="Y"/>
    <s v="Purpose: Conserve and enhance critical habitat for the Lesser Prairie chicken and the Sand Dune lizard, both Federal candidate species."/>
    <n v="1000"/>
    <n v="10000"/>
    <m/>
  </r>
  <r>
    <s v="FWS-FY2012-17"/>
    <n v="2012"/>
    <n v="17"/>
    <s v="FWS"/>
    <s v="Valle de Oro NWR (vice Middle Rio Grande NWR)"/>
    <s v="Core"/>
    <x v="28"/>
    <s v="NM-1"/>
    <s v="Bernalillo"/>
    <n v="0"/>
    <n v="1258000"/>
    <s v="Reprogramming"/>
    <n v="570"/>
    <s v="Fee"/>
    <n v="0"/>
    <s v="Y"/>
    <s v="Purpose of Acquisition:  To foster environmental awareness and outreach programs and develop an informed and involved citizenry that will support fish and wildlife conservation."/>
    <n v="35000"/>
    <n v="10000"/>
    <s v="O&amp;M: Initial costs would include initial posting and miscellaneous fencing of the boundaries._x000a_"/>
  </r>
  <r>
    <s v="FWS-FY2013-5"/>
    <n v="2013"/>
    <n v="5"/>
    <s v="FWS"/>
    <s v="Valle de Oro NWR (vice Middle Rio Grande NWR)"/>
    <s v="Core"/>
    <x v="28"/>
    <s v="NM-1"/>
    <s v="Bernalillo"/>
    <n v="1500000"/>
    <n v="1500000"/>
    <n v="100"/>
    <n v="100"/>
    <s v="Fee"/>
    <m/>
    <s v="Y"/>
    <s v="Purpose of Acquisition: The primary purpose is to “foster environmental awareness and outreach_x000a_programs and develop an informed and involved citizenry that will support fish and wildlife_x000a_conservation.” Other purposes include creating a refuge that is suitable for incidental fish and wildlifeoriented recreations development, the protection of natural resources, and the conservation of endangered_x000a_species or threatened species._x000a_Project Cooperators: The Trust for Public Land, Bernalillo County, National Park Service, Bureau of_x000a_Reclamation, Bureau of Land Management, New Mexico State Parks Department, and various_x000a_foundations and corporations._x000a_Project descriptions: Funds would be used to acquire fee title on 100 acres. The Refuge would be established on 570 acres of land within a 30-minute drive of 40 percent of the state’s population._x000a_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_x000a_land will provide an additional connection on the east side of the Rio Grande for neo-tropical birds_x000a_migrating along the river’s bosque. The tract will also provide cover for terrestrial species that move north and south along the river."/>
    <n v="35000"/>
    <n v="0"/>
    <s v="O&amp;M: The Service estimates $35,000 for initial posting and miscellaneous fencing of the tract."/>
  </r>
  <r>
    <s v="NPS-FY2011-6"/>
    <n v="2011"/>
    <n v="6"/>
    <s v="NPS"/>
    <s v="Home Of Franklin D. Roosevelt National Historic Site_x000a__x000a_"/>
    <s v="Core"/>
    <x v="29"/>
    <s v="NY-20"/>
    <s v="Dutchess County"/>
    <n v="1575000"/>
    <n v="1250000"/>
    <n v="1.5"/>
    <n v="2"/>
    <s v="Fee"/>
    <n v="154"/>
    <s v="Y"/>
    <s v="Description: President Franklin D. Roosevelt’s home in Hyde Park, New York, was designated a national_x000a_historic site on January 15, 1944. A gift from President Roosevelt, the site then consisted of 33 acres_x000a_containing the home, outbuildings, and the grave site. The Secretary of the Interior accepted title to the site_x000a_on November 21, 1945. The site was formally dedicated on April 12, 1946, the first anniversary of the_x000a_President’s death._x000a_Natural/Cultural Resources Associated with Proposal: The park preserves and protects the birthplace,_x000a_lifetime residence, and “Summer White House” of the 32nd President. The gravesites of President and Mrs._x000a_Roosevelt are in the Rose Garden._x000a_Threat: The estate home of Franklin D. Roosevelt formerly encompassed approximately 1,200 acres in_x000a_Hyde Park, New York. However, the national historic site today contains only 792 acres. Recognizing the_x000a_need to protect more of the original estate from development, legislation was enacted in 1998 to permit the_x000a_Federal acquisition of additional portions of the original estate. Public Law 105-364 of November 10, 1998,_x000a_authorized acquisition by purchase with donated or appropriated funds, by donation, or otherwise, of_x000a_lands and interests located in Hyde Park, New York, and owned by FDR or his family at the time of his_x000a_death. Such lands are to be added, upon acquisition, to the Home of Franklin D. Roosevelt National_x000a_Historic Site or Eleanor Roosevelt National Historic Site, as appropriate._x000a_Need: For fiscal year 2011, funds in the amount of $1,575,000 are needed to acquire a 1.5-acre tract,_x000a_owned by the Franklin &amp; Eleanor Roosevelt Institute (FERI) that includes an historic structure built in the_x000a_1830's and later occupied by the Roosevelt family and owned by FDR at the time of his death. This_x000a_structure was renovated for use as a residence for FERI staff. The structure is visible from the FDR’s_x000a_home Springwood, a distance of only 650 feet. A change in land use or character would have a direct and_x000a_negative impact upon the park visitors' experience. The threat is imminent because the owner (FERI) has_x000a_put the property on the market. Once acquired, the National Park Service would enter into an agreement_x000a_with a non-profit or lease the house for a use compatible with the historic site, with revenues used to_x000a_support the exterior restoration of the building._x000a_This acquisition will serve to protect significant American cultural and historic resources and preserves an_x000a_overarching natural landscape."/>
    <s v="N/A"/>
    <s v="N/A"/>
    <m/>
  </r>
  <r>
    <s v="NPS-FY2011-7"/>
    <n v="2011"/>
    <n v="7"/>
    <s v="NPS"/>
    <s v="Cuyahoga Valley NP"/>
    <s v="Core"/>
    <x v="30"/>
    <s v="OH-10, 11, 13, 14"/>
    <s v="Cuyahoga and Summit Counties"/>
    <n v="6816000"/>
    <n v="5400000"/>
    <n v="418"/>
    <n v="330"/>
    <s v="Fee"/>
    <n v="1006"/>
    <s v="Y"/>
    <s v="Description: Cuyahoga Valley National Recreation Area was established in 1974 and contains a total of_x000a_32,856 acres. Of the 4,893 privately owned acres at the recreation area, 1,424 acres have been identified_x000a_for acquisition after fiscal year 2010._x000a_Natural/Cultural Resources Associated with Proposal: Cuyahoga Valley National Recreation Area is the last_x000a_major area of unspoiled green space near the heavily industrialized urban centers of northeast Ohio._x000a_Cuyahoga Valley is biologically unique: a botanical crossroads between the central lowlands to the west_x000a_and the Appalachian Plateau to the east. The valley preserves numerous forested watersheds and open_x000a_grassy plateaus. There is relatively little development within the boundary of the recreation area._x000a_Threat: With approximately five million people living within a one-hour drive of the recreation area, pressure_x000a_to develop previously undeveloped lands has increased. Highest priority is assigned to the acquisition of_x000a_undeveloped lands._x000a_Need: The funds requested will be used to acquire a 418-acre undeveloped portion of the Blossom Music_x000a_Center, summer home of the world-renowned Cleveland Orchestra and a venue for pop concerts. The_x000a_Center property, owned by the Musical Arts Association in Cleveland, totals 780 acres, of which 583_x000a_acres are undeveloped and 197 acres are associated with the performance complex (amphitheater,_x000a_parking, visitor service facilities, support facilities, utility systems, etc.). The undeveloped portion is largely_x000a_natural forest land but does include two cell towers and 12 oil/gas wells. To date, the property, which is_x000a_zoned residential, has been managed in a manner generally compatible with the park. However, the_x000a_threat of a sale and development of this property would seriously impact the use of the property._x000a_Public support for protecting this property from large-scale, residential development has been high._x000a_Organizations who have expressed public support for NPS acquisition include the National Parks and_x000a_Conservation Association, the Western Reserve Land Conservancy and The Trust for Public Land (which_x000a_has been actively involved in the project). In addition, both major circulation newspapers in the area have_x000a_carried stories about the development threat and efforts to preserve the land. Both papers have published_x000a_editorials in strong support of Federal acquisition. The Cuyahoga Valley Regional Council of_x000a_Governments has also sent a letter in support of the acquisition; the Council represents the 15_x000a_communities (and associated school districts) in which the park lies._x000a_This acquisition will serve to protect riparian habitat and watershed resources and preserves an_x000a_overarching natural landscape as well as providing access to recreational opportunities and open spaces_x000a_in an urban environment."/>
    <s v="N/A"/>
    <s v="N/A"/>
    <m/>
  </r>
  <r>
    <s v="BLM-FY2011-3"/>
    <n v="2011"/>
    <n v="3"/>
    <s v="BLM"/>
    <s v="Cascade-Siskiyou National Monument"/>
    <s v="Core"/>
    <x v="31"/>
    <s v="OR-2"/>
    <s v="Jackson County"/>
    <n v="7500000"/>
    <n v="3393000"/>
    <n v="5400"/>
    <n v="2435"/>
    <s v="Fee"/>
    <n v="3656"/>
    <s v="Y"/>
    <s v="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n v="3000"/>
    <n v="25000"/>
    <m/>
  </r>
  <r>
    <s v="BLM-FY2011-5"/>
    <n v="2011"/>
    <n v="5"/>
    <s v="BLM"/>
    <s v="Sandy River/Oregon National Historic Trail"/>
    <s v="Core"/>
    <x v="31"/>
    <s v="OR-3/OR-5"/>
    <s v="Clackamas and Multnomah Counties"/>
    <n v="1500000"/>
    <n v="1500000"/>
    <n v="245"/>
    <n v="245"/>
    <s v="Fee"/>
    <n v="1005"/>
    <s v="Y"/>
    <s v="Purpose: Preservation of the Sandy/Salmon River gorge and interwoven Oregon National Historic Trail corridor, providing for the protection of open space, scenic, recreation, fisheries, and wildlife values."/>
    <n v="5000"/>
    <n v="1500"/>
    <m/>
  </r>
  <r>
    <s v="BLM-FY2012-1"/>
    <n v="2012"/>
    <n v="1"/>
    <s v="BLM"/>
    <s v="Cascade-Siskiyou National Monument "/>
    <s v="Core"/>
    <x v="31"/>
    <s v="OR-2"/>
    <s v="Jackson County"/>
    <n v="6000000"/>
    <n v="5990400"/>
    <n v="4080"/>
    <n v="4080"/>
    <s v="Fee"/>
    <n v="6620"/>
    <s v="Y"/>
    <s v="Purpose: Consolidate checkerboard land ownership pattern within the Monument to conserve and restore native and endemic plants and habitats within the greater Klamath-Cascade eco-region._x000a_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_x000a_ _x000a_ _x000a_ _x000a__x000a_ _x000a_"/>
    <n v="1000"/>
    <n v="10000"/>
    <m/>
  </r>
  <r>
    <s v="BLM-FY2013-4"/>
    <n v="2013"/>
    <n v="4"/>
    <s v="BLM"/>
    <s v="Cascade-Siskiyou National Monument"/>
    <s v="Core"/>
    <x v="31"/>
    <s v="OR-2"/>
    <s v="Jackson County"/>
    <n v="2000000"/>
    <n v="76000"/>
    <n v="1287"/>
    <n v="40"/>
    <s v="Fee"/>
    <n v="11965"/>
    <s v="Y"/>
    <s v="Purpose: Consolidate checkerboard land ownership pattern within the Monument to conserve and restore native and endemic plants and habitats within the greater Klamath-Cascade eco-region._x000a_ 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_x000a_ _x000a_"/>
    <n v="1000"/>
    <n v="10000"/>
    <m/>
  </r>
  <r>
    <s v="FWS-FY2011-8"/>
    <n v="2011"/>
    <n v="8"/>
    <s v="FWS"/>
    <s v="Waccamaw NWR"/>
    <s v="Core"/>
    <x v="32"/>
    <s v="SC-1"/>
    <s v="Horry, Georgetown, and Marion"/>
    <n v="2125000"/>
    <n v="1250000"/>
    <n v="738"/>
    <n v="434"/>
    <s v="Fee"/>
    <n v="35223"/>
    <s v="Y"/>
    <s v="Purpose of Acquisition: To preserve and protect bottomland hardwood forest providing habitat for_x000a_colonial nesting birds, Neotropical birds, wintering waterfowl, and old growth pine communities_x000a_supporting populations of red-cockaded woodpeckers._x000a_Project Cooperators: The Nature Conservancy, Waccamaw Audubon Society, National Fish and_x000a_Wildlife Foundation, Town and Country Garden Club, SEEWEE Association, Historic Ricefields, SC_x000a_Department of Transportation and South Carolina Coastal Conservation League._x000a_Project Description: Funding would allow the Refuge to complete the multiple year fee title acquisition,_x000a_of the Long Tract. This tract would allow the Refuge to protect the upper watershed of a unique black_x000a_water seep that runs into the Refuge and is important to several rare salamander species found in only a_x000a_few isolated locations in Horry County, South Carolina. This property also offers a diverse wetland and_x000a_open lake complex that, if managed, can provide important foraging habitat for the Federally endangered_x000a_wood storks, which have a rookery less than a mile from the tract, as well as for other wintering_x000a_waterfowl. In addition, this funding would allow the refuge to continue acquisition of approximately 200_x000a_lots in the Paradise Point subdivision on Sandy Island, which are individually owned by willing sellers._x000a_The lots would then be allowed to revert to tidal freshwater wetland and forested habitats for the_x000a_protection of water quality and erosion on the south side of Sandy Island."/>
    <n v="0"/>
    <n v="0"/>
    <m/>
  </r>
  <r>
    <s v="FWS-FY2012-10"/>
    <n v="2012"/>
    <n v="10"/>
    <s v="FWS"/>
    <s v="Waccamaw NWR"/>
    <s v="Core"/>
    <x v="32"/>
    <s v="SC-1"/>
    <s v="Horry, Georgetown, and Marion"/>
    <n v="1000000"/>
    <n v="998000"/>
    <n v="500"/>
    <n v="500"/>
    <s v="Fee"/>
    <n v="36038"/>
    <s v="Y"/>
    <s v="Purpose of Acquisition: To preserve and protect bottomland hardwood forest providing habitat for_x000a_colonial nesting birds, neotropical birds, wintering waterfowl, and old-growth pine communities supporting_x000a_populations of red-cockaded woodpeckers._x000a_Project Cooperators: The Nature Conservancy, Waccamaw Audubon Society, National Fish and Wildlife_x000a_Foundation, Town and Country Garden Club, SEEWEE Association, Historic Ricefields, South Carolina_x000a_Department of Transportation, and South Carolina Coastal Conservation League._x000a_Project Description: Funding would acquire fee title to three tracts comprising approximately 500 acres._x000a_Acquisition of these tracts would protect the upper watershed of a unique black water seep that runs into the_x000a_Refuge and is important to several rare salamander species found in only a few isolated locations in Horry_x000a_County, South Carolina. These properties offer a diverse wetland and open lake complex that, if properly_x000a_managed, would provide important foraging habitat for federally-endangered wood storks, which have a_x000a_rookery less than a mile from the tract, and other wintering waterfowl. With this funding, the Service_x000a_would continue acquisition of approximately 200 lots owned by willing sellers in the Paradise Point_x000a_subdivision on Sandy Island. The lots would be allowed to revert back to tidal freshwater wetland and_x000a_forested habitats to protect water quality and prevent erosion on the south side of Sandy Island."/>
    <n v="0"/>
    <n v="0"/>
    <m/>
  </r>
  <r>
    <s v="FWS-FY2012-11"/>
    <n v="2012"/>
    <n v="11"/>
    <s v="FWS"/>
    <s v="Ernest F. Hollings ACE Basin NWR"/>
    <s v="Core"/>
    <x v="32"/>
    <s v="SC-1"/>
    <s v="Charleston, Beaufort, Colleton, and Hampton "/>
    <n v="750000"/>
    <n v="749000"/>
    <n v="582"/>
    <n v="193"/>
    <s v="Fee"/>
    <n v="8649"/>
    <s v="Y"/>
    <s v="Purpose of Acquisition: To protect and enhance habitat that is used extensively by endangered species,_x000a_wading birds, shorebirds, migratory waterfowl, raptors, and other migratory birds._x000a_Project Cooperators: Ducks Unlimited and The Nature Conservancy._x000a_Project Description: Funding would allow the Service to acquire 582 fee acres of the last-remaining_x000a_inholdings on Jehossee Island. The acquisition would protect the habitat of several migratory, endangered,_x000a_and threatened species including the peregrine falcon, Eskimo curlew, and leatherback, Kemp’s ridley, and_x000a_hawksbill sea turtles. The Refuge helps protect the largest undeveloped estuary along the Atlantic coast_x000a_with rich bottomland hardwood and fresh and salt water marsh, which offer food and cover to at least 17_x000a_species of waterfowl, such as pintail, mallard, wood ducks, as well as bald eagles, wood storks, herons,_x000a_egrets, and ibis."/>
    <n v="0"/>
    <n v="0"/>
    <m/>
  </r>
  <r>
    <s v="NPS-FY2011-8"/>
    <n v="2011"/>
    <n v="8"/>
    <s v="NPS"/>
    <s v="Congaree National Park"/>
    <s v="Core"/>
    <x v="32"/>
    <s v="SC-6"/>
    <s v="Richland County"/>
    <n v="1400000"/>
    <n v="1400000"/>
    <n v="436"/>
    <n v="436"/>
    <s v="Fee"/>
    <n v="0"/>
    <s v="Y"/>
    <s v="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_x000a_acres.  The FY 2010 request included $1,320,000 to acquire 410 acres, leaving 436 acres remaining to be acquired._x000a_Natural/Cultural Resources Associated with Proposal: Acquisition of the Riverstone tract would connect_x000a_the two largest portions of the park together, protecting valuable wildlife migration corridors and providing_x000a_increased public access/safety across parklands._x000a_Threat: There is significant interest in the subdivision and subsequent sale of this single large tract to_x000a_multiple parties. Meetings with local land trusts confirm the validity of specific interest in this tract for_x000a_subdivision. Such subdivision would greatly complicate future acquisition of resultant tracts. Logging and_x000a_residential development, resource poaching, and damaging recreational uses are the primary existing_x000a_threats to this forested land._x000a_Need: The funds requested would be obligated to acquire a 436-acre tract, the final portion of the_x000a_Riverstone tract that was authorized for acquisition by Public Law 108-108 in 2003. The Riverstone tract_x000a_negotiations have taken place indirectly through an interested consortium of land trust/nonprofit_x000a_organizations, including The Trust for Public Land, the entity which has the property under contract._x000a_Environmental groups and park neighbors widely support this acquisition. National nonprofits and the_x000a_park’s friends group also support the acquisition. Individual county council members have also expressed_x000a_support for acquisition (the park acquiring from willing sellers any lands"/>
    <s v="N/A"/>
    <s v="N/A"/>
    <m/>
  </r>
  <r>
    <s v="NPS-FY2014-4"/>
    <n v="2014"/>
    <n v="4"/>
    <s v="NPS"/>
    <s v="Congaree National Park"/>
    <s v="CLP"/>
    <x v="32"/>
    <s v="SC-6"/>
    <s v="Richland County"/>
    <n v="1428000"/>
    <n v="1428000"/>
    <n v="355"/>
    <n v="355"/>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 The acquisition of six tracts totaling 355 acres at_x000a_Congaree National Park would protect significant river frontage and provide needed river access. "/>
    <n v="0"/>
    <n v="0"/>
    <m/>
  </r>
  <r>
    <s v="NPS-FY2011-12"/>
    <n v="2011"/>
    <n v="12"/>
    <s v="NPS"/>
    <s v="Wind Cave National Park  "/>
    <s v="Core"/>
    <x v="33"/>
    <s v="SD-AL"/>
    <s v="Custer County"/>
    <n v="8557000"/>
    <n v="8315000"/>
    <n v="1299"/>
    <n v="5555"/>
    <s v="Fee"/>
    <n v="0"/>
    <s v="Y"/>
    <s v="Description: Wind Cave National Park was established by the Act of January 9, 1903. The Act of September_x000a_21, 2005 (P.L. 109-71), authorized revision of the park boundary to include, upon acquisition, approximately_x000a_5,675 acres of additional land. Such acquisition may be made by donation, purchase from a willing seller_x000a_with donated funds, exchange, or transfer. Of the adjacent lands authorized in 2005 for addition to the park,_x000a_5,555 acres comprise two ranches owned by one family. The ranches share a nine-mile border with the_x000a_park._x000a_Natural/Cultural Resources Associated with Proposal: Wind Cave National Park is the seventh oldest_x000a_national park and the first national park established to preserve a unique and extensive cave system and to_x000a_provide for visitor enjoyment thereof. In addition to the underground resources, the surface area preserves_x000a_a unique mixture of High Plains and Black Hills habitats with outstanding wildlife populations of many native_x000a_animals, including bison, elk, pronghorn, mule deer, and prairie dogs._x000a_Threat: The sale and development of these lands adjacent to the park would result in the loss of wildlife_x000a_habitat and adversely affect the visual integrity of the park_x000a_Need: The funds requested would be obligated to acquire the 5,555-acre ranch property adjacent to the_x000a_park. It is estimated that the $8,557,000 will be needed to acquire the entire property. However, the actual_x000a_cost to acquire the property remains undetermined until an appraisal is obtained and approved. The_x000a_Conservation Fund is working closely with the National Park Service on this acquisition._x000a_This acquisition will serve to preserve an overarching natural landscape in conjunction with NPS partners."/>
    <s v="N/A"/>
    <s v="N/A"/>
    <m/>
  </r>
  <r>
    <s v="FWS-FY2011-4"/>
    <n v="2011"/>
    <n v="4"/>
    <s v="FWS"/>
    <s v="Lower Rio Grande Valley NWR"/>
    <s v="Core"/>
    <x v="34"/>
    <s v="TX-15, TX-27, TX-28"/>
    <s v="Cameron, Hidalgo, Starr,Zapata"/>
    <n v="2500000"/>
    <n v="1500000"/>
    <n v="1401"/>
    <n v="841"/>
    <s v="Fee"/>
    <n v="32670"/>
    <s v="Y"/>
    <s v="Purpose of Acquisition: To protect existing native, subtropical brush lands and protect, enhance and_x000a_restore other adjacent lands to protect the diverse biotic communities of the Lower Rio Grande Valley._x000a_Project Cooperators: The Nature Conservancy, The Conservation Fund, National Audubon Society,_x000a_Ducks Unlimited, North American Butterfly Association_x000a_Project Description: The funding would be used to acquire fee title to four tracts of land, comprising an_x000a_estimated 1,401 acres, from willing sellers. These tracts of land comprise the best lands for the refuge_x000a_that are available for acquisition. The project area has 11 distinct biotic communities, which provide_x000a_habitat for resident and migrating species of birds, butterflies and mammals. Almost 400 species of birds_x000a_and 300 species of butterflies have been noted in the four county project area. The project also has over_x000a_1,100 species of plants. The area not only provides an important migration corridor for neo-tropical_x000a_migratory bird species, but it also provides sanctuary for a number of endangered species of plants and_x000a_animals. The latter include the piping plover, northern aplomado falcon, ocelot and jaguarandi._x000a_The tracts would provide recreational opportunities for hunting, fishing, and bird watching."/>
    <n v="0"/>
    <n v="0"/>
    <m/>
  </r>
  <r>
    <s v="FWS-FY2011-10"/>
    <n v="2011"/>
    <n v="10"/>
    <s v="FWS"/>
    <s v="San Bernard NWR-Austin's Woods Unit"/>
    <s v="Core"/>
    <x v="34"/>
    <s v="TX-14"/>
    <s v="Brazoria, Fort Bend, Matagorda and Wharton Counties"/>
    <n v="4000000"/>
    <n v="2172000"/>
    <n v="1844"/>
    <n v="1001"/>
    <s v="Fee"/>
    <n v="14172"/>
    <s v="Y"/>
    <s v="Purpose of Acquisition: To protect important remnant bottomland hardwood and associated habitats for_x000a_migrating, wintering and breeding waterfowl._x000a_Project Cooperators: The Trust for Public Land, The National Fish and Wildlife Foundation, The_x000a_Nature Conservancy, various foundations, and corporations_x000a_Project Description: The funding would provide for acquisition of 1,844 acres of prime land from_x000a_within a larger parcel of 4,471 acres of wetland area, known as Eagle Nest Lake. The acquisition of fee_x000a_simple title of this tract directly supports a productive and valuable wetland complex providing wintering,_x000a_wading birds, Neotropical migratory birds and other wetland dependent wildlife species. Thousands of_x000a_waterfowl winter in the area, including mottled ducks, mallards, pintails, gadwalls, widgeons, Northern_x000a_shovelers, blue and green-winged teal, black bellied whistling ducks, and ruddy ducks. The proposed_x000a_acquisition is within the Mid-Coast initiative of the Gulf Coast Joint Venture of the North American_x000a_Waterfowl Management Plan."/>
    <n v="0"/>
    <n v="10000"/>
    <s v="O&amp;M: The Service estimates O &amp; M costs at $10,000 per year, which the Service would fund out of_x000a_Refuge System base funding. The bottomland habitat listed for acquisition does not require extensive_x000a_management. Costs would be mainly for boundary posting and maintenance."/>
  </r>
  <r>
    <s v="FWS-FY2011-14"/>
    <n v="2011"/>
    <n v="14"/>
    <s v="FWS"/>
    <s v="Balcones Canyonlands NWR"/>
    <s v="Core"/>
    <x v="34"/>
    <s v="TX-21"/>
    <s v="Travis, Burnet, Williamson"/>
    <n v="2000000"/>
    <n v="500000"/>
    <n v="750"/>
    <n v="187"/>
    <s v="Fee"/>
    <n v="55826"/>
    <s v="Y"/>
    <s v="Purpose of Acquisition: To protect essential habitat for 2 endangered neotropical migratory bird_x000a_species, endangered cave dwelling invertebrates and important riparian habitat in one of the Nation’s_x000a_unique and biologically diverse areas. The project area is one of the fastest growing and developing areas_x000a_in the country and these remnant habitats are eminently threatened by development._x000a_Project Cooperators: The Nature Conservancy, Trust for Public Land_x000a_Project Description: Purchase fee title of this 750-acre tract would protect essential habitat for_x000a_preservation of endangered species, particularly the Golden-cheeked warbler. This is an area of very high_x000a_development and is one of the last large remaining ranches that could be obtained to protect the_x000a_endangered species and their habitat. The Edwards Plateau is internationally recognized for its unique_x000a_flora, fauna, and karst systems. It has the highest level of plant endemism of any ecoregion in Texas and_x000a_ranks third in number of rare plants, with 100 of the 400 Texas endemic plants occurring in that region_x000a_two endangered species, the Golden-cheeked warbler and the Black-capped Vireo nest in Central Texas in_x000a_this area. This is an opportunity for purchase of great importance."/>
    <n v="0"/>
    <n v="1000"/>
    <s v="O &amp; M: The estimated annual operation and maintenance cost associated with this acquisition is $1,000,_x000a_which the Service would fund out of Refuge System base funding. Minimal costs might include fencing,_x000a_posting and staking."/>
  </r>
  <r>
    <s v="FWS-FY2012-3"/>
    <n v="2012"/>
    <n v="3"/>
    <s v="FWS"/>
    <s v="Laguna Atascosa NWR"/>
    <s v="Core"/>
    <x v="34"/>
    <s v="TX-27, TX-28"/>
    <s v="Cameron, Willacy"/>
    <n v="1200000"/>
    <n v="0"/>
    <n v="343"/>
    <n v="0"/>
    <s v="Fee"/>
    <n v="62655"/>
    <s v="Y"/>
    <s v="Purpose of Acquisition: To protect essential habitat for numerous endangered species and resting area for_x000a_migratory waterfowl._x000a_Project Cooperators: The Nature Conservancy, Audubon Society, and The Conservation Fund._x000a_Project Description: Funds would acquire fee title to 343 acres of essential habitat for endangered_x000a_species and resting area for migratory waterfowl. The Refuge provides much needed resting habitat of_x000a_scrub brush and wetlands for neotropical birds migrating north in the spring after crossing the Gulf of_x000a_Mexico. As the largest protection area of natural habitat left in the Lower Rio Grande Valley, the Refuge_x000a_draws a multitude of wildlife, including redhead ducks, sandhill cranes, and a mix of wildlife found_x000a_nowhere else. In addition, the Refuge provides recreational opportunities for photography and bird_x000a_watching that are strongly supported by the local community."/>
    <n v="5000"/>
    <n v="0"/>
    <s v="O&amp;M: The Service would require $5,000 for fencing and re-vegetating cropland to reestablish brushland._x000a_Funds would come from the Refuge System base funding."/>
  </r>
  <r>
    <s v="FWS-FY2012-8"/>
    <n v="2012"/>
    <n v="8"/>
    <s v="FWS"/>
    <s v="Lower Rio Grande Valley NWR"/>
    <s v="Core"/>
    <x v="34"/>
    <s v="TX-15, TX-27, TX-28"/>
    <s v="Cameron, Hidalgo, Starr,Zapata"/>
    <n v="2565000"/>
    <n v="1996000"/>
    <n v="1500"/>
    <n v="1167"/>
    <s v="Easement"/>
    <n v="34404"/>
    <s v="Y"/>
    <s v="Purpose of Acquisition: To protect native subtropical brush lands and protect, enhance, and restore other_x000a_adjacent lands to protect the diverse biotic communities of the area._x000a_Project Cooperators: The Nature Conservancy, The Conservation Fund, National Audubon Society,_x000a_Ducks Unlimited, and North American Butterfly Association._x000a_Project Description: Funding would acquire a portion of a 3,000-acre conservation easement on land that_x000a_comprises the best acreage available for the Refuge from willing sellers. The project has 11 distinct biotic_x000a_communities, which provide habitat for resident and migrating species of birds, butterflies, and mammals._x000a_Nearly 400 species of birds, 300 species of butterflies, and 1,100 species of plans have been noted in the_x000a_four-county project area. The area not only provides an important migration corridor for neotropical_x000a_migratory bird species, but also provides sanctuary for a number of endangered species of plants and_x000a_animals, including the piping plover, northern aplomado falcon, ocelot, and jaguarandi."/>
    <n v="10000"/>
    <n v="0"/>
    <s v="O&amp;M: The Service anticipates minimal expenses beyond an initial $10,000 for signage and posting of_x000a_easement acreage which the Service would fund from Refuge System base funding."/>
  </r>
  <r>
    <s v="FWS-FY2013-6"/>
    <n v="2013"/>
    <n v="6"/>
    <s v="FWS"/>
    <s v="Neches River Nwr"/>
    <s v="Core"/>
    <x v="34"/>
    <s v="TX-5"/>
    <s v="Cherokee"/>
    <n v="1000000"/>
    <n v="1000000"/>
    <n v="640"/>
    <n v="640"/>
    <s v="Fee"/>
    <n v="22859"/>
    <s v="Y"/>
    <s v="Purpose: of Acquisition:  To protect important remnant bottomland habitat and associated habitats for migrating, wintering, and breeding waterfowl, and to protect the forest’s diverse biological values and wetland functions of water quality improvement and flood control. _x000a__x000a_Project Cooperators: The Conservation Fund, the Texas Parks and Wildlife Department, and various_x000a_foundations and corporations._x000a__x000a_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
    <n v="25000"/>
    <n v="0"/>
    <s v="O&amp;M: The Service estimates initial costs of $25,000 for posting and fencing."/>
  </r>
  <r>
    <s v="NPS-FY2014-3"/>
    <n v="2014"/>
    <n v="3"/>
    <s v="NPS"/>
    <s v="San Antonio Missions NHP"/>
    <s v="Core"/>
    <x v="34"/>
    <s v="TX-23, TX-35"/>
    <s v="Bexar County"/>
    <n v="1760000"/>
    <n v="1760000"/>
    <n v="40"/>
    <n v="40"/>
    <s v="Fee"/>
    <n v="99"/>
    <s v="Y"/>
    <s v="Description: The Park was authorized November 10, 1978, to restore, preserve, and interpret the Spanish_x000a_Missions. The Act of November 28, 1990, added approximately 335 acres of land to the park._x000a_Natural/Cultural Resources Associated with Proposal: Four Spanish frontier missions, part of a colonization_x000a_system that stretched across the Spanish Southwest in the 17th, 18th, and 19th centuries, are preserved here._x000a_The San Antonio missions are historically and architecturally significant remnants of the Spanish quest for_x000a_lands and converts in the New World._x000a_Threat: The missions exist amidst a backdrop of urban development. Acquisition is necessary to prevent_x000a_development that would threaten park resources._x000a_Need: The funds are needed to acquire eight tracts totaling 40 acres of land that comprise the last_x000a_remaining piece of the Mission San Juan labores or farmlands that has not fallen prey to modern_x000a_development. The tracts contain amazing remnants of the San Juan Acequia. As the critical piece in the_x000a_overall plan to develop the Mission San Juan Spanish Colonial Demonstration Farm, the importance of_x000a_this property cannot be overstated. Acquisition would afford the opportunity to stem the tide of_x000a_neighboring development and protect the historic view shed forever. Additionally, acquisition would allow_x000a_the Service to control traffic on Villamain Road by making this a park road which is closed at night. This_x000a_area is currently subject to high speed car racing and vandalism at night."/>
    <n v="0"/>
    <n v="0"/>
    <m/>
  </r>
  <r>
    <s v="FWS-FY2011-19"/>
    <n v="2011"/>
    <n v="19"/>
    <s v="FWS"/>
    <s v="Bear River MBR"/>
    <s v="Core"/>
    <x v="35"/>
    <s v="UT-1"/>
    <s v="Box Elder"/>
    <n v="1500000"/>
    <n v="1600000"/>
    <n v="500"/>
    <n v="533"/>
    <s v="Fee"/>
    <n v="30641"/>
    <s v="Y"/>
    <s v="Purpose of Acquisition: To protect migratory waterfowl habitat and delta wetlands. Migratory birds,_x000a_waterfowl, shorebirds, as well as resident wildlife, depend on the refuge for feeding, breeding, and as a_x000a_staging area. The refuge serves a vital role in the Bear River delta ecosystem by protecting, developing_x000a_and managing over 41,000 acres of wetlands._x000a_Project Cooperators: Trust for Public Lands, Western Rivers Conservancy, Ducks Unlimited, Friends_x000a_of the Bear River Migratory Bird Refuge._x000a_Project Description: The requested funds would partially fund acquisition of fee title of 500 acres from_x000a_a 700-acre tract owned by a private landowner with an appraised value of $2,100,000. The property_x000a_features large wetlands, marshland, grasslands, riparian areas and grain fields that would benefit_x000a_migratory birds and shore birds. Water rights are included in the acquisition. The property is an_x000a_important part of the Refuge’s marshland ecosystem and would allow for more efficient use of water_x000a_resources on adjacent Refuge lands, as well as long-term viability and health of wildlife habitat. The area_x000a_is important to migratory bird species using both the Central and Pacific flyways, conserving habitat_x000a_where biological communities would flourish."/>
    <n v="0"/>
    <n v="10000"/>
    <s v="O &amp; M: The Service would spend a minimal amount for boundary posting and signage, estimated at less_x000a_than $10,000 per year, which the Service would fund out of Refuge System base funding."/>
  </r>
  <r>
    <s v="FWS-FY2011-18"/>
    <n v="2011"/>
    <n v="18"/>
    <s v="FWS"/>
    <s v="Rappahannock River NWR"/>
    <s v="Core"/>
    <x v="36"/>
    <s v="VA-1"/>
    <s v="Essex, King George, Caroline, Richmond, and Westmoreland "/>
    <n v="1000000"/>
    <n v="1000000"/>
    <n v="200"/>
    <n v="200"/>
    <s v="Fee"/>
    <n v="11581"/>
    <s v="Y"/>
    <s v="Purpose of Acquisition: To protect forested bluffs above the river shore that support high densities of_x000a_eagles. To provide nesting and roosting habitat for bald eagles, waterfowl and other migratory birds._x000a_Project Cooperators: The Conservation Fund, Trust for Public Land, Chesapeake Bay Foundation._x000a_Project Description: The requested funds of $1,000,000 for FY 2011 would allow the fee acquisition of_x000a_a portion of a parcel in the Fones Cliff area of the Rappahannock River. Fones Cliff area is listed among_x000a_the highest priorities for conservation in the Land Protection Plan. These forested bluffs reach heights of_x000a_nearly 100 feet above the river shore and support high concentrations of bald eagles throughout the year._x000a_Surveys conducted by boat during winter months show the highest densities of eagles, ranging from 141_x000a_to 395 eagles along a 30-mile stretch, with Fones Cliff consistently supporting dozens of birds._x000a_Many other migratory bird species use the forests, swamps, and steep ravines found on the property,_x000a_several of which are listed as species of conservation concern by the Service or the Commonwealth of_x000a_Virginia. They include Louisiana waterthrush, ovenbird, prothonotary warbler, Kentucky warbler,_x000a_worm-eating warbler, yellow-throated vireo, wood thrush, scarlet tanager, chuck-will’s widow and whippoor-_x000a_will, all of which are confirmed breeders on the refuge."/>
    <n v="0"/>
    <n v="1000"/>
    <s v="O &amp; M: The Service estimates annual O&amp;M costs at $1,000 for Service signage, boundary markings, and_x000a_fencing if applicable, which the Service would fund out of Refuge System base funding."/>
  </r>
  <r>
    <s v="NPS-FY2011-10"/>
    <n v="2011"/>
    <n v="10"/>
    <s v="NPS"/>
    <s v="Fredericksburg And Spotsylvania County Battlefields Memorial National Military Park_x000a_"/>
    <s v="Core"/>
    <x v="36"/>
    <s v="VA-1, VA-7"/>
    <s v="Caroline, Orange, Spotsylvania, and_x000a_Stafford Counties"/>
    <n v="3750000"/>
    <n v="500000"/>
    <n v="166"/>
    <n v="23"/>
    <s v="Fee"/>
    <n v="864"/>
    <s v="Y"/>
    <s v="Description: The Act of December 11, 1989 revised the boundary of the park to include an additional 1,300_x000a_acres and authorized the appropriation of funds necessary for land acquisition. The act revised the 1974_x000a_administrative boundary in accordance with the recommendations of the park's general management plan._x000a_The Act of October 27, 1992 revised the boundary to include an additional 560 acres. Section 344 of Public_x000a_Law 105-83, the act making appropriations for the Department of the Interior for fiscal year 1998, stated_x000a_the sense of the Senate that “…Congress should give special priority to the preservation of Civil War_x000a_battlefields by making funds available for the purchase of threatened and endangered Civil War battlefield_x000a_sites.”_x000a_Natural/Cultural Resources Associated with Proposal: The park contains portions of four major Civil War_x000a_battlefields, Chatham Manor, Salem Church, and the historic building in which Stonewall Jackson died._x000a_Threat: Due to its proximity to Washington, D.C., and Richmond, Virginia, the park is subject to intense_x000a_pressure for commercial and residential development._x000a_Need: The funds requested will be used to acquire five tracts totaling 166.05 acres located along State_x000a_Route 20 in Orange County, Virginia, a road corridor targeted by County leaders for significant expansion_x000a_and development in coming years. These tracts constitute a major component of the landscape involved_x000a_in the maneuvers and fighting during the Battle of the Wilderness in May 1864. This is core battlefield_x000a_area. Once lost to development, these lands could not be recovered and restored._x000a_This acquisition will serve to protect significant American cultural and historical areas and preserves an_x000a_overarching natural landscape while providing access to recreational opportunities and open space in_x000a_proximity to an urban environment."/>
    <s v="N/A"/>
    <s v="N/A"/>
    <m/>
  </r>
  <r>
    <s v="NPS-FY2011-13"/>
    <n v="2011"/>
    <n v="13"/>
    <s v="NPS"/>
    <s v="Virgin Islands National Park"/>
    <s v="Core"/>
    <x v="37"/>
    <s v="U.S. Virgin Islands"/>
    <s v="n/a"/>
    <n v="3750000"/>
    <n v="2300000"/>
    <n v="90"/>
    <n v="55"/>
    <s v="Fee"/>
    <n v="1355"/>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requested funds will be obligated to complete the acquisition of Estate Maho Bay._x000a_The Estate Maho Bay was originally a 419-acre property located on St. John’s Island within Virgin Islands_x000a_National Park. The ownership consisted of 11 undivided interests, three of which had been acquired by_x000a_the National Park Service. Following years of litigation and negotiations a partition was approved by the_x000a_court in 2007. Prior to the court partition, The Trust for Public Land (TPL) had acquired seven of the_x000a_remaining undivided interests. As the result of the court settlement the National Park Service received_x000a_114 acres as its share and approximately 98 acres will remain in private ownership with strict covenants_x000a_to prevent incompatible development. The remaining 207 acres are owned by TPL. TPL plans to make a_x000a_bargain sale of these lands to the National Park Service. While the value of the 207 acres that TPL holds_x000a_is estimated to be $18 million or more, they plan to make a phased sale of their holdings to the National_x000a_Park Service for only $9.5 million. The FY 2009 appropriation of $2,250,000 was obligated in April 2009 to_x000a_acquire a 26-acre portion of the TPL lands, leaving a balance of $7,250,000 needed to acquire the_x000a_remaining 181 acres. The FY 2010 appropriation included $2,250,000 to acquire a 91-acre portion of the_x000a_remainder. The present request for FY 2011, $3,750,000, will permit the acquisition of an additional 90_x000a_acres and thereby complete the Maho Bay acquisition._x000a_This acquisition will serve to preserve an overarching natural landscape in conjunction with NPS partners."/>
    <s v="N/A"/>
    <s v="N/A"/>
    <m/>
  </r>
  <r>
    <s v="NPS-FY2013-3"/>
    <n v="2013"/>
    <n v="3"/>
    <s v="NPS"/>
    <s v="Virgin Islands National Park"/>
    <s v="Core"/>
    <x v="37"/>
    <s v="VI"/>
    <s v="n/a"/>
    <n v="2738000"/>
    <n v="2738000"/>
    <n v="74"/>
    <n v="74"/>
    <s v="Fee"/>
    <n v="1743"/>
    <s v="Y"/>
    <s v="Description:  Virgin Islands National Park was authorized by Congress August 2, 1956, to protect a portion of the Virgin Islands containing outstanding natural and scenic resources of national significance.  _x000a__x000a_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_x000a__x000a_Threat:  Privately owned tracts at the park are highly prized for recreational and commercial development that would adversely impact the resources of the park._x000a__x000a_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
    <n v="0"/>
    <n v="0"/>
    <m/>
  </r>
  <r>
    <s v="NPS-FY2014-7"/>
    <n v="2014"/>
    <n v="7"/>
    <s v="NPS"/>
    <s v="Virgin Islands National Park"/>
    <s v="Core"/>
    <x v="37"/>
    <s v="VI"/>
    <s v="n/a"/>
    <n v="2771000"/>
    <n v="2771000"/>
    <n v="3"/>
    <n v="3"/>
    <s v="Fee"/>
    <n v="1814"/>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funds would be used to acquire a 3.35-acre tract formerly known as the Ortiz property, which_x000a_is presently leased by NPS from The Trust for Public Land, a nonprofit conservation organization. The_x000a_intention is to use a portion of this tract to provide off-road, safe parking for approximately 25 cars._x000a_Presently, cars are parked along the road, damaging vegetation and creating safety issues with_x000a_pedestrians and a constricted roadway. The long-term benefit to visitors to this beach and to the park_x000a_would be immeasurable."/>
    <n v="0"/>
    <n v="0"/>
    <m/>
  </r>
  <r>
    <s v="FWS-FY2013-13"/>
    <n v="2013"/>
    <n v="13"/>
    <s v="FWS"/>
    <s v="Nisqually NWR"/>
    <s v="Core"/>
    <x v="38"/>
    <s v="WA-3, WA-9"/>
    <s v="Thurston, Pierce"/>
    <n v="1000000"/>
    <n v="1000000"/>
    <n v="208"/>
    <n v="208"/>
    <s v="Fee"/>
    <n v="2985"/>
    <s v="Y"/>
    <s v="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_x000a__x000a_Project Cooperators: Ducks Unlimited, The Nature Conservancy, the Friends of Nisqually National_x000a_Wildlife Refuge, the Cascade Land Conservancy, and the Capitol Land Trust._x000a__x000a_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
    <n v="18000"/>
    <n v="0"/>
    <s v="O&amp;M: The Service will initially use approximately $18,000 for fencing and posting refuge and tract_x000a_boundaries. Base refuge funds will be used for these expenses."/>
  </r>
  <r>
    <s v="NPS-FY2013-7"/>
    <n v="2013"/>
    <n v="7"/>
    <s v="NPS"/>
    <s v="Mount Rainier National Park  "/>
    <s v="Core"/>
    <x v="38"/>
    <s v="WA-3, WA-8"/>
    <s v="Lewis and Pierce Counties"/>
    <n v="1000000"/>
    <n v="1000000"/>
    <n v="226"/>
    <n v="226"/>
    <s v="Fee"/>
    <n v="0"/>
    <s v="Y"/>
    <s v="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_x000a__x000a_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quot;NPS Rustic&quot;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_x000a__x000a_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_x000a__x000a_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
    <n v="15000"/>
    <n v="30000"/>
    <m/>
  </r>
  <r>
    <s v="FWS-FY2011-22"/>
    <n v="2011"/>
    <n v="22"/>
    <s v="FWS"/>
    <s v="Canaan Valley NWR"/>
    <s v="Core"/>
    <x v="39"/>
    <s v="WV-1"/>
    <s v="Tucker"/>
    <n v="0"/>
    <n v="950000"/>
    <s v="earmark"/>
    <n v="222.36"/>
    <s v="Fee"/>
    <s v="(complete if known)"/>
    <s v="Y"/>
    <s v="(complete if known)"/>
    <n v="0"/>
    <s v="(complete if known)"/>
    <m/>
  </r>
  <r>
    <s v="BLM-FY2011-4"/>
    <n v="2011"/>
    <n v="4"/>
    <s v="BLM"/>
    <s v="North Platte River SRMA"/>
    <s v="Core"/>
    <x v="40"/>
    <s v="WY-1"/>
    <s v="Natrona County"/>
    <n v="3000000"/>
    <n v="2700000"/>
    <n v="377"/>
    <n v="377"/>
    <s v="Fee"/>
    <n v="1958"/>
    <s v="Y"/>
    <s v="Purpose: Enhance public recreation opportunities and preserve riparian/wetland and endangered species habitat along the North Platte River."/>
    <n v="50000"/>
    <n v="15000"/>
    <m/>
  </r>
  <r>
    <s v="NPS-FY2013-8"/>
    <n v="2013"/>
    <n v="8"/>
    <s v="NPS"/>
    <s v="Grand Teton National Park"/>
    <s v="CLP"/>
    <x v="40"/>
    <s v="WY-AL"/>
    <s v="Teton County"/>
    <n v="8000"/>
    <n v="8000000"/>
    <n v="86"/>
    <n v="86"/>
    <s v="Fee"/>
    <n v="2134"/>
    <s v="Y"/>
    <s v="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_x000a__x000a_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_x000a__x000a_Threat: The development of these lands into further resort housing, or by individuals for trophy homes will destroy the integrity of the open space, the wildlife habitat and the migration corridors of the landscape.  _x000a__x000a_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
    <n v="0"/>
    <n v="0"/>
    <m/>
  </r>
</pivotCacheRecords>
</file>

<file path=xl/pivotCache/pivotCacheRecords4.xml><?xml version="1.0" encoding="utf-8"?>
<pivotCacheRecords xmlns="http://schemas.openxmlformats.org/spreadsheetml/2006/main" xmlns:r="http://schemas.openxmlformats.org/officeDocument/2006/relationships" count="104">
  <r>
    <s v="Recovery Land Acquisition"/>
    <n v="4"/>
    <x v="0"/>
    <s v="Longview Saline: Critical Land Acquisition for Recovery of Winged Mapleleaf, Pink Mucket, and Red-cockaded woodpecker"/>
    <n v="2011"/>
    <n v="1509012"/>
  </r>
  <r>
    <s v="Recovery Land Acquisition"/>
    <n v="2"/>
    <x v="1"/>
    <s v="Triangle Bar Phase II"/>
    <n v="2011"/>
    <n v="1000000"/>
  </r>
  <r>
    <s v="HCP Land Acquisition"/>
    <n v="8"/>
    <x v="2"/>
    <s v="Coachella Valley MSHCP"/>
    <n v="2011"/>
    <n v="6000000"/>
  </r>
  <r>
    <s v="HCP Land Acquisition"/>
    <n v="8"/>
    <x v="2"/>
    <s v="East Contra Costa HCP/NCCP"/>
    <n v="2011"/>
    <n v="4463936"/>
  </r>
  <r>
    <s v="HCP Land Acquisition"/>
    <n v="8"/>
    <x v="2"/>
    <s v="San Diego County MSHCP"/>
    <n v="2011"/>
    <n v="6000000"/>
  </r>
  <r>
    <s v="Recovery Land Acquisition"/>
    <n v="8"/>
    <x v="2"/>
    <s v="Ocean Meadows/ Devereux Slough"/>
    <n v="2011"/>
    <n v="500000"/>
  </r>
  <r>
    <s v="Recovery Land Acquisition"/>
    <n v="8"/>
    <x v="2"/>
    <s v="Peninsular Bighorn Sheep"/>
    <n v="2011"/>
    <n v="500000"/>
  </r>
  <r>
    <s v="Recovery Land Acquisition"/>
    <n v="8"/>
    <x v="2"/>
    <s v="Santa Cruz Long-toed Salamander RLA"/>
    <n v="2011"/>
    <n v="925000"/>
  </r>
  <r>
    <s v="Recovery Land Acquisition"/>
    <n v="8"/>
    <x v="2"/>
    <s v="Zayante Sandhills, Santa Cruz County"/>
    <n v="2011"/>
    <n v="750000"/>
  </r>
  <r>
    <s v="Recovery Land Acquisition"/>
    <n v="6"/>
    <x v="3"/>
    <s v="Tuttle Ranch Conservation Easement"/>
    <n v="2011"/>
    <n v="469540"/>
  </r>
  <r>
    <s v="HCP Land Acquisition"/>
    <n v="4"/>
    <x v="4"/>
    <s v="Perdido Key Beach Mouse Conservation"/>
    <n v="2011"/>
    <n v="2967022"/>
  </r>
  <r>
    <s v="HCP Land Acquisition"/>
    <n v="4"/>
    <x v="4"/>
    <s v="Summer Haven &amp; Porpoise Point Parcels"/>
    <n v="2011"/>
    <n v="210017"/>
  </r>
  <r>
    <s v="Recovery Land Acquisition"/>
    <n v="4"/>
    <x v="4"/>
    <s v="Chapman's Rhododendron RLA Grant Project in Gulf County, FL"/>
    <n v="2011"/>
    <n v="12188750"/>
  </r>
  <r>
    <s v="Recovery Land Acquisition"/>
    <n v="4"/>
    <x v="4"/>
    <s v="Lake Wales Ridge:  Acquisition of the Chillemi Parcel"/>
    <n v="2011"/>
    <n v="150260"/>
  </r>
  <r>
    <s v="Recovery Land Acquisition"/>
    <n v="4"/>
    <x v="5"/>
    <s v="Acquisition of the Howell Tract within the Raccoon Creek basin to benefit Cherokee and Etowah darters"/>
    <n v="2011"/>
    <n v="656287"/>
  </r>
  <r>
    <s v="Recovery Land Acquisition"/>
    <n v="1"/>
    <x v="6"/>
    <s v="East Maui Watershed Conservation Easement"/>
    <n v="2011"/>
    <n v="391000"/>
  </r>
  <r>
    <s v="Recovery Land Acquisition"/>
    <n v="5"/>
    <x v="7"/>
    <s v="Chesapeake Bay Puritan Tiger Beetle Habitat Conservation"/>
    <n v="2011"/>
    <n v="2426055"/>
  </r>
  <r>
    <s v="Recovery Land Acquisition"/>
    <n v="3"/>
    <x v="8"/>
    <s v="Recovery and Protection for Karst Dependent Federally-Listed Species in Missouri"/>
    <n v="2011"/>
    <n v="534750"/>
  </r>
  <r>
    <s v="HCP Land Acquisition"/>
    <n v="6"/>
    <x v="9"/>
    <s v="Stimson Forestlands Conservation Project"/>
    <n v="2011"/>
    <n v="4000000"/>
  </r>
  <r>
    <s v="Recovery Land Acquisition"/>
    <n v="4"/>
    <x v="10"/>
    <s v="Rough-leaved loosestrife Land acquisition near Boiling Springs Lakes Plant Conservation Preserve"/>
    <n v="2011"/>
    <n v="142900"/>
  </r>
  <r>
    <s v="Recovery Land Acquisition"/>
    <n v="6"/>
    <x v="11"/>
    <s v="Land Acquisition for the Salt Creek Tiger Beetle in Lancaster County, NE"/>
    <n v="2011"/>
    <n v="135000"/>
  </r>
  <r>
    <s v="Recovery Land Acquisition"/>
    <n v="1"/>
    <x v="12"/>
    <s v="Willamette Valley"/>
    <n v="2011"/>
    <n v="500000"/>
  </r>
  <r>
    <s v="Recovery Land Acquisition"/>
    <n v="1"/>
    <x v="12"/>
    <s v="Yamhill Oaks- Pugh Property"/>
    <n v="2011"/>
    <n v="267000"/>
  </r>
  <r>
    <s v="HCP Land Acquisition"/>
    <n v="2"/>
    <x v="13"/>
    <s v="Cobb Cavern Land Acquisition"/>
    <n v="2011"/>
    <n v="1130625"/>
  </r>
  <r>
    <s v="Recovery Land Acquisition"/>
    <n v="2"/>
    <x v="13"/>
    <s v="LPC Yoakum Dunes"/>
    <n v="2011"/>
    <n v="730644"/>
  </r>
  <r>
    <s v="HCP Land Acquisition"/>
    <n v="1"/>
    <x v="14"/>
    <s v="Methow Watershed, Phase 8"/>
    <n v="2011"/>
    <n v="3500000"/>
  </r>
  <r>
    <s v="Recovery Land Acquisition"/>
    <n v="1"/>
    <x v="14"/>
    <s v="Northern Blue Mountains Bull Trout Recovery"/>
    <n v="2011"/>
    <n v="712650"/>
  </r>
  <r>
    <s v="HCP Land Acquisition"/>
    <n v="3"/>
    <x v="15"/>
    <s v="Karner Blue Butterfly Land Acquisition"/>
    <n v="2011"/>
    <n v="360000"/>
  </r>
  <r>
    <s v="Recovery Land Acquisition"/>
    <n v="3"/>
    <x v="15"/>
    <s v="Prairie Bush Clover Recovery Land Acquisition, Borah Creek Prairie"/>
    <n v="2011"/>
    <n v="378000"/>
  </r>
  <r>
    <s v="Recovery Land Acquisition"/>
    <n v="3"/>
    <x v="15"/>
    <s v="Prairie Bush Clover Recovery Land Acquisition, Smith Drumlin Prairie"/>
    <n v="2011"/>
    <n v="138000"/>
  </r>
  <r>
    <s v="Recovery Land Acquisition"/>
    <n v="4"/>
    <x v="16"/>
    <s v="Acquisition of the Hancock South Tract along the Little Cahaba River"/>
    <n v="2012"/>
    <n v="1000000"/>
  </r>
  <r>
    <s v="HCP Land Acquisition"/>
    <n v="8"/>
    <x v="2"/>
    <s v="City of Carlsbad Habitat Management Plan (HMP), Northwest San Diego County Multiple Habitat Conservation Plan (MHCP), San Diego County, CA"/>
    <n v="2012"/>
    <n v="2000000"/>
  </r>
  <r>
    <s v="HCP Land Acquisition"/>
    <n v="8"/>
    <x v="2"/>
    <s v="East Contra Costa County Habitat Conservation Plan"/>
    <n v="2012"/>
    <n v="1000000"/>
  </r>
  <r>
    <s v="HCP Land Acquisition"/>
    <n v="8"/>
    <x v="2"/>
    <s v="Western Riverside County Multiple Species Habitat Conservation Plan"/>
    <n v="2012"/>
    <n v="4000000"/>
  </r>
  <r>
    <s v="Recovery Land Acquisition"/>
    <n v="8"/>
    <x v="2"/>
    <s v="Arrastre Canyon, Los Angeles"/>
    <n v="2012"/>
    <n v="350000"/>
  </r>
  <r>
    <s v="Recovery Land Acquisition"/>
    <n v="8"/>
    <x v="2"/>
    <s v="Kelsey Ranch Conservation Easement Acquisition"/>
    <n v="2012"/>
    <n v="750000"/>
  </r>
  <r>
    <s v="Recovery Land Acquisition"/>
    <n v="8"/>
    <x v="2"/>
    <s v="Peninsular Bighorn Sheep"/>
    <n v="2012"/>
    <n v="88177"/>
  </r>
  <r>
    <s v="Recovery Land Acquisition"/>
    <n v="8"/>
    <x v="2"/>
    <s v="Shay Meadows Conservation Area Expansion"/>
    <n v="2012"/>
    <n v="300000"/>
  </r>
  <r>
    <s v="Recovery Land Acquisition"/>
    <n v="8"/>
    <x v="2"/>
    <s v="Upper Sevenmile Creek Flow Restoration Easement"/>
    <n v="2012"/>
    <n v="650000"/>
  </r>
  <r>
    <s v="Recovery Land Acquisition"/>
    <n v="1"/>
    <x v="6"/>
    <s v="Kahuku Coastline Protection and Management: Helping Habitat for Hawaiian Hawksbill Turtles"/>
    <n v="2012"/>
    <n v="1214000"/>
  </r>
  <r>
    <s v="Recovery Land Acquisition"/>
    <n v="1"/>
    <x v="6"/>
    <s v="Kukaiau Acquisition and Palila Habitat Restoration"/>
    <n v="2012"/>
    <n v="1217114"/>
  </r>
  <r>
    <s v="Recovery Land Acquisition"/>
    <n v="6"/>
    <x v="11"/>
    <s v="Paradise Valley: Salt Creek Tiger Beetle RLA"/>
    <n v="2012"/>
    <n v="270000"/>
  </r>
  <r>
    <s v="Recovery Land Acquisition"/>
    <n v="6"/>
    <x v="11"/>
    <s v="Rowe Sanctuary Recovery Land Acquisition in Buffalo County"/>
    <n v="2012"/>
    <n v="200000"/>
  </r>
  <r>
    <s v="HCP Land Acquisition"/>
    <n v="2"/>
    <x v="17"/>
    <s v="Conservation of Threatened, Endangered, and Sensitive Fish"/>
    <n v="2012"/>
    <n v="27649"/>
  </r>
  <r>
    <s v="HCP Land Acquisition"/>
    <n v="1"/>
    <x v="12"/>
    <s v="Bald Hill Farm &amp; Mary's River"/>
    <n v="2012"/>
    <n v="1259000"/>
  </r>
  <r>
    <s v="HCP Land Acquisition"/>
    <n v="2"/>
    <x v="13"/>
    <s v="La Cantera (Canyon Ranch) HCPLA"/>
    <n v="2012"/>
    <n v="1519400"/>
  </r>
  <r>
    <s v="Recovery Land Acquisition"/>
    <n v="2"/>
    <x v="13"/>
    <s v="Barker Tract RLA"/>
    <n v="2012"/>
    <n v="1242209"/>
  </r>
  <r>
    <s v="HCP Land Acquisition"/>
    <n v="6"/>
    <x v="18"/>
    <s v="Utah Prairie Dog Land Acquisition - Johnson Bench"/>
    <n v="2012"/>
    <n v="1000000"/>
  </r>
  <r>
    <s v="Recovery Land Acquisition"/>
    <n v="6"/>
    <x v="18"/>
    <s v="June Sucker Spawning and Stream Restoration in East Hobble Creek"/>
    <n v="2012"/>
    <n v="157500"/>
  </r>
  <r>
    <s v="HCP Land Acquisition"/>
    <n v="5"/>
    <x v="19"/>
    <s v="Spotfin chub surveys"/>
    <n v="2012"/>
    <n v="14000"/>
  </r>
  <r>
    <s v="HCP Land Acquisition"/>
    <n v="1"/>
    <x v="14"/>
    <s v="Mountain View - 4-O Ranch"/>
    <n v="2012"/>
    <n v="3700000"/>
  </r>
  <r>
    <s v="HCP Land Acquisition"/>
    <n v="3"/>
    <x v="15"/>
    <s v="Karner Blue Butterfly and Kirtland's Warbler HCP Land Acquisition - Central Sands"/>
    <n v="2012"/>
    <n v="497600"/>
  </r>
  <r>
    <s v="Recovery Land Acquisition"/>
    <n v="3"/>
    <x v="15"/>
    <s v="Hine's Emerald Dragonfly RLA - Ridges Sanctuary"/>
    <n v="2012"/>
    <n v="345000"/>
  </r>
  <r>
    <s v="Recovery Land Acquisition"/>
    <n v="5"/>
    <x v="20"/>
    <s v="Acquisition of land in Cheat River Gorge"/>
    <n v="2012"/>
    <n v="700000"/>
  </r>
  <r>
    <s v="Recovery Land Acquisition"/>
    <n v="4"/>
    <x v="0"/>
    <s v="Building a Conservation Corridor for Recovery of Federally Listed Species"/>
    <n v="2013"/>
    <n v="1342687"/>
  </r>
  <r>
    <s v="HCP Land Acquisition"/>
    <n v="8"/>
    <x v="2"/>
    <s v="Coachella Valley MSHCP"/>
    <n v="2013"/>
    <n v="3000000"/>
  </r>
  <r>
    <s v="HCP Land Acquisition"/>
    <n v="8"/>
    <x v="2"/>
    <s v="San Diego County Water Authority Subregional NCCP/HCP"/>
    <n v="2013"/>
    <n v="3000000"/>
  </r>
  <r>
    <s v="HCP Land Acquisition"/>
    <n v="8"/>
    <x v="2"/>
    <s v="Western Riverside County MSHCP"/>
    <n v="2013"/>
    <n v="2773398"/>
  </r>
  <r>
    <s v="Recovery Land Acquisition"/>
    <n v="8"/>
    <x v="2"/>
    <s v="Metcalf Meadow"/>
    <n v="2013"/>
    <n v="1170000"/>
  </r>
  <r>
    <s v="Recovery Land Acquisition"/>
    <n v="8"/>
    <x v="2"/>
    <s v="San Diego Mountain Ranch"/>
    <n v="2013"/>
    <n v="317200"/>
  </r>
  <r>
    <s v="Recovery Land Acquisition"/>
    <n v="6"/>
    <x v="3"/>
    <s v="Segelke-Carey Ranch Acquisition"/>
    <n v="2013"/>
    <n v="400000"/>
  </r>
  <r>
    <s v="Recovery Land Acquisition"/>
    <n v="4"/>
    <x v="4"/>
    <s v="Listed Species Recovery on the Lake Wales Ridge Conservation Easement"/>
    <n v="2013"/>
    <n v="854364"/>
  </r>
  <r>
    <s v="Recovery Land Acquisition"/>
    <n v="4"/>
    <x v="5"/>
    <s v="Acquisition of the Ironstob-Braswell Mountain Tract within the Raccoon Creek Basin, a Tributary to the Etowah River in Paulding County"/>
    <n v="2013"/>
    <n v="1000000"/>
  </r>
  <r>
    <s v="Recovery Land Acquisition"/>
    <n v="1"/>
    <x v="6"/>
    <s v="Kalauao Acquisition and Endangered Species Recovery"/>
    <n v="2013"/>
    <n v="578250"/>
  </r>
  <r>
    <s v="Recovery Land Acquisition"/>
    <n v="4"/>
    <x v="10"/>
    <s v="Conservation of Habitat for the Spotfin Chub, Littlewing Pearlymussel, and Appalachian Elktoe"/>
    <n v="2013"/>
    <n v="142500"/>
  </r>
  <r>
    <s v="Recovery Land Acquisition"/>
    <n v="6"/>
    <x v="11"/>
    <s v="Recovery Land Acquisition for the Salt Creek Tiger Beetle"/>
    <n v="2013"/>
    <n v="190301"/>
  </r>
  <r>
    <s v="Recovery Land Acquisition"/>
    <n v="5"/>
    <x v="21"/>
    <s v="Sussex County Bog Turtle Recovery #1"/>
    <n v="2013"/>
    <n v="40000"/>
  </r>
  <r>
    <s v="Recovery Land Acquisition"/>
    <n v="5"/>
    <x v="21"/>
    <s v="Sussex County Bog Turtle Recovery #2"/>
    <n v="2013"/>
    <n v="400000"/>
  </r>
  <r>
    <s v="Recovery Land Acquisition"/>
    <n v="8"/>
    <x v="12"/>
    <s v="Upper Sevenmile Creek Flow Restoration Easement"/>
    <n v="2013"/>
    <n v="355719"/>
  </r>
  <r>
    <s v="Recovery Land Acquisition"/>
    <n v="5"/>
    <x v="22"/>
    <s v="Acquisition of a Bog Turtle Site of Global Significance"/>
    <n v="2013"/>
    <n v="262500"/>
  </r>
  <r>
    <s v="Recovery Land Acquisition"/>
    <n v="2"/>
    <x v="13"/>
    <s v="Solana Ranch Preserve RLA"/>
    <n v="2013"/>
    <n v="881250"/>
  </r>
  <r>
    <s v="Recovery Land Acquisition"/>
    <n v="2"/>
    <x v="13"/>
    <s v="Solana Ranch Preserve RLA"/>
    <n v="2013"/>
    <n v="881250"/>
  </r>
  <r>
    <s v="HCP Land Acquisition"/>
    <n v="6"/>
    <x v="18"/>
    <s v="Washington County HCP Desert Tortoise Acquisition"/>
    <n v="2013"/>
    <n v="1419266"/>
  </r>
  <r>
    <s v="HCP Land Acquisition"/>
    <n v="1"/>
    <x v="14"/>
    <s v="I-90 Wildlife Corridor Phase V"/>
    <n v="2013"/>
    <n v="2000000"/>
  </r>
  <r>
    <s v="HCP Land Acquisition"/>
    <n v="1"/>
    <x v="14"/>
    <s v="Mountain View 4-O Ranch 2013"/>
    <n v="2013"/>
    <n v="2000000"/>
  </r>
  <r>
    <s v="Recovery Land Acquisition"/>
    <n v="1"/>
    <x v="14"/>
    <s v="Camas Meadows Natural Area Preserve (NAP) In-Holdings"/>
    <n v="2013"/>
    <n v="749400"/>
  </r>
  <r>
    <s v="Recovery Land Acquisition"/>
    <n v="3"/>
    <x v="15"/>
    <s v="Kirtland's Warbler Recovery Land Acquisition"/>
    <n v="2013"/>
    <n v="759000"/>
  </r>
  <r>
    <s v="Recovery Land Acquisition"/>
    <n v="8"/>
    <x v="2"/>
    <s v="Metcalf Meadow"/>
    <n v="2014"/>
    <n v="1197000"/>
  </r>
  <r>
    <s v="Recovery Land Acquisition"/>
    <n v="8"/>
    <x v="2"/>
    <s v="Cameron Meadows Phase II"/>
    <n v="2014"/>
    <n v="332475"/>
  </r>
  <r>
    <s v="Recovery Land Acquisition"/>
    <n v="8"/>
    <x v="2"/>
    <s v="San Diego Bay*"/>
    <n v="2014"/>
    <n v="272757"/>
  </r>
  <r>
    <s v="HCP Land Acquisition"/>
    <n v="8"/>
    <x v="2"/>
    <s v="Santa Clara Valley NCCP/HCP"/>
    <n v="2014"/>
    <n v="2000000"/>
  </r>
  <r>
    <s v="HCP Land Acquisition"/>
    <n v="8"/>
    <x v="2"/>
    <s v="Shell Oil Company/Metropolitan Water District HCP "/>
    <n v="2014"/>
    <n v="2000000"/>
  </r>
  <r>
    <s v="HCP Land Acquisition"/>
    <n v="8"/>
    <x v="2"/>
    <s v="Western Riverside County Multiple Species HCP*"/>
    <n v="2014"/>
    <n v="1500000"/>
  </r>
  <r>
    <s v="HCP Land Acquisition"/>
    <n v="8"/>
    <x v="2"/>
    <s v="City of Carlsbad Habitat Management Plan"/>
    <n v="2014"/>
    <n v="2000000"/>
  </r>
  <r>
    <s v="HCP Land Acquisition"/>
    <n v="8"/>
    <x v="2"/>
    <s v="East Contra Costa County HCP/NCCP "/>
    <n v="2014"/>
    <n v="2000000"/>
  </r>
  <r>
    <s v="HCP Land Acquisition"/>
    <n v="8"/>
    <x v="2"/>
    <s v="Coachella Valley Multiple Species Habitat Conservation Plan *"/>
    <n v="2014"/>
    <n v="893000"/>
  </r>
  <r>
    <s v="Recovery Land Acquisition"/>
    <n v="6"/>
    <x v="3"/>
    <s v="Pagosa Skyrocket Acquisition- Pagosa Springs*"/>
    <n v="2014"/>
    <n v="494137"/>
  </r>
  <r>
    <s v="Recovery Land Acquisition"/>
    <n v="4"/>
    <x v="4"/>
    <s v="Conservation Easement for Florida Panther Dispersal Zone Project, Hendry County, FL "/>
    <n v="2014"/>
    <n v="1500000"/>
  </r>
  <r>
    <s v="Recovery Land Acquisition"/>
    <n v="4"/>
    <x v="5"/>
    <s v="Acquisition of the Ironstob Tract, within Raccoon Creek, a tributary to the Etowah River *"/>
    <n v="2014"/>
    <n v="116578"/>
  </r>
  <r>
    <s v="Recovery Land Acquisition"/>
    <n v="1"/>
    <x v="6"/>
    <s v="Pūpūkea Mauka Watershed and Habitat Protection Project, O'ahu Hawai'i"/>
    <n v="2014"/>
    <n v="1183750"/>
  </r>
  <r>
    <s v="Recovery Land Acquisition"/>
    <n v="3"/>
    <x v="23"/>
    <s v="Indiana Bat Recovery Land Acquisition Project"/>
    <n v="2014"/>
    <n v="252960"/>
  </r>
  <r>
    <s v="Recovery Land Acquisition"/>
    <n v="1"/>
    <x v="24"/>
    <s v="Spalding's Catchfly Conservation*"/>
    <n v="2014"/>
    <n v="232425"/>
  </r>
  <r>
    <s v="Recovery Land Acquisition"/>
    <n v="5"/>
    <x v="7"/>
    <s v="Acquisition of a Bog Turtle Site of Global Significance in Maryland*"/>
    <n v="2014"/>
    <n v="153231"/>
  </r>
  <r>
    <s v="Recovery Land Acquisition"/>
    <n v="3"/>
    <x v="25"/>
    <s v="Mitchell’s Satyr Butterfly and Eastern Massasauga Rattlesnake Recovery Land Acquisition Project"/>
    <n v="2014"/>
    <n v="180000"/>
  </r>
  <r>
    <s v="HCP Land Acquisition"/>
    <n v="6"/>
    <x v="9"/>
    <s v="Haskill Basin Watershed Project"/>
    <n v="2014"/>
    <n v="2000000"/>
  </r>
  <r>
    <s v="HCP Land Acquisition"/>
    <n v="4"/>
    <x v="10"/>
    <s v="Red-Cockaded Woodpecker Longleaf Pine Ecosystem Protection and Corridors"/>
    <n v="2014"/>
    <n v="1085000"/>
  </r>
  <r>
    <s v="Recovery Land Acquisition"/>
    <n v="1"/>
    <x v="12"/>
    <s v="Beaver Creek Forest Acquisition Project"/>
    <n v="2014"/>
    <n v="980000"/>
  </r>
  <r>
    <s v="Recovery Land Acquisition"/>
    <n v="4"/>
    <x v="26"/>
    <s v="Scott’s Gulf: Protecting key habitat for endangered mammals, fish, mussels, and plants"/>
    <n v="2014"/>
    <n v="800000"/>
  </r>
  <r>
    <s v="Recovery Land Acquisition"/>
    <n v="2"/>
    <x v="13"/>
    <s v="Land Acquisition of Fries Ranch, Bandera County, Texas*"/>
    <n v="2014"/>
    <n v="1246937"/>
  </r>
  <r>
    <s v="Recovery Land Acquisition"/>
    <n v="5"/>
    <x v="19"/>
    <s v="Purchase of Lee County Cave Isopod Habitat, Mason Cave-Thompson Cave System and the Cedar Lirceus Autogenic Zone"/>
    <n v="2014"/>
    <n v="479250"/>
  </r>
  <r>
    <s v="HCP Land Acquisition"/>
    <n v="1"/>
    <x v="14"/>
    <s v="Heart of the Cascades 2014"/>
    <n v="2014"/>
    <n v="2000000"/>
  </r>
  <r>
    <s v="HCP Land Acquisition"/>
    <n v="1"/>
    <x v="14"/>
    <s v="Mountain View 4-O Ranch 2014"/>
    <n v="2014"/>
    <n v="2000000"/>
  </r>
  <r>
    <s v="Recovery Land Acquisition"/>
    <n v="3"/>
    <x v="15"/>
    <s v=" Dwarf Lake Iris Recovery Land Acquisition Project"/>
    <n v="2014"/>
    <n v="40500"/>
  </r>
  <r>
    <s v="HCP Land Acquisition"/>
    <n v="3"/>
    <x v="15"/>
    <s v="Karner Blue Butterfly HCP Land Acquisition Project"/>
    <n v="2014"/>
    <n v="46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30" firstHeaderRow="1" firstDataRow="1" firstDataCol="1"/>
  <pivotFields count="6">
    <pivotField showAll="0"/>
    <pivotField showAll="0"/>
    <pivotField axis="axisRow" showAll="0">
      <items count="28">
        <item x="16"/>
        <item x="0"/>
        <item x="1"/>
        <item x="2"/>
        <item x="3"/>
        <item x="4"/>
        <item x="5"/>
        <item x="6"/>
        <item x="23"/>
        <item x="24"/>
        <item x="7"/>
        <item x="25"/>
        <item x="8"/>
        <item x="9"/>
        <item x="10"/>
        <item x="11"/>
        <item x="21"/>
        <item x="17"/>
        <item x="12"/>
        <item x="22"/>
        <item x="26"/>
        <item x="13"/>
        <item x="18"/>
        <item x="19"/>
        <item x="14"/>
        <item x="15"/>
        <item x="20"/>
        <item t="default"/>
      </items>
    </pivotField>
    <pivotField showAll="0"/>
    <pivotField showAll="0"/>
    <pivotField dataField="1"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Fundin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2:P57" firstHeaderRow="1" firstDataRow="1" firstDataCol="1"/>
  <pivotFields count="13">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Obligation Amount" fld="5" baseField="0" baseItem="0"/>
  </dataFields>
  <formats count="1">
    <format dxfId="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I16" firstHeaderRow="1" firstDataRow="1" firstDataCol="1"/>
  <pivotFields count="6">
    <pivotField showAll="0"/>
    <pivotField axis="axisRow" showAll="0">
      <items count="16">
        <item x="11"/>
        <item x="0"/>
        <item x="12"/>
        <item x="1"/>
        <item x="2"/>
        <item x="3"/>
        <item x="4"/>
        <item x="5"/>
        <item x="13"/>
        <item x="6"/>
        <item x="7"/>
        <item m="1" x="14"/>
        <item x="8"/>
        <item x="9"/>
        <item x="10"/>
        <item t="default"/>
      </items>
    </pivotField>
    <pivotField showAll="0"/>
    <pivotField showAll="0"/>
    <pivotField showAll="0"/>
    <pivotField dataField="1" numFmtId="44" showAll="0"/>
  </pivotFields>
  <rowFields count="1">
    <field x="1"/>
  </rowFields>
  <rowItems count="15">
    <i>
      <x/>
    </i>
    <i>
      <x v="1"/>
    </i>
    <i>
      <x v="2"/>
    </i>
    <i>
      <x v="3"/>
    </i>
    <i>
      <x v="4"/>
    </i>
    <i>
      <x v="5"/>
    </i>
    <i>
      <x v="6"/>
    </i>
    <i>
      <x v="7"/>
    </i>
    <i>
      <x v="8"/>
    </i>
    <i>
      <x v="9"/>
    </i>
    <i>
      <x v="10"/>
    </i>
    <i>
      <x v="12"/>
    </i>
    <i>
      <x v="13"/>
    </i>
    <i>
      <x v="14"/>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45" firstHeaderRow="0" firstDataRow="1" firstDataCol="1"/>
  <pivotFields count="20">
    <pivotField showAll="0"/>
    <pivotField showAll="0"/>
    <pivotField showAll="0"/>
    <pivotField showAll="0"/>
    <pivotField showAll="0"/>
    <pivotField showAll="0"/>
    <pivotField axis="axisRow" showAll="0">
      <items count="42">
        <item x="0"/>
        <item x="1"/>
        <item x="2"/>
        <item x="3"/>
        <item x="4"/>
        <item x="5"/>
        <item x="6"/>
        <item x="7"/>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8"/>
        <item x="1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2">
    <i>
      <x/>
    </i>
    <i i="1">
      <x v="1"/>
    </i>
  </colItems>
  <dataFields count="2">
    <dataField name="Sum of Enacted" fld="10" baseField="6" baseItem="3"/>
    <dataField name="Sum of Enacted Acres" fld="12" baseField="6" baseItem="0"/>
  </dataFields>
  <formats count="5">
    <format dxfId="6">
      <pivotArea collapsedLevelsAreSubtotals="1" fieldPosition="0">
        <references count="1">
          <reference field="6" count="39">
            <x v="0"/>
            <x v="1"/>
            <x v="2"/>
            <x v="3"/>
            <x v="4"/>
            <x v="5"/>
            <x v="6"/>
            <x v="7"/>
            <x v="8"/>
            <x v="9"/>
            <x v="10"/>
            <x v="11"/>
            <x v="12"/>
            <x v="13"/>
            <x v="14"/>
            <x v="15"/>
            <x v="16"/>
            <x v="17"/>
            <x v="18"/>
            <x v="19"/>
            <x v="20"/>
            <x v="21"/>
            <x v="22"/>
            <x v="23"/>
            <x v="24"/>
            <x v="25"/>
            <x v="26"/>
            <x v="27"/>
            <x v="28"/>
            <x v="29"/>
            <x v="30"/>
            <x v="31"/>
            <x v="32"/>
            <x v="33"/>
            <x v="34"/>
            <x v="35"/>
            <x v="36"/>
            <x v="37"/>
            <x v="38"/>
          </reference>
        </references>
      </pivotArea>
    </format>
    <format dxfId="5">
      <pivotArea collapsedLevelsAreSubtotals="1" fieldPosition="0">
        <references count="2">
          <reference field="4294967294" count="1" selected="0">
            <x v="0"/>
          </reference>
          <reference field="6" count="2">
            <x v="39"/>
            <x v="40"/>
          </reference>
        </references>
      </pivotArea>
    </format>
    <format dxfId="4">
      <pivotArea field="6" grandRow="1" outline="0" collapsedLevelsAreSubtotals="1" axis="axisRow" fieldPosition="0">
        <references count="1">
          <reference field="4294967294" count="1" selected="0">
            <x v="0"/>
          </reference>
        </references>
      </pivotArea>
    </format>
    <format dxfId="3">
      <pivotArea collapsedLevelsAreSubtotals="1" fieldPosition="0">
        <references count="1">
          <reference field="6" count="1">
            <x v="6"/>
          </reference>
        </references>
      </pivotArea>
    </format>
    <format dxfId="2">
      <pivotArea dataOnly="0" labelOnly="1" fieldPosition="0">
        <references count="1">
          <reference field="6"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Fields2" displayName="Fields2" ref="A4:B9" totalsRowShown="0" headerRowDxfId="1" headerRowBorderDxfId="0">
  <sortState ref="A2:B6">
    <sortCondition ref="A1:A6"/>
  </sortState>
  <tableColumns count="2">
    <tableColumn id="1" name="Field"/>
    <tableColumn id="2" name="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Normal="100" workbookViewId="0">
      <pane ySplit="1" topLeftCell="A2" activePane="bottomLeft" state="frozen"/>
      <selection pane="bottomLeft" activeCell="E8" sqref="E8"/>
    </sheetView>
  </sheetViews>
  <sheetFormatPr defaultRowHeight="15" x14ac:dyDescent="0.25"/>
  <cols>
    <col min="1" max="1" width="29.140625" style="11" bestFit="1" customWidth="1"/>
    <col min="2" max="2" width="19.28515625" style="11" customWidth="1"/>
    <col min="3" max="3" width="15.5703125" customWidth="1"/>
    <col min="4" max="4" width="16.85546875" customWidth="1"/>
    <col min="5" max="5" width="16.7109375" style="161" customWidth="1"/>
    <col min="6" max="6" width="18.42578125" style="16" customWidth="1"/>
    <col min="7" max="7" width="17.28515625" style="16" customWidth="1"/>
    <col min="8" max="8" width="19.7109375" style="19" bestFit="1" customWidth="1"/>
  </cols>
  <sheetData>
    <row r="1" spans="1:8" s="178" customFormat="1" ht="30" x14ac:dyDescent="0.25">
      <c r="A1" s="177" t="s">
        <v>145</v>
      </c>
      <c r="B1" s="177" t="s">
        <v>4388</v>
      </c>
      <c r="C1" s="178" t="s">
        <v>4463</v>
      </c>
      <c r="D1" s="178" t="s">
        <v>4466</v>
      </c>
      <c r="E1" s="179" t="s">
        <v>4465</v>
      </c>
      <c r="F1" s="180" t="s">
        <v>4461</v>
      </c>
      <c r="G1" s="180" t="s">
        <v>4462</v>
      </c>
      <c r="H1" s="181" t="s">
        <v>702</v>
      </c>
    </row>
    <row r="2" spans="1:8" x14ac:dyDescent="0.25">
      <c r="A2" s="13" t="s">
        <v>191</v>
      </c>
      <c r="B2" s="163">
        <f>GETPIVOTDATA("Obligation Amount",'Stateside data 2011-2014'!$O$2,"State","AL")</f>
        <v>1354592.83</v>
      </c>
      <c r="C2" s="164"/>
      <c r="D2" s="164">
        <f>GETPIVOTDATA("Funding",'CESCF 2011-2014'!$H$2,"States","AL")</f>
        <v>1000000</v>
      </c>
      <c r="E2" s="164"/>
      <c r="F2" s="165">
        <f>SUM(B2:E2)</f>
        <v>2354592.83</v>
      </c>
      <c r="G2" s="165"/>
      <c r="H2" s="166">
        <f>F2+G2</f>
        <v>2354592.83</v>
      </c>
    </row>
    <row r="3" spans="1:8" x14ac:dyDescent="0.25">
      <c r="A3" s="13" t="s">
        <v>192</v>
      </c>
      <c r="B3" s="163">
        <f>GETPIVOTDATA("Obligation Amount",'Stateside data 2011-2014'!$O$2,"State","AK")</f>
        <v>1000591</v>
      </c>
      <c r="C3" s="164"/>
      <c r="D3" s="164"/>
      <c r="E3" s="164"/>
      <c r="F3" s="165">
        <f t="shared" ref="F3:F55" si="0">SUM(B3:E3)</f>
        <v>1000591</v>
      </c>
      <c r="G3" s="165">
        <f>GETPIVOTDATA("Sum of Enacted",'Federal LA pivot table'!$A$3,"States","AK")</f>
        <v>99000</v>
      </c>
      <c r="H3" s="166">
        <f t="shared" ref="H3:H55" si="1">F3+G3</f>
        <v>1099591</v>
      </c>
    </row>
    <row r="4" spans="1:8" x14ac:dyDescent="0.25">
      <c r="A4" s="13" t="s">
        <v>193</v>
      </c>
      <c r="B4" s="163">
        <f>GETPIVOTDATA("Obligation Amount",'Stateside data 2011-2014'!$O$2,"State","AZ")</f>
        <v>4653208.0199999996</v>
      </c>
      <c r="C4" s="164"/>
      <c r="D4" s="164">
        <f>GETPIVOTDATA("Funding",'CESCF 2011-2014'!$H$2,"States","AZ")</f>
        <v>1000000</v>
      </c>
      <c r="E4" s="164"/>
      <c r="F4" s="165">
        <f t="shared" si="0"/>
        <v>5653208.0199999996</v>
      </c>
      <c r="G4" s="165">
        <f>GETPIVOTDATA("Sum of Enacted",'Federal LA pivot table'!$A$3,"States","AZ")</f>
        <v>10900000</v>
      </c>
      <c r="H4" s="166">
        <f t="shared" si="1"/>
        <v>16553208.02</v>
      </c>
    </row>
    <row r="5" spans="1:8" x14ac:dyDescent="0.25">
      <c r="A5" s="13" t="s">
        <v>147</v>
      </c>
      <c r="B5" s="163">
        <f>GETPIVOTDATA("Obligation Amount",'Stateside data 2011-2014'!$O$2,"State","AR")</f>
        <v>3017121.0100000002</v>
      </c>
      <c r="C5" s="164"/>
      <c r="D5" s="164">
        <f>GETPIVOTDATA("Funding",'CESCF 2011-2014'!$H$2,"States","AR")</f>
        <v>2851699</v>
      </c>
      <c r="E5" s="164"/>
      <c r="F5" s="165">
        <f t="shared" si="0"/>
        <v>5868820.0099999998</v>
      </c>
      <c r="G5" s="165">
        <f>GETPIVOTDATA("Sum of Enacted",'Federal LA pivot table'!$A$3,"States","AR")</f>
        <v>4143200</v>
      </c>
      <c r="H5" s="166">
        <f t="shared" si="1"/>
        <v>10012020.01</v>
      </c>
    </row>
    <row r="6" spans="1:8" x14ac:dyDescent="0.25">
      <c r="A6" s="13" t="s">
        <v>194</v>
      </c>
      <c r="B6" s="163">
        <f>GETPIVOTDATA("Obligation Amount",'Stateside data 2011-2014'!$O$2,"State","CA")</f>
        <v>6749890</v>
      </c>
      <c r="C6" s="164"/>
      <c r="D6" s="164">
        <f>GETPIVOTDATA("Funding",'CESCF 2011-2014'!$H$2,"States","CA")</f>
        <v>50732943</v>
      </c>
      <c r="E6" s="164"/>
      <c r="F6" s="165">
        <f t="shared" si="0"/>
        <v>57482833</v>
      </c>
      <c r="G6" s="165">
        <f>GETPIVOTDATA("Sum of Enacted",'Federal LA pivot table'!$A$3,"States","CA")</f>
        <v>42189080</v>
      </c>
      <c r="H6" s="166">
        <f t="shared" si="1"/>
        <v>99671913</v>
      </c>
    </row>
    <row r="7" spans="1:8" x14ac:dyDescent="0.25">
      <c r="A7" s="13" t="s">
        <v>195</v>
      </c>
      <c r="B7" s="163">
        <f>GETPIVOTDATA("Obligation Amount",'Stateside data 2011-2014'!$O$2,"State","CO")</f>
        <v>3018161</v>
      </c>
      <c r="C7" s="164"/>
      <c r="D7" s="164">
        <f>GETPIVOTDATA("Funding",'CESCF 2011-2014'!$H$2,"States","CO")</f>
        <v>1363677</v>
      </c>
      <c r="E7" s="164"/>
      <c r="F7" s="165">
        <f t="shared" si="0"/>
        <v>4381838</v>
      </c>
      <c r="G7" s="165">
        <f>GETPIVOTDATA("Sum of Enacted",'Federal LA pivot table'!$A$3,"States","CO")</f>
        <v>6476000</v>
      </c>
      <c r="H7" s="166">
        <f t="shared" si="1"/>
        <v>10857838</v>
      </c>
    </row>
    <row r="8" spans="1:8" x14ac:dyDescent="0.25">
      <c r="A8" s="13" t="s">
        <v>196</v>
      </c>
      <c r="B8" s="163">
        <f>GETPIVOTDATA("Obligation Amount",'Stateside data 2011-2014'!$O$2,"State","CT")</f>
        <v>5363000</v>
      </c>
      <c r="C8" s="164"/>
      <c r="D8" s="164"/>
      <c r="E8" s="164">
        <f>(GETPIVOTDATA("Sum of Enacted",'Federal LA pivot table'!$A$3,"States","CT; NJ; NY; PA")/4)</f>
        <v>1278750</v>
      </c>
      <c r="F8" s="165">
        <f t="shared" si="0"/>
        <v>6641750</v>
      </c>
      <c r="G8" s="165">
        <f>(GETPIVOTDATA("Sum of Enacted",'Federal LA pivot table'!$A$3,"States","CT; NH; VT; MA")/4)</f>
        <v>2574500</v>
      </c>
      <c r="H8" s="166">
        <f t="shared" si="1"/>
        <v>9216250</v>
      </c>
    </row>
    <row r="9" spans="1:8" x14ac:dyDescent="0.25">
      <c r="A9" s="13" t="s">
        <v>197</v>
      </c>
      <c r="B9" s="163">
        <f>GETPIVOTDATA("Obligation Amount",'Stateside data 2011-2014'!$O$2,"State","DE")</f>
        <v>450000</v>
      </c>
      <c r="C9" s="164"/>
      <c r="D9" s="164"/>
      <c r="E9" s="164"/>
      <c r="F9" s="165">
        <f t="shared" si="0"/>
        <v>450000</v>
      </c>
      <c r="G9" s="165"/>
      <c r="H9" s="166">
        <f t="shared" si="1"/>
        <v>450000</v>
      </c>
    </row>
    <row r="10" spans="1:8" x14ac:dyDescent="0.25">
      <c r="A10" s="13" t="s">
        <v>198</v>
      </c>
      <c r="B10" s="167">
        <f>GETPIVOTDATA("Obligation Amount",'Stateside data 2011-2014'!$O$2,"State","DC")</f>
        <v>85140</v>
      </c>
      <c r="C10" s="164"/>
      <c r="D10" s="164"/>
      <c r="E10" s="164"/>
      <c r="F10" s="165">
        <f t="shared" si="0"/>
        <v>85140</v>
      </c>
      <c r="G10" s="165"/>
      <c r="H10" s="166">
        <f t="shared" si="1"/>
        <v>85140</v>
      </c>
    </row>
    <row r="11" spans="1:8" x14ac:dyDescent="0.25">
      <c r="A11" s="13" t="s">
        <v>199</v>
      </c>
      <c r="B11" s="163">
        <f>GETPIVOTDATA("Obligation Amount",'Stateside data 2011-2014'!$O$2,"State","FL")</f>
        <v>6635290.4299999997</v>
      </c>
      <c r="C11" s="164"/>
      <c r="D11" s="164">
        <f>GETPIVOTDATA("Funding",'CESCF 2011-2014'!$H$2,"States","FL")</f>
        <v>17870413</v>
      </c>
      <c r="E11" s="164"/>
      <c r="F11" s="165">
        <f t="shared" si="0"/>
        <v>24505703.43</v>
      </c>
      <c r="G11" s="165">
        <f>GETPIVOTDATA("Sum of Enacted",'Federal LA pivot table'!$A$3,"States","FL")+(GETPIVOTDATA("Sum of Enacted",'Federal LA pivot table'!$A$3,"States","FL; GA")/2)</f>
        <v>53774600</v>
      </c>
      <c r="H11" s="166">
        <f t="shared" si="1"/>
        <v>78280303.430000007</v>
      </c>
    </row>
    <row r="12" spans="1:8" x14ac:dyDescent="0.25">
      <c r="A12" s="13" t="s">
        <v>200</v>
      </c>
      <c r="B12" s="163">
        <f>GETPIVOTDATA("Obligation Amount",'Stateside data 2011-2014'!$O$2,"State","GA")</f>
        <v>5112295</v>
      </c>
      <c r="C12" s="164">
        <f>GETPIVOTDATA("AMOUNT",'ABPP 2011-2014'!$H$1,"STATE","GA")</f>
        <v>2673876.73</v>
      </c>
      <c r="D12" s="164">
        <f>GETPIVOTDATA("Funding",'CESCF 2011-2014'!$H$2,"States","GA")</f>
        <v>1772865</v>
      </c>
      <c r="E12" s="164"/>
      <c r="F12" s="165">
        <f t="shared" si="0"/>
        <v>9559036.7300000004</v>
      </c>
      <c r="G12" s="165">
        <f>GETPIVOTDATA("Sum of Enacted",'Federal LA pivot table'!$A$3,"States","GA")+(GETPIVOTDATA("Sum of Enacted",'Federal LA pivot table'!$A$3,"States","FL; GA")/2)+(GETPIVOTDATA("Sum of Enacted",'Federal LA pivot table'!$A$3,"States","GA; SC")/2)</f>
        <v>8364500</v>
      </c>
      <c r="H12" s="166">
        <f t="shared" si="1"/>
        <v>17923536.73</v>
      </c>
    </row>
    <row r="13" spans="1:8" x14ac:dyDescent="0.25">
      <c r="A13" s="13" t="s">
        <v>201</v>
      </c>
      <c r="B13" s="167">
        <f>GETPIVOTDATA("Obligation Amount",'Stateside data 2011-2014'!$O$2,"State","GU")</f>
        <v>103630</v>
      </c>
      <c r="C13" s="164"/>
      <c r="D13" s="164"/>
      <c r="E13" s="164"/>
      <c r="F13" s="165">
        <f t="shared" si="0"/>
        <v>103630</v>
      </c>
      <c r="G13" s="165"/>
      <c r="H13" s="166">
        <f t="shared" si="1"/>
        <v>103630</v>
      </c>
    </row>
    <row r="14" spans="1:8" x14ac:dyDescent="0.25">
      <c r="A14" s="13" t="s">
        <v>202</v>
      </c>
      <c r="B14" s="163">
        <f>GETPIVOTDATA("Obligation Amount",'Stateside data 2011-2014'!$O$2,"State","HI")</f>
        <v>518656</v>
      </c>
      <c r="C14" s="164"/>
      <c r="D14" s="164">
        <f>GETPIVOTDATA("Funding",'CESCF 2011-2014'!$H$2,"States","HI")</f>
        <v>4584114</v>
      </c>
      <c r="E14" s="164"/>
      <c r="F14" s="165">
        <f t="shared" si="0"/>
        <v>5102770</v>
      </c>
      <c r="G14" s="165"/>
      <c r="H14" s="166">
        <f t="shared" si="1"/>
        <v>5102770</v>
      </c>
    </row>
    <row r="15" spans="1:8" x14ac:dyDescent="0.25">
      <c r="A15" s="13" t="s">
        <v>203</v>
      </c>
      <c r="B15" s="163">
        <f>GETPIVOTDATA("Obligation Amount",'Stateside data 2011-2014'!$O$2,"State","ID")</f>
        <v>850177</v>
      </c>
      <c r="C15" s="164"/>
      <c r="D15" s="164">
        <f>GETPIVOTDATA("Funding",'CESCF 2011-2014'!$H$2,"States","ID")</f>
        <v>232425</v>
      </c>
      <c r="E15" s="164"/>
      <c r="F15" s="165">
        <f t="shared" si="0"/>
        <v>1082602</v>
      </c>
      <c r="G15" s="165">
        <f>GETPIVOTDATA("Sum of Enacted",'Federal LA pivot table'!$A$3,"States","ID")+(GETPIVOTDATA("Sum of Enacted",'Federal LA pivot table'!$A$3,"States","ID/MT")/2)</f>
        <v>9801000</v>
      </c>
      <c r="H15" s="166">
        <f t="shared" si="1"/>
        <v>10883602</v>
      </c>
    </row>
    <row r="16" spans="1:8" x14ac:dyDescent="0.25">
      <c r="A16" s="13" t="s">
        <v>204</v>
      </c>
      <c r="B16" s="163">
        <f>GETPIVOTDATA("Obligation Amount",'Stateside data 2011-2014'!$O$2,"State","IL")</f>
        <v>5832830</v>
      </c>
      <c r="C16" s="164"/>
      <c r="D16" s="164"/>
      <c r="E16" s="164"/>
      <c r="F16" s="165">
        <f t="shared" si="0"/>
        <v>5832830</v>
      </c>
      <c r="G16" s="165">
        <f>GETPIVOTDATA("Sum of Enacted",'Federal LA pivot table'!$A$3,"States","IA; IL; MN; WI")/4</f>
        <v>350000</v>
      </c>
      <c r="H16" s="166">
        <f t="shared" si="1"/>
        <v>6182830</v>
      </c>
    </row>
    <row r="17" spans="1:8" x14ac:dyDescent="0.25">
      <c r="A17" s="13" t="s">
        <v>205</v>
      </c>
      <c r="B17" s="163">
        <f>GETPIVOTDATA("Obligation Amount",'Stateside data 2011-2014'!$O$2,"State","IN")</f>
        <v>2881829</v>
      </c>
      <c r="C17" s="164"/>
      <c r="D17" s="164"/>
      <c r="E17" s="164"/>
      <c r="F17" s="165">
        <f t="shared" si="0"/>
        <v>2881829</v>
      </c>
      <c r="G17" s="165"/>
      <c r="H17" s="166">
        <f t="shared" si="1"/>
        <v>2881829</v>
      </c>
    </row>
    <row r="18" spans="1:8" x14ac:dyDescent="0.25">
      <c r="A18" s="13" t="s">
        <v>206</v>
      </c>
      <c r="B18" s="163">
        <f>GETPIVOTDATA("Obligation Amount",'Stateside data 2011-2014'!$O$2,"State","IA")</f>
        <v>1899924.04</v>
      </c>
      <c r="C18" s="164"/>
      <c r="D18" s="164">
        <f>GETPIVOTDATA("Funding",'CESCF 2011-2014'!$H$2,"States","IA")</f>
        <v>252960</v>
      </c>
      <c r="E18" s="164"/>
      <c r="F18" s="165">
        <f t="shared" si="0"/>
        <v>2152884.04</v>
      </c>
      <c r="G18" s="165">
        <f>GETPIVOTDATA("Sum of Enacted",'Federal LA pivot table'!$A$3,"States","IA")+(GETPIVOTDATA("Sum of Enacted",'Federal LA pivot table'!$A$3,"States","IA; IL; MN; WI")/4)+(GETPIVOTDATA("Sum of Enacted",'Federal LA pivot table'!$A$3,"States","IA; MN")/2)</f>
        <v>2846000</v>
      </c>
      <c r="H18" s="166">
        <f t="shared" si="1"/>
        <v>4998884.04</v>
      </c>
    </row>
    <row r="19" spans="1:8" x14ac:dyDescent="0.25">
      <c r="A19" s="13" t="s">
        <v>207</v>
      </c>
      <c r="B19" s="163">
        <f>GETPIVOTDATA("Obligation Amount",'Stateside data 2011-2014'!$O$2,"State","KS")</f>
        <v>1600333.5</v>
      </c>
      <c r="C19" s="164"/>
      <c r="D19" s="164"/>
      <c r="E19" s="164"/>
      <c r="F19" s="165">
        <f t="shared" si="0"/>
        <v>1600333.5</v>
      </c>
      <c r="G19" s="165">
        <f>GETPIVOTDATA("Sum of Enacted",'Federal LA pivot table'!$A$3,"States","KS")</f>
        <v>2000000</v>
      </c>
      <c r="H19" s="166">
        <f t="shared" si="1"/>
        <v>3600333.5</v>
      </c>
    </row>
    <row r="20" spans="1:8" x14ac:dyDescent="0.25">
      <c r="A20" s="13" t="s">
        <v>208</v>
      </c>
      <c r="B20" s="163">
        <f>GETPIVOTDATA("Obligation Amount",'Stateside data 2011-2014'!$O$2,"State","KY")</f>
        <v>1632189</v>
      </c>
      <c r="C20" s="164">
        <f>GETPIVOTDATA("AMOUNT",'ABPP 2011-2014'!$H$1,"STATE","KY")</f>
        <v>1373883.53</v>
      </c>
      <c r="D20" s="164"/>
      <c r="E20" s="164"/>
      <c r="F20" s="165">
        <f t="shared" si="0"/>
        <v>3006072.5300000003</v>
      </c>
      <c r="G20" s="165"/>
      <c r="H20" s="166">
        <f t="shared" si="1"/>
        <v>3006072.5300000003</v>
      </c>
    </row>
    <row r="21" spans="1:8" x14ac:dyDescent="0.25">
      <c r="A21" s="13" t="s">
        <v>209</v>
      </c>
      <c r="B21" s="163">
        <f>GETPIVOTDATA("Obligation Amount",'Stateside data 2011-2014'!$O$2,"State","LA")</f>
        <v>1715000</v>
      </c>
      <c r="C21" s="164">
        <f>GETPIVOTDATA("AMOUNT",'ABPP 2011-2014'!$H$1,"STATE","LA")</f>
        <v>377346</v>
      </c>
      <c r="D21" s="164"/>
      <c r="E21" s="164"/>
      <c r="F21" s="165">
        <f t="shared" si="0"/>
        <v>2092346</v>
      </c>
      <c r="G21" s="165">
        <f>GETPIVOTDATA("Sum of Enacted",'Federal LA pivot table'!$A$3,"States","LA")</f>
        <v>3000000</v>
      </c>
      <c r="H21" s="166">
        <f t="shared" si="1"/>
        <v>5092346</v>
      </c>
    </row>
    <row r="22" spans="1:8" x14ac:dyDescent="0.25">
      <c r="A22" s="13" t="s">
        <v>210</v>
      </c>
      <c r="B22" s="163">
        <f>GETPIVOTDATA("Obligation Amount",'Stateside data 2011-2014'!$O$2,"State","ME")</f>
        <v>997527</v>
      </c>
      <c r="C22" s="164"/>
      <c r="D22" s="164"/>
      <c r="E22" s="164"/>
      <c r="F22" s="165">
        <f t="shared" si="0"/>
        <v>997527</v>
      </c>
      <c r="G22" s="165">
        <f>GETPIVOTDATA("Sum of Enacted",'Federal LA pivot table'!$A$3,"States","ME")+(GETPIVOTDATA("Sum of Enacted",'Federal LA pivot table'!$A$3,"States","NH, ME")/2)</f>
        <v>2820000</v>
      </c>
      <c r="H22" s="166">
        <f t="shared" si="1"/>
        <v>3817527</v>
      </c>
    </row>
    <row r="23" spans="1:8" x14ac:dyDescent="0.25">
      <c r="A23" s="13" t="s">
        <v>211</v>
      </c>
      <c r="B23" s="163">
        <f>GETPIVOTDATA("Obligation Amount",'Stateside data 2011-2014'!$O$2,"State","MD")</f>
        <v>1350000</v>
      </c>
      <c r="C23" s="164">
        <f>GETPIVOTDATA("AMOUNT",'ABPP 2011-2014'!$H$1,"STATE","MD")</f>
        <v>1121354.75</v>
      </c>
      <c r="D23" s="164">
        <f>GETPIVOTDATA("Funding",'CESCF 2011-2014'!$H$2,"States","MD")</f>
        <v>2579286</v>
      </c>
      <c r="E23" s="164"/>
      <c r="F23" s="165">
        <f t="shared" si="0"/>
        <v>5050640.75</v>
      </c>
      <c r="G23" s="165">
        <f>GETPIVOTDATA("Sum of Enacted",'Federal LA pivot table'!$A$3,"States","MD")</f>
        <v>2140000</v>
      </c>
      <c r="H23" s="166">
        <f t="shared" si="1"/>
        <v>7190640.75</v>
      </c>
    </row>
    <row r="24" spans="1:8" x14ac:dyDescent="0.25">
      <c r="A24" s="13" t="s">
        <v>212</v>
      </c>
      <c r="B24" s="163">
        <f>GETPIVOTDATA("Obligation Amount",'Stateside data 2011-2014'!$O$2,"State","MA")</f>
        <v>111587</v>
      </c>
      <c r="C24" s="164"/>
      <c r="D24" s="164"/>
      <c r="E24" s="164"/>
      <c r="F24" s="165">
        <f t="shared" si="0"/>
        <v>111587</v>
      </c>
      <c r="G24" s="165">
        <f>GETPIVOTDATA("Sum of Enacted",'Federal LA pivot table'!$A$3,"States","CT; NH; VT; MA")/4</f>
        <v>2574500</v>
      </c>
      <c r="H24" s="166">
        <f t="shared" si="1"/>
        <v>2686087</v>
      </c>
    </row>
    <row r="25" spans="1:8" x14ac:dyDescent="0.25">
      <c r="A25" s="13" t="s">
        <v>213</v>
      </c>
      <c r="B25" s="163">
        <f>GETPIVOTDATA("Obligation Amount",'Stateside data 2011-2014'!$O$2,"State","MI")</f>
        <v>4257409.1899999995</v>
      </c>
      <c r="C25" s="164"/>
      <c r="D25" s="164">
        <f>GETPIVOTDATA("Funding",'CESCF 2011-2014'!$H$2,"States","MI")</f>
        <v>180000</v>
      </c>
      <c r="E25" s="164"/>
      <c r="F25" s="165">
        <f t="shared" si="0"/>
        <v>4437409.1899999995</v>
      </c>
      <c r="G25" s="165">
        <f>GETPIVOTDATA("Sum of Enacted",'Federal LA pivot table'!$A$3,"States","MI")</f>
        <v>5269000</v>
      </c>
      <c r="H25" s="166">
        <f t="shared" si="1"/>
        <v>9706409.1899999995</v>
      </c>
    </row>
    <row r="26" spans="1:8" x14ac:dyDescent="0.25">
      <c r="A26" s="13" t="s">
        <v>156</v>
      </c>
      <c r="B26" s="163">
        <f>GETPIVOTDATA("Obligation Amount",'Stateside data 2011-2014'!$O$2,"State","MN")</f>
        <v>3199048</v>
      </c>
      <c r="C26" s="164">
        <f>GETPIVOTDATA("AMOUNT",'ABPP 2011-2014'!$H$1,"STATE","MN")</f>
        <v>70250</v>
      </c>
      <c r="D26" s="164"/>
      <c r="E26" s="164"/>
      <c r="F26" s="165">
        <f t="shared" si="0"/>
        <v>3269298</v>
      </c>
      <c r="G26" s="165">
        <f>GETPIVOTDATA("Sum of Enacted",'Federal LA pivot table'!$A$3,"States","MN")+(GETPIVOTDATA("Sum of Enacted",'Federal LA pivot table'!$A$3,"States","IA; MN")/2)+(GETPIVOTDATA("Sum of Enacted",'Federal LA pivot table'!$A$3,"States","IA; IL; MN; WI")/4)</f>
        <v>915000</v>
      </c>
      <c r="H26" s="166">
        <f t="shared" si="1"/>
        <v>4184298</v>
      </c>
    </row>
    <row r="27" spans="1:8" x14ac:dyDescent="0.25">
      <c r="A27" s="13" t="s">
        <v>214</v>
      </c>
      <c r="B27" s="163">
        <f>GETPIVOTDATA("Obligation Amount",'Stateside data 2011-2014'!$O$2,"State","MS")</f>
        <v>1072670</v>
      </c>
      <c r="C27" s="164">
        <f>GETPIVOTDATA("AMOUNT",'ABPP 2011-2014'!$H$1,"STATE","MS")</f>
        <v>455952.5</v>
      </c>
      <c r="D27" s="164"/>
      <c r="E27" s="164"/>
      <c r="F27" s="165">
        <f t="shared" si="0"/>
        <v>1528622.5</v>
      </c>
      <c r="G27" s="165"/>
      <c r="H27" s="166">
        <f t="shared" si="1"/>
        <v>1528622.5</v>
      </c>
    </row>
    <row r="28" spans="1:8" x14ac:dyDescent="0.25">
      <c r="A28" s="13" t="s">
        <v>215</v>
      </c>
      <c r="B28" s="163">
        <f>GETPIVOTDATA("Obligation Amount",'Stateside data 2011-2014'!$O$2,"State","MO")</f>
        <v>2939151.5</v>
      </c>
      <c r="C28" s="164">
        <f>GETPIVOTDATA("AMOUNT",'ABPP 2011-2014'!$H$1,"STATE","MO")</f>
        <v>192943</v>
      </c>
      <c r="D28" s="164">
        <f>GETPIVOTDATA("Funding",'CESCF 2011-2014'!$H$2,"States","MO")</f>
        <v>534750</v>
      </c>
      <c r="E28" s="164"/>
      <c r="F28" s="165">
        <f t="shared" si="0"/>
        <v>3666844.5</v>
      </c>
      <c r="G28" s="165"/>
      <c r="H28" s="166">
        <f t="shared" si="1"/>
        <v>3666844.5</v>
      </c>
    </row>
    <row r="29" spans="1:8" x14ac:dyDescent="0.25">
      <c r="A29" s="13" t="s">
        <v>216</v>
      </c>
      <c r="B29" s="163">
        <f>GETPIVOTDATA("Obligation Amount",'Stateside data 2011-2014'!$O$2,"State","MT")</f>
        <v>1527205.5</v>
      </c>
      <c r="C29" s="164"/>
      <c r="D29" s="164">
        <f>GETPIVOTDATA("Funding",'CESCF 2011-2014'!$H$2,"States","MT")</f>
        <v>6000000</v>
      </c>
      <c r="E29" s="164"/>
      <c r="F29" s="165">
        <f t="shared" si="0"/>
        <v>7527205.5</v>
      </c>
      <c r="G29" s="165">
        <f>GETPIVOTDATA("Sum of Enacted",'Federal LA pivot table'!$A$3,"States","MT")+(GETPIVOTDATA("Sum of Enacted",'Federal LA pivot table'!$A$3,"States","ID/MT")/2)</f>
        <v>42613000</v>
      </c>
      <c r="H29" s="166">
        <f t="shared" si="1"/>
        <v>50140205.5</v>
      </c>
    </row>
    <row r="30" spans="1:8" x14ac:dyDescent="0.25">
      <c r="A30" s="13" t="s">
        <v>217</v>
      </c>
      <c r="B30" s="163">
        <f>GETPIVOTDATA("Obligation Amount",'Stateside data 2011-2014'!$O$2,"State","NE")</f>
        <v>2352348.8099999996</v>
      </c>
      <c r="C30" s="164"/>
      <c r="D30" s="164">
        <f>GETPIVOTDATA("Funding",'CESCF 2011-2014'!$H$2,"States","NE")</f>
        <v>795301</v>
      </c>
      <c r="E30" s="164"/>
      <c r="F30" s="165">
        <f t="shared" si="0"/>
        <v>3147649.8099999996</v>
      </c>
      <c r="G30" s="165"/>
      <c r="H30" s="166">
        <f t="shared" si="1"/>
        <v>3147649.8099999996</v>
      </c>
    </row>
    <row r="31" spans="1:8" x14ac:dyDescent="0.25">
      <c r="A31" s="13" t="s">
        <v>218</v>
      </c>
      <c r="B31" s="163">
        <f>GETPIVOTDATA("Obligation Amount",'Stateside data 2011-2014'!$O$2,"State","NV")</f>
        <v>1185254.3599999999</v>
      </c>
      <c r="C31" s="164"/>
      <c r="D31" s="164"/>
      <c r="E31" s="164"/>
      <c r="F31" s="165">
        <f t="shared" si="0"/>
        <v>1185254.3599999999</v>
      </c>
      <c r="G31" s="165"/>
      <c r="H31" s="166">
        <f t="shared" si="1"/>
        <v>1185254.3599999999</v>
      </c>
    </row>
    <row r="32" spans="1:8" x14ac:dyDescent="0.25">
      <c r="A32" s="13" t="s">
        <v>219</v>
      </c>
      <c r="B32" s="163">
        <f>GETPIVOTDATA("Obligation Amount",'Stateside data 2011-2014'!$O$2,"State","NH")</f>
        <v>770716.9</v>
      </c>
      <c r="C32" s="164"/>
      <c r="D32" s="164"/>
      <c r="E32" s="164"/>
      <c r="F32" s="165">
        <f t="shared" si="0"/>
        <v>770716.9</v>
      </c>
      <c r="G32" s="165">
        <f>(GETPIVOTDATA("Sum of Enacted",'Federal LA pivot table'!$A$3,"States","CT; NH; VT; MA")/4)+(GETPIVOTDATA("Sum of Enacted",'Federal LA pivot table'!$A$3,"States","NH, ME")/2)</f>
        <v>3694500</v>
      </c>
      <c r="H32" s="166">
        <f t="shared" si="1"/>
        <v>4465216.9000000004</v>
      </c>
    </row>
    <row r="33" spans="1:8" x14ac:dyDescent="0.25">
      <c r="A33" s="13" t="s">
        <v>220</v>
      </c>
      <c r="B33" s="163">
        <f>GETPIVOTDATA("Obligation Amount",'Stateside data 2011-2014'!$O$2,"State","NJ")</f>
        <v>1398000</v>
      </c>
      <c r="C33" s="164"/>
      <c r="D33" s="164">
        <f>GETPIVOTDATA("Funding",'CESCF 2011-2014'!$H$2,"States","NJ")</f>
        <v>440000</v>
      </c>
      <c r="E33" s="164">
        <f>(GETPIVOTDATA("Sum of Enacted",'Federal LA pivot table'!$A$3,"States","CT; NJ; NY; PA")/4)</f>
        <v>1278750</v>
      </c>
      <c r="F33" s="165">
        <f t="shared" si="0"/>
        <v>3116750</v>
      </c>
      <c r="G33" s="165">
        <f>GETPIVOTDATA("Sum of Enacted",'Federal LA pivot table'!$A$3,"States","NJ")</f>
        <v>250000</v>
      </c>
      <c r="H33" s="166">
        <f t="shared" si="1"/>
        <v>3366750</v>
      </c>
    </row>
    <row r="34" spans="1:8" x14ac:dyDescent="0.25">
      <c r="A34" s="13" t="s">
        <v>221</v>
      </c>
      <c r="B34" s="163">
        <f>GETPIVOTDATA("Obligation Amount",'Stateside data 2011-2014'!$O$2,"State","NM")</f>
        <v>2061500</v>
      </c>
      <c r="C34" s="164">
        <f>GETPIVOTDATA("AMOUNT",'ABPP 2011-2014'!$H$1,"STATE","NM")</f>
        <v>22300</v>
      </c>
      <c r="D34" s="164">
        <f>GETPIVOTDATA("Funding",'CESCF 2011-2014'!$H$2,"States","NM")</f>
        <v>27649</v>
      </c>
      <c r="E34" s="164"/>
      <c r="F34" s="165">
        <f>SUM(B34:E34)</f>
        <v>2111449</v>
      </c>
      <c r="G34" s="165">
        <f>GETPIVOTDATA("Sum of Enacted",'Federal LA pivot table'!$A$3,"States","NM")</f>
        <v>3508000</v>
      </c>
      <c r="H34" s="166">
        <f t="shared" si="1"/>
        <v>5619449</v>
      </c>
    </row>
    <row r="35" spans="1:8" x14ac:dyDescent="0.25">
      <c r="A35" s="13" t="s">
        <v>222</v>
      </c>
      <c r="B35" s="163">
        <f>GETPIVOTDATA("Obligation Amount",'Stateside data 2011-2014'!$O$2,"State","NY")</f>
        <v>6108163.4199999999</v>
      </c>
      <c r="C35" s="164"/>
      <c r="D35" s="164"/>
      <c r="E35" s="164">
        <f>(GETPIVOTDATA("Sum of Enacted",'Federal LA pivot table'!$A$3,"States","CT; NJ; NY; PA")/4)</f>
        <v>1278750</v>
      </c>
      <c r="F35" s="165">
        <f t="shared" si="0"/>
        <v>7386913.4199999999</v>
      </c>
      <c r="G35" s="165">
        <f>GETPIVOTDATA("Sum of Enacted",'Federal LA pivot table'!$A$3,"States","NY")</f>
        <v>1250000</v>
      </c>
      <c r="H35" s="166">
        <f t="shared" si="1"/>
        <v>8636913.4199999999</v>
      </c>
    </row>
    <row r="36" spans="1:8" x14ac:dyDescent="0.25">
      <c r="A36" s="13" t="s">
        <v>223</v>
      </c>
      <c r="B36" s="163">
        <f>GETPIVOTDATA("Obligation Amount",'Stateside data 2011-2014'!$O$2,"State","NC")</f>
        <v>1658888</v>
      </c>
      <c r="C36" s="164">
        <f>GETPIVOTDATA("AMOUNT",'ABPP 2011-2014'!$H$1,"STATE","NC")</f>
        <v>1492965.5</v>
      </c>
      <c r="D36" s="164">
        <f>GETPIVOTDATA("Funding",'CESCF 2011-2014'!$H$2,"States","NC")</f>
        <v>1370400</v>
      </c>
      <c r="E36" s="164"/>
      <c r="F36" s="165">
        <f t="shared" si="0"/>
        <v>4522253.5</v>
      </c>
      <c r="G36" s="165"/>
      <c r="H36" s="166">
        <f t="shared" si="1"/>
        <v>4522253.5</v>
      </c>
    </row>
    <row r="37" spans="1:8" x14ac:dyDescent="0.25">
      <c r="A37" s="13" t="s">
        <v>224</v>
      </c>
      <c r="B37" s="163">
        <f>GETPIVOTDATA("Obligation Amount",'Stateside data 2011-2014'!$O$2,"State","ND")</f>
        <v>1270359.1099999999</v>
      </c>
      <c r="C37" s="164"/>
      <c r="D37" s="164"/>
      <c r="E37" s="164"/>
      <c r="F37" s="165">
        <f t="shared" si="0"/>
        <v>1270359.1099999999</v>
      </c>
      <c r="G37" s="165">
        <f>GETPIVOTDATA("Sum of Enacted",'Federal LA pivot table'!$A$3,"States","ND")+(GETPIVOTDATA("Sum of Enacted",'Federal LA pivot table'!$A$3,"States","ND;SD")/2)</f>
        <v>7825000</v>
      </c>
      <c r="H37" s="166">
        <f t="shared" si="1"/>
        <v>9095359.1099999994</v>
      </c>
    </row>
    <row r="38" spans="1:8" x14ac:dyDescent="0.25">
      <c r="A38" s="13" t="s">
        <v>225</v>
      </c>
      <c r="B38" s="163">
        <f>GETPIVOTDATA("Obligation Amount",'Stateside data 2011-2014'!$O$2,"State","OH")</f>
        <v>4051788.5</v>
      </c>
      <c r="C38" s="164"/>
      <c r="D38" s="164"/>
      <c r="E38" s="164"/>
      <c r="F38" s="165">
        <f t="shared" si="0"/>
        <v>4051788.5</v>
      </c>
      <c r="G38" s="165">
        <f>GETPIVOTDATA("Sum of Enacted",'Federal LA pivot table'!$A$3,"States","OH")</f>
        <v>5400000</v>
      </c>
      <c r="H38" s="166">
        <f t="shared" si="1"/>
        <v>9451788.5</v>
      </c>
    </row>
    <row r="39" spans="1:8" x14ac:dyDescent="0.25">
      <c r="A39" s="13" t="s">
        <v>226</v>
      </c>
      <c r="B39" s="163">
        <f>GETPIVOTDATA("Obligation Amount",'Stateside data 2011-2014'!$O$2,"State","OK")</f>
        <v>2357901.19</v>
      </c>
      <c r="C39" s="164">
        <f>GETPIVOTDATA("AMOUNT",'ABPP 2011-2014'!$H$1,"STATE","OK")</f>
        <v>185575</v>
      </c>
      <c r="D39" s="164"/>
      <c r="E39" s="164"/>
      <c r="F39" s="165">
        <f t="shared" si="0"/>
        <v>2543476.19</v>
      </c>
      <c r="G39" s="165"/>
      <c r="H39" s="166">
        <f t="shared" si="1"/>
        <v>2543476.19</v>
      </c>
    </row>
    <row r="40" spans="1:8" x14ac:dyDescent="0.25">
      <c r="A40" s="13" t="s">
        <v>227</v>
      </c>
      <c r="B40" s="163">
        <f>GETPIVOTDATA("Obligation Amount",'Stateside data 2011-2014'!$O$2,"State","OR")</f>
        <v>1576307.4500000002</v>
      </c>
      <c r="C40" s="164"/>
      <c r="D40" s="164">
        <f>GETPIVOTDATA("Funding",'CESCF 2011-2014'!$H$2,"States","OR")</f>
        <v>3361719</v>
      </c>
      <c r="E40" s="164"/>
      <c r="F40" s="165">
        <f t="shared" si="0"/>
        <v>4938026.45</v>
      </c>
      <c r="G40" s="165">
        <f>GETPIVOTDATA("Sum of Enacted",'Federal LA pivot table'!$A$3,"States","OR")</f>
        <v>10959400</v>
      </c>
      <c r="H40" s="166">
        <f t="shared" si="1"/>
        <v>15897426.449999999</v>
      </c>
    </row>
    <row r="41" spans="1:8" x14ac:dyDescent="0.25">
      <c r="A41" s="13" t="s">
        <v>228</v>
      </c>
      <c r="B41" s="163">
        <f>GETPIVOTDATA("Obligation Amount",'Stateside data 2011-2014'!$O$2,"State","PA")</f>
        <v>3492000</v>
      </c>
      <c r="C41" s="164">
        <f>GETPIVOTDATA("AMOUNT",'ABPP 2011-2014'!$H$1,"STATE","PA")</f>
        <v>2065806.75</v>
      </c>
      <c r="D41" s="164">
        <f>GETPIVOTDATA("Funding",'CESCF 2011-2014'!$H$2,"States","PA")</f>
        <v>262500</v>
      </c>
      <c r="E41" s="164">
        <f>(GETPIVOTDATA("Sum of Enacted",'Federal LA pivot table'!$A$3,"States","CT; NJ; NY; PA")/4)</f>
        <v>1278750</v>
      </c>
      <c r="F41" s="165">
        <f t="shared" si="0"/>
        <v>7099056.75</v>
      </c>
      <c r="G41" s="165"/>
      <c r="H41" s="166">
        <f t="shared" si="1"/>
        <v>7099056.75</v>
      </c>
    </row>
    <row r="42" spans="1:8" x14ac:dyDescent="0.25">
      <c r="A42" s="13" t="s">
        <v>229</v>
      </c>
      <c r="B42" s="167">
        <f>GETPIVOTDATA("Obligation Amount",'Stateside data 2011-2014'!$O$2,"State","PR")</f>
        <v>1251147</v>
      </c>
      <c r="C42" s="164"/>
      <c r="D42" s="164"/>
      <c r="E42" s="164"/>
      <c r="F42" s="165">
        <f t="shared" si="0"/>
        <v>1251147</v>
      </c>
      <c r="G42" s="165"/>
      <c r="H42" s="166">
        <f t="shared" si="1"/>
        <v>1251147</v>
      </c>
    </row>
    <row r="43" spans="1:8" x14ac:dyDescent="0.25">
      <c r="A43" s="13" t="s">
        <v>230</v>
      </c>
      <c r="B43" s="163">
        <f>GETPIVOTDATA("Obligation Amount",'Stateside data 2011-2014'!$O$2,"State","RI")</f>
        <v>727845</v>
      </c>
      <c r="C43" s="164"/>
      <c r="D43" s="164"/>
      <c r="E43" s="164"/>
      <c r="F43" s="165">
        <f t="shared" si="0"/>
        <v>727845</v>
      </c>
      <c r="G43" s="165"/>
      <c r="H43" s="166">
        <f t="shared" si="1"/>
        <v>727845</v>
      </c>
    </row>
    <row r="44" spans="1:8" x14ac:dyDescent="0.25">
      <c r="A44" s="13" t="s">
        <v>231</v>
      </c>
      <c r="B44" s="163">
        <f>GETPIVOTDATA("Obligation Amount",'Stateside data 2011-2014'!$O$2,"State","SC")</f>
        <v>1125000</v>
      </c>
      <c r="C44" s="164"/>
      <c r="D44" s="164"/>
      <c r="E44" s="164"/>
      <c r="F44" s="165">
        <f t="shared" si="0"/>
        <v>1125000</v>
      </c>
      <c r="G44" s="165">
        <f>GETPIVOTDATA("Sum of Enacted",'Federal LA pivot table'!$A$3,"States","SC")+(GETPIVOTDATA("Sum of Enacted",'Federal LA pivot table'!$A$3,"States","GA; SC")/2)</f>
        <v>6449000</v>
      </c>
      <c r="H44" s="166">
        <f t="shared" si="1"/>
        <v>7574000</v>
      </c>
    </row>
    <row r="45" spans="1:8" x14ac:dyDescent="0.25">
      <c r="A45" s="13" t="s">
        <v>232</v>
      </c>
      <c r="B45" s="163">
        <f>GETPIVOTDATA("Obligation Amount",'Stateside data 2011-2014'!$O$2,"State","SD")</f>
        <v>1876651.19</v>
      </c>
      <c r="C45" s="164"/>
      <c r="D45" s="164"/>
      <c r="E45" s="164"/>
      <c r="F45" s="165">
        <f t="shared" si="0"/>
        <v>1876651.19</v>
      </c>
      <c r="G45" s="165">
        <f>GETPIVOTDATA("Sum of Enacted",'Federal LA pivot table'!$A$3,"States","SD")+(GETPIVOTDATA("Sum of Enacted",'Federal LA pivot table'!$A$3,"States","ND;SD")/2)</f>
        <v>15140000</v>
      </c>
      <c r="H45" s="166">
        <f t="shared" si="1"/>
        <v>17016651.190000001</v>
      </c>
    </row>
    <row r="46" spans="1:8" x14ac:dyDescent="0.25">
      <c r="A46" s="13" t="s">
        <v>233</v>
      </c>
      <c r="B46" s="163">
        <f>GETPIVOTDATA("Obligation Amount",'Stateside data 2011-2014'!$O$2,"State","TN")</f>
        <v>2375001</v>
      </c>
      <c r="C46" s="164">
        <f>GETPIVOTDATA("AMOUNT",'ABPP 2011-2014'!$H$1,"STATE","TN")</f>
        <v>1691170.21</v>
      </c>
      <c r="D46" s="164">
        <f>GETPIVOTDATA("Funding",'CESCF 2011-2014'!$H$2,"States","TN")</f>
        <v>800000</v>
      </c>
      <c r="E46" s="164"/>
      <c r="F46" s="165">
        <f t="shared" si="0"/>
        <v>4866171.21</v>
      </c>
      <c r="G46" s="165"/>
      <c r="H46" s="166">
        <f t="shared" si="1"/>
        <v>4866171.21</v>
      </c>
    </row>
    <row r="47" spans="1:8" x14ac:dyDescent="0.25">
      <c r="A47" s="13" t="s">
        <v>234</v>
      </c>
      <c r="B47" s="163">
        <f>GETPIVOTDATA("Obligation Amount",'Stateside data 2011-2014'!$O$2,"State","TX")</f>
        <v>6719639.5900000008</v>
      </c>
      <c r="C47" s="164"/>
      <c r="D47" s="164">
        <f>GETPIVOTDATA("Funding",'CESCF 2011-2014'!$H$2,"States","TX")</f>
        <v>7632315</v>
      </c>
      <c r="E47" s="164"/>
      <c r="F47" s="165">
        <f t="shared" si="0"/>
        <v>14351954.59</v>
      </c>
      <c r="G47" s="165">
        <f>GETPIVOTDATA("Sum of Enacted",'Federal LA pivot table'!$A$3,"States","TX")</f>
        <v>8928000</v>
      </c>
      <c r="H47" s="166">
        <f t="shared" si="1"/>
        <v>23279954.59</v>
      </c>
    </row>
    <row r="48" spans="1:8" x14ac:dyDescent="0.25">
      <c r="A48" s="13" t="s">
        <v>235</v>
      </c>
      <c r="B48" s="163">
        <f>GETPIVOTDATA("Obligation Amount",'Stateside data 2011-2014'!$O$2,"State","UT")</f>
        <v>1629978</v>
      </c>
      <c r="C48" s="164"/>
      <c r="D48" s="164">
        <f>GETPIVOTDATA("Funding",'CESCF 2011-2014'!$H$2,"States","UT")</f>
        <v>2576766</v>
      </c>
      <c r="E48" s="164"/>
      <c r="F48" s="165">
        <f t="shared" si="0"/>
        <v>4206744</v>
      </c>
      <c r="G48" s="165">
        <f>GETPIVOTDATA("Sum of Enacted",'Federal LA pivot table'!$A$3,"States","UT")</f>
        <v>1600000</v>
      </c>
      <c r="H48" s="166">
        <f t="shared" si="1"/>
        <v>5806744</v>
      </c>
    </row>
    <row r="49" spans="1:8" x14ac:dyDescent="0.25">
      <c r="A49" s="13" t="s">
        <v>236</v>
      </c>
      <c r="B49" s="163">
        <f>GETPIVOTDATA("Obligation Amount",'Stateside data 2011-2014'!$O$2,"State","VT")</f>
        <v>628381</v>
      </c>
      <c r="C49" s="164"/>
      <c r="D49" s="164"/>
      <c r="E49" s="164"/>
      <c r="F49" s="165">
        <f t="shared" si="0"/>
        <v>628381</v>
      </c>
      <c r="G49" s="165">
        <f>GETPIVOTDATA("Sum of Enacted",'Federal LA pivot table'!$A$3,"States","CT; NH; VT; MA")/4</f>
        <v>2574500</v>
      </c>
      <c r="H49" s="166">
        <f t="shared" si="1"/>
        <v>3202881</v>
      </c>
    </row>
    <row r="50" spans="1:8" x14ac:dyDescent="0.25">
      <c r="A50" s="13" t="s">
        <v>237</v>
      </c>
      <c r="B50" s="167">
        <f>GETPIVOTDATA("Obligation Amount",'Stateside data 2011-2014'!$O$2,"State","VI")</f>
        <v>152969</v>
      </c>
      <c r="C50" s="164"/>
      <c r="D50" s="164"/>
      <c r="E50" s="164"/>
      <c r="F50" s="165">
        <f t="shared" si="0"/>
        <v>152969</v>
      </c>
      <c r="G50" s="165">
        <f>GETPIVOTDATA("Sum of Enacted",'Federal LA pivot table'!$A$3,"States","VI")</f>
        <v>7809000</v>
      </c>
      <c r="H50" s="166">
        <f t="shared" si="1"/>
        <v>7961969</v>
      </c>
    </row>
    <row r="51" spans="1:8" x14ac:dyDescent="0.25">
      <c r="A51" s="13" t="s">
        <v>238</v>
      </c>
      <c r="B51" s="163">
        <f>GETPIVOTDATA("Obligation Amount",'Stateside data 2011-2014'!$O$2,"State","VA")</f>
        <v>1748420</v>
      </c>
      <c r="C51" s="164">
        <f>GETPIVOTDATA("AMOUNT",'ABPP 2011-2014'!$H$1,"STATE","VA")</f>
        <v>15734844.5</v>
      </c>
      <c r="D51" s="164">
        <f>GETPIVOTDATA("Funding",'CESCF 2011-2014'!$H$2,"States","VA")</f>
        <v>493250</v>
      </c>
      <c r="E51" s="164"/>
      <c r="F51" s="165">
        <f t="shared" si="0"/>
        <v>17976514.5</v>
      </c>
      <c r="G51" s="165">
        <f>GETPIVOTDATA("Sum of Enacted",'Federal LA pivot table'!$A$3,"States","VA")</f>
        <v>1500000</v>
      </c>
      <c r="H51" s="166">
        <f t="shared" si="1"/>
        <v>19476514.5</v>
      </c>
    </row>
    <row r="52" spans="1:8" x14ac:dyDescent="0.25">
      <c r="A52" s="13" t="s">
        <v>239</v>
      </c>
      <c r="B52" s="163">
        <f>GETPIVOTDATA("Obligation Amount",'Stateside data 2011-2014'!$O$2,"State","WA")</f>
        <v>1927127.87</v>
      </c>
      <c r="C52" s="164"/>
      <c r="D52" s="164">
        <f>GETPIVOTDATA("Funding",'CESCF 2011-2014'!$H$2,"States","WA")</f>
        <v>16662050</v>
      </c>
      <c r="E52" s="164"/>
      <c r="F52" s="165">
        <f t="shared" si="0"/>
        <v>18589177.870000001</v>
      </c>
      <c r="G52" s="165">
        <f>GETPIVOTDATA("Sum of Enacted",'Federal LA pivot table'!$A$3,"States","WA")</f>
        <v>2000000</v>
      </c>
      <c r="H52" s="166">
        <f t="shared" si="1"/>
        <v>20589177.870000001</v>
      </c>
    </row>
    <row r="53" spans="1:8" x14ac:dyDescent="0.25">
      <c r="A53" s="13" t="s">
        <v>240</v>
      </c>
      <c r="B53" s="163">
        <f>GETPIVOTDATA("Obligation Amount",'Stateside data 2011-2014'!$O$2,"State","WV")</f>
        <v>979882</v>
      </c>
      <c r="C53" s="164">
        <f>GETPIVOTDATA("AMOUNT",'ABPP 2011-2014'!$H$1,"STATE","WV")</f>
        <v>2621867.6</v>
      </c>
      <c r="D53" s="164">
        <f>GETPIVOTDATA("Funding",'CESCF 2011-2014'!$H$2,"States","WV")</f>
        <v>700000</v>
      </c>
      <c r="E53" s="164"/>
      <c r="F53" s="165">
        <f t="shared" si="0"/>
        <v>4301749.5999999996</v>
      </c>
      <c r="G53" s="165">
        <f>GETPIVOTDATA("Sum of Enacted",'Federal LA pivot table'!$A$3,"States","WV")</f>
        <v>950000</v>
      </c>
      <c r="H53" s="166">
        <f t="shared" si="1"/>
        <v>5251749.5999999996</v>
      </c>
    </row>
    <row r="54" spans="1:8" x14ac:dyDescent="0.25">
      <c r="A54" s="13" t="s">
        <v>241</v>
      </c>
      <c r="B54" s="163">
        <f>GETPIVOTDATA("Obligation Amount",'Stateside data 2011-2014'!$O$2,"State","WI")</f>
        <v>3742702.82</v>
      </c>
      <c r="C54" s="164"/>
      <c r="D54" s="164">
        <f>GETPIVOTDATA("Funding",'CESCF 2011-2014'!$H$2,"States","WI")</f>
        <v>2978100</v>
      </c>
      <c r="E54" s="164"/>
      <c r="F54" s="165">
        <f t="shared" si="0"/>
        <v>6720802.8200000003</v>
      </c>
      <c r="G54" s="165">
        <f>GETPIVOTDATA("Sum of Enacted",'Federal LA pivot table'!$A$3,"States","IA; IL; MN; WI")/4</f>
        <v>350000</v>
      </c>
      <c r="H54" s="166">
        <f t="shared" si="1"/>
        <v>7070802.8200000003</v>
      </c>
    </row>
    <row r="55" spans="1:8" x14ac:dyDescent="0.25">
      <c r="A55" s="13" t="s">
        <v>242</v>
      </c>
      <c r="B55" s="163">
        <f>GETPIVOTDATA("Obligation Amount",'Stateside data 2011-2014'!$O$2,"State","WY")</f>
        <v>1202494.67</v>
      </c>
      <c r="C55" s="164"/>
      <c r="D55" s="164"/>
      <c r="E55" s="164"/>
      <c r="F55" s="165">
        <f t="shared" si="0"/>
        <v>1202494.67</v>
      </c>
      <c r="G55" s="165">
        <f>GETPIVOTDATA("Sum of Enacted",'Federal LA pivot table'!$A$3,"States","WY")</f>
        <v>10700000</v>
      </c>
      <c r="H55" s="166">
        <f t="shared" si="1"/>
        <v>11902494.67</v>
      </c>
    </row>
    <row r="56" spans="1:8" x14ac:dyDescent="0.25">
      <c r="B56" s="167"/>
      <c r="C56" s="164"/>
      <c r="D56" s="164"/>
      <c r="E56" s="164"/>
      <c r="F56" s="165"/>
      <c r="G56" s="165"/>
      <c r="H56" s="166"/>
    </row>
    <row r="57" spans="1:8" s="154" customFormat="1" x14ac:dyDescent="0.25">
      <c r="A57" s="153" t="s">
        <v>243</v>
      </c>
      <c r="B57" s="168">
        <f>SUM(B2:B55)</f>
        <v>124298922.90000001</v>
      </c>
      <c r="C57" s="168">
        <f t="shared" ref="C57:H57" si="2">SUM(C2:C55)</f>
        <v>30080136.07</v>
      </c>
      <c r="D57" s="168">
        <f t="shared" si="2"/>
        <v>129055182</v>
      </c>
      <c r="E57" s="168">
        <f t="shared" si="2"/>
        <v>5115000</v>
      </c>
      <c r="F57" s="169">
        <f t="shared" si="2"/>
        <v>288549240.97000003</v>
      </c>
      <c r="G57" s="169">
        <f>SUM(G2:G55)</f>
        <v>293736780</v>
      </c>
      <c r="H57" s="170">
        <f t="shared" si="2"/>
        <v>582286020.97000003</v>
      </c>
    </row>
    <row r="58" spans="1:8" s="157" customFormat="1" x14ac:dyDescent="0.25">
      <c r="A58" s="155" t="s">
        <v>726</v>
      </c>
      <c r="B58" s="171">
        <f>'Stateside data 2011-2014'!F920</f>
        <v>124298922.89999999</v>
      </c>
      <c r="C58" s="172">
        <f>'ABPP 2011-2014'!F117</f>
        <v>30080136.07</v>
      </c>
      <c r="D58" s="172">
        <f>'CESCF 2011-2014'!F106</f>
        <v>129055182</v>
      </c>
      <c r="E58" s="172">
        <f>SUM('All Federal LA 2011-2014'!K38:K39)</f>
        <v>5115000</v>
      </c>
      <c r="F58" s="173"/>
      <c r="G58" s="173">
        <f>(GETPIVOTDATA("Sum of Enacted",'Federal LA pivot table'!$A$3))-'Totals by State'!E58</f>
        <v>308236780</v>
      </c>
      <c r="H58" s="174"/>
    </row>
    <row r="59" spans="1:8" s="157" customFormat="1" x14ac:dyDescent="0.25">
      <c r="A59" s="155"/>
      <c r="B59" s="171">
        <f>B57-B58</f>
        <v>0</v>
      </c>
      <c r="C59" s="171">
        <f>C57-C58</f>
        <v>0</v>
      </c>
      <c r="D59" s="171">
        <f>D57-D58</f>
        <v>0</v>
      </c>
      <c r="E59" s="171">
        <f>E57-E58</f>
        <v>0</v>
      </c>
      <c r="F59" s="175" t="s">
        <v>707</v>
      </c>
      <c r="G59" s="173">
        <f>G58-G57</f>
        <v>14500000</v>
      </c>
      <c r="H59" s="174"/>
    </row>
    <row r="60" spans="1:8" s="157" customFormat="1" x14ac:dyDescent="0.25">
      <c r="A60" s="155"/>
      <c r="B60" s="171"/>
      <c r="C60" s="172"/>
      <c r="D60" s="172"/>
      <c r="E60" s="172"/>
      <c r="F60" s="173" t="s">
        <v>725</v>
      </c>
      <c r="G60" s="173">
        <f>GETPIVOTDATA("Sum of Enacted",'Federal LA pivot table'!$A$3,"States","Multiple")</f>
        <v>14500000</v>
      </c>
      <c r="H60" s="176"/>
    </row>
    <row r="61" spans="1:8" s="157" customFormat="1" x14ac:dyDescent="0.25">
      <c r="A61" s="155"/>
      <c r="B61" s="156"/>
      <c r="E61" s="162"/>
      <c r="F61" s="158"/>
      <c r="G61" s="159">
        <f>G59-G60</f>
        <v>0</v>
      </c>
      <c r="H61" s="160"/>
    </row>
    <row r="62" spans="1:8" x14ac:dyDescent="0.25">
      <c r="B62" s="12"/>
    </row>
    <row r="63" spans="1:8" x14ac:dyDescent="0.25">
      <c r="B63" s="12"/>
    </row>
    <row r="68" spans="2:2" x14ac:dyDescent="0.25">
      <c r="B68" s="12"/>
    </row>
    <row r="69" spans="2:2" x14ac:dyDescent="0.25">
      <c r="B69" s="14"/>
    </row>
    <row r="70" spans="2:2" x14ac:dyDescent="0.25">
      <c r="B70" s="12"/>
    </row>
  </sheetData>
  <pageMargins left="0.7" right="0.7" top="0.75" bottom="0.75" header="0.3" footer="0.3"/>
  <pageSetup scale="54"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F96" sqref="F96"/>
    </sheetView>
  </sheetViews>
  <sheetFormatPr defaultRowHeight="15" x14ac:dyDescent="0.25"/>
  <cols>
    <col min="1" max="1" width="33.42578125" style="1" bestFit="1" customWidth="1"/>
    <col min="2" max="2" width="9.140625" style="4"/>
    <col min="3" max="3" width="7" style="4" bestFit="1" customWidth="1"/>
    <col min="4" max="4" width="71.140625" customWidth="1"/>
    <col min="5" max="5" width="10.140625" style="4" bestFit="1" customWidth="1"/>
    <col min="6" max="6" width="15.5703125" style="6" bestFit="1" customWidth="1"/>
    <col min="8" max="8" width="13.140625" bestFit="1" customWidth="1"/>
    <col min="9" max="9" width="14.85546875" bestFit="1" customWidth="1"/>
  </cols>
  <sheetData>
    <row r="1" spans="1:10" s="10" customFormat="1" x14ac:dyDescent="0.25">
      <c r="A1" s="10" t="s">
        <v>46</v>
      </c>
      <c r="B1" s="10" t="s">
        <v>44</v>
      </c>
      <c r="C1" s="10" t="s">
        <v>49</v>
      </c>
      <c r="D1" s="10" t="s">
        <v>45</v>
      </c>
      <c r="E1" s="10" t="s">
        <v>47</v>
      </c>
      <c r="F1" s="10" t="s">
        <v>48</v>
      </c>
    </row>
    <row r="2" spans="1:10" x14ac:dyDescent="0.25">
      <c r="A2" s="1" t="s">
        <v>81</v>
      </c>
      <c r="B2" s="4">
        <v>4</v>
      </c>
      <c r="C2" s="4" t="s">
        <v>82</v>
      </c>
      <c r="D2" t="s">
        <v>84</v>
      </c>
      <c r="E2" s="4">
        <v>2011</v>
      </c>
      <c r="F2" s="7">
        <v>1509012</v>
      </c>
      <c r="H2" s="108" t="s">
        <v>700</v>
      </c>
      <c r="I2" t="s">
        <v>4464</v>
      </c>
    </row>
    <row r="3" spans="1:10" x14ac:dyDescent="0.25">
      <c r="A3" s="17" t="s">
        <v>81</v>
      </c>
      <c r="B3" s="18">
        <v>2</v>
      </c>
      <c r="C3" s="18" t="s">
        <v>85</v>
      </c>
      <c r="D3" s="19" t="s">
        <v>86</v>
      </c>
      <c r="E3" s="18">
        <v>2011</v>
      </c>
      <c r="F3" s="20">
        <v>1000000</v>
      </c>
      <c r="H3" s="1" t="s">
        <v>51</v>
      </c>
      <c r="I3" s="110">
        <v>1000000</v>
      </c>
    </row>
    <row r="4" spans="1:10" x14ac:dyDescent="0.25">
      <c r="A4" s="1" t="s">
        <v>50</v>
      </c>
      <c r="B4" s="4">
        <v>8</v>
      </c>
      <c r="C4" s="4" t="s">
        <v>26</v>
      </c>
      <c r="D4" t="s">
        <v>53</v>
      </c>
      <c r="E4" s="4">
        <v>2011</v>
      </c>
      <c r="F4" s="7">
        <v>6000000</v>
      </c>
      <c r="H4" s="1" t="s">
        <v>82</v>
      </c>
      <c r="I4" s="110">
        <v>2851699</v>
      </c>
    </row>
    <row r="5" spans="1:10" x14ac:dyDescent="0.25">
      <c r="A5" s="1" t="s">
        <v>50</v>
      </c>
      <c r="B5" s="4">
        <v>8</v>
      </c>
      <c r="C5" s="4" t="s">
        <v>26</v>
      </c>
      <c r="D5" t="s">
        <v>55</v>
      </c>
      <c r="E5" s="4">
        <v>2011</v>
      </c>
      <c r="F5" s="7">
        <v>4463936</v>
      </c>
      <c r="H5" s="1" t="s">
        <v>85</v>
      </c>
      <c r="I5" s="110">
        <v>1000000</v>
      </c>
    </row>
    <row r="6" spans="1:10" x14ac:dyDescent="0.25">
      <c r="A6" s="1" t="s">
        <v>50</v>
      </c>
      <c r="B6" s="4">
        <v>8</v>
      </c>
      <c r="C6" s="4" t="s">
        <v>26</v>
      </c>
      <c r="D6" t="s">
        <v>56</v>
      </c>
      <c r="E6" s="4">
        <v>2011</v>
      </c>
      <c r="F6" s="7">
        <v>6000000</v>
      </c>
      <c r="H6" s="1" t="s">
        <v>26</v>
      </c>
      <c r="I6" s="110">
        <v>50732943</v>
      </c>
    </row>
    <row r="7" spans="1:10" x14ac:dyDescent="0.25">
      <c r="A7" s="1" t="s">
        <v>81</v>
      </c>
      <c r="B7" s="4">
        <v>8</v>
      </c>
      <c r="C7" s="4" t="s">
        <v>26</v>
      </c>
      <c r="D7" t="s">
        <v>89</v>
      </c>
      <c r="E7" s="4">
        <v>2011</v>
      </c>
      <c r="F7" s="7">
        <v>500000</v>
      </c>
      <c r="H7" s="1" t="s">
        <v>24</v>
      </c>
      <c r="I7" s="110">
        <v>1363677</v>
      </c>
    </row>
    <row r="8" spans="1:10" x14ac:dyDescent="0.25">
      <c r="A8" s="1" t="s">
        <v>81</v>
      </c>
      <c r="B8" s="4">
        <v>8</v>
      </c>
      <c r="C8" s="4" t="s">
        <v>26</v>
      </c>
      <c r="D8" t="s">
        <v>90</v>
      </c>
      <c r="E8" s="4">
        <v>2011</v>
      </c>
      <c r="F8" s="7">
        <v>500000</v>
      </c>
      <c r="H8" s="1" t="s">
        <v>16</v>
      </c>
      <c r="I8" s="110">
        <v>17870413</v>
      </c>
    </row>
    <row r="9" spans="1:10" x14ac:dyDescent="0.25">
      <c r="A9" s="1" t="s">
        <v>81</v>
      </c>
      <c r="B9" s="4">
        <v>8</v>
      </c>
      <c r="C9" s="4" t="s">
        <v>26</v>
      </c>
      <c r="D9" t="s">
        <v>92</v>
      </c>
      <c r="E9" s="4">
        <v>2011</v>
      </c>
      <c r="F9" s="7">
        <v>925000</v>
      </c>
      <c r="H9" s="1" t="s">
        <v>18</v>
      </c>
      <c r="I9" s="110">
        <v>1772865</v>
      </c>
    </row>
    <row r="10" spans="1:10" x14ac:dyDescent="0.25">
      <c r="A10" s="1" t="s">
        <v>81</v>
      </c>
      <c r="B10" s="4">
        <v>8</v>
      </c>
      <c r="C10" s="4" t="s">
        <v>26</v>
      </c>
      <c r="D10" t="s">
        <v>95</v>
      </c>
      <c r="E10" s="4">
        <v>2011</v>
      </c>
      <c r="F10" s="7">
        <v>750000</v>
      </c>
      <c r="H10" s="1" t="s">
        <v>0</v>
      </c>
      <c r="I10" s="110">
        <v>4584114</v>
      </c>
    </row>
    <row r="11" spans="1:10" x14ac:dyDescent="0.25">
      <c r="A11" s="17" t="s">
        <v>81</v>
      </c>
      <c r="B11" s="18">
        <v>6</v>
      </c>
      <c r="C11" s="18" t="s">
        <v>24</v>
      </c>
      <c r="D11" s="19" t="s">
        <v>97</v>
      </c>
      <c r="E11" s="18">
        <v>2011</v>
      </c>
      <c r="F11" s="20">
        <v>469540</v>
      </c>
      <c r="H11" s="1" t="s">
        <v>12</v>
      </c>
      <c r="I11" s="110">
        <v>252960</v>
      </c>
    </row>
    <row r="12" spans="1:10" s="19" customFormat="1" x14ac:dyDescent="0.25">
      <c r="A12" s="1" t="s">
        <v>50</v>
      </c>
      <c r="B12" s="4">
        <v>4</v>
      </c>
      <c r="C12" s="4" t="s">
        <v>16</v>
      </c>
      <c r="D12" t="s">
        <v>60</v>
      </c>
      <c r="E12" s="4">
        <v>2011</v>
      </c>
      <c r="F12" s="7">
        <v>2967022</v>
      </c>
      <c r="H12" s="1" t="s">
        <v>4</v>
      </c>
      <c r="I12" s="110">
        <v>232425</v>
      </c>
      <c r="J12"/>
    </row>
    <row r="13" spans="1:10" x14ac:dyDescent="0.25">
      <c r="A13" s="1" t="s">
        <v>50</v>
      </c>
      <c r="B13" s="4">
        <v>4</v>
      </c>
      <c r="C13" s="4" t="s">
        <v>16</v>
      </c>
      <c r="D13" t="s">
        <v>61</v>
      </c>
      <c r="E13" s="4">
        <v>2011</v>
      </c>
      <c r="F13" s="7">
        <v>210017</v>
      </c>
      <c r="H13" s="1" t="s">
        <v>22</v>
      </c>
      <c r="I13" s="110">
        <v>2579286</v>
      </c>
    </row>
    <row r="14" spans="1:10" x14ac:dyDescent="0.25">
      <c r="A14" s="1" t="s">
        <v>81</v>
      </c>
      <c r="B14" s="4">
        <v>4</v>
      </c>
      <c r="C14" s="4" t="s">
        <v>16</v>
      </c>
      <c r="D14" t="s">
        <v>98</v>
      </c>
      <c r="E14" s="4">
        <v>2011</v>
      </c>
      <c r="F14" s="7">
        <v>12188750</v>
      </c>
      <c r="H14" s="1" t="s">
        <v>10</v>
      </c>
      <c r="I14" s="110">
        <v>180000</v>
      </c>
    </row>
    <row r="15" spans="1:10" x14ac:dyDescent="0.25">
      <c r="A15" s="1" t="s">
        <v>81</v>
      </c>
      <c r="B15" s="4">
        <v>4</v>
      </c>
      <c r="C15" s="4" t="s">
        <v>16</v>
      </c>
      <c r="D15" t="s">
        <v>99</v>
      </c>
      <c r="E15" s="4">
        <v>2011</v>
      </c>
      <c r="F15" s="7">
        <v>150260</v>
      </c>
      <c r="H15" s="1" t="s">
        <v>112</v>
      </c>
      <c r="I15" s="110">
        <v>534750</v>
      </c>
    </row>
    <row r="16" spans="1:10" s="19" customFormat="1" x14ac:dyDescent="0.25">
      <c r="A16" s="17" t="s">
        <v>81</v>
      </c>
      <c r="B16" s="18">
        <v>4</v>
      </c>
      <c r="C16" s="18" t="s">
        <v>18</v>
      </c>
      <c r="D16" s="19" t="s">
        <v>101</v>
      </c>
      <c r="E16" s="18">
        <v>2011</v>
      </c>
      <c r="F16" s="20">
        <v>656287</v>
      </c>
      <c r="H16" s="1" t="s">
        <v>36</v>
      </c>
      <c r="I16" s="110">
        <v>6000000</v>
      </c>
      <c r="J16"/>
    </row>
    <row r="17" spans="1:9" x14ac:dyDescent="0.25">
      <c r="A17" s="1" t="s">
        <v>81</v>
      </c>
      <c r="B17" s="4">
        <v>1</v>
      </c>
      <c r="C17" s="4" t="s">
        <v>0</v>
      </c>
      <c r="D17" t="s">
        <v>103</v>
      </c>
      <c r="E17" s="4">
        <v>2011</v>
      </c>
      <c r="F17" s="7">
        <v>391000</v>
      </c>
      <c r="H17" s="1" t="s">
        <v>34</v>
      </c>
      <c r="I17" s="110">
        <v>1370400</v>
      </c>
    </row>
    <row r="18" spans="1:9" x14ac:dyDescent="0.25">
      <c r="A18" s="17" t="s">
        <v>81</v>
      </c>
      <c r="B18" s="18">
        <v>5</v>
      </c>
      <c r="C18" s="18" t="s">
        <v>22</v>
      </c>
      <c r="D18" s="19" t="s">
        <v>109</v>
      </c>
      <c r="E18" s="18">
        <v>2011</v>
      </c>
      <c r="F18" s="20">
        <v>2426055</v>
      </c>
      <c r="H18" s="1" t="s">
        <v>117</v>
      </c>
      <c r="I18" s="110">
        <v>795301</v>
      </c>
    </row>
    <row r="19" spans="1:9" x14ac:dyDescent="0.25">
      <c r="A19" s="17" t="s">
        <v>81</v>
      </c>
      <c r="B19" s="18">
        <v>3</v>
      </c>
      <c r="C19" s="18" t="s">
        <v>112</v>
      </c>
      <c r="D19" s="19" t="s">
        <v>113</v>
      </c>
      <c r="E19" s="18">
        <v>2011</v>
      </c>
      <c r="F19" s="20">
        <v>534750</v>
      </c>
      <c r="H19" s="1" t="s">
        <v>122</v>
      </c>
      <c r="I19" s="110">
        <v>440000</v>
      </c>
    </row>
    <row r="20" spans="1:9" x14ac:dyDescent="0.25">
      <c r="A20" s="1" t="s">
        <v>50</v>
      </c>
      <c r="B20" s="4">
        <v>6</v>
      </c>
      <c r="C20" s="4" t="s">
        <v>36</v>
      </c>
      <c r="D20" t="s">
        <v>62</v>
      </c>
      <c r="E20" s="4">
        <v>2011</v>
      </c>
      <c r="F20" s="7">
        <v>4000000</v>
      </c>
      <c r="H20" s="1" t="s">
        <v>64</v>
      </c>
      <c r="I20" s="110">
        <v>27649</v>
      </c>
    </row>
    <row r="21" spans="1:9" s="19" customFormat="1" x14ac:dyDescent="0.25">
      <c r="A21" s="17" t="s">
        <v>81</v>
      </c>
      <c r="B21" s="18">
        <v>4</v>
      </c>
      <c r="C21" s="18" t="s">
        <v>34</v>
      </c>
      <c r="D21" s="19" t="s">
        <v>115</v>
      </c>
      <c r="E21" s="18">
        <v>2011</v>
      </c>
      <c r="F21" s="20">
        <v>142900</v>
      </c>
      <c r="H21" s="1" t="s">
        <v>2</v>
      </c>
      <c r="I21" s="110">
        <v>3361719</v>
      </c>
    </row>
    <row r="22" spans="1:9" s="19" customFormat="1" x14ac:dyDescent="0.25">
      <c r="A22" s="17" t="s">
        <v>81</v>
      </c>
      <c r="B22" s="18">
        <v>6</v>
      </c>
      <c r="C22" s="18" t="s">
        <v>117</v>
      </c>
      <c r="D22" s="19" t="s">
        <v>118</v>
      </c>
      <c r="E22" s="18">
        <v>2011</v>
      </c>
      <c r="F22" s="20">
        <v>135000</v>
      </c>
      <c r="H22" s="1" t="s">
        <v>129</v>
      </c>
      <c r="I22" s="110">
        <v>262500</v>
      </c>
    </row>
    <row r="23" spans="1:9" s="19" customFormat="1" x14ac:dyDescent="0.25">
      <c r="A23" s="1" t="s">
        <v>81</v>
      </c>
      <c r="B23" s="4">
        <v>1</v>
      </c>
      <c r="C23" s="4" t="s">
        <v>2</v>
      </c>
      <c r="D23" t="s">
        <v>126</v>
      </c>
      <c r="E23" s="4">
        <v>2011</v>
      </c>
      <c r="F23" s="7">
        <v>500000</v>
      </c>
      <c r="H23" s="1" t="s">
        <v>14</v>
      </c>
      <c r="I23" s="110">
        <v>800000</v>
      </c>
    </row>
    <row r="24" spans="1:9" s="19" customFormat="1" x14ac:dyDescent="0.25">
      <c r="A24" s="1" t="s">
        <v>81</v>
      </c>
      <c r="B24" s="4">
        <v>1</v>
      </c>
      <c r="C24" s="4" t="s">
        <v>2</v>
      </c>
      <c r="D24" t="s">
        <v>127</v>
      </c>
      <c r="E24" s="4">
        <v>2011</v>
      </c>
      <c r="F24" s="7">
        <v>267000</v>
      </c>
      <c r="H24" s="1" t="s">
        <v>6</v>
      </c>
      <c r="I24" s="110">
        <v>7632315</v>
      </c>
    </row>
    <row r="25" spans="1:9" s="19" customFormat="1" x14ac:dyDescent="0.25">
      <c r="A25" s="17" t="s">
        <v>50</v>
      </c>
      <c r="B25" s="18">
        <v>2</v>
      </c>
      <c r="C25" s="18" t="s">
        <v>6</v>
      </c>
      <c r="D25" s="19" t="s">
        <v>68</v>
      </c>
      <c r="E25" s="18">
        <v>2011</v>
      </c>
      <c r="F25" s="20">
        <v>1130625</v>
      </c>
      <c r="H25" s="1" t="s">
        <v>71</v>
      </c>
      <c r="I25" s="110">
        <v>2576766</v>
      </c>
    </row>
    <row r="26" spans="1:9" s="19" customFormat="1" x14ac:dyDescent="0.25">
      <c r="A26" s="17" t="s">
        <v>81</v>
      </c>
      <c r="B26" s="18">
        <v>2</v>
      </c>
      <c r="C26" s="18" t="s">
        <v>6</v>
      </c>
      <c r="D26" s="19" t="s">
        <v>133</v>
      </c>
      <c r="E26" s="18">
        <v>2011</v>
      </c>
      <c r="F26" s="20">
        <v>730644</v>
      </c>
      <c r="H26" s="1" t="s">
        <v>20</v>
      </c>
      <c r="I26" s="110">
        <v>493250</v>
      </c>
    </row>
    <row r="27" spans="1:9" s="19" customFormat="1" x14ac:dyDescent="0.25">
      <c r="A27" s="17" t="s">
        <v>50</v>
      </c>
      <c r="B27" s="18">
        <v>1</v>
      </c>
      <c r="C27" s="18" t="s">
        <v>30</v>
      </c>
      <c r="D27" s="19" t="s">
        <v>75</v>
      </c>
      <c r="E27" s="18">
        <v>2011</v>
      </c>
      <c r="F27" s="20">
        <v>3500000</v>
      </c>
      <c r="H27" s="1" t="s">
        <v>30</v>
      </c>
      <c r="I27" s="110">
        <v>16662050</v>
      </c>
    </row>
    <row r="28" spans="1:9" s="19" customFormat="1" x14ac:dyDescent="0.25">
      <c r="A28" s="17" t="s">
        <v>81</v>
      </c>
      <c r="B28" s="18">
        <v>1</v>
      </c>
      <c r="C28" s="18" t="s">
        <v>30</v>
      </c>
      <c r="D28" s="19" t="s">
        <v>138</v>
      </c>
      <c r="E28" s="18">
        <v>2011</v>
      </c>
      <c r="F28" s="20">
        <v>712650</v>
      </c>
      <c r="H28" s="1" t="s">
        <v>8</v>
      </c>
      <c r="I28" s="110">
        <v>2978100</v>
      </c>
    </row>
    <row r="29" spans="1:9" s="19" customFormat="1" x14ac:dyDescent="0.25">
      <c r="A29" s="1" t="s">
        <v>50</v>
      </c>
      <c r="B29" s="4">
        <v>3</v>
      </c>
      <c r="C29" s="4" t="s">
        <v>8</v>
      </c>
      <c r="D29" t="s">
        <v>79</v>
      </c>
      <c r="E29" s="4">
        <v>2011</v>
      </c>
      <c r="F29" s="7">
        <v>360000</v>
      </c>
      <c r="H29" s="1" t="s">
        <v>144</v>
      </c>
      <c r="I29" s="110">
        <v>700000</v>
      </c>
    </row>
    <row r="30" spans="1:9" s="19" customFormat="1" x14ac:dyDescent="0.25">
      <c r="A30" s="1" t="s">
        <v>81</v>
      </c>
      <c r="B30" s="4">
        <v>3</v>
      </c>
      <c r="C30" s="4" t="s">
        <v>8</v>
      </c>
      <c r="D30" t="s">
        <v>141</v>
      </c>
      <c r="E30" s="4">
        <v>2011</v>
      </c>
      <c r="F30" s="7">
        <v>378000</v>
      </c>
      <c r="H30" s="1" t="s">
        <v>701</v>
      </c>
      <c r="I30" s="110">
        <v>129055182</v>
      </c>
    </row>
    <row r="31" spans="1:9" s="19" customFormat="1" x14ac:dyDescent="0.25">
      <c r="A31" s="1" t="s">
        <v>81</v>
      </c>
      <c r="B31" s="4">
        <v>3</v>
      </c>
      <c r="C31" s="4" t="s">
        <v>8</v>
      </c>
      <c r="D31" t="s">
        <v>142</v>
      </c>
      <c r="E31" s="4">
        <v>2011</v>
      </c>
      <c r="F31" s="7">
        <v>138000</v>
      </c>
    </row>
    <row r="32" spans="1:9" s="19" customFormat="1" x14ac:dyDescent="0.25">
      <c r="A32" s="17" t="s">
        <v>81</v>
      </c>
      <c r="B32" s="18">
        <v>4</v>
      </c>
      <c r="C32" s="18" t="s">
        <v>51</v>
      </c>
      <c r="D32" s="19" t="s">
        <v>80</v>
      </c>
      <c r="E32" s="18">
        <v>2012</v>
      </c>
      <c r="F32" s="20">
        <v>1000000</v>
      </c>
    </row>
    <row r="33" spans="1:6" s="19" customFormat="1" x14ac:dyDescent="0.25">
      <c r="A33" s="1" t="s">
        <v>50</v>
      </c>
      <c r="B33" s="4">
        <v>8</v>
      </c>
      <c r="C33" s="4" t="s">
        <v>26</v>
      </c>
      <c r="D33" t="s">
        <v>52</v>
      </c>
      <c r="E33" s="4">
        <v>2012</v>
      </c>
      <c r="F33" s="7">
        <v>2000000</v>
      </c>
    </row>
    <row r="34" spans="1:6" s="19" customFormat="1" x14ac:dyDescent="0.25">
      <c r="A34" s="1" t="s">
        <v>50</v>
      </c>
      <c r="B34" s="4">
        <v>8</v>
      </c>
      <c r="C34" s="4" t="s">
        <v>26</v>
      </c>
      <c r="D34" t="s">
        <v>54</v>
      </c>
      <c r="E34" s="4">
        <v>2012</v>
      </c>
      <c r="F34" s="7">
        <v>1000000</v>
      </c>
    </row>
    <row r="35" spans="1:6" s="19" customFormat="1" x14ac:dyDescent="0.25">
      <c r="A35" s="1" t="s">
        <v>50</v>
      </c>
      <c r="B35" s="4">
        <v>8</v>
      </c>
      <c r="C35" s="4" t="s">
        <v>26</v>
      </c>
      <c r="D35" t="s">
        <v>59</v>
      </c>
      <c r="E35" s="4">
        <v>2012</v>
      </c>
      <c r="F35" s="7">
        <v>4000000</v>
      </c>
    </row>
    <row r="36" spans="1:6" s="19" customFormat="1" x14ac:dyDescent="0.25">
      <c r="A36" s="1" t="s">
        <v>81</v>
      </c>
      <c r="B36" s="4">
        <v>8</v>
      </c>
      <c r="C36" s="4" t="s">
        <v>26</v>
      </c>
      <c r="D36" t="s">
        <v>87</v>
      </c>
      <c r="E36" s="4">
        <v>2012</v>
      </c>
      <c r="F36" s="7">
        <v>350000</v>
      </c>
    </row>
    <row r="37" spans="1:6" s="19" customFormat="1" x14ac:dyDescent="0.25">
      <c r="A37" s="1" t="s">
        <v>81</v>
      </c>
      <c r="B37" s="4">
        <v>8</v>
      </c>
      <c r="C37" s="4" t="s">
        <v>26</v>
      </c>
      <c r="D37" t="s">
        <v>88</v>
      </c>
      <c r="E37" s="4">
        <v>2012</v>
      </c>
      <c r="F37" s="7">
        <v>750000</v>
      </c>
    </row>
    <row r="38" spans="1:6" s="19" customFormat="1" x14ac:dyDescent="0.25">
      <c r="A38" s="1" t="s">
        <v>81</v>
      </c>
      <c r="B38" s="4">
        <v>8</v>
      </c>
      <c r="C38" s="4" t="s">
        <v>26</v>
      </c>
      <c r="D38" t="s">
        <v>90</v>
      </c>
      <c r="E38" s="4">
        <v>2012</v>
      </c>
      <c r="F38" s="7">
        <v>88177</v>
      </c>
    </row>
    <row r="39" spans="1:6" s="19" customFormat="1" x14ac:dyDescent="0.25">
      <c r="A39" s="1" t="s">
        <v>81</v>
      </c>
      <c r="B39" s="4">
        <v>8</v>
      </c>
      <c r="C39" s="4" t="s">
        <v>26</v>
      </c>
      <c r="D39" t="s">
        <v>93</v>
      </c>
      <c r="E39" s="4">
        <v>2012</v>
      </c>
      <c r="F39" s="7">
        <v>300000</v>
      </c>
    </row>
    <row r="40" spans="1:6" x14ac:dyDescent="0.25">
      <c r="A40" s="1" t="s">
        <v>81</v>
      </c>
      <c r="B40" s="4">
        <v>8</v>
      </c>
      <c r="C40" s="4" t="s">
        <v>26</v>
      </c>
      <c r="D40" t="s">
        <v>94</v>
      </c>
      <c r="E40" s="4">
        <v>2012</v>
      </c>
      <c r="F40" s="7">
        <v>650000</v>
      </c>
    </row>
    <row r="41" spans="1:6" x14ac:dyDescent="0.25">
      <c r="A41" s="1" t="s">
        <v>81</v>
      </c>
      <c r="B41" s="4">
        <v>1</v>
      </c>
      <c r="C41" s="4" t="s">
        <v>0</v>
      </c>
      <c r="D41" t="s">
        <v>104</v>
      </c>
      <c r="E41" s="4">
        <v>2012</v>
      </c>
      <c r="F41" s="7">
        <v>1214000</v>
      </c>
    </row>
    <row r="42" spans="1:6" x14ac:dyDescent="0.25">
      <c r="A42" s="1" t="s">
        <v>81</v>
      </c>
      <c r="B42" s="4">
        <v>1</v>
      </c>
      <c r="C42" s="4" t="s">
        <v>0</v>
      </c>
      <c r="D42" t="s">
        <v>106</v>
      </c>
      <c r="E42" s="4">
        <v>2012</v>
      </c>
      <c r="F42" s="7">
        <v>1217114</v>
      </c>
    </row>
    <row r="43" spans="1:6" x14ac:dyDescent="0.25">
      <c r="A43" s="17" t="s">
        <v>81</v>
      </c>
      <c r="B43" s="18">
        <v>6</v>
      </c>
      <c r="C43" s="18" t="s">
        <v>117</v>
      </c>
      <c r="D43" s="19" t="s">
        <v>119</v>
      </c>
      <c r="E43" s="18">
        <v>2012</v>
      </c>
      <c r="F43" s="20">
        <v>270000</v>
      </c>
    </row>
    <row r="44" spans="1:6" x14ac:dyDescent="0.25">
      <c r="A44" s="17" t="s">
        <v>81</v>
      </c>
      <c r="B44" s="18">
        <v>6</v>
      </c>
      <c r="C44" s="18" t="s">
        <v>117</v>
      </c>
      <c r="D44" s="19" t="s">
        <v>121</v>
      </c>
      <c r="E44" s="18">
        <v>2012</v>
      </c>
      <c r="F44" s="20">
        <v>200000</v>
      </c>
    </row>
    <row r="45" spans="1:6" x14ac:dyDescent="0.25">
      <c r="A45" s="17" t="s">
        <v>50</v>
      </c>
      <c r="B45" s="18">
        <v>2</v>
      </c>
      <c r="C45" s="18" t="s">
        <v>64</v>
      </c>
      <c r="D45" s="19" t="s">
        <v>63</v>
      </c>
      <c r="E45" s="18">
        <v>2012</v>
      </c>
      <c r="F45" s="20">
        <v>27649</v>
      </c>
    </row>
    <row r="46" spans="1:6" x14ac:dyDescent="0.25">
      <c r="A46" s="1" t="s">
        <v>50</v>
      </c>
      <c r="B46" s="4">
        <v>1</v>
      </c>
      <c r="C46" s="4" t="s">
        <v>2</v>
      </c>
      <c r="D46" t="s">
        <v>67</v>
      </c>
      <c r="E46" s="4">
        <v>2012</v>
      </c>
      <c r="F46" s="7">
        <v>1259000</v>
      </c>
    </row>
    <row r="47" spans="1:6" x14ac:dyDescent="0.25">
      <c r="A47" s="17" t="s">
        <v>50</v>
      </c>
      <c r="B47" s="18">
        <v>2</v>
      </c>
      <c r="C47" s="18" t="s">
        <v>6</v>
      </c>
      <c r="D47" s="19" t="s">
        <v>69</v>
      </c>
      <c r="E47" s="18">
        <v>2012</v>
      </c>
      <c r="F47" s="20">
        <v>1519400</v>
      </c>
    </row>
    <row r="48" spans="1:6" s="19" customFormat="1" x14ac:dyDescent="0.25">
      <c r="A48" s="17" t="s">
        <v>81</v>
      </c>
      <c r="B48" s="18">
        <v>2</v>
      </c>
      <c r="C48" s="18" t="s">
        <v>6</v>
      </c>
      <c r="D48" s="19" t="s">
        <v>132</v>
      </c>
      <c r="E48" s="18">
        <v>2012</v>
      </c>
      <c r="F48" s="20">
        <v>1242209</v>
      </c>
    </row>
    <row r="49" spans="1:6" s="19" customFormat="1" x14ac:dyDescent="0.25">
      <c r="A49" s="1" t="s">
        <v>50</v>
      </c>
      <c r="B49" s="4">
        <v>6</v>
      </c>
      <c r="C49" s="4" t="s">
        <v>71</v>
      </c>
      <c r="D49" t="s">
        <v>70</v>
      </c>
      <c r="E49" s="4">
        <v>2012</v>
      </c>
      <c r="F49" s="7">
        <v>1000000</v>
      </c>
    </row>
    <row r="50" spans="1:6" s="19" customFormat="1" x14ac:dyDescent="0.25">
      <c r="A50" s="1" t="s">
        <v>81</v>
      </c>
      <c r="B50" s="4">
        <v>6</v>
      </c>
      <c r="C50" s="4" t="s">
        <v>71</v>
      </c>
      <c r="D50" t="s">
        <v>135</v>
      </c>
      <c r="E50" s="4">
        <v>2012</v>
      </c>
      <c r="F50" s="7">
        <v>157500</v>
      </c>
    </row>
    <row r="51" spans="1:6" s="19" customFormat="1" x14ac:dyDescent="0.25">
      <c r="A51" s="17" t="s">
        <v>50</v>
      </c>
      <c r="B51" s="18">
        <v>5</v>
      </c>
      <c r="C51" s="18" t="s">
        <v>20</v>
      </c>
      <c r="D51" s="19" t="s">
        <v>73</v>
      </c>
      <c r="E51" s="18">
        <v>2012</v>
      </c>
      <c r="F51" s="20">
        <v>14000</v>
      </c>
    </row>
    <row r="52" spans="1:6" s="19" customFormat="1" x14ac:dyDescent="0.25">
      <c r="A52" s="17" t="s">
        <v>50</v>
      </c>
      <c r="B52" s="18">
        <v>1</v>
      </c>
      <c r="C52" s="18" t="s">
        <v>30</v>
      </c>
      <c r="D52" s="19" t="s">
        <v>76</v>
      </c>
      <c r="E52" s="18">
        <v>2012</v>
      </c>
      <c r="F52" s="20">
        <v>3700000</v>
      </c>
    </row>
    <row r="53" spans="1:6" s="19" customFormat="1" x14ac:dyDescent="0.25">
      <c r="A53" s="1" t="s">
        <v>50</v>
      </c>
      <c r="B53" s="4">
        <v>3</v>
      </c>
      <c r="C53" s="4" t="s">
        <v>8</v>
      </c>
      <c r="D53" t="s">
        <v>78</v>
      </c>
      <c r="E53" s="4">
        <v>2012</v>
      </c>
      <c r="F53" s="7">
        <v>497600</v>
      </c>
    </row>
    <row r="54" spans="1:6" s="19" customFormat="1" x14ac:dyDescent="0.25">
      <c r="A54" s="1" t="s">
        <v>81</v>
      </c>
      <c r="B54" s="4">
        <v>3</v>
      </c>
      <c r="C54" s="4" t="s">
        <v>8</v>
      </c>
      <c r="D54" t="s">
        <v>139</v>
      </c>
      <c r="E54" s="4">
        <v>2012</v>
      </c>
      <c r="F54" s="7">
        <v>345000</v>
      </c>
    </row>
    <row r="55" spans="1:6" s="19" customFormat="1" x14ac:dyDescent="0.25">
      <c r="A55" s="17" t="s">
        <v>81</v>
      </c>
      <c r="B55" s="18">
        <v>5</v>
      </c>
      <c r="C55" s="18" t="s">
        <v>144</v>
      </c>
      <c r="D55" s="19" t="s">
        <v>143</v>
      </c>
      <c r="E55" s="18">
        <v>2012</v>
      </c>
      <c r="F55" s="20">
        <v>700000</v>
      </c>
    </row>
    <row r="56" spans="1:6" s="19" customFormat="1" x14ac:dyDescent="0.25">
      <c r="A56" s="1" t="s">
        <v>81</v>
      </c>
      <c r="B56" s="4">
        <v>4</v>
      </c>
      <c r="C56" s="4" t="s">
        <v>82</v>
      </c>
      <c r="D56" t="s">
        <v>83</v>
      </c>
      <c r="E56" s="4">
        <v>2013</v>
      </c>
      <c r="F56" s="7">
        <v>1342687</v>
      </c>
    </row>
    <row r="57" spans="1:6" s="19" customFormat="1" x14ac:dyDescent="0.25">
      <c r="A57" s="1" t="s">
        <v>50</v>
      </c>
      <c r="B57" s="4">
        <v>8</v>
      </c>
      <c r="C57" s="4" t="s">
        <v>26</v>
      </c>
      <c r="D57" t="s">
        <v>53</v>
      </c>
      <c r="E57" s="4">
        <v>2013</v>
      </c>
      <c r="F57" s="7">
        <v>3000000</v>
      </c>
    </row>
    <row r="58" spans="1:6" x14ac:dyDescent="0.25">
      <c r="A58" s="1" t="s">
        <v>50</v>
      </c>
      <c r="B58" s="4">
        <v>8</v>
      </c>
      <c r="C58" s="4" t="s">
        <v>26</v>
      </c>
      <c r="D58" t="s">
        <v>57</v>
      </c>
      <c r="E58" s="4">
        <v>2013</v>
      </c>
      <c r="F58" s="7">
        <v>3000000</v>
      </c>
    </row>
    <row r="59" spans="1:6" x14ac:dyDescent="0.25">
      <c r="A59" s="1" t="s">
        <v>50</v>
      </c>
      <c r="B59" s="4">
        <v>8</v>
      </c>
      <c r="C59" s="4" t="s">
        <v>26</v>
      </c>
      <c r="D59" t="s">
        <v>58</v>
      </c>
      <c r="E59" s="4">
        <v>2013</v>
      </c>
      <c r="F59" s="7">
        <v>2773398</v>
      </c>
    </row>
    <row r="60" spans="1:6" x14ac:dyDescent="0.25">
      <c r="A60" s="1" t="s">
        <v>81</v>
      </c>
      <c r="B60" s="4">
        <v>8</v>
      </c>
      <c r="C60" s="4" t="s">
        <v>26</v>
      </c>
      <c r="D60" t="s">
        <v>27</v>
      </c>
      <c r="E60" s="4">
        <v>2013</v>
      </c>
      <c r="F60" s="7">
        <v>1170000</v>
      </c>
    </row>
    <row r="61" spans="1:6" s="19" customFormat="1" x14ac:dyDescent="0.25">
      <c r="A61" s="1" t="s">
        <v>81</v>
      </c>
      <c r="B61" s="4">
        <v>8</v>
      </c>
      <c r="C61" s="4" t="s">
        <v>26</v>
      </c>
      <c r="D61" t="s">
        <v>91</v>
      </c>
      <c r="E61" s="4">
        <v>2013</v>
      </c>
      <c r="F61" s="7">
        <v>317200</v>
      </c>
    </row>
    <row r="62" spans="1:6" s="19" customFormat="1" x14ac:dyDescent="0.25">
      <c r="A62" s="17" t="s">
        <v>81</v>
      </c>
      <c r="B62" s="18">
        <v>6</v>
      </c>
      <c r="C62" s="18" t="s">
        <v>24</v>
      </c>
      <c r="D62" s="19" t="s">
        <v>96</v>
      </c>
      <c r="E62" s="18">
        <v>2013</v>
      </c>
      <c r="F62" s="20">
        <v>400000</v>
      </c>
    </row>
    <row r="63" spans="1:6" s="19" customFormat="1" x14ac:dyDescent="0.25">
      <c r="A63" s="1" t="s">
        <v>81</v>
      </c>
      <c r="B63" s="4">
        <v>4</v>
      </c>
      <c r="C63" s="4" t="s">
        <v>16</v>
      </c>
      <c r="D63" t="s">
        <v>100</v>
      </c>
      <c r="E63" s="4">
        <v>2013</v>
      </c>
      <c r="F63" s="7">
        <v>854364</v>
      </c>
    </row>
    <row r="64" spans="1:6" s="19" customFormat="1" x14ac:dyDescent="0.25">
      <c r="A64" s="17" t="s">
        <v>81</v>
      </c>
      <c r="B64" s="18">
        <v>4</v>
      </c>
      <c r="C64" s="18" t="s">
        <v>18</v>
      </c>
      <c r="D64" s="19" t="s">
        <v>102</v>
      </c>
      <c r="E64" s="18">
        <v>2013</v>
      </c>
      <c r="F64" s="20">
        <v>1000000</v>
      </c>
    </row>
    <row r="65" spans="1:6" s="19" customFormat="1" x14ac:dyDescent="0.25">
      <c r="A65" s="1" t="s">
        <v>81</v>
      </c>
      <c r="B65" s="4">
        <v>1</v>
      </c>
      <c r="C65" s="4" t="s">
        <v>0</v>
      </c>
      <c r="D65" t="s">
        <v>105</v>
      </c>
      <c r="E65" s="4">
        <v>2013</v>
      </c>
      <c r="F65" s="7">
        <v>578250</v>
      </c>
    </row>
    <row r="66" spans="1:6" s="19" customFormat="1" x14ac:dyDescent="0.25">
      <c r="A66" s="17" t="s">
        <v>81</v>
      </c>
      <c r="B66" s="18">
        <v>4</v>
      </c>
      <c r="C66" s="18" t="s">
        <v>34</v>
      </c>
      <c r="D66" s="19" t="s">
        <v>114</v>
      </c>
      <c r="E66" s="18">
        <v>2013</v>
      </c>
      <c r="F66" s="20">
        <v>142500</v>
      </c>
    </row>
    <row r="67" spans="1:6" s="19" customFormat="1" x14ac:dyDescent="0.25">
      <c r="A67" s="17" t="s">
        <v>81</v>
      </c>
      <c r="B67" s="18">
        <v>6</v>
      </c>
      <c r="C67" s="18" t="s">
        <v>117</v>
      </c>
      <c r="D67" s="19" t="s">
        <v>120</v>
      </c>
      <c r="E67" s="18">
        <v>2013</v>
      </c>
      <c r="F67" s="20">
        <v>190301</v>
      </c>
    </row>
    <row r="68" spans="1:6" s="19" customFormat="1" x14ac:dyDescent="0.25">
      <c r="A68" s="1" t="s">
        <v>81</v>
      </c>
      <c r="B68" s="4">
        <v>5</v>
      </c>
      <c r="C68" s="4" t="s">
        <v>122</v>
      </c>
      <c r="D68" t="s">
        <v>123</v>
      </c>
      <c r="E68" s="4">
        <v>2013</v>
      </c>
      <c r="F68" s="7">
        <v>40000</v>
      </c>
    </row>
    <row r="69" spans="1:6" s="19" customFormat="1" x14ac:dyDescent="0.25">
      <c r="A69" s="1" t="s">
        <v>81</v>
      </c>
      <c r="B69" s="4">
        <v>5</v>
      </c>
      <c r="C69" s="4" t="s">
        <v>122</v>
      </c>
      <c r="D69" t="s">
        <v>124</v>
      </c>
      <c r="E69" s="4">
        <v>2013</v>
      </c>
      <c r="F69" s="7">
        <v>400000</v>
      </c>
    </row>
    <row r="70" spans="1:6" s="19" customFormat="1" x14ac:dyDescent="0.25">
      <c r="A70" s="1" t="s">
        <v>81</v>
      </c>
      <c r="B70" s="4">
        <v>8</v>
      </c>
      <c r="C70" s="4" t="s">
        <v>2</v>
      </c>
      <c r="D70" t="s">
        <v>94</v>
      </c>
      <c r="E70" s="4">
        <v>2013</v>
      </c>
      <c r="F70" s="7">
        <v>355719</v>
      </c>
    </row>
    <row r="71" spans="1:6" s="19" customFormat="1" x14ac:dyDescent="0.25">
      <c r="A71" s="17" t="s">
        <v>81</v>
      </c>
      <c r="B71" s="18">
        <v>5</v>
      </c>
      <c r="C71" s="18" t="s">
        <v>129</v>
      </c>
      <c r="D71" s="19" t="s">
        <v>128</v>
      </c>
      <c r="E71" s="18">
        <v>2013</v>
      </c>
      <c r="F71" s="20">
        <v>262500</v>
      </c>
    </row>
    <row r="72" spans="1:6" s="19" customFormat="1" x14ac:dyDescent="0.25">
      <c r="A72" s="17" t="s">
        <v>81</v>
      </c>
      <c r="B72" s="18">
        <v>2</v>
      </c>
      <c r="C72" s="18" t="s">
        <v>6</v>
      </c>
      <c r="D72" s="19" t="s">
        <v>134</v>
      </c>
      <c r="E72" s="18">
        <v>2013</v>
      </c>
      <c r="F72" s="20">
        <v>881250</v>
      </c>
    </row>
    <row r="73" spans="1:6" s="19" customFormat="1" x14ac:dyDescent="0.25">
      <c r="A73" s="17" t="s">
        <v>81</v>
      </c>
      <c r="B73" s="18">
        <v>2</v>
      </c>
      <c r="C73" s="18" t="s">
        <v>6</v>
      </c>
      <c r="D73" s="19" t="s">
        <v>134</v>
      </c>
      <c r="E73" s="18">
        <v>2013</v>
      </c>
      <c r="F73" s="20">
        <v>881250</v>
      </c>
    </row>
    <row r="74" spans="1:6" s="19" customFormat="1" x14ac:dyDescent="0.25">
      <c r="A74" s="1" t="s">
        <v>50</v>
      </c>
      <c r="B74" s="4">
        <v>6</v>
      </c>
      <c r="C74" s="4" t="s">
        <v>71</v>
      </c>
      <c r="D74" t="s">
        <v>72</v>
      </c>
      <c r="E74" s="4">
        <v>2013</v>
      </c>
      <c r="F74" s="7">
        <v>1419266</v>
      </c>
    </row>
    <row r="75" spans="1:6" s="19" customFormat="1" x14ac:dyDescent="0.25">
      <c r="A75" s="17" t="s">
        <v>50</v>
      </c>
      <c r="B75" s="18">
        <v>1</v>
      </c>
      <c r="C75" s="18" t="s">
        <v>30</v>
      </c>
      <c r="D75" s="19" t="s">
        <v>74</v>
      </c>
      <c r="E75" s="18">
        <v>2013</v>
      </c>
      <c r="F75" s="20">
        <v>2000000</v>
      </c>
    </row>
    <row r="76" spans="1:6" s="19" customFormat="1" x14ac:dyDescent="0.25">
      <c r="A76" s="17" t="s">
        <v>50</v>
      </c>
      <c r="B76" s="18">
        <v>1</v>
      </c>
      <c r="C76" s="18" t="s">
        <v>30</v>
      </c>
      <c r="D76" s="19" t="s">
        <v>77</v>
      </c>
      <c r="E76" s="18">
        <v>2013</v>
      </c>
      <c r="F76" s="20">
        <v>2000000</v>
      </c>
    </row>
    <row r="77" spans="1:6" s="19" customFormat="1" x14ac:dyDescent="0.25">
      <c r="A77" s="17" t="s">
        <v>81</v>
      </c>
      <c r="B77" s="18">
        <v>1</v>
      </c>
      <c r="C77" s="18" t="s">
        <v>30</v>
      </c>
      <c r="D77" s="19" t="s">
        <v>137</v>
      </c>
      <c r="E77" s="18">
        <v>2013</v>
      </c>
      <c r="F77" s="20">
        <v>749400</v>
      </c>
    </row>
    <row r="78" spans="1:6" s="19" customFormat="1" x14ac:dyDescent="0.25">
      <c r="A78" s="1" t="s">
        <v>81</v>
      </c>
      <c r="B78" s="4">
        <v>3</v>
      </c>
      <c r="C78" s="4" t="s">
        <v>8</v>
      </c>
      <c r="D78" t="s">
        <v>140</v>
      </c>
      <c r="E78" s="4">
        <v>2013</v>
      </c>
      <c r="F78" s="7">
        <v>759000</v>
      </c>
    </row>
    <row r="79" spans="1:6" s="19" customFormat="1" x14ac:dyDescent="0.25">
      <c r="A79" s="1" t="s">
        <v>81</v>
      </c>
      <c r="B79" s="4">
        <v>8</v>
      </c>
      <c r="C79" s="4" t="s">
        <v>26</v>
      </c>
      <c r="D79" t="s">
        <v>27</v>
      </c>
      <c r="E79" s="4">
        <v>2014</v>
      </c>
      <c r="F79" s="8">
        <v>1197000</v>
      </c>
    </row>
    <row r="80" spans="1:6" s="19" customFormat="1" x14ac:dyDescent="0.25">
      <c r="A80" s="1" t="s">
        <v>81</v>
      </c>
      <c r="B80" s="4">
        <v>8</v>
      </c>
      <c r="C80" s="4" t="s">
        <v>26</v>
      </c>
      <c r="D80" t="s">
        <v>28</v>
      </c>
      <c r="E80" s="4">
        <v>2014</v>
      </c>
      <c r="F80" s="8">
        <v>332475</v>
      </c>
    </row>
    <row r="81" spans="1:6" s="19" customFormat="1" x14ac:dyDescent="0.25">
      <c r="A81" s="1" t="s">
        <v>81</v>
      </c>
      <c r="B81" s="4">
        <v>8</v>
      </c>
      <c r="C81" s="4" t="s">
        <v>26</v>
      </c>
      <c r="D81" t="s">
        <v>29</v>
      </c>
      <c r="E81" s="4">
        <v>2014</v>
      </c>
      <c r="F81" s="8">
        <v>272757</v>
      </c>
    </row>
    <row r="82" spans="1:6" s="19" customFormat="1" x14ac:dyDescent="0.25">
      <c r="A82" s="1" t="s">
        <v>50</v>
      </c>
      <c r="B82" s="4">
        <v>8</v>
      </c>
      <c r="C82" s="4" t="s">
        <v>26</v>
      </c>
      <c r="D82" t="s">
        <v>38</v>
      </c>
      <c r="E82" s="4">
        <v>2014</v>
      </c>
      <c r="F82" s="8">
        <v>2000000</v>
      </c>
    </row>
    <row r="83" spans="1:6" s="19" customFormat="1" x14ac:dyDescent="0.25">
      <c r="A83" s="1" t="s">
        <v>50</v>
      </c>
      <c r="B83" s="4">
        <v>8</v>
      </c>
      <c r="C83" s="4" t="s">
        <v>26</v>
      </c>
      <c r="D83" t="s">
        <v>39</v>
      </c>
      <c r="E83" s="4">
        <v>2014</v>
      </c>
      <c r="F83" s="8">
        <v>2000000</v>
      </c>
    </row>
    <row r="84" spans="1:6" s="19" customFormat="1" x14ac:dyDescent="0.25">
      <c r="A84" s="1" t="s">
        <v>50</v>
      </c>
      <c r="B84" s="4">
        <v>8</v>
      </c>
      <c r="C84" s="4" t="s">
        <v>26</v>
      </c>
      <c r="D84" t="s">
        <v>40</v>
      </c>
      <c r="E84" s="4">
        <v>2014</v>
      </c>
      <c r="F84" s="8">
        <v>1500000</v>
      </c>
    </row>
    <row r="85" spans="1:6" s="19" customFormat="1" x14ac:dyDescent="0.25">
      <c r="A85" s="1" t="s">
        <v>50</v>
      </c>
      <c r="B85" s="4">
        <v>8</v>
      </c>
      <c r="C85" s="4" t="s">
        <v>26</v>
      </c>
      <c r="D85" t="s">
        <v>41</v>
      </c>
      <c r="E85" s="4">
        <v>2014</v>
      </c>
      <c r="F85" s="8">
        <v>2000000</v>
      </c>
    </row>
    <row r="86" spans="1:6" s="19" customFormat="1" ht="15.75" x14ac:dyDescent="0.25">
      <c r="A86" s="1" t="s">
        <v>50</v>
      </c>
      <c r="B86" s="4">
        <v>8</v>
      </c>
      <c r="C86" s="4" t="s">
        <v>26</v>
      </c>
      <c r="D86" t="s">
        <v>42</v>
      </c>
      <c r="E86" s="4">
        <v>2014</v>
      </c>
      <c r="F86" s="8">
        <v>2000000</v>
      </c>
    </row>
    <row r="87" spans="1:6" s="19" customFormat="1" x14ac:dyDescent="0.25">
      <c r="A87" s="1" t="s">
        <v>50</v>
      </c>
      <c r="B87" s="4">
        <v>8</v>
      </c>
      <c r="C87" s="4" t="s">
        <v>26</v>
      </c>
      <c r="D87" t="s">
        <v>43</v>
      </c>
      <c r="E87" s="4">
        <v>2014</v>
      </c>
      <c r="F87" s="8">
        <v>893000</v>
      </c>
    </row>
    <row r="88" spans="1:6" x14ac:dyDescent="0.25">
      <c r="A88" s="17" t="s">
        <v>81</v>
      </c>
      <c r="B88" s="18">
        <v>6</v>
      </c>
      <c r="C88" s="18" t="s">
        <v>24</v>
      </c>
      <c r="D88" s="19" t="s">
        <v>25</v>
      </c>
      <c r="E88" s="18">
        <v>2014</v>
      </c>
      <c r="F88" s="21">
        <v>494137</v>
      </c>
    </row>
    <row r="89" spans="1:6" x14ac:dyDescent="0.25">
      <c r="A89" s="1" t="s">
        <v>81</v>
      </c>
      <c r="B89" s="4">
        <v>4</v>
      </c>
      <c r="C89" s="4" t="s">
        <v>16</v>
      </c>
      <c r="D89" t="s">
        <v>17</v>
      </c>
      <c r="E89" s="4">
        <v>2014</v>
      </c>
      <c r="F89" s="8">
        <v>1500000</v>
      </c>
    </row>
    <row r="90" spans="1:6" x14ac:dyDescent="0.25">
      <c r="A90" s="17" t="s">
        <v>81</v>
      </c>
      <c r="B90" s="18">
        <v>4</v>
      </c>
      <c r="C90" s="18" t="s">
        <v>18</v>
      </c>
      <c r="D90" s="19" t="s">
        <v>19</v>
      </c>
      <c r="E90" s="18">
        <v>2014</v>
      </c>
      <c r="F90" s="21">
        <v>116578</v>
      </c>
    </row>
    <row r="91" spans="1:6" x14ac:dyDescent="0.25">
      <c r="A91" s="1" t="s">
        <v>81</v>
      </c>
      <c r="B91" s="4">
        <v>1</v>
      </c>
      <c r="C91" s="4" t="s">
        <v>0</v>
      </c>
      <c r="D91" t="s">
        <v>1</v>
      </c>
      <c r="E91" s="4">
        <v>2014</v>
      </c>
      <c r="F91" s="8">
        <v>1183750</v>
      </c>
    </row>
    <row r="92" spans="1:6" x14ac:dyDescent="0.25">
      <c r="A92" s="17" t="s">
        <v>81</v>
      </c>
      <c r="B92" s="18">
        <v>3</v>
      </c>
      <c r="C92" s="18" t="s">
        <v>12</v>
      </c>
      <c r="D92" s="19" t="s">
        <v>13</v>
      </c>
      <c r="E92" s="18">
        <v>2014</v>
      </c>
      <c r="F92" s="21">
        <v>252960</v>
      </c>
    </row>
    <row r="93" spans="1:6" x14ac:dyDescent="0.25">
      <c r="A93" s="1" t="s">
        <v>81</v>
      </c>
      <c r="B93" s="4">
        <v>1</v>
      </c>
      <c r="C93" s="4" t="s">
        <v>4</v>
      </c>
      <c r="D93" t="s">
        <v>5</v>
      </c>
      <c r="E93" s="4">
        <v>2014</v>
      </c>
      <c r="F93" s="8">
        <v>232425</v>
      </c>
    </row>
    <row r="94" spans="1:6" x14ac:dyDescent="0.25">
      <c r="A94" s="17" t="s">
        <v>81</v>
      </c>
      <c r="B94" s="18">
        <v>5</v>
      </c>
      <c r="C94" s="18" t="s">
        <v>22</v>
      </c>
      <c r="D94" s="19" t="s">
        <v>23</v>
      </c>
      <c r="E94" s="18">
        <v>2014</v>
      </c>
      <c r="F94" s="21">
        <v>153231</v>
      </c>
    </row>
    <row r="95" spans="1:6" x14ac:dyDescent="0.25">
      <c r="A95" s="17" t="s">
        <v>81</v>
      </c>
      <c r="B95" s="18">
        <v>3</v>
      </c>
      <c r="C95" s="18" t="s">
        <v>10</v>
      </c>
      <c r="D95" s="19" t="s">
        <v>11</v>
      </c>
      <c r="E95" s="18">
        <v>2014</v>
      </c>
      <c r="F95" s="21">
        <v>180000</v>
      </c>
    </row>
    <row r="96" spans="1:6" x14ac:dyDescent="0.25">
      <c r="A96" s="1" t="s">
        <v>50</v>
      </c>
      <c r="B96" s="4">
        <v>6</v>
      </c>
      <c r="C96" s="4" t="s">
        <v>36</v>
      </c>
      <c r="D96" t="s">
        <v>37</v>
      </c>
      <c r="E96" s="4">
        <v>2014</v>
      </c>
      <c r="F96" s="8">
        <v>2000000</v>
      </c>
    </row>
    <row r="97" spans="1:6" x14ac:dyDescent="0.25">
      <c r="A97" s="17" t="s">
        <v>50</v>
      </c>
      <c r="B97" s="18">
        <v>4</v>
      </c>
      <c r="C97" s="18" t="s">
        <v>34</v>
      </c>
      <c r="D97" s="19" t="s">
        <v>35</v>
      </c>
      <c r="E97" s="18">
        <v>2014</v>
      </c>
      <c r="F97" s="21">
        <v>1085000</v>
      </c>
    </row>
    <row r="98" spans="1:6" x14ac:dyDescent="0.25">
      <c r="A98" s="1" t="s">
        <v>81</v>
      </c>
      <c r="B98" s="4">
        <v>1</v>
      </c>
      <c r="C98" s="4" t="s">
        <v>2</v>
      </c>
      <c r="D98" t="s">
        <v>3</v>
      </c>
      <c r="E98" s="4">
        <v>2014</v>
      </c>
      <c r="F98" s="8">
        <v>980000</v>
      </c>
    </row>
    <row r="99" spans="1:6" x14ac:dyDescent="0.25">
      <c r="A99" s="1" t="s">
        <v>81</v>
      </c>
      <c r="B99" s="4">
        <v>4</v>
      </c>
      <c r="C99" s="4" t="s">
        <v>14</v>
      </c>
      <c r="D99" t="s">
        <v>15</v>
      </c>
      <c r="E99" s="4">
        <v>2014</v>
      </c>
      <c r="F99" s="8">
        <v>800000</v>
      </c>
    </row>
    <row r="100" spans="1:6" x14ac:dyDescent="0.25">
      <c r="A100" s="17" t="s">
        <v>81</v>
      </c>
      <c r="B100" s="18">
        <v>2</v>
      </c>
      <c r="C100" s="18" t="s">
        <v>6</v>
      </c>
      <c r="D100" s="19" t="s">
        <v>7</v>
      </c>
      <c r="E100" s="18">
        <v>2014</v>
      </c>
      <c r="F100" s="21">
        <v>1246937</v>
      </c>
    </row>
    <row r="101" spans="1:6" x14ac:dyDescent="0.25">
      <c r="A101" s="17" t="s">
        <v>81</v>
      </c>
      <c r="B101" s="18">
        <v>5</v>
      </c>
      <c r="C101" s="18" t="s">
        <v>20</v>
      </c>
      <c r="D101" s="19" t="s">
        <v>21</v>
      </c>
      <c r="E101" s="18">
        <v>2014</v>
      </c>
      <c r="F101" s="21">
        <v>479250</v>
      </c>
    </row>
    <row r="102" spans="1:6" x14ac:dyDescent="0.25">
      <c r="A102" s="17" t="s">
        <v>50</v>
      </c>
      <c r="B102" s="18">
        <v>1</v>
      </c>
      <c r="C102" s="18" t="s">
        <v>30</v>
      </c>
      <c r="D102" s="19" t="s">
        <v>31</v>
      </c>
      <c r="E102" s="18">
        <v>2014</v>
      </c>
      <c r="F102" s="21">
        <v>2000000</v>
      </c>
    </row>
    <row r="103" spans="1:6" x14ac:dyDescent="0.25">
      <c r="A103" s="17" t="s">
        <v>50</v>
      </c>
      <c r="B103" s="18">
        <v>1</v>
      </c>
      <c r="C103" s="18" t="s">
        <v>30</v>
      </c>
      <c r="D103" s="19" t="s">
        <v>32</v>
      </c>
      <c r="E103" s="18">
        <v>2014</v>
      </c>
      <c r="F103" s="21">
        <v>2000000</v>
      </c>
    </row>
    <row r="104" spans="1:6" s="19" customFormat="1" x14ac:dyDescent="0.25">
      <c r="A104" s="1" t="s">
        <v>81</v>
      </c>
      <c r="B104" s="4">
        <v>3</v>
      </c>
      <c r="C104" s="4" t="s">
        <v>8</v>
      </c>
      <c r="D104" t="s">
        <v>9</v>
      </c>
      <c r="E104" s="4">
        <v>2014</v>
      </c>
      <c r="F104" s="8">
        <v>40500</v>
      </c>
    </row>
    <row r="105" spans="1:6" s="19" customFormat="1" x14ac:dyDescent="0.25">
      <c r="A105" s="1" t="s">
        <v>50</v>
      </c>
      <c r="B105" s="4">
        <v>3</v>
      </c>
      <c r="C105" s="4" t="s">
        <v>8</v>
      </c>
      <c r="D105" t="s">
        <v>33</v>
      </c>
      <c r="E105" s="4">
        <v>2014</v>
      </c>
      <c r="F105" s="8">
        <v>460000</v>
      </c>
    </row>
    <row r="106" spans="1:6" x14ac:dyDescent="0.25">
      <c r="A106" s="3"/>
      <c r="B106" s="5"/>
      <c r="C106" s="5"/>
      <c r="D106" s="2"/>
      <c r="E106" s="5"/>
      <c r="F106" s="9">
        <f>SUM(F2:F105)</f>
        <v>129055182</v>
      </c>
    </row>
  </sheetData>
  <sortState ref="A2:F275">
    <sortCondition ref="E2:E275"/>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920"/>
  <sheetViews>
    <sheetView workbookViewId="0">
      <pane xSplit="1" ySplit="1" topLeftCell="B65" activePane="bottomRight" state="frozen"/>
      <selection pane="topRight" activeCell="B1" sqref="B1"/>
      <selection pane="bottomLeft" activeCell="A2" sqref="A2"/>
      <selection pane="bottomRight" activeCell="A133" sqref="A133:XFD134"/>
    </sheetView>
  </sheetViews>
  <sheetFormatPr defaultColWidth="8.7109375" defaultRowHeight="17.25" customHeight="1" x14ac:dyDescent="0.25"/>
  <cols>
    <col min="1" max="1" width="5.42578125" style="28" bestFit="1" customWidth="1"/>
    <col min="2" max="2" width="7.28515625" style="28" customWidth="1"/>
    <col min="3" max="3" width="6" style="28" bestFit="1" customWidth="1"/>
    <col min="4" max="4" width="19.140625" style="28" customWidth="1"/>
    <col min="5" max="5" width="6.42578125" style="28" bestFit="1" customWidth="1"/>
    <col min="6" max="6" width="13.85546875" style="28" bestFit="1" customWidth="1"/>
    <col min="7" max="7" width="5.7109375" style="28" bestFit="1" customWidth="1"/>
    <col min="8" max="8" width="21.42578125" style="28" customWidth="1"/>
    <col min="9" max="9" width="31.28515625" style="28" customWidth="1"/>
    <col min="10" max="10" width="21.42578125" style="28" customWidth="1"/>
    <col min="11" max="11" width="21.7109375" style="28" bestFit="1" customWidth="1"/>
    <col min="12" max="12" width="8.140625" style="28" customWidth="1"/>
    <col min="13" max="13" width="10.140625" style="28" bestFit="1" customWidth="1"/>
    <col min="14" max="15" width="8.7109375" style="28"/>
    <col min="16" max="16" width="13.140625" style="28" bestFit="1" customWidth="1"/>
    <col min="17" max="17" width="24.85546875" style="28" bestFit="1" customWidth="1"/>
    <col min="18" max="16384" width="8.7109375" style="28"/>
  </cols>
  <sheetData>
    <row r="1" spans="1:16" ht="22.5" customHeight="1" x14ac:dyDescent="0.25">
      <c r="A1" s="182" t="s">
        <v>145</v>
      </c>
      <c r="B1" s="182" t="s">
        <v>727</v>
      </c>
      <c r="C1" s="182" t="s">
        <v>728</v>
      </c>
      <c r="D1" s="182" t="s">
        <v>729</v>
      </c>
      <c r="E1" s="182" t="s">
        <v>730</v>
      </c>
      <c r="F1" s="182" t="s">
        <v>731</v>
      </c>
      <c r="G1" s="182" t="s">
        <v>732</v>
      </c>
      <c r="H1" s="182" t="s">
        <v>733</v>
      </c>
      <c r="I1" s="182" t="s">
        <v>734</v>
      </c>
      <c r="J1" s="182" t="s">
        <v>735</v>
      </c>
      <c r="K1" s="182" t="s">
        <v>736</v>
      </c>
      <c r="L1" s="182" t="s">
        <v>737</v>
      </c>
      <c r="M1" s="182" t="s">
        <v>738</v>
      </c>
    </row>
    <row r="2" spans="1:16" ht="17.25" hidden="1" customHeight="1" x14ac:dyDescent="0.25">
      <c r="A2" s="183" t="s">
        <v>582</v>
      </c>
      <c r="B2" s="184">
        <v>404</v>
      </c>
      <c r="C2" s="184">
        <v>2011</v>
      </c>
      <c r="D2" s="183" t="s">
        <v>739</v>
      </c>
      <c r="E2" s="183" t="s">
        <v>740</v>
      </c>
      <c r="F2" s="185">
        <v>98280</v>
      </c>
      <c r="G2" s="183" t="s">
        <v>741</v>
      </c>
      <c r="H2" s="183" t="s">
        <v>742</v>
      </c>
      <c r="I2" s="183"/>
      <c r="J2" s="183" t="s">
        <v>743</v>
      </c>
      <c r="K2" s="183" t="s">
        <v>744</v>
      </c>
      <c r="L2" s="184">
        <v>0</v>
      </c>
      <c r="M2" s="184">
        <v>81.2</v>
      </c>
      <c r="O2" s="186" t="s">
        <v>700</v>
      </c>
      <c r="P2" s="28" t="s">
        <v>4389</v>
      </c>
    </row>
    <row r="3" spans="1:16" ht="17.25" hidden="1" customHeight="1" x14ac:dyDescent="0.25">
      <c r="A3" s="183" t="s">
        <v>582</v>
      </c>
      <c r="B3" s="184">
        <v>403</v>
      </c>
      <c r="C3" s="184">
        <v>2011</v>
      </c>
      <c r="D3" s="183" t="s">
        <v>745</v>
      </c>
      <c r="E3" s="183" t="s">
        <v>740</v>
      </c>
      <c r="F3" s="185">
        <v>98280</v>
      </c>
      <c r="G3" s="183" t="s">
        <v>741</v>
      </c>
      <c r="H3" s="183" t="s">
        <v>746</v>
      </c>
      <c r="I3" s="183"/>
      <c r="J3" s="183" t="s">
        <v>745</v>
      </c>
      <c r="K3" s="183" t="s">
        <v>747</v>
      </c>
      <c r="L3" s="184">
        <v>0</v>
      </c>
      <c r="M3" s="184">
        <v>40</v>
      </c>
      <c r="O3" s="187" t="s">
        <v>582</v>
      </c>
      <c r="P3" s="188">
        <v>1000591</v>
      </c>
    </row>
    <row r="4" spans="1:16" ht="17.25" hidden="1" customHeight="1" x14ac:dyDescent="0.25">
      <c r="A4" s="183" t="s">
        <v>582</v>
      </c>
      <c r="B4" s="184">
        <v>405</v>
      </c>
      <c r="C4" s="184">
        <v>2011</v>
      </c>
      <c r="D4" s="183" t="s">
        <v>748</v>
      </c>
      <c r="E4" s="183" t="s">
        <v>740</v>
      </c>
      <c r="F4" s="185">
        <v>172132.5</v>
      </c>
      <c r="G4" s="183" t="s">
        <v>749</v>
      </c>
      <c r="H4" s="183" t="s">
        <v>750</v>
      </c>
      <c r="I4" s="183" t="s">
        <v>751</v>
      </c>
      <c r="J4" s="183" t="s">
        <v>752</v>
      </c>
      <c r="K4" s="183" t="s">
        <v>753</v>
      </c>
      <c r="L4" s="184">
        <v>0</v>
      </c>
      <c r="M4" s="184">
        <v>332</v>
      </c>
      <c r="O4" s="187" t="s">
        <v>51</v>
      </c>
      <c r="P4" s="188">
        <v>1354592.83</v>
      </c>
    </row>
    <row r="5" spans="1:16" ht="17.25" hidden="1" customHeight="1" x14ac:dyDescent="0.25">
      <c r="A5" s="183" t="s">
        <v>582</v>
      </c>
      <c r="B5" s="184">
        <v>402</v>
      </c>
      <c r="C5" s="184">
        <v>2011</v>
      </c>
      <c r="D5" s="183" t="s">
        <v>754</v>
      </c>
      <c r="E5" s="183" t="s">
        <v>740</v>
      </c>
      <c r="F5" s="185">
        <v>98280</v>
      </c>
      <c r="G5" s="183" t="s">
        <v>749</v>
      </c>
      <c r="H5" s="183" t="s">
        <v>755</v>
      </c>
      <c r="I5" s="183"/>
      <c r="J5" s="183" t="s">
        <v>756</v>
      </c>
      <c r="K5" s="183" t="s">
        <v>753</v>
      </c>
      <c r="L5" s="184">
        <v>0</v>
      </c>
      <c r="M5" s="184">
        <v>47.8</v>
      </c>
      <c r="O5" s="187" t="s">
        <v>82</v>
      </c>
      <c r="P5" s="188">
        <v>3017121.0100000002</v>
      </c>
    </row>
    <row r="6" spans="1:16" ht="17.25" hidden="1" customHeight="1" x14ac:dyDescent="0.25">
      <c r="A6" s="183" t="s">
        <v>582</v>
      </c>
      <c r="B6" s="184">
        <v>401</v>
      </c>
      <c r="C6" s="184">
        <v>2011</v>
      </c>
      <c r="D6" s="183" t="s">
        <v>757</v>
      </c>
      <c r="E6" s="183" t="s">
        <v>740</v>
      </c>
      <c r="F6" s="185">
        <v>122707.5</v>
      </c>
      <c r="G6" s="183" t="s">
        <v>749</v>
      </c>
      <c r="H6" s="183" t="s">
        <v>750</v>
      </c>
      <c r="I6" s="183"/>
      <c r="J6" s="183" t="s">
        <v>758</v>
      </c>
      <c r="K6" s="183" t="s">
        <v>759</v>
      </c>
      <c r="L6" s="184">
        <v>0</v>
      </c>
      <c r="M6" s="184">
        <v>47.3</v>
      </c>
      <c r="O6" s="187" t="s">
        <v>85</v>
      </c>
      <c r="P6" s="188">
        <v>4653208.0199999996</v>
      </c>
    </row>
    <row r="7" spans="1:16" ht="17.25" hidden="1" customHeight="1" x14ac:dyDescent="0.25">
      <c r="A7" s="183" t="s">
        <v>582</v>
      </c>
      <c r="B7" s="184">
        <v>408</v>
      </c>
      <c r="C7" s="184">
        <v>2014</v>
      </c>
      <c r="D7" s="183" t="s">
        <v>760</v>
      </c>
      <c r="E7" s="183" t="s">
        <v>740</v>
      </c>
      <c r="F7" s="189">
        <v>75000</v>
      </c>
      <c r="G7" s="183" t="s">
        <v>741</v>
      </c>
      <c r="H7" s="183" t="s">
        <v>761</v>
      </c>
      <c r="I7" s="183" t="s">
        <v>762</v>
      </c>
      <c r="J7" s="183" t="s">
        <v>763</v>
      </c>
      <c r="K7" s="183" t="s">
        <v>764</v>
      </c>
      <c r="L7" s="184">
        <v>0</v>
      </c>
      <c r="M7" s="184">
        <v>28</v>
      </c>
      <c r="O7" s="187" t="s">
        <v>26</v>
      </c>
      <c r="P7" s="188">
        <v>6749890</v>
      </c>
    </row>
    <row r="8" spans="1:16" ht="17.25" hidden="1" customHeight="1" x14ac:dyDescent="0.25">
      <c r="A8" s="183" t="s">
        <v>582</v>
      </c>
      <c r="B8" s="184">
        <v>411</v>
      </c>
      <c r="C8" s="184">
        <v>2014</v>
      </c>
      <c r="D8" s="183" t="s">
        <v>765</v>
      </c>
      <c r="E8" s="183" t="s">
        <v>740</v>
      </c>
      <c r="F8" s="184">
        <v>0</v>
      </c>
      <c r="G8" s="183" t="s">
        <v>741</v>
      </c>
      <c r="H8" s="183" t="s">
        <v>766</v>
      </c>
      <c r="I8" s="183" t="s">
        <v>767</v>
      </c>
      <c r="J8" s="183" t="s">
        <v>765</v>
      </c>
      <c r="K8" s="183" t="s">
        <v>768</v>
      </c>
      <c r="L8" s="184">
        <v>0</v>
      </c>
      <c r="M8" s="184">
        <v>26</v>
      </c>
      <c r="O8" s="187" t="s">
        <v>24</v>
      </c>
      <c r="P8" s="188">
        <v>3018161</v>
      </c>
    </row>
    <row r="9" spans="1:16" ht="17.25" hidden="1" customHeight="1" x14ac:dyDescent="0.25">
      <c r="A9" s="183" t="s">
        <v>582</v>
      </c>
      <c r="B9" s="184">
        <v>407</v>
      </c>
      <c r="C9" s="184">
        <v>2014</v>
      </c>
      <c r="D9" s="183" t="s">
        <v>769</v>
      </c>
      <c r="E9" s="183" t="s">
        <v>740</v>
      </c>
      <c r="F9" s="189">
        <v>335911</v>
      </c>
      <c r="G9" s="183" t="s">
        <v>749</v>
      </c>
      <c r="H9" s="183" t="s">
        <v>770</v>
      </c>
      <c r="I9" s="183" t="s">
        <v>771</v>
      </c>
      <c r="J9" s="183" t="s">
        <v>758</v>
      </c>
      <c r="K9" s="183" t="s">
        <v>759</v>
      </c>
      <c r="L9" s="184">
        <v>0</v>
      </c>
      <c r="M9" s="184">
        <v>47.3</v>
      </c>
      <c r="O9" s="187" t="s">
        <v>1296</v>
      </c>
      <c r="P9" s="188">
        <v>5363000</v>
      </c>
    </row>
    <row r="10" spans="1:16" ht="17.25" hidden="1" customHeight="1" x14ac:dyDescent="0.25">
      <c r="A10" s="183" t="s">
        <v>51</v>
      </c>
      <c r="B10" s="184">
        <v>952</v>
      </c>
      <c r="C10" s="184">
        <v>2011</v>
      </c>
      <c r="D10" s="183" t="s">
        <v>772</v>
      </c>
      <c r="E10" s="183" t="s">
        <v>740</v>
      </c>
      <c r="F10" s="185">
        <v>175000</v>
      </c>
      <c r="G10" s="183" t="s">
        <v>773</v>
      </c>
      <c r="H10" s="183" t="s">
        <v>774</v>
      </c>
      <c r="I10" s="183" t="s">
        <v>775</v>
      </c>
      <c r="J10" s="183" t="s">
        <v>776</v>
      </c>
      <c r="K10" s="183" t="s">
        <v>777</v>
      </c>
      <c r="L10" s="184">
        <v>3</v>
      </c>
      <c r="M10" s="184">
        <v>281.3</v>
      </c>
      <c r="O10" s="187" t="s">
        <v>1311</v>
      </c>
      <c r="P10" s="188">
        <v>85140</v>
      </c>
    </row>
    <row r="11" spans="1:16" ht="17.25" hidden="1" customHeight="1" x14ac:dyDescent="0.25">
      <c r="A11" s="183" t="s">
        <v>51</v>
      </c>
      <c r="B11" s="184">
        <v>980</v>
      </c>
      <c r="C11" s="184">
        <v>2012</v>
      </c>
      <c r="D11" s="183" t="s">
        <v>778</v>
      </c>
      <c r="E11" s="183" t="s">
        <v>740</v>
      </c>
      <c r="F11" s="185">
        <v>50000</v>
      </c>
      <c r="G11" s="183" t="s">
        <v>740</v>
      </c>
      <c r="H11" s="183" t="s">
        <v>779</v>
      </c>
      <c r="I11" s="183" t="s">
        <v>780</v>
      </c>
      <c r="J11" s="183" t="s">
        <v>781</v>
      </c>
      <c r="K11" s="183" t="s">
        <v>782</v>
      </c>
      <c r="L11" s="184">
        <v>2</v>
      </c>
      <c r="M11" s="184">
        <v>500</v>
      </c>
      <c r="O11" s="187" t="s">
        <v>1316</v>
      </c>
      <c r="P11" s="188">
        <v>450000</v>
      </c>
    </row>
    <row r="12" spans="1:16" ht="17.25" hidden="1" customHeight="1" x14ac:dyDescent="0.25">
      <c r="A12" s="183" t="s">
        <v>51</v>
      </c>
      <c r="B12" s="184">
        <v>953</v>
      </c>
      <c r="C12" s="184">
        <v>2012</v>
      </c>
      <c r="D12" s="183" t="s">
        <v>783</v>
      </c>
      <c r="E12" s="183" t="s">
        <v>740</v>
      </c>
      <c r="F12" s="185">
        <v>39250</v>
      </c>
      <c r="G12" s="183" t="s">
        <v>741</v>
      </c>
      <c r="H12" s="183" t="s">
        <v>784</v>
      </c>
      <c r="I12" s="183" t="s">
        <v>785</v>
      </c>
      <c r="J12" s="183" t="s">
        <v>783</v>
      </c>
      <c r="K12" s="183" t="s">
        <v>786</v>
      </c>
      <c r="L12" s="184">
        <v>6</v>
      </c>
      <c r="M12" s="185">
        <v>9940</v>
      </c>
      <c r="O12" s="187" t="s">
        <v>16</v>
      </c>
      <c r="P12" s="188">
        <v>6635290.4299999997</v>
      </c>
    </row>
    <row r="13" spans="1:16" ht="17.25" hidden="1" customHeight="1" x14ac:dyDescent="0.25">
      <c r="A13" s="183" t="s">
        <v>51</v>
      </c>
      <c r="B13" s="184">
        <v>963</v>
      </c>
      <c r="C13" s="184">
        <v>2012</v>
      </c>
      <c r="D13" s="183" t="s">
        <v>787</v>
      </c>
      <c r="E13" s="183" t="s">
        <v>740</v>
      </c>
      <c r="F13" s="185">
        <v>68600</v>
      </c>
      <c r="G13" s="183" t="s">
        <v>741</v>
      </c>
      <c r="H13" s="183" t="s">
        <v>788</v>
      </c>
      <c r="I13" s="183" t="s">
        <v>789</v>
      </c>
      <c r="J13" s="183" t="s">
        <v>790</v>
      </c>
      <c r="K13" s="183" t="s">
        <v>791</v>
      </c>
      <c r="L13" s="184">
        <v>4</v>
      </c>
      <c r="M13" s="185">
        <v>6000</v>
      </c>
      <c r="O13" s="187" t="s">
        <v>18</v>
      </c>
      <c r="P13" s="188">
        <v>5112295</v>
      </c>
    </row>
    <row r="14" spans="1:16" ht="17.25" hidden="1" customHeight="1" x14ac:dyDescent="0.25">
      <c r="A14" s="183" t="s">
        <v>51</v>
      </c>
      <c r="B14" s="184">
        <v>971</v>
      </c>
      <c r="C14" s="184">
        <v>2012</v>
      </c>
      <c r="D14" s="183" t="s">
        <v>792</v>
      </c>
      <c r="E14" s="183" t="s">
        <v>740</v>
      </c>
      <c r="F14" s="185">
        <v>50000</v>
      </c>
      <c r="G14" s="183" t="s">
        <v>741</v>
      </c>
      <c r="H14" s="183" t="s">
        <v>793</v>
      </c>
      <c r="I14" s="183" t="s">
        <v>794</v>
      </c>
      <c r="J14" s="183" t="s">
        <v>795</v>
      </c>
      <c r="K14" s="183" t="s">
        <v>796</v>
      </c>
      <c r="L14" s="184">
        <v>3</v>
      </c>
      <c r="M14" s="185">
        <v>2851.6</v>
      </c>
      <c r="O14" s="187" t="s">
        <v>1635</v>
      </c>
      <c r="P14" s="188">
        <v>103630</v>
      </c>
    </row>
    <row r="15" spans="1:16" ht="17.25" hidden="1" customHeight="1" x14ac:dyDescent="0.25">
      <c r="A15" s="183" t="s">
        <v>51</v>
      </c>
      <c r="B15" s="184">
        <v>956</v>
      </c>
      <c r="C15" s="184">
        <v>2012</v>
      </c>
      <c r="D15" s="183" t="s">
        <v>797</v>
      </c>
      <c r="E15" s="183" t="s">
        <v>740</v>
      </c>
      <c r="F15" s="185">
        <v>15000</v>
      </c>
      <c r="G15" s="183" t="s">
        <v>741</v>
      </c>
      <c r="H15" s="183" t="s">
        <v>798</v>
      </c>
      <c r="I15" s="183" t="s">
        <v>799</v>
      </c>
      <c r="J15" s="183" t="s">
        <v>800</v>
      </c>
      <c r="K15" s="183" t="s">
        <v>801</v>
      </c>
      <c r="L15" s="184">
        <v>6</v>
      </c>
      <c r="M15" s="184">
        <v>325</v>
      </c>
      <c r="O15" s="187" t="s">
        <v>0</v>
      </c>
      <c r="P15" s="188">
        <v>518656</v>
      </c>
    </row>
    <row r="16" spans="1:16" ht="17.25" hidden="1" customHeight="1" x14ac:dyDescent="0.25">
      <c r="A16" s="183" t="s">
        <v>51</v>
      </c>
      <c r="B16" s="184">
        <v>982</v>
      </c>
      <c r="C16" s="184">
        <v>2012</v>
      </c>
      <c r="D16" s="183" t="s">
        <v>802</v>
      </c>
      <c r="E16" s="183" t="s">
        <v>740</v>
      </c>
      <c r="F16" s="185">
        <v>50000</v>
      </c>
      <c r="G16" s="183" t="s">
        <v>741</v>
      </c>
      <c r="H16" s="183" t="s">
        <v>803</v>
      </c>
      <c r="I16" s="183" t="s">
        <v>804</v>
      </c>
      <c r="J16" s="183" t="s">
        <v>805</v>
      </c>
      <c r="K16" s="183" t="s">
        <v>806</v>
      </c>
      <c r="L16" s="184">
        <v>2</v>
      </c>
      <c r="M16" s="184">
        <v>130.30000000000001</v>
      </c>
      <c r="O16" s="187" t="s">
        <v>12</v>
      </c>
      <c r="P16" s="188">
        <v>1899924.04</v>
      </c>
    </row>
    <row r="17" spans="1:16" ht="17.25" hidden="1" customHeight="1" x14ac:dyDescent="0.25">
      <c r="A17" s="183" t="s">
        <v>51</v>
      </c>
      <c r="B17" s="184">
        <v>958</v>
      </c>
      <c r="C17" s="184">
        <v>2012</v>
      </c>
      <c r="D17" s="183" t="s">
        <v>807</v>
      </c>
      <c r="E17" s="183" t="s">
        <v>740</v>
      </c>
      <c r="F17" s="185">
        <v>10000</v>
      </c>
      <c r="G17" s="183" t="s">
        <v>741</v>
      </c>
      <c r="H17" s="183" t="s">
        <v>808</v>
      </c>
      <c r="I17" s="183" t="s">
        <v>809</v>
      </c>
      <c r="J17" s="183" t="s">
        <v>810</v>
      </c>
      <c r="K17" s="183" t="s">
        <v>811</v>
      </c>
      <c r="L17" s="184">
        <v>4</v>
      </c>
      <c r="M17" s="184">
        <v>129.4</v>
      </c>
      <c r="O17" s="187" t="s">
        <v>4</v>
      </c>
      <c r="P17" s="188">
        <v>850177</v>
      </c>
    </row>
    <row r="18" spans="1:16" ht="17.25" hidden="1" customHeight="1" x14ac:dyDescent="0.25">
      <c r="A18" s="183" t="s">
        <v>51</v>
      </c>
      <c r="B18" s="184">
        <v>970</v>
      </c>
      <c r="C18" s="184">
        <v>2012</v>
      </c>
      <c r="D18" s="183" t="s">
        <v>812</v>
      </c>
      <c r="E18" s="183" t="s">
        <v>740</v>
      </c>
      <c r="F18" s="185">
        <v>50000</v>
      </c>
      <c r="G18" s="183" t="s">
        <v>741</v>
      </c>
      <c r="H18" s="183" t="s">
        <v>813</v>
      </c>
      <c r="I18" s="183" t="s">
        <v>814</v>
      </c>
      <c r="J18" s="183" t="s">
        <v>815</v>
      </c>
      <c r="K18" s="183" t="s">
        <v>816</v>
      </c>
      <c r="L18" s="184">
        <v>4</v>
      </c>
      <c r="M18" s="184">
        <v>125</v>
      </c>
      <c r="O18" s="187" t="s">
        <v>1762</v>
      </c>
      <c r="P18" s="188">
        <v>5832830</v>
      </c>
    </row>
    <row r="19" spans="1:16" ht="17.25" hidden="1" customHeight="1" x14ac:dyDescent="0.25">
      <c r="A19" s="183" t="s">
        <v>51</v>
      </c>
      <c r="B19" s="184">
        <v>977</v>
      </c>
      <c r="C19" s="184">
        <v>2012</v>
      </c>
      <c r="D19" s="183" t="s">
        <v>817</v>
      </c>
      <c r="E19" s="183" t="s">
        <v>740</v>
      </c>
      <c r="F19" s="185">
        <v>50000</v>
      </c>
      <c r="G19" s="183" t="s">
        <v>741</v>
      </c>
      <c r="H19" s="183" t="s">
        <v>818</v>
      </c>
      <c r="I19" s="183" t="s">
        <v>819</v>
      </c>
      <c r="J19" s="183" t="s">
        <v>820</v>
      </c>
      <c r="K19" s="183" t="s">
        <v>821</v>
      </c>
      <c r="L19" s="184">
        <v>3</v>
      </c>
      <c r="M19" s="184">
        <v>62.1</v>
      </c>
      <c r="O19" s="187" t="s">
        <v>1817</v>
      </c>
      <c r="P19" s="188">
        <v>2881829</v>
      </c>
    </row>
    <row r="20" spans="1:16" ht="17.25" hidden="1" customHeight="1" x14ac:dyDescent="0.25">
      <c r="A20" s="183" t="s">
        <v>51</v>
      </c>
      <c r="B20" s="184">
        <v>972</v>
      </c>
      <c r="C20" s="184">
        <v>2012</v>
      </c>
      <c r="D20" s="183" t="s">
        <v>822</v>
      </c>
      <c r="E20" s="183" t="s">
        <v>740</v>
      </c>
      <c r="F20" s="185">
        <v>25000</v>
      </c>
      <c r="G20" s="183" t="s">
        <v>741</v>
      </c>
      <c r="H20" s="183" t="s">
        <v>823</v>
      </c>
      <c r="I20" s="183" t="s">
        <v>824</v>
      </c>
      <c r="J20" s="183" t="s">
        <v>825</v>
      </c>
      <c r="K20" s="183" t="s">
        <v>826</v>
      </c>
      <c r="L20" s="184">
        <v>5</v>
      </c>
      <c r="M20" s="184">
        <v>40</v>
      </c>
      <c r="O20" s="187" t="s">
        <v>522</v>
      </c>
      <c r="P20" s="188">
        <v>1600333.5</v>
      </c>
    </row>
    <row r="21" spans="1:16" ht="17.25" hidden="1" customHeight="1" x14ac:dyDescent="0.25">
      <c r="A21" s="183" t="s">
        <v>51</v>
      </c>
      <c r="B21" s="184">
        <v>954</v>
      </c>
      <c r="C21" s="184">
        <v>2012</v>
      </c>
      <c r="D21" s="183" t="s">
        <v>827</v>
      </c>
      <c r="E21" s="183" t="s">
        <v>740</v>
      </c>
      <c r="F21" s="185">
        <v>50000</v>
      </c>
      <c r="G21" s="183" t="s">
        <v>741</v>
      </c>
      <c r="H21" s="183" t="s">
        <v>828</v>
      </c>
      <c r="I21" s="183" t="s">
        <v>829</v>
      </c>
      <c r="J21" s="183" t="s">
        <v>830</v>
      </c>
      <c r="K21" s="183" t="s">
        <v>791</v>
      </c>
      <c r="L21" s="184">
        <v>4</v>
      </c>
      <c r="M21" s="184">
        <v>28.4</v>
      </c>
      <c r="O21" s="187" t="s">
        <v>107</v>
      </c>
      <c r="P21" s="188">
        <v>1632189</v>
      </c>
    </row>
    <row r="22" spans="1:16" ht="17.25" hidden="1" customHeight="1" x14ac:dyDescent="0.25">
      <c r="A22" s="183" t="s">
        <v>51</v>
      </c>
      <c r="B22" s="184">
        <v>960</v>
      </c>
      <c r="C22" s="184">
        <v>2012</v>
      </c>
      <c r="D22" s="183" t="s">
        <v>831</v>
      </c>
      <c r="E22" s="183" t="s">
        <v>740</v>
      </c>
      <c r="F22" s="185">
        <v>50000</v>
      </c>
      <c r="G22" s="183" t="s">
        <v>741</v>
      </c>
      <c r="H22" s="183" t="s">
        <v>832</v>
      </c>
      <c r="I22" s="183" t="s">
        <v>833</v>
      </c>
      <c r="J22" s="183" t="s">
        <v>834</v>
      </c>
      <c r="K22" s="183" t="s">
        <v>835</v>
      </c>
      <c r="L22" s="184">
        <v>6</v>
      </c>
      <c r="M22" s="184">
        <v>17.3</v>
      </c>
      <c r="O22" s="187" t="s">
        <v>108</v>
      </c>
      <c r="P22" s="188">
        <v>1715000</v>
      </c>
    </row>
    <row r="23" spans="1:16" ht="17.25" hidden="1" customHeight="1" x14ac:dyDescent="0.25">
      <c r="A23" s="183" t="s">
        <v>51</v>
      </c>
      <c r="B23" s="184">
        <v>976</v>
      </c>
      <c r="C23" s="184">
        <v>2012</v>
      </c>
      <c r="D23" s="183" t="s">
        <v>836</v>
      </c>
      <c r="E23" s="183" t="s">
        <v>740</v>
      </c>
      <c r="F23" s="185">
        <v>50000</v>
      </c>
      <c r="G23" s="183" t="s">
        <v>741</v>
      </c>
      <c r="H23" s="183" t="s">
        <v>837</v>
      </c>
      <c r="I23" s="183" t="s">
        <v>838</v>
      </c>
      <c r="J23" s="183" t="s">
        <v>839</v>
      </c>
      <c r="K23" s="183" t="s">
        <v>840</v>
      </c>
      <c r="L23" s="184">
        <v>6</v>
      </c>
      <c r="M23" s="184">
        <v>16</v>
      </c>
      <c r="O23" s="187" t="s">
        <v>277</v>
      </c>
      <c r="P23" s="188">
        <v>111587</v>
      </c>
    </row>
    <row r="24" spans="1:16" ht="17.25" hidden="1" customHeight="1" x14ac:dyDescent="0.25">
      <c r="A24" s="183" t="s">
        <v>51</v>
      </c>
      <c r="B24" s="184">
        <v>969</v>
      </c>
      <c r="C24" s="184">
        <v>2012</v>
      </c>
      <c r="D24" s="183" t="s">
        <v>841</v>
      </c>
      <c r="E24" s="183" t="s">
        <v>740</v>
      </c>
      <c r="F24" s="185">
        <v>50000</v>
      </c>
      <c r="G24" s="183" t="s">
        <v>741</v>
      </c>
      <c r="H24" s="183" t="s">
        <v>842</v>
      </c>
      <c r="I24" s="183" t="s">
        <v>843</v>
      </c>
      <c r="J24" s="183" t="s">
        <v>844</v>
      </c>
      <c r="K24" s="183" t="s">
        <v>845</v>
      </c>
      <c r="L24" s="184">
        <v>2</v>
      </c>
      <c r="M24" s="184">
        <v>14.5</v>
      </c>
      <c r="O24" s="187" t="s">
        <v>22</v>
      </c>
      <c r="P24" s="188">
        <v>1350000</v>
      </c>
    </row>
    <row r="25" spans="1:16" ht="17.25" hidden="1" customHeight="1" x14ac:dyDescent="0.25">
      <c r="A25" s="183" t="s">
        <v>51</v>
      </c>
      <c r="B25" s="184">
        <v>961</v>
      </c>
      <c r="C25" s="184">
        <v>2012</v>
      </c>
      <c r="D25" s="183" t="s">
        <v>846</v>
      </c>
      <c r="E25" s="183" t="s">
        <v>740</v>
      </c>
      <c r="F25" s="185">
        <v>50000</v>
      </c>
      <c r="G25" s="183" t="s">
        <v>741</v>
      </c>
      <c r="H25" s="183" t="s">
        <v>847</v>
      </c>
      <c r="I25" s="183" t="s">
        <v>848</v>
      </c>
      <c r="J25" s="183" t="s">
        <v>849</v>
      </c>
      <c r="K25" s="183" t="s">
        <v>850</v>
      </c>
      <c r="L25" s="184">
        <v>4</v>
      </c>
      <c r="M25" s="184">
        <v>11</v>
      </c>
      <c r="O25" s="187" t="s">
        <v>110</v>
      </c>
      <c r="P25" s="188">
        <v>997527</v>
      </c>
    </row>
    <row r="26" spans="1:16" ht="17.25" hidden="1" customHeight="1" x14ac:dyDescent="0.25">
      <c r="A26" s="183" t="s">
        <v>51</v>
      </c>
      <c r="B26" s="184">
        <v>978</v>
      </c>
      <c r="C26" s="184">
        <v>2012</v>
      </c>
      <c r="D26" s="183" t="s">
        <v>851</v>
      </c>
      <c r="E26" s="183" t="s">
        <v>740</v>
      </c>
      <c r="F26" s="185">
        <v>50000</v>
      </c>
      <c r="G26" s="183" t="s">
        <v>741</v>
      </c>
      <c r="H26" s="183" t="s">
        <v>852</v>
      </c>
      <c r="I26" s="183" t="s">
        <v>853</v>
      </c>
      <c r="J26" s="183" t="s">
        <v>854</v>
      </c>
      <c r="K26" s="183" t="s">
        <v>855</v>
      </c>
      <c r="L26" s="184">
        <v>2</v>
      </c>
      <c r="M26" s="184">
        <v>8.1999999999999993</v>
      </c>
      <c r="O26" s="187" t="s">
        <v>10</v>
      </c>
      <c r="P26" s="188">
        <v>4257409.1899999995</v>
      </c>
    </row>
    <row r="27" spans="1:16" ht="17.25" hidden="1" customHeight="1" x14ac:dyDescent="0.25">
      <c r="A27" s="183" t="s">
        <v>51</v>
      </c>
      <c r="B27" s="184">
        <v>981</v>
      </c>
      <c r="C27" s="184">
        <v>2012</v>
      </c>
      <c r="D27" s="183" t="s">
        <v>856</v>
      </c>
      <c r="E27" s="183" t="s">
        <v>740</v>
      </c>
      <c r="F27" s="185">
        <v>50000</v>
      </c>
      <c r="G27" s="183" t="s">
        <v>741</v>
      </c>
      <c r="H27" s="183" t="s">
        <v>857</v>
      </c>
      <c r="I27" s="183" t="s">
        <v>858</v>
      </c>
      <c r="J27" s="183" t="s">
        <v>859</v>
      </c>
      <c r="K27" s="183" t="s">
        <v>845</v>
      </c>
      <c r="L27" s="184">
        <v>2</v>
      </c>
      <c r="M27" s="184">
        <v>6.7</v>
      </c>
      <c r="O27" s="187" t="s">
        <v>111</v>
      </c>
      <c r="P27" s="188">
        <v>3199048</v>
      </c>
    </row>
    <row r="28" spans="1:16" ht="17.25" hidden="1" customHeight="1" x14ac:dyDescent="0.25">
      <c r="A28" s="183" t="s">
        <v>51</v>
      </c>
      <c r="B28" s="184">
        <v>967</v>
      </c>
      <c r="C28" s="184">
        <v>2012</v>
      </c>
      <c r="D28" s="183" t="s">
        <v>860</v>
      </c>
      <c r="E28" s="183" t="s">
        <v>740</v>
      </c>
      <c r="F28" s="185">
        <v>149100</v>
      </c>
      <c r="G28" s="183" t="s">
        <v>741</v>
      </c>
      <c r="H28" s="183" t="s">
        <v>861</v>
      </c>
      <c r="I28" s="183" t="s">
        <v>862</v>
      </c>
      <c r="J28" s="183" t="s">
        <v>863</v>
      </c>
      <c r="K28" s="183" t="s">
        <v>864</v>
      </c>
      <c r="L28" s="184">
        <v>4</v>
      </c>
      <c r="M28" s="184">
        <v>5.5</v>
      </c>
      <c r="O28" s="187" t="s">
        <v>112</v>
      </c>
      <c r="P28" s="188">
        <v>2939151.5</v>
      </c>
    </row>
    <row r="29" spans="1:16" ht="17.25" hidden="1" customHeight="1" x14ac:dyDescent="0.25">
      <c r="A29" s="183" t="s">
        <v>51</v>
      </c>
      <c r="B29" s="184">
        <v>974</v>
      </c>
      <c r="C29" s="184">
        <v>2012</v>
      </c>
      <c r="D29" s="183" t="s">
        <v>865</v>
      </c>
      <c r="E29" s="183" t="s">
        <v>740</v>
      </c>
      <c r="F29" s="185">
        <v>45000</v>
      </c>
      <c r="G29" s="183" t="s">
        <v>741</v>
      </c>
      <c r="H29" s="183" t="s">
        <v>866</v>
      </c>
      <c r="I29" s="183" t="s">
        <v>867</v>
      </c>
      <c r="J29" s="183" t="s">
        <v>868</v>
      </c>
      <c r="K29" s="183" t="s">
        <v>869</v>
      </c>
      <c r="L29" s="184">
        <v>2</v>
      </c>
      <c r="M29" s="184">
        <v>3.6</v>
      </c>
      <c r="O29" s="187" t="s">
        <v>2729</v>
      </c>
      <c r="P29" s="188">
        <v>1072670</v>
      </c>
    </row>
    <row r="30" spans="1:16" ht="17.25" hidden="1" customHeight="1" x14ac:dyDescent="0.25">
      <c r="A30" s="183" t="s">
        <v>51</v>
      </c>
      <c r="B30" s="184">
        <v>975</v>
      </c>
      <c r="C30" s="184">
        <v>2012</v>
      </c>
      <c r="D30" s="183" t="s">
        <v>870</v>
      </c>
      <c r="E30" s="183" t="s">
        <v>740</v>
      </c>
      <c r="F30" s="185">
        <v>50000</v>
      </c>
      <c r="G30" s="183" t="s">
        <v>741</v>
      </c>
      <c r="H30" s="183" t="s">
        <v>871</v>
      </c>
      <c r="I30" s="183" t="s">
        <v>872</v>
      </c>
      <c r="J30" s="183" t="s">
        <v>873</v>
      </c>
      <c r="K30" s="183" t="s">
        <v>874</v>
      </c>
      <c r="L30" s="184">
        <v>5</v>
      </c>
      <c r="M30" s="184">
        <v>2.2999999999999998</v>
      </c>
      <c r="O30" s="187" t="s">
        <v>36</v>
      </c>
      <c r="P30" s="188">
        <v>1527205.5</v>
      </c>
    </row>
    <row r="31" spans="1:16" ht="17.25" hidden="1" customHeight="1" x14ac:dyDescent="0.25">
      <c r="A31" s="183" t="s">
        <v>51</v>
      </c>
      <c r="B31" s="184">
        <v>966</v>
      </c>
      <c r="C31" s="184">
        <v>2012</v>
      </c>
      <c r="D31" s="183" t="s">
        <v>875</v>
      </c>
      <c r="E31" s="183" t="s">
        <v>740</v>
      </c>
      <c r="F31" s="185">
        <v>25000</v>
      </c>
      <c r="G31" s="183" t="s">
        <v>741</v>
      </c>
      <c r="H31" s="183" t="s">
        <v>876</v>
      </c>
      <c r="I31" s="183" t="s">
        <v>877</v>
      </c>
      <c r="J31" s="183" t="s">
        <v>878</v>
      </c>
      <c r="K31" s="183" t="s">
        <v>826</v>
      </c>
      <c r="L31" s="184">
        <v>7</v>
      </c>
      <c r="M31" s="184">
        <v>1</v>
      </c>
      <c r="O31" s="187" t="s">
        <v>34</v>
      </c>
      <c r="P31" s="188">
        <v>1658888</v>
      </c>
    </row>
    <row r="32" spans="1:16" ht="17.25" hidden="1" customHeight="1" x14ac:dyDescent="0.25">
      <c r="A32" s="183" t="s">
        <v>51</v>
      </c>
      <c r="B32" s="184">
        <v>973</v>
      </c>
      <c r="C32" s="184">
        <v>2012</v>
      </c>
      <c r="D32" s="183" t="s">
        <v>879</v>
      </c>
      <c r="E32" s="183" t="s">
        <v>740</v>
      </c>
      <c r="F32" s="185">
        <v>15000</v>
      </c>
      <c r="G32" s="183" t="s">
        <v>741</v>
      </c>
      <c r="H32" s="183" t="s">
        <v>880</v>
      </c>
      <c r="I32" s="183" t="s">
        <v>881</v>
      </c>
      <c r="J32" s="183" t="s">
        <v>882</v>
      </c>
      <c r="K32" s="183" t="s">
        <v>845</v>
      </c>
      <c r="L32" s="184">
        <v>2</v>
      </c>
      <c r="M32" s="184">
        <v>1</v>
      </c>
      <c r="O32" s="187" t="s">
        <v>116</v>
      </c>
      <c r="P32" s="188">
        <v>1270359.1099999999</v>
      </c>
    </row>
    <row r="33" spans="1:16" ht="17.25" hidden="1" customHeight="1" x14ac:dyDescent="0.25">
      <c r="A33" s="183" t="s">
        <v>51</v>
      </c>
      <c r="B33" s="184">
        <v>968</v>
      </c>
      <c r="C33" s="184">
        <v>2012</v>
      </c>
      <c r="D33" s="183" t="s">
        <v>883</v>
      </c>
      <c r="E33" s="183" t="s">
        <v>773</v>
      </c>
      <c r="F33" s="185">
        <v>20000</v>
      </c>
      <c r="G33" s="183" t="s">
        <v>749</v>
      </c>
      <c r="H33" s="183" t="s">
        <v>884</v>
      </c>
      <c r="I33" s="183" t="s">
        <v>885</v>
      </c>
      <c r="J33" s="183" t="s">
        <v>886</v>
      </c>
      <c r="K33" s="183" t="s">
        <v>840</v>
      </c>
      <c r="L33" s="184">
        <v>6</v>
      </c>
      <c r="M33" s="184">
        <v>85.5</v>
      </c>
      <c r="O33" s="187" t="s">
        <v>117</v>
      </c>
      <c r="P33" s="188">
        <v>2352348.8099999996</v>
      </c>
    </row>
    <row r="34" spans="1:16" ht="17.25" hidden="1" customHeight="1" x14ac:dyDescent="0.25">
      <c r="A34" s="183" t="s">
        <v>51</v>
      </c>
      <c r="B34" s="184">
        <v>959</v>
      </c>
      <c r="C34" s="184">
        <v>2012</v>
      </c>
      <c r="D34" s="183" t="s">
        <v>887</v>
      </c>
      <c r="E34" s="183" t="s">
        <v>740</v>
      </c>
      <c r="F34" s="185">
        <v>50000</v>
      </c>
      <c r="G34" s="183" t="s">
        <v>749</v>
      </c>
      <c r="H34" s="183" t="s">
        <v>888</v>
      </c>
      <c r="I34" s="183" t="s">
        <v>889</v>
      </c>
      <c r="J34" s="183" t="s">
        <v>890</v>
      </c>
      <c r="K34" s="183" t="s">
        <v>891</v>
      </c>
      <c r="L34" s="184">
        <v>1</v>
      </c>
      <c r="M34" s="184">
        <v>61</v>
      </c>
      <c r="O34" s="187" t="s">
        <v>276</v>
      </c>
      <c r="P34" s="188">
        <v>770716.9</v>
      </c>
    </row>
    <row r="35" spans="1:16" ht="17.25" hidden="1" customHeight="1" x14ac:dyDescent="0.25">
      <c r="A35" s="183" t="s">
        <v>51</v>
      </c>
      <c r="B35" s="184">
        <v>962</v>
      </c>
      <c r="C35" s="184">
        <v>2012</v>
      </c>
      <c r="D35" s="183" t="s">
        <v>892</v>
      </c>
      <c r="E35" s="183" t="s">
        <v>740</v>
      </c>
      <c r="F35" s="185">
        <v>8530</v>
      </c>
      <c r="G35" s="183" t="s">
        <v>749</v>
      </c>
      <c r="H35" s="183" t="s">
        <v>893</v>
      </c>
      <c r="I35" s="183" t="s">
        <v>894</v>
      </c>
      <c r="J35" s="183" t="s">
        <v>895</v>
      </c>
      <c r="K35" s="183" t="s">
        <v>811</v>
      </c>
      <c r="L35" s="184">
        <v>4</v>
      </c>
      <c r="M35" s="184">
        <v>11.7</v>
      </c>
      <c r="O35" s="187" t="s">
        <v>122</v>
      </c>
      <c r="P35" s="188">
        <v>1398000</v>
      </c>
    </row>
    <row r="36" spans="1:16" ht="17.25" hidden="1" customHeight="1" x14ac:dyDescent="0.25">
      <c r="A36" s="183" t="s">
        <v>51</v>
      </c>
      <c r="B36" s="184">
        <v>955</v>
      </c>
      <c r="C36" s="184">
        <v>2012</v>
      </c>
      <c r="D36" s="183" t="s">
        <v>896</v>
      </c>
      <c r="E36" s="183" t="s">
        <v>740</v>
      </c>
      <c r="F36" s="185">
        <v>9112.83</v>
      </c>
      <c r="G36" s="183" t="s">
        <v>749</v>
      </c>
      <c r="H36" s="183" t="s">
        <v>897</v>
      </c>
      <c r="I36" s="183" t="s">
        <v>898</v>
      </c>
      <c r="J36" s="183" t="s">
        <v>899</v>
      </c>
      <c r="K36" s="183" t="s">
        <v>840</v>
      </c>
      <c r="L36" s="184">
        <v>6</v>
      </c>
      <c r="M36" s="184">
        <v>10.8</v>
      </c>
      <c r="O36" s="187" t="s">
        <v>64</v>
      </c>
      <c r="P36" s="188">
        <v>2061500</v>
      </c>
    </row>
    <row r="37" spans="1:16" ht="17.25" hidden="1" customHeight="1" x14ac:dyDescent="0.25">
      <c r="A37" s="183" t="s">
        <v>51</v>
      </c>
      <c r="B37" s="184">
        <v>964</v>
      </c>
      <c r="C37" s="184">
        <v>2012</v>
      </c>
      <c r="D37" s="183" t="s">
        <v>900</v>
      </c>
      <c r="E37" s="183" t="s">
        <v>740</v>
      </c>
      <c r="F37" s="185">
        <v>50000</v>
      </c>
      <c r="G37" s="183" t="s">
        <v>749</v>
      </c>
      <c r="H37" s="183" t="s">
        <v>901</v>
      </c>
      <c r="I37" s="183" t="s">
        <v>902</v>
      </c>
      <c r="J37" s="183" t="s">
        <v>903</v>
      </c>
      <c r="K37" s="183" t="s">
        <v>874</v>
      </c>
      <c r="L37" s="184">
        <v>4</v>
      </c>
      <c r="M37" s="184">
        <v>5</v>
      </c>
      <c r="O37" s="187" t="s">
        <v>125</v>
      </c>
      <c r="P37" s="188">
        <v>1185254.3599999999</v>
      </c>
    </row>
    <row r="38" spans="1:16" ht="17.25" hidden="1" customHeight="1" x14ac:dyDescent="0.25">
      <c r="A38" s="183" t="s">
        <v>51</v>
      </c>
      <c r="B38" s="184">
        <v>985</v>
      </c>
      <c r="C38" s="184">
        <v>2014</v>
      </c>
      <c r="D38" s="183" t="s">
        <v>904</v>
      </c>
      <c r="E38" s="183" t="s">
        <v>740</v>
      </c>
      <c r="F38" s="184">
        <v>0</v>
      </c>
      <c r="G38" s="183" t="s">
        <v>741</v>
      </c>
      <c r="H38" s="183" t="s">
        <v>905</v>
      </c>
      <c r="I38" s="183" t="s">
        <v>906</v>
      </c>
      <c r="J38" s="183" t="s">
        <v>907</v>
      </c>
      <c r="K38" s="183" t="s">
        <v>801</v>
      </c>
      <c r="L38" s="184">
        <v>7</v>
      </c>
      <c r="M38" s="184">
        <v>1</v>
      </c>
      <c r="O38" s="187" t="s">
        <v>365</v>
      </c>
      <c r="P38" s="188">
        <v>6108163.4199999999</v>
      </c>
    </row>
    <row r="39" spans="1:16" ht="17.25" hidden="1" customHeight="1" x14ac:dyDescent="0.25">
      <c r="A39" s="183" t="s">
        <v>51</v>
      </c>
      <c r="B39" s="184">
        <v>984</v>
      </c>
      <c r="C39" s="184">
        <v>2014</v>
      </c>
      <c r="D39" s="183" t="s">
        <v>908</v>
      </c>
      <c r="E39" s="183" t="s">
        <v>740</v>
      </c>
      <c r="F39" s="184">
        <v>0</v>
      </c>
      <c r="G39" s="183" t="s">
        <v>749</v>
      </c>
      <c r="H39" s="183" t="s">
        <v>909</v>
      </c>
      <c r="I39" s="183" t="s">
        <v>910</v>
      </c>
      <c r="J39" s="183" t="s">
        <v>911</v>
      </c>
      <c r="K39" s="183" t="s">
        <v>912</v>
      </c>
      <c r="L39" s="184">
        <v>6</v>
      </c>
      <c r="M39" s="184">
        <v>11.2</v>
      </c>
      <c r="O39" s="187" t="s">
        <v>65</v>
      </c>
      <c r="P39" s="188">
        <v>4051788.5</v>
      </c>
    </row>
    <row r="40" spans="1:16" ht="17.25" hidden="1" customHeight="1" x14ac:dyDescent="0.25">
      <c r="A40" s="183" t="s">
        <v>51</v>
      </c>
      <c r="B40" s="184">
        <v>983</v>
      </c>
      <c r="C40" s="184">
        <v>2014</v>
      </c>
      <c r="D40" s="183" t="s">
        <v>913</v>
      </c>
      <c r="E40" s="183" t="s">
        <v>740</v>
      </c>
      <c r="F40" s="184">
        <v>0</v>
      </c>
      <c r="G40" s="183" t="s">
        <v>749</v>
      </c>
      <c r="H40" s="183" t="s">
        <v>914</v>
      </c>
      <c r="I40" s="183" t="s">
        <v>915</v>
      </c>
      <c r="J40" s="183" t="s">
        <v>916</v>
      </c>
      <c r="K40" s="183" t="s">
        <v>917</v>
      </c>
      <c r="L40" s="184">
        <v>5</v>
      </c>
      <c r="M40" s="184">
        <v>1</v>
      </c>
      <c r="O40" s="187" t="s">
        <v>66</v>
      </c>
      <c r="P40" s="188">
        <v>2357901.19</v>
      </c>
    </row>
    <row r="41" spans="1:16" ht="17.25" hidden="1" customHeight="1" x14ac:dyDescent="0.25">
      <c r="A41" s="183" t="s">
        <v>82</v>
      </c>
      <c r="B41" s="184">
        <v>803</v>
      </c>
      <c r="C41" s="184">
        <v>2011</v>
      </c>
      <c r="D41" s="183" t="s">
        <v>918</v>
      </c>
      <c r="E41" s="183" t="s">
        <v>773</v>
      </c>
      <c r="F41" s="185">
        <v>126381</v>
      </c>
      <c r="G41" s="183" t="s">
        <v>741</v>
      </c>
      <c r="H41" s="183" t="s">
        <v>919</v>
      </c>
      <c r="I41" s="183" t="s">
        <v>920</v>
      </c>
      <c r="J41" s="183" t="s">
        <v>921</v>
      </c>
      <c r="K41" s="183" t="s">
        <v>239</v>
      </c>
      <c r="L41" s="184">
        <v>3</v>
      </c>
      <c r="M41" s="184">
        <v>18</v>
      </c>
      <c r="O41" s="187" t="s">
        <v>2</v>
      </c>
      <c r="P41" s="188">
        <v>1576307.4500000002</v>
      </c>
    </row>
    <row r="42" spans="1:16" ht="17.25" hidden="1" customHeight="1" x14ac:dyDescent="0.25">
      <c r="A42" s="183" t="s">
        <v>82</v>
      </c>
      <c r="B42" s="184">
        <v>802</v>
      </c>
      <c r="C42" s="184">
        <v>2011</v>
      </c>
      <c r="D42" s="183" t="s">
        <v>922</v>
      </c>
      <c r="E42" s="183" t="s">
        <v>773</v>
      </c>
      <c r="F42" s="185">
        <v>150922.6</v>
      </c>
      <c r="G42" s="183" t="s">
        <v>741</v>
      </c>
      <c r="H42" s="183" t="s">
        <v>923</v>
      </c>
      <c r="I42" s="183" t="s">
        <v>924</v>
      </c>
      <c r="J42" s="183" t="s">
        <v>925</v>
      </c>
      <c r="K42" s="183" t="s">
        <v>926</v>
      </c>
      <c r="L42" s="184">
        <v>2</v>
      </c>
      <c r="M42" s="184">
        <v>15.2</v>
      </c>
      <c r="O42" s="187" t="s">
        <v>129</v>
      </c>
      <c r="P42" s="188">
        <v>3492000</v>
      </c>
    </row>
    <row r="43" spans="1:16" ht="17.25" hidden="1" customHeight="1" x14ac:dyDescent="0.25">
      <c r="A43" s="183" t="s">
        <v>82</v>
      </c>
      <c r="B43" s="184">
        <v>804</v>
      </c>
      <c r="C43" s="184">
        <v>2012</v>
      </c>
      <c r="D43" s="183" t="s">
        <v>927</v>
      </c>
      <c r="E43" s="183" t="s">
        <v>773</v>
      </c>
      <c r="F43" s="185">
        <v>242582</v>
      </c>
      <c r="G43" s="183" t="s">
        <v>740</v>
      </c>
      <c r="H43" s="183" t="s">
        <v>928</v>
      </c>
      <c r="I43" s="183" t="s">
        <v>929</v>
      </c>
      <c r="J43" s="183" t="s">
        <v>930</v>
      </c>
      <c r="K43" s="183" t="s">
        <v>931</v>
      </c>
      <c r="L43" s="184">
        <v>1</v>
      </c>
      <c r="M43" s="184">
        <v>410</v>
      </c>
      <c r="O43" s="187" t="s">
        <v>130</v>
      </c>
      <c r="P43" s="188">
        <v>1251147</v>
      </c>
    </row>
    <row r="44" spans="1:16" ht="17.25" hidden="1" customHeight="1" x14ac:dyDescent="0.25">
      <c r="A44" s="183" t="s">
        <v>82</v>
      </c>
      <c r="B44" s="184">
        <v>813</v>
      </c>
      <c r="C44" s="184">
        <v>2012</v>
      </c>
      <c r="D44" s="183" t="s">
        <v>932</v>
      </c>
      <c r="E44" s="183" t="s">
        <v>773</v>
      </c>
      <c r="F44" s="185">
        <v>230115</v>
      </c>
      <c r="G44" s="183" t="s">
        <v>740</v>
      </c>
      <c r="H44" s="183" t="s">
        <v>933</v>
      </c>
      <c r="I44" s="183" t="s">
        <v>934</v>
      </c>
      <c r="J44" s="183" t="s">
        <v>932</v>
      </c>
      <c r="K44" s="183" t="s">
        <v>935</v>
      </c>
      <c r="L44" s="184">
        <v>3</v>
      </c>
      <c r="M44" s="184">
        <v>200</v>
      </c>
      <c r="O44" s="187" t="s">
        <v>3640</v>
      </c>
      <c r="P44" s="188">
        <v>727845</v>
      </c>
    </row>
    <row r="45" spans="1:16" ht="17.25" hidden="1" customHeight="1" x14ac:dyDescent="0.25">
      <c r="A45" s="183" t="s">
        <v>82</v>
      </c>
      <c r="B45" s="184">
        <v>811</v>
      </c>
      <c r="C45" s="184">
        <v>2012</v>
      </c>
      <c r="D45" s="183" t="s">
        <v>936</v>
      </c>
      <c r="E45" s="183" t="s">
        <v>773</v>
      </c>
      <c r="F45" s="185">
        <v>128442</v>
      </c>
      <c r="G45" s="183" t="s">
        <v>741</v>
      </c>
      <c r="H45" s="183" t="s">
        <v>937</v>
      </c>
      <c r="I45" s="183" t="s">
        <v>938</v>
      </c>
      <c r="J45" s="183" t="s">
        <v>939</v>
      </c>
      <c r="K45" s="183" t="s">
        <v>940</v>
      </c>
      <c r="L45" s="184">
        <v>4</v>
      </c>
      <c r="M45" s="184">
        <v>68</v>
      </c>
      <c r="O45" s="187" t="s">
        <v>131</v>
      </c>
      <c r="P45" s="188">
        <v>1125000</v>
      </c>
    </row>
    <row r="46" spans="1:16" ht="17.25" hidden="1" customHeight="1" x14ac:dyDescent="0.25">
      <c r="A46" s="183" t="s">
        <v>82</v>
      </c>
      <c r="B46" s="184">
        <v>815</v>
      </c>
      <c r="C46" s="184">
        <v>2012</v>
      </c>
      <c r="D46" s="183" t="s">
        <v>941</v>
      </c>
      <c r="E46" s="183" t="s">
        <v>740</v>
      </c>
      <c r="F46" s="185">
        <v>258959</v>
      </c>
      <c r="G46" s="183" t="s">
        <v>741</v>
      </c>
      <c r="H46" s="183" t="s">
        <v>942</v>
      </c>
      <c r="I46" s="183" t="s">
        <v>943</v>
      </c>
      <c r="J46" s="183" t="s">
        <v>944</v>
      </c>
      <c r="K46" s="183" t="s">
        <v>835</v>
      </c>
      <c r="L46" s="184">
        <v>4</v>
      </c>
      <c r="M46" s="184">
        <v>29.7</v>
      </c>
      <c r="O46" s="187" t="s">
        <v>387</v>
      </c>
      <c r="P46" s="188">
        <v>1876651.19</v>
      </c>
    </row>
    <row r="47" spans="1:16" ht="17.25" hidden="1" customHeight="1" x14ac:dyDescent="0.25">
      <c r="A47" s="183" t="s">
        <v>82</v>
      </c>
      <c r="B47" s="184">
        <v>811</v>
      </c>
      <c r="C47" s="184">
        <v>2012</v>
      </c>
      <c r="D47" s="183" t="s">
        <v>936</v>
      </c>
      <c r="E47" s="183" t="s">
        <v>773</v>
      </c>
      <c r="F47" s="185">
        <v>128442</v>
      </c>
      <c r="G47" s="183" t="s">
        <v>741</v>
      </c>
      <c r="H47" s="183" t="s">
        <v>937</v>
      </c>
      <c r="I47" s="183" t="s">
        <v>938</v>
      </c>
      <c r="J47" s="183" t="s">
        <v>945</v>
      </c>
      <c r="K47" s="183" t="s">
        <v>946</v>
      </c>
      <c r="L47" s="184">
        <v>4</v>
      </c>
      <c r="M47" s="184">
        <v>18.100000000000001</v>
      </c>
      <c r="O47" s="187" t="s">
        <v>14</v>
      </c>
      <c r="P47" s="188">
        <v>2375001</v>
      </c>
    </row>
    <row r="48" spans="1:16" ht="17.25" hidden="1" customHeight="1" x14ac:dyDescent="0.25">
      <c r="A48" s="183" t="s">
        <v>82</v>
      </c>
      <c r="B48" s="184">
        <v>811</v>
      </c>
      <c r="C48" s="184">
        <v>2012</v>
      </c>
      <c r="D48" s="183" t="s">
        <v>936</v>
      </c>
      <c r="E48" s="183" t="s">
        <v>773</v>
      </c>
      <c r="F48" s="185">
        <v>128442</v>
      </c>
      <c r="G48" s="183" t="s">
        <v>741</v>
      </c>
      <c r="H48" s="183" t="s">
        <v>937</v>
      </c>
      <c r="I48" s="183" t="s">
        <v>938</v>
      </c>
      <c r="J48" s="183" t="s">
        <v>947</v>
      </c>
      <c r="K48" s="183" t="s">
        <v>946</v>
      </c>
      <c r="L48" s="184">
        <v>4</v>
      </c>
      <c r="M48" s="184">
        <v>9</v>
      </c>
      <c r="O48" s="187" t="s">
        <v>6</v>
      </c>
      <c r="P48" s="188">
        <v>6719639.5900000008</v>
      </c>
    </row>
    <row r="49" spans="1:16" ht="17.25" hidden="1" customHeight="1" x14ac:dyDescent="0.25">
      <c r="A49" s="183" t="s">
        <v>82</v>
      </c>
      <c r="B49" s="184">
        <v>811</v>
      </c>
      <c r="C49" s="184">
        <v>2012</v>
      </c>
      <c r="D49" s="183" t="s">
        <v>936</v>
      </c>
      <c r="E49" s="183" t="s">
        <v>773</v>
      </c>
      <c r="F49" s="185">
        <v>128442</v>
      </c>
      <c r="G49" s="183" t="s">
        <v>741</v>
      </c>
      <c r="H49" s="183" t="s">
        <v>937</v>
      </c>
      <c r="I49" s="183" t="s">
        <v>938</v>
      </c>
      <c r="J49" s="183" t="s">
        <v>948</v>
      </c>
      <c r="K49" s="183" t="s">
        <v>946</v>
      </c>
      <c r="L49" s="184">
        <v>4</v>
      </c>
      <c r="M49" s="184">
        <v>5.9</v>
      </c>
      <c r="O49" s="187" t="s">
        <v>71</v>
      </c>
      <c r="P49" s="188">
        <v>1629978</v>
      </c>
    </row>
    <row r="50" spans="1:16" ht="17.25" hidden="1" customHeight="1" x14ac:dyDescent="0.25">
      <c r="A50" s="183" t="s">
        <v>82</v>
      </c>
      <c r="B50" s="184">
        <v>807</v>
      </c>
      <c r="C50" s="184">
        <v>2012</v>
      </c>
      <c r="D50" s="183" t="s">
        <v>949</v>
      </c>
      <c r="E50" s="183" t="s">
        <v>740</v>
      </c>
      <c r="F50" s="185">
        <v>115000</v>
      </c>
      <c r="G50" s="183" t="s">
        <v>741</v>
      </c>
      <c r="H50" s="183" t="s">
        <v>950</v>
      </c>
      <c r="I50" s="183" t="s">
        <v>951</v>
      </c>
      <c r="J50" s="183" t="s">
        <v>952</v>
      </c>
      <c r="K50" s="183" t="s">
        <v>214</v>
      </c>
      <c r="L50" s="184">
        <v>1</v>
      </c>
      <c r="M50" s="184">
        <v>2.5</v>
      </c>
      <c r="O50" s="187" t="s">
        <v>20</v>
      </c>
      <c r="P50" s="188">
        <v>1748420</v>
      </c>
    </row>
    <row r="51" spans="1:16" ht="17.25" hidden="1" customHeight="1" x14ac:dyDescent="0.25">
      <c r="A51" s="183" t="s">
        <v>82</v>
      </c>
      <c r="B51" s="184">
        <v>810</v>
      </c>
      <c r="C51" s="184">
        <v>2012</v>
      </c>
      <c r="D51" s="183" t="s">
        <v>953</v>
      </c>
      <c r="E51" s="183" t="s">
        <v>773</v>
      </c>
      <c r="F51" s="185">
        <v>41069.5</v>
      </c>
      <c r="G51" s="183" t="s">
        <v>741</v>
      </c>
      <c r="H51" s="183" t="s">
        <v>954</v>
      </c>
      <c r="I51" s="183" t="s">
        <v>955</v>
      </c>
      <c r="J51" s="183" t="s">
        <v>956</v>
      </c>
      <c r="K51" s="183" t="s">
        <v>957</v>
      </c>
      <c r="L51" s="184">
        <v>4</v>
      </c>
      <c r="M51" s="184">
        <v>2.2999999999999998</v>
      </c>
      <c r="O51" s="187" t="s">
        <v>304</v>
      </c>
      <c r="P51" s="188">
        <v>152969</v>
      </c>
    </row>
    <row r="52" spans="1:16" ht="17.25" hidden="1" customHeight="1" x14ac:dyDescent="0.25">
      <c r="A52" s="183" t="s">
        <v>82</v>
      </c>
      <c r="B52" s="184">
        <v>815</v>
      </c>
      <c r="C52" s="184">
        <v>2012</v>
      </c>
      <c r="D52" s="183" t="s">
        <v>941</v>
      </c>
      <c r="E52" s="183" t="s">
        <v>740</v>
      </c>
      <c r="F52" s="185">
        <v>258959</v>
      </c>
      <c r="G52" s="183" t="s">
        <v>741</v>
      </c>
      <c r="H52" s="183" t="s">
        <v>942</v>
      </c>
      <c r="I52" s="183" t="s">
        <v>943</v>
      </c>
      <c r="J52" s="183" t="s">
        <v>958</v>
      </c>
      <c r="K52" s="183" t="s">
        <v>835</v>
      </c>
      <c r="L52" s="184">
        <v>4</v>
      </c>
      <c r="M52" s="184">
        <v>2.2999999999999998</v>
      </c>
      <c r="O52" s="187" t="s">
        <v>136</v>
      </c>
      <c r="P52" s="188">
        <v>628381</v>
      </c>
    </row>
    <row r="53" spans="1:16" ht="17.25" hidden="1" customHeight="1" x14ac:dyDescent="0.25">
      <c r="A53" s="183" t="s">
        <v>82</v>
      </c>
      <c r="B53" s="184">
        <v>805</v>
      </c>
      <c r="C53" s="184">
        <v>2012</v>
      </c>
      <c r="D53" s="183" t="s">
        <v>959</v>
      </c>
      <c r="E53" s="183" t="s">
        <v>740</v>
      </c>
      <c r="F53" s="185">
        <v>74750</v>
      </c>
      <c r="G53" s="183" t="s">
        <v>741</v>
      </c>
      <c r="H53" s="183" t="s">
        <v>960</v>
      </c>
      <c r="I53" s="183" t="s">
        <v>961</v>
      </c>
      <c r="J53" s="183" t="s">
        <v>962</v>
      </c>
      <c r="K53" s="183" t="s">
        <v>963</v>
      </c>
      <c r="L53" s="184">
        <v>1</v>
      </c>
      <c r="M53" s="184">
        <v>0.2</v>
      </c>
      <c r="O53" s="187" t="s">
        <v>30</v>
      </c>
      <c r="P53" s="188">
        <v>1927127.87</v>
      </c>
    </row>
    <row r="54" spans="1:16" ht="17.25" hidden="1" customHeight="1" x14ac:dyDescent="0.25">
      <c r="A54" s="183" t="s">
        <v>82</v>
      </c>
      <c r="B54" s="184">
        <v>809</v>
      </c>
      <c r="C54" s="184">
        <v>2012</v>
      </c>
      <c r="D54" s="183" t="s">
        <v>964</v>
      </c>
      <c r="E54" s="183" t="s">
        <v>773</v>
      </c>
      <c r="F54" s="185">
        <v>74232</v>
      </c>
      <c r="G54" s="183" t="s">
        <v>749</v>
      </c>
      <c r="H54" s="183" t="s">
        <v>965</v>
      </c>
      <c r="I54" s="183" t="s">
        <v>966</v>
      </c>
      <c r="J54" s="183" t="s">
        <v>967</v>
      </c>
      <c r="K54" s="183" t="s">
        <v>968</v>
      </c>
      <c r="L54" s="184">
        <v>2</v>
      </c>
      <c r="M54" s="184">
        <v>49</v>
      </c>
      <c r="O54" s="187" t="s">
        <v>8</v>
      </c>
      <c r="P54" s="188">
        <v>3742702.82</v>
      </c>
    </row>
    <row r="55" spans="1:16" ht="17.25" hidden="1" customHeight="1" x14ac:dyDescent="0.25">
      <c r="A55" s="183" t="s">
        <v>82</v>
      </c>
      <c r="B55" s="184">
        <v>814</v>
      </c>
      <c r="C55" s="184">
        <v>2012</v>
      </c>
      <c r="D55" s="183" t="s">
        <v>969</v>
      </c>
      <c r="E55" s="183" t="s">
        <v>773</v>
      </c>
      <c r="F55" s="185">
        <v>23000</v>
      </c>
      <c r="G55" s="183" t="s">
        <v>749</v>
      </c>
      <c r="H55" s="183" t="s">
        <v>970</v>
      </c>
      <c r="I55" s="183" t="s">
        <v>971</v>
      </c>
      <c r="J55" s="183" t="s">
        <v>972</v>
      </c>
      <c r="K55" s="183" t="s">
        <v>973</v>
      </c>
      <c r="L55" s="184">
        <v>1</v>
      </c>
      <c r="M55" s="184">
        <v>29.5</v>
      </c>
      <c r="O55" s="187" t="s">
        <v>144</v>
      </c>
      <c r="P55" s="188">
        <v>979882</v>
      </c>
    </row>
    <row r="56" spans="1:16" ht="17.25" hidden="1" customHeight="1" x14ac:dyDescent="0.25">
      <c r="A56" s="183" t="s">
        <v>82</v>
      </c>
      <c r="B56" s="184">
        <v>808</v>
      </c>
      <c r="C56" s="184">
        <v>2013</v>
      </c>
      <c r="D56" s="183" t="s">
        <v>974</v>
      </c>
      <c r="E56" s="183" t="s">
        <v>773</v>
      </c>
      <c r="F56" s="185">
        <v>398228</v>
      </c>
      <c r="G56" s="183" t="s">
        <v>741</v>
      </c>
      <c r="H56" s="183" t="s">
        <v>975</v>
      </c>
      <c r="I56" s="183" t="s">
        <v>976</v>
      </c>
      <c r="J56" s="183" t="s">
        <v>977</v>
      </c>
      <c r="K56" s="183" t="s">
        <v>978</v>
      </c>
      <c r="L56" s="184">
        <v>0</v>
      </c>
      <c r="M56" s="184">
        <v>81.5</v>
      </c>
      <c r="O56" s="187" t="s">
        <v>336</v>
      </c>
      <c r="P56" s="188">
        <v>1202494.67</v>
      </c>
    </row>
    <row r="57" spans="1:16" ht="17.25" hidden="1" customHeight="1" x14ac:dyDescent="0.25">
      <c r="A57" s="183" t="s">
        <v>82</v>
      </c>
      <c r="B57" s="184">
        <v>816</v>
      </c>
      <c r="C57" s="184">
        <v>2014</v>
      </c>
      <c r="D57" s="183" t="s">
        <v>979</v>
      </c>
      <c r="E57" s="183" t="s">
        <v>740</v>
      </c>
      <c r="F57" s="185">
        <v>143750</v>
      </c>
      <c r="G57" s="183" t="s">
        <v>741</v>
      </c>
      <c r="H57" s="183" t="s">
        <v>980</v>
      </c>
      <c r="I57" s="183" t="s">
        <v>981</v>
      </c>
      <c r="J57" s="183" t="s">
        <v>982</v>
      </c>
      <c r="K57" s="183" t="s">
        <v>983</v>
      </c>
      <c r="L57" s="184">
        <v>1</v>
      </c>
      <c r="M57" s="184">
        <v>50</v>
      </c>
      <c r="O57" s="187" t="s">
        <v>701</v>
      </c>
      <c r="P57" s="188">
        <v>124298922.90000001</v>
      </c>
    </row>
    <row r="58" spans="1:16" ht="17.25" hidden="1" customHeight="1" x14ac:dyDescent="0.25">
      <c r="A58" s="183" t="s">
        <v>82</v>
      </c>
      <c r="B58" s="184">
        <v>818</v>
      </c>
      <c r="C58" s="184">
        <v>2014</v>
      </c>
      <c r="D58" s="183" t="s">
        <v>984</v>
      </c>
      <c r="E58" s="183" t="s">
        <v>740</v>
      </c>
      <c r="F58" s="185">
        <v>221654.91</v>
      </c>
      <c r="G58" s="183" t="s">
        <v>741</v>
      </c>
      <c r="H58" s="183" t="s">
        <v>985</v>
      </c>
      <c r="I58" s="183" t="s">
        <v>986</v>
      </c>
      <c r="J58" s="183" t="s">
        <v>987</v>
      </c>
      <c r="K58" s="183" t="s">
        <v>988</v>
      </c>
      <c r="L58" s="184">
        <v>3</v>
      </c>
      <c r="M58" s="184">
        <v>22.9</v>
      </c>
    </row>
    <row r="59" spans="1:16" ht="17.25" hidden="1" customHeight="1" x14ac:dyDescent="0.25">
      <c r="A59" s="183" t="s">
        <v>82</v>
      </c>
      <c r="B59" s="184">
        <v>817</v>
      </c>
      <c r="C59" s="184">
        <v>2014</v>
      </c>
      <c r="D59" s="183" t="s">
        <v>989</v>
      </c>
      <c r="E59" s="183" t="s">
        <v>740</v>
      </c>
      <c r="F59" s="185">
        <v>143750</v>
      </c>
      <c r="G59" s="183" t="s">
        <v>749</v>
      </c>
      <c r="H59" s="183" t="s">
        <v>990</v>
      </c>
      <c r="I59" s="183" t="s">
        <v>991</v>
      </c>
      <c r="J59" s="183" t="s">
        <v>992</v>
      </c>
      <c r="K59" s="183" t="s">
        <v>993</v>
      </c>
      <c r="L59" s="184">
        <v>2</v>
      </c>
      <c r="M59" s="184">
        <v>33</v>
      </c>
    </row>
    <row r="60" spans="1:16" ht="17.25" hidden="1" customHeight="1" x14ac:dyDescent="0.25">
      <c r="A60" s="183" t="s">
        <v>85</v>
      </c>
      <c r="B60" s="184">
        <v>740</v>
      </c>
      <c r="C60" s="184">
        <v>2012</v>
      </c>
      <c r="D60" s="183" t="s">
        <v>994</v>
      </c>
      <c r="E60" s="183" t="s">
        <v>740</v>
      </c>
      <c r="F60" s="185">
        <v>1473478</v>
      </c>
      <c r="G60" s="183" t="s">
        <v>741</v>
      </c>
      <c r="H60" s="183" t="s">
        <v>995</v>
      </c>
      <c r="I60" s="183" t="s">
        <v>996</v>
      </c>
      <c r="J60" s="183" t="s">
        <v>997</v>
      </c>
      <c r="K60" s="183" t="s">
        <v>998</v>
      </c>
      <c r="L60" s="184">
        <v>2</v>
      </c>
      <c r="M60" s="185">
        <v>6500</v>
      </c>
    </row>
    <row r="61" spans="1:16" ht="17.25" hidden="1" customHeight="1" x14ac:dyDescent="0.25">
      <c r="A61" s="183" t="s">
        <v>85</v>
      </c>
      <c r="B61" s="184">
        <v>742</v>
      </c>
      <c r="C61" s="184">
        <v>2014</v>
      </c>
      <c r="D61" s="183" t="s">
        <v>999</v>
      </c>
      <c r="E61" s="183" t="s">
        <v>740</v>
      </c>
      <c r="F61" s="185">
        <v>929730.02</v>
      </c>
      <c r="G61" s="183" t="s">
        <v>741</v>
      </c>
      <c r="H61" s="183" t="s">
        <v>995</v>
      </c>
      <c r="I61" s="183" t="s">
        <v>1000</v>
      </c>
      <c r="J61" s="183" t="s">
        <v>997</v>
      </c>
      <c r="K61" s="183" t="s">
        <v>998</v>
      </c>
      <c r="L61" s="184">
        <v>2</v>
      </c>
      <c r="M61" s="185">
        <v>6500</v>
      </c>
    </row>
    <row r="62" spans="1:16" ht="17.25" hidden="1" customHeight="1" x14ac:dyDescent="0.25">
      <c r="A62" s="183" t="s">
        <v>85</v>
      </c>
      <c r="B62" s="184">
        <v>741</v>
      </c>
      <c r="C62" s="184">
        <v>2014</v>
      </c>
      <c r="D62" s="183" t="s">
        <v>1001</v>
      </c>
      <c r="E62" s="183" t="s">
        <v>740</v>
      </c>
      <c r="F62" s="185">
        <v>750000</v>
      </c>
      <c r="G62" s="183" t="s">
        <v>741</v>
      </c>
      <c r="H62" s="183" t="s">
        <v>995</v>
      </c>
      <c r="I62" s="183" t="s">
        <v>1002</v>
      </c>
      <c r="J62" s="183" t="s">
        <v>1003</v>
      </c>
      <c r="K62" s="183" t="s">
        <v>1004</v>
      </c>
      <c r="L62" s="184">
        <v>8</v>
      </c>
      <c r="M62" s="185">
        <v>5492.3</v>
      </c>
    </row>
    <row r="63" spans="1:16" ht="17.25" hidden="1" customHeight="1" x14ac:dyDescent="0.25">
      <c r="A63" s="183" t="s">
        <v>85</v>
      </c>
      <c r="B63" s="184">
        <v>741</v>
      </c>
      <c r="C63" s="184">
        <v>2014</v>
      </c>
      <c r="D63" s="183" t="s">
        <v>1001</v>
      </c>
      <c r="E63" s="183" t="s">
        <v>740</v>
      </c>
      <c r="F63" s="185">
        <v>750000</v>
      </c>
      <c r="G63" s="183" t="s">
        <v>741</v>
      </c>
      <c r="H63" s="183" t="s">
        <v>995</v>
      </c>
      <c r="I63" s="183" t="s">
        <v>1002</v>
      </c>
      <c r="J63" s="183" t="s">
        <v>1005</v>
      </c>
      <c r="K63" s="183" t="s">
        <v>1006</v>
      </c>
      <c r="L63" s="184">
        <v>7</v>
      </c>
      <c r="M63" s="185">
        <v>1676.6</v>
      </c>
    </row>
    <row r="64" spans="1:16" ht="17.25" hidden="1" customHeight="1" x14ac:dyDescent="0.25">
      <c r="A64" s="183" t="s">
        <v>85</v>
      </c>
      <c r="B64" s="184">
        <v>741</v>
      </c>
      <c r="C64" s="184">
        <v>2014</v>
      </c>
      <c r="D64" s="183" t="s">
        <v>1001</v>
      </c>
      <c r="E64" s="183" t="s">
        <v>740</v>
      </c>
      <c r="F64" s="185">
        <v>750000</v>
      </c>
      <c r="G64" s="183" t="s">
        <v>741</v>
      </c>
      <c r="H64" s="183" t="s">
        <v>995</v>
      </c>
      <c r="I64" s="183" t="s">
        <v>1002</v>
      </c>
      <c r="J64" s="183" t="s">
        <v>1007</v>
      </c>
      <c r="K64" s="183" t="s">
        <v>1008</v>
      </c>
      <c r="L64" s="184">
        <v>6</v>
      </c>
      <c r="M64" s="184">
        <v>297</v>
      </c>
    </row>
    <row r="65" spans="1:13" ht="17.25" hidden="1" customHeight="1" x14ac:dyDescent="0.25">
      <c r="A65" s="183" t="s">
        <v>26</v>
      </c>
      <c r="B65" s="190">
        <v>1710</v>
      </c>
      <c r="C65" s="184">
        <v>2011</v>
      </c>
      <c r="D65" s="183" t="s">
        <v>1009</v>
      </c>
      <c r="E65" s="183" t="s">
        <v>740</v>
      </c>
      <c r="F65" s="185">
        <v>155000</v>
      </c>
      <c r="G65" s="183" t="s">
        <v>741</v>
      </c>
      <c r="H65" s="183" t="s">
        <v>1010</v>
      </c>
      <c r="I65" s="183" t="s">
        <v>1011</v>
      </c>
      <c r="J65" s="183" t="s">
        <v>1012</v>
      </c>
      <c r="K65" s="183" t="s">
        <v>1013</v>
      </c>
      <c r="L65" s="184">
        <v>51</v>
      </c>
      <c r="M65" s="185">
        <v>17280</v>
      </c>
    </row>
    <row r="66" spans="1:13" ht="17.25" hidden="1" customHeight="1" x14ac:dyDescent="0.25">
      <c r="A66" s="183" t="s">
        <v>26</v>
      </c>
      <c r="B66" s="190">
        <v>1712</v>
      </c>
      <c r="C66" s="184">
        <v>2011</v>
      </c>
      <c r="D66" s="183" t="s">
        <v>1014</v>
      </c>
      <c r="E66" s="183" t="s">
        <v>740</v>
      </c>
      <c r="F66" s="185">
        <v>267500</v>
      </c>
      <c r="G66" s="183" t="s">
        <v>741</v>
      </c>
      <c r="H66" s="183" t="s">
        <v>1010</v>
      </c>
      <c r="I66" s="183" t="s">
        <v>1015</v>
      </c>
      <c r="J66" s="183" t="s">
        <v>1016</v>
      </c>
      <c r="K66" s="183" t="s">
        <v>1017</v>
      </c>
      <c r="L66" s="184">
        <v>22</v>
      </c>
      <c r="M66" s="185">
        <v>8295.6</v>
      </c>
    </row>
    <row r="67" spans="1:13" ht="17.25" hidden="1" customHeight="1" x14ac:dyDescent="0.25">
      <c r="A67" s="183" t="s">
        <v>26</v>
      </c>
      <c r="B67" s="190">
        <v>1709</v>
      </c>
      <c r="C67" s="184">
        <v>2011</v>
      </c>
      <c r="D67" s="183" t="s">
        <v>1018</v>
      </c>
      <c r="E67" s="183" t="s">
        <v>740</v>
      </c>
      <c r="F67" s="185">
        <v>175000</v>
      </c>
      <c r="G67" s="183" t="s">
        <v>741</v>
      </c>
      <c r="H67" s="183" t="s">
        <v>1010</v>
      </c>
      <c r="I67" s="183" t="s">
        <v>1019</v>
      </c>
      <c r="J67" s="183" t="s">
        <v>1020</v>
      </c>
      <c r="K67" s="183" t="s">
        <v>1021</v>
      </c>
      <c r="L67" s="184">
        <v>6</v>
      </c>
      <c r="M67" s="185">
        <v>2615</v>
      </c>
    </row>
    <row r="68" spans="1:13" ht="17.25" hidden="1" customHeight="1" x14ac:dyDescent="0.25">
      <c r="A68" s="183" t="s">
        <v>26</v>
      </c>
      <c r="B68" s="190">
        <v>1720</v>
      </c>
      <c r="C68" s="184">
        <v>2011</v>
      </c>
      <c r="D68" s="183" t="s">
        <v>1022</v>
      </c>
      <c r="E68" s="183" t="s">
        <v>740</v>
      </c>
      <c r="F68" s="185">
        <v>186746</v>
      </c>
      <c r="G68" s="183" t="s">
        <v>741</v>
      </c>
      <c r="H68" s="183" t="s">
        <v>1023</v>
      </c>
      <c r="I68" s="183" t="s">
        <v>1024</v>
      </c>
      <c r="J68" s="183" t="s">
        <v>1025</v>
      </c>
      <c r="K68" s="183" t="s">
        <v>1026</v>
      </c>
      <c r="L68" s="184">
        <v>0</v>
      </c>
      <c r="M68" s="184">
        <v>312</v>
      </c>
    </row>
    <row r="69" spans="1:13" ht="17.25" hidden="1" customHeight="1" x14ac:dyDescent="0.25">
      <c r="A69" s="183" t="s">
        <v>26</v>
      </c>
      <c r="B69" s="190">
        <v>1711</v>
      </c>
      <c r="C69" s="184">
        <v>2011</v>
      </c>
      <c r="D69" s="183" t="s">
        <v>1027</v>
      </c>
      <c r="E69" s="183" t="s">
        <v>740</v>
      </c>
      <c r="F69" s="185">
        <v>215000</v>
      </c>
      <c r="G69" s="183" t="s">
        <v>741</v>
      </c>
      <c r="H69" s="183" t="s">
        <v>1010</v>
      </c>
      <c r="I69" s="183" t="s">
        <v>1028</v>
      </c>
      <c r="J69" s="183" t="s">
        <v>1029</v>
      </c>
      <c r="K69" s="183" t="s">
        <v>1030</v>
      </c>
      <c r="L69" s="184">
        <v>11</v>
      </c>
      <c r="M69" s="184">
        <v>258.10000000000002</v>
      </c>
    </row>
    <row r="70" spans="1:13" ht="17.25" hidden="1" customHeight="1" x14ac:dyDescent="0.25">
      <c r="A70" s="183" t="s">
        <v>26</v>
      </c>
      <c r="B70" s="190">
        <v>1719</v>
      </c>
      <c r="C70" s="184">
        <v>2011</v>
      </c>
      <c r="D70" s="183" t="s">
        <v>1031</v>
      </c>
      <c r="E70" s="183" t="s">
        <v>740</v>
      </c>
      <c r="F70" s="185">
        <v>332588</v>
      </c>
      <c r="G70" s="183" t="s">
        <v>741</v>
      </c>
      <c r="H70" s="183" t="s">
        <v>1032</v>
      </c>
      <c r="I70" s="183" t="s">
        <v>1033</v>
      </c>
      <c r="J70" s="183" t="s">
        <v>1034</v>
      </c>
      <c r="K70" s="183" t="s">
        <v>1035</v>
      </c>
      <c r="L70" s="184">
        <v>36</v>
      </c>
      <c r="M70" s="184">
        <v>80</v>
      </c>
    </row>
    <row r="71" spans="1:13" ht="17.25" hidden="1" customHeight="1" x14ac:dyDescent="0.25">
      <c r="A71" s="183" t="s">
        <v>26</v>
      </c>
      <c r="B71" s="190">
        <v>1722</v>
      </c>
      <c r="C71" s="184">
        <v>2011</v>
      </c>
      <c r="D71" s="183" t="s">
        <v>1036</v>
      </c>
      <c r="E71" s="183" t="s">
        <v>740</v>
      </c>
      <c r="F71" s="185">
        <v>80250</v>
      </c>
      <c r="G71" s="183" t="s">
        <v>741</v>
      </c>
      <c r="H71" s="183" t="s">
        <v>1037</v>
      </c>
      <c r="I71" s="183" t="s">
        <v>1038</v>
      </c>
      <c r="J71" s="183" t="s">
        <v>1039</v>
      </c>
      <c r="K71" s="183" t="s">
        <v>1040</v>
      </c>
      <c r="L71" s="184">
        <v>22</v>
      </c>
      <c r="M71" s="184">
        <v>17.2</v>
      </c>
    </row>
    <row r="72" spans="1:13" ht="17.25" hidden="1" customHeight="1" x14ac:dyDescent="0.25">
      <c r="A72" s="183" t="s">
        <v>26</v>
      </c>
      <c r="B72" s="190">
        <v>1715</v>
      </c>
      <c r="C72" s="184">
        <v>2011</v>
      </c>
      <c r="D72" s="183" t="s">
        <v>1041</v>
      </c>
      <c r="E72" s="183" t="s">
        <v>740</v>
      </c>
      <c r="F72" s="185">
        <v>206469</v>
      </c>
      <c r="G72" s="183" t="s">
        <v>741</v>
      </c>
      <c r="H72" s="183" t="s">
        <v>1042</v>
      </c>
      <c r="I72" s="183" t="s">
        <v>1043</v>
      </c>
      <c r="J72" s="183" t="s">
        <v>1044</v>
      </c>
      <c r="K72" s="183" t="s">
        <v>1045</v>
      </c>
      <c r="L72" s="184">
        <v>2</v>
      </c>
      <c r="M72" s="184">
        <v>0.5</v>
      </c>
    </row>
    <row r="73" spans="1:13" ht="17.25" hidden="1" customHeight="1" x14ac:dyDescent="0.25">
      <c r="A73" s="183" t="s">
        <v>26</v>
      </c>
      <c r="B73" s="190">
        <v>1714</v>
      </c>
      <c r="C73" s="184">
        <v>2012</v>
      </c>
      <c r="D73" s="183" t="s">
        <v>1046</v>
      </c>
      <c r="E73" s="183" t="s">
        <v>773</v>
      </c>
      <c r="F73" s="185">
        <v>200000</v>
      </c>
      <c r="G73" s="183" t="s">
        <v>740</v>
      </c>
      <c r="H73" s="183" t="s">
        <v>1047</v>
      </c>
      <c r="I73" s="183" t="s">
        <v>1048</v>
      </c>
      <c r="J73" s="183" t="s">
        <v>1049</v>
      </c>
      <c r="K73" s="183" t="s">
        <v>186</v>
      </c>
      <c r="L73" s="184">
        <v>0</v>
      </c>
      <c r="M73" s="184">
        <v>16.600000000000001</v>
      </c>
    </row>
    <row r="74" spans="1:13" ht="17.25" hidden="1" customHeight="1" x14ac:dyDescent="0.25">
      <c r="A74" s="183" t="s">
        <v>26</v>
      </c>
      <c r="B74" s="190">
        <v>1718</v>
      </c>
      <c r="C74" s="184">
        <v>2012</v>
      </c>
      <c r="D74" s="183" t="s">
        <v>1050</v>
      </c>
      <c r="E74" s="183" t="s">
        <v>740</v>
      </c>
      <c r="F74" s="185">
        <v>72471</v>
      </c>
      <c r="G74" s="183" t="s">
        <v>741</v>
      </c>
      <c r="H74" s="183" t="s">
        <v>1051</v>
      </c>
      <c r="I74" s="183" t="s">
        <v>1052</v>
      </c>
      <c r="J74" s="183" t="s">
        <v>1053</v>
      </c>
      <c r="K74" s="183" t="s">
        <v>1054</v>
      </c>
      <c r="L74" s="184">
        <v>14</v>
      </c>
      <c r="M74" s="185">
        <v>2685</v>
      </c>
    </row>
    <row r="75" spans="1:13" ht="17.25" hidden="1" customHeight="1" x14ac:dyDescent="0.25">
      <c r="A75" s="183" t="s">
        <v>26</v>
      </c>
      <c r="B75" s="190">
        <v>1730</v>
      </c>
      <c r="C75" s="184">
        <v>2012</v>
      </c>
      <c r="D75" s="183" t="s">
        <v>1055</v>
      </c>
      <c r="E75" s="183" t="s">
        <v>740</v>
      </c>
      <c r="F75" s="185">
        <v>147119</v>
      </c>
      <c r="G75" s="183" t="s">
        <v>741</v>
      </c>
      <c r="H75" s="183" t="s">
        <v>1056</v>
      </c>
      <c r="I75" s="183" t="s">
        <v>1057</v>
      </c>
      <c r="J75" s="183" t="s">
        <v>1058</v>
      </c>
      <c r="K75" s="183" t="s">
        <v>1059</v>
      </c>
      <c r="L75" s="184">
        <v>11</v>
      </c>
      <c r="M75" s="184">
        <v>359</v>
      </c>
    </row>
    <row r="76" spans="1:13" ht="17.25" hidden="1" customHeight="1" x14ac:dyDescent="0.25">
      <c r="A76" s="183" t="s">
        <v>26</v>
      </c>
      <c r="B76" s="190">
        <v>1734</v>
      </c>
      <c r="C76" s="184">
        <v>2012</v>
      </c>
      <c r="D76" s="183" t="s">
        <v>1060</v>
      </c>
      <c r="E76" s="183" t="s">
        <v>740</v>
      </c>
      <c r="F76" s="185">
        <v>95881</v>
      </c>
      <c r="G76" s="183" t="s">
        <v>741</v>
      </c>
      <c r="H76" s="183" t="s">
        <v>1061</v>
      </c>
      <c r="I76" s="183" t="s">
        <v>1062</v>
      </c>
      <c r="J76" s="183" t="s">
        <v>1063</v>
      </c>
      <c r="K76" s="183" t="s">
        <v>1035</v>
      </c>
      <c r="L76" s="184">
        <v>42</v>
      </c>
      <c r="M76" s="184">
        <v>285</v>
      </c>
    </row>
    <row r="77" spans="1:13" ht="17.25" hidden="1" customHeight="1" x14ac:dyDescent="0.25">
      <c r="A77" s="183" t="s">
        <v>26</v>
      </c>
      <c r="B77" s="190">
        <v>1738</v>
      </c>
      <c r="C77" s="184">
        <v>2012</v>
      </c>
      <c r="D77" s="183" t="s">
        <v>1064</v>
      </c>
      <c r="E77" s="183" t="s">
        <v>740</v>
      </c>
      <c r="F77" s="185">
        <v>64006</v>
      </c>
      <c r="G77" s="183" t="s">
        <v>741</v>
      </c>
      <c r="H77" s="183" t="s">
        <v>1065</v>
      </c>
      <c r="I77" s="183" t="s">
        <v>1066</v>
      </c>
      <c r="J77" s="183" t="s">
        <v>1067</v>
      </c>
      <c r="K77" s="183" t="s">
        <v>1068</v>
      </c>
      <c r="L77" s="184">
        <v>52</v>
      </c>
      <c r="M77" s="184">
        <v>194</v>
      </c>
    </row>
    <row r="78" spans="1:13" ht="17.25" hidden="1" customHeight="1" x14ac:dyDescent="0.25">
      <c r="A78" s="183" t="s">
        <v>26</v>
      </c>
      <c r="B78" s="190">
        <v>1713</v>
      </c>
      <c r="C78" s="184">
        <v>2012</v>
      </c>
      <c r="D78" s="183" t="s">
        <v>1069</v>
      </c>
      <c r="E78" s="183" t="s">
        <v>740</v>
      </c>
      <c r="F78" s="185">
        <v>279218</v>
      </c>
      <c r="G78" s="183" t="s">
        <v>741</v>
      </c>
      <c r="H78" s="183" t="s">
        <v>1070</v>
      </c>
      <c r="I78" s="183" t="s">
        <v>1071</v>
      </c>
      <c r="J78" s="183" t="s">
        <v>1072</v>
      </c>
      <c r="K78" s="183" t="s">
        <v>1073</v>
      </c>
      <c r="L78" s="184">
        <v>12</v>
      </c>
      <c r="M78" s="184">
        <v>72.099999999999994</v>
      </c>
    </row>
    <row r="79" spans="1:13" ht="17.25" hidden="1" customHeight="1" x14ac:dyDescent="0.25">
      <c r="A79" s="183" t="s">
        <v>26</v>
      </c>
      <c r="B79" s="190">
        <v>1723</v>
      </c>
      <c r="C79" s="184">
        <v>2012</v>
      </c>
      <c r="D79" s="183" t="s">
        <v>1074</v>
      </c>
      <c r="E79" s="183" t="s">
        <v>740</v>
      </c>
      <c r="F79" s="185">
        <v>214000</v>
      </c>
      <c r="G79" s="183" t="s">
        <v>741</v>
      </c>
      <c r="H79" s="183" t="s">
        <v>1075</v>
      </c>
      <c r="I79" s="183" t="s">
        <v>1076</v>
      </c>
      <c r="J79" s="183" t="s">
        <v>1077</v>
      </c>
      <c r="K79" s="183" t="s">
        <v>1068</v>
      </c>
      <c r="L79" s="184">
        <v>49</v>
      </c>
      <c r="M79" s="184">
        <v>25.7</v>
      </c>
    </row>
    <row r="80" spans="1:13" ht="17.25" hidden="1" customHeight="1" x14ac:dyDescent="0.25">
      <c r="A80" s="183" t="s">
        <v>26</v>
      </c>
      <c r="B80" s="190">
        <v>1741</v>
      </c>
      <c r="C80" s="184">
        <v>2012</v>
      </c>
      <c r="D80" s="183" t="s">
        <v>1078</v>
      </c>
      <c r="E80" s="183" t="s">
        <v>740</v>
      </c>
      <c r="F80" s="185">
        <v>124904</v>
      </c>
      <c r="G80" s="183" t="s">
        <v>741</v>
      </c>
      <c r="H80" s="183" t="s">
        <v>1079</v>
      </c>
      <c r="I80" s="183" t="s">
        <v>1080</v>
      </c>
      <c r="J80" s="183" t="s">
        <v>1081</v>
      </c>
      <c r="K80" s="183" t="s">
        <v>1082</v>
      </c>
      <c r="L80" s="184">
        <v>24</v>
      </c>
      <c r="M80" s="184">
        <v>24.6</v>
      </c>
    </row>
    <row r="81" spans="1:13" ht="17.25" hidden="1" customHeight="1" x14ac:dyDescent="0.25">
      <c r="A81" s="183" t="s">
        <v>26</v>
      </c>
      <c r="B81" s="190">
        <v>1735</v>
      </c>
      <c r="C81" s="184">
        <v>2012</v>
      </c>
      <c r="D81" s="183" t="s">
        <v>1083</v>
      </c>
      <c r="E81" s="183" t="s">
        <v>740</v>
      </c>
      <c r="F81" s="185">
        <v>283630</v>
      </c>
      <c r="G81" s="183" t="s">
        <v>741</v>
      </c>
      <c r="H81" s="183" t="s">
        <v>1084</v>
      </c>
      <c r="I81" s="183" t="s">
        <v>1085</v>
      </c>
      <c r="J81" s="183" t="s">
        <v>1086</v>
      </c>
      <c r="K81" s="183" t="s">
        <v>1035</v>
      </c>
      <c r="L81" s="184">
        <v>29</v>
      </c>
      <c r="M81" s="184">
        <v>8.8000000000000007</v>
      </c>
    </row>
    <row r="82" spans="1:13" ht="17.25" hidden="1" customHeight="1" x14ac:dyDescent="0.25">
      <c r="A82" s="183" t="s">
        <v>26</v>
      </c>
      <c r="B82" s="190">
        <v>1733</v>
      </c>
      <c r="C82" s="184">
        <v>2012</v>
      </c>
      <c r="D82" s="183" t="s">
        <v>1087</v>
      </c>
      <c r="E82" s="183" t="s">
        <v>740</v>
      </c>
      <c r="F82" s="185">
        <v>65359</v>
      </c>
      <c r="G82" s="183" t="s">
        <v>741</v>
      </c>
      <c r="H82" s="183" t="s">
        <v>1088</v>
      </c>
      <c r="I82" s="183" t="s">
        <v>1089</v>
      </c>
      <c r="J82" s="183" t="s">
        <v>1090</v>
      </c>
      <c r="K82" s="183" t="s">
        <v>1040</v>
      </c>
      <c r="L82" s="184">
        <v>20</v>
      </c>
      <c r="M82" s="184">
        <v>7.1</v>
      </c>
    </row>
    <row r="83" spans="1:13" ht="17.25" hidden="1" customHeight="1" x14ac:dyDescent="0.25">
      <c r="A83" s="183" t="s">
        <v>26</v>
      </c>
      <c r="B83" s="190">
        <v>1740</v>
      </c>
      <c r="C83" s="184">
        <v>2012</v>
      </c>
      <c r="D83" s="183" t="s">
        <v>1091</v>
      </c>
      <c r="E83" s="183" t="s">
        <v>740</v>
      </c>
      <c r="F83" s="185">
        <v>29692</v>
      </c>
      <c r="G83" s="183" t="s">
        <v>741</v>
      </c>
      <c r="H83" s="183" t="s">
        <v>1092</v>
      </c>
      <c r="I83" s="183" t="s">
        <v>1093</v>
      </c>
      <c r="J83" s="183" t="s">
        <v>1094</v>
      </c>
      <c r="K83" s="183" t="s">
        <v>1095</v>
      </c>
      <c r="L83" s="184">
        <v>18</v>
      </c>
      <c r="M83" s="184">
        <v>5.5</v>
      </c>
    </row>
    <row r="84" spans="1:13" ht="17.25" hidden="1" customHeight="1" x14ac:dyDescent="0.25">
      <c r="A84" s="183" t="s">
        <v>26</v>
      </c>
      <c r="B84" s="190">
        <v>1732</v>
      </c>
      <c r="C84" s="184">
        <v>2012</v>
      </c>
      <c r="D84" s="183" t="s">
        <v>1096</v>
      </c>
      <c r="E84" s="183" t="s">
        <v>740</v>
      </c>
      <c r="F84" s="185">
        <v>26750</v>
      </c>
      <c r="G84" s="183" t="s">
        <v>741</v>
      </c>
      <c r="H84" s="183" t="s">
        <v>1097</v>
      </c>
      <c r="I84" s="183" t="s">
        <v>1098</v>
      </c>
      <c r="J84" s="183" t="s">
        <v>1099</v>
      </c>
      <c r="K84" s="183" t="s">
        <v>1100</v>
      </c>
      <c r="L84" s="184">
        <v>1</v>
      </c>
      <c r="M84" s="184">
        <v>4.3</v>
      </c>
    </row>
    <row r="85" spans="1:13" ht="17.25" hidden="1" customHeight="1" x14ac:dyDescent="0.25">
      <c r="A85" s="183" t="s">
        <v>26</v>
      </c>
      <c r="B85" s="190">
        <v>1731</v>
      </c>
      <c r="C85" s="184">
        <v>2012</v>
      </c>
      <c r="D85" s="183" t="s">
        <v>1101</v>
      </c>
      <c r="E85" s="183" t="s">
        <v>740</v>
      </c>
      <c r="F85" s="185">
        <v>51895</v>
      </c>
      <c r="G85" s="183" t="s">
        <v>741</v>
      </c>
      <c r="H85" s="183" t="s">
        <v>1102</v>
      </c>
      <c r="I85" s="183" t="s">
        <v>1103</v>
      </c>
      <c r="J85" s="183" t="s">
        <v>1104</v>
      </c>
      <c r="K85" s="183" t="s">
        <v>1105</v>
      </c>
      <c r="L85" s="184">
        <v>20</v>
      </c>
      <c r="M85" s="184">
        <v>4.2</v>
      </c>
    </row>
    <row r="86" spans="1:13" ht="17.25" hidden="1" customHeight="1" x14ac:dyDescent="0.25">
      <c r="A86" s="183" t="s">
        <v>26</v>
      </c>
      <c r="B86" s="190">
        <v>1721</v>
      </c>
      <c r="C86" s="184">
        <v>2012</v>
      </c>
      <c r="D86" s="183" t="s">
        <v>1106</v>
      </c>
      <c r="E86" s="183" t="s">
        <v>740</v>
      </c>
      <c r="F86" s="185">
        <v>294250</v>
      </c>
      <c r="G86" s="183" t="s">
        <v>741</v>
      </c>
      <c r="H86" s="183" t="s">
        <v>1107</v>
      </c>
      <c r="I86" s="183" t="s">
        <v>1108</v>
      </c>
      <c r="J86" s="183" t="s">
        <v>1109</v>
      </c>
      <c r="K86" s="183" t="s">
        <v>1110</v>
      </c>
      <c r="L86" s="184">
        <v>46</v>
      </c>
      <c r="M86" s="184">
        <v>2.6</v>
      </c>
    </row>
    <row r="87" spans="1:13" ht="17.25" hidden="1" customHeight="1" x14ac:dyDescent="0.25">
      <c r="A87" s="183" t="s">
        <v>26</v>
      </c>
      <c r="B87" s="190">
        <v>1717</v>
      </c>
      <c r="C87" s="184">
        <v>2012</v>
      </c>
      <c r="D87" s="183" t="s">
        <v>1111</v>
      </c>
      <c r="E87" s="183" t="s">
        <v>773</v>
      </c>
      <c r="F87" s="185">
        <v>428000</v>
      </c>
      <c r="G87" s="183" t="s">
        <v>741</v>
      </c>
      <c r="H87" s="183" t="s">
        <v>1112</v>
      </c>
      <c r="I87" s="183" t="s">
        <v>1113</v>
      </c>
      <c r="J87" s="183" t="s">
        <v>1111</v>
      </c>
      <c r="K87" s="183" t="s">
        <v>1068</v>
      </c>
      <c r="L87" s="184">
        <v>49</v>
      </c>
      <c r="M87" s="184">
        <v>0.8</v>
      </c>
    </row>
    <row r="88" spans="1:13" ht="17.25" hidden="1" customHeight="1" x14ac:dyDescent="0.25">
      <c r="A88" s="183" t="s">
        <v>26</v>
      </c>
      <c r="B88" s="190">
        <v>1726</v>
      </c>
      <c r="C88" s="184">
        <v>2012</v>
      </c>
      <c r="D88" s="183" t="s">
        <v>1114</v>
      </c>
      <c r="E88" s="183" t="s">
        <v>773</v>
      </c>
      <c r="F88" s="185">
        <v>250000</v>
      </c>
      <c r="G88" s="183" t="s">
        <v>749</v>
      </c>
      <c r="H88" s="183" t="s">
        <v>1010</v>
      </c>
      <c r="I88" s="183" t="s">
        <v>1115</v>
      </c>
      <c r="J88" s="183" t="s">
        <v>1116</v>
      </c>
      <c r="K88" s="183" t="s">
        <v>1082</v>
      </c>
      <c r="L88" s="184">
        <v>23</v>
      </c>
      <c r="M88" s="184">
        <v>312</v>
      </c>
    </row>
    <row r="89" spans="1:13" ht="17.25" hidden="1" customHeight="1" x14ac:dyDescent="0.25">
      <c r="A89" s="183" t="s">
        <v>26</v>
      </c>
      <c r="B89" s="190">
        <v>1716</v>
      </c>
      <c r="C89" s="184">
        <v>2012</v>
      </c>
      <c r="D89" s="183" t="s">
        <v>1117</v>
      </c>
      <c r="E89" s="183" t="s">
        <v>740</v>
      </c>
      <c r="F89" s="185">
        <v>121220</v>
      </c>
      <c r="G89" s="183" t="s">
        <v>749</v>
      </c>
      <c r="H89" s="183" t="s">
        <v>1061</v>
      </c>
      <c r="I89" s="183" t="s">
        <v>1118</v>
      </c>
      <c r="J89" s="183" t="s">
        <v>1063</v>
      </c>
      <c r="K89" s="183" t="s">
        <v>1035</v>
      </c>
      <c r="L89" s="184">
        <v>42</v>
      </c>
      <c r="M89" s="184">
        <v>285</v>
      </c>
    </row>
    <row r="90" spans="1:13" ht="17.25" hidden="1" customHeight="1" x14ac:dyDescent="0.25">
      <c r="A90" s="183" t="s">
        <v>26</v>
      </c>
      <c r="B90" s="190">
        <v>1755</v>
      </c>
      <c r="C90" s="184">
        <v>2013</v>
      </c>
      <c r="D90" s="183" t="s">
        <v>1119</v>
      </c>
      <c r="E90" s="183" t="s">
        <v>740</v>
      </c>
      <c r="F90" s="189">
        <v>268817</v>
      </c>
      <c r="G90" s="183" t="s">
        <v>740</v>
      </c>
      <c r="H90" s="183" t="s">
        <v>1120</v>
      </c>
      <c r="I90" s="183" t="s">
        <v>1121</v>
      </c>
      <c r="J90" s="183" t="s">
        <v>1122</v>
      </c>
      <c r="K90" s="183" t="s">
        <v>1123</v>
      </c>
      <c r="L90" s="184">
        <v>0</v>
      </c>
      <c r="M90" s="185">
        <v>1098.0999999999999</v>
      </c>
    </row>
    <row r="91" spans="1:13" ht="17.25" hidden="1" customHeight="1" x14ac:dyDescent="0.25">
      <c r="A91" s="183" t="s">
        <v>26</v>
      </c>
      <c r="B91" s="190">
        <v>1729</v>
      </c>
      <c r="C91" s="184">
        <v>2013</v>
      </c>
      <c r="D91" s="183" t="s">
        <v>1124</v>
      </c>
      <c r="E91" s="183" t="s">
        <v>740</v>
      </c>
      <c r="F91" s="184">
        <v>0</v>
      </c>
      <c r="G91" s="183" t="s">
        <v>741</v>
      </c>
      <c r="H91" s="183" t="s">
        <v>1010</v>
      </c>
      <c r="I91" s="183" t="s">
        <v>1125</v>
      </c>
      <c r="J91" s="183" t="s">
        <v>1126</v>
      </c>
      <c r="K91" s="183" t="s">
        <v>1127</v>
      </c>
      <c r="L91" s="184">
        <v>0</v>
      </c>
      <c r="M91" s="185">
        <v>13921.3</v>
      </c>
    </row>
    <row r="92" spans="1:13" ht="17.25" hidden="1" customHeight="1" x14ac:dyDescent="0.25">
      <c r="A92" s="183" t="s">
        <v>26</v>
      </c>
      <c r="B92" s="190">
        <v>1747</v>
      </c>
      <c r="C92" s="184">
        <v>2013</v>
      </c>
      <c r="D92" s="183" t="s">
        <v>1128</v>
      </c>
      <c r="E92" s="183" t="s">
        <v>740</v>
      </c>
      <c r="F92" s="189">
        <v>214516</v>
      </c>
      <c r="G92" s="183" t="s">
        <v>741</v>
      </c>
      <c r="H92" s="183" t="s">
        <v>1056</v>
      </c>
      <c r="I92" s="183" t="s">
        <v>1129</v>
      </c>
      <c r="J92" s="183" t="s">
        <v>1130</v>
      </c>
      <c r="K92" s="183" t="s">
        <v>1131</v>
      </c>
      <c r="L92" s="184">
        <v>0</v>
      </c>
      <c r="M92" s="185">
        <v>3201.9</v>
      </c>
    </row>
    <row r="93" spans="1:13" ht="17.25" hidden="1" customHeight="1" x14ac:dyDescent="0.25">
      <c r="A93" s="183" t="s">
        <v>26</v>
      </c>
      <c r="B93" s="190">
        <v>1752</v>
      </c>
      <c r="C93" s="184">
        <v>2013</v>
      </c>
      <c r="D93" s="183" t="s">
        <v>1132</v>
      </c>
      <c r="E93" s="183" t="s">
        <v>740</v>
      </c>
      <c r="F93" s="189">
        <v>107527</v>
      </c>
      <c r="G93" s="183" t="s">
        <v>741</v>
      </c>
      <c r="H93" s="183" t="s">
        <v>1133</v>
      </c>
      <c r="I93" s="183" t="s">
        <v>1134</v>
      </c>
      <c r="J93" s="183" t="s">
        <v>1135</v>
      </c>
      <c r="K93" s="183" t="s">
        <v>1068</v>
      </c>
      <c r="L93" s="184">
        <v>0</v>
      </c>
      <c r="M93" s="185">
        <v>1700</v>
      </c>
    </row>
    <row r="94" spans="1:13" ht="17.25" hidden="1" customHeight="1" x14ac:dyDescent="0.25">
      <c r="A94" s="183" t="s">
        <v>26</v>
      </c>
      <c r="B94" s="190">
        <v>1753</v>
      </c>
      <c r="C94" s="184">
        <v>2013</v>
      </c>
      <c r="D94" s="183" t="s">
        <v>1136</v>
      </c>
      <c r="E94" s="183" t="s">
        <v>740</v>
      </c>
      <c r="F94" s="189">
        <v>268640</v>
      </c>
      <c r="G94" s="183" t="s">
        <v>741</v>
      </c>
      <c r="H94" s="183" t="s">
        <v>1137</v>
      </c>
      <c r="I94" s="183" t="s">
        <v>1138</v>
      </c>
      <c r="J94" s="183" t="s">
        <v>1025</v>
      </c>
      <c r="K94" s="183" t="s">
        <v>1026</v>
      </c>
      <c r="L94" s="184">
        <v>0</v>
      </c>
      <c r="M94" s="184">
        <v>312</v>
      </c>
    </row>
    <row r="95" spans="1:13" ht="17.25" hidden="1" customHeight="1" x14ac:dyDescent="0.25">
      <c r="A95" s="183" t="s">
        <v>26</v>
      </c>
      <c r="B95" s="190">
        <v>1737</v>
      </c>
      <c r="C95" s="184">
        <v>2013</v>
      </c>
      <c r="D95" s="183" t="s">
        <v>1139</v>
      </c>
      <c r="E95" s="183" t="s">
        <v>740</v>
      </c>
      <c r="F95" s="189">
        <v>267714</v>
      </c>
      <c r="G95" s="183" t="s">
        <v>741</v>
      </c>
      <c r="H95" s="183" t="s">
        <v>1140</v>
      </c>
      <c r="I95" s="183" t="s">
        <v>1141</v>
      </c>
      <c r="J95" s="183" t="s">
        <v>1142</v>
      </c>
      <c r="K95" s="183" t="s">
        <v>395</v>
      </c>
      <c r="L95" s="184">
        <v>0</v>
      </c>
      <c r="M95" s="184">
        <v>200</v>
      </c>
    </row>
    <row r="96" spans="1:13" ht="17.25" hidden="1" customHeight="1" x14ac:dyDescent="0.25">
      <c r="A96" s="183" t="s">
        <v>26</v>
      </c>
      <c r="B96" s="190">
        <v>1736</v>
      </c>
      <c r="C96" s="184">
        <v>2013</v>
      </c>
      <c r="D96" s="183" t="s">
        <v>1143</v>
      </c>
      <c r="E96" s="183" t="s">
        <v>740</v>
      </c>
      <c r="F96" s="189">
        <v>553564</v>
      </c>
      <c r="G96" s="183" t="s">
        <v>741</v>
      </c>
      <c r="H96" s="183" t="s">
        <v>1047</v>
      </c>
      <c r="I96" s="183" t="s">
        <v>1144</v>
      </c>
      <c r="J96" s="183" t="s">
        <v>1049</v>
      </c>
      <c r="K96" s="183" t="s">
        <v>186</v>
      </c>
      <c r="L96" s="184">
        <v>0</v>
      </c>
      <c r="M96" s="184">
        <v>16.600000000000001</v>
      </c>
    </row>
    <row r="97" spans="1:13" ht="17.25" hidden="1" customHeight="1" x14ac:dyDescent="0.25">
      <c r="A97" s="183" t="s">
        <v>26</v>
      </c>
      <c r="B97" s="190">
        <v>1749</v>
      </c>
      <c r="C97" s="184">
        <v>2013</v>
      </c>
      <c r="D97" s="183" t="s">
        <v>1145</v>
      </c>
      <c r="E97" s="183" t="s">
        <v>740</v>
      </c>
      <c r="F97" s="189">
        <v>65054</v>
      </c>
      <c r="G97" s="183" t="s">
        <v>741</v>
      </c>
      <c r="H97" s="183" t="s">
        <v>1146</v>
      </c>
      <c r="I97" s="183" t="s">
        <v>1147</v>
      </c>
      <c r="J97" s="183" t="s">
        <v>1148</v>
      </c>
      <c r="K97" s="183" t="s">
        <v>1035</v>
      </c>
      <c r="L97" s="184">
        <v>0</v>
      </c>
      <c r="M97" s="184">
        <v>6.5</v>
      </c>
    </row>
    <row r="98" spans="1:13" ht="17.25" hidden="1" customHeight="1" x14ac:dyDescent="0.25">
      <c r="A98" s="183" t="s">
        <v>26</v>
      </c>
      <c r="B98" s="190">
        <v>1754</v>
      </c>
      <c r="C98" s="184">
        <v>2013</v>
      </c>
      <c r="D98" s="183" t="s">
        <v>1149</v>
      </c>
      <c r="E98" s="183" t="s">
        <v>740</v>
      </c>
      <c r="F98" s="189">
        <v>16774</v>
      </c>
      <c r="G98" s="183" t="s">
        <v>741</v>
      </c>
      <c r="H98" s="183" t="s">
        <v>1150</v>
      </c>
      <c r="I98" s="183" t="s">
        <v>1151</v>
      </c>
      <c r="J98" s="183" t="s">
        <v>1152</v>
      </c>
      <c r="K98" s="183" t="s">
        <v>1153</v>
      </c>
      <c r="L98" s="184">
        <v>0</v>
      </c>
      <c r="M98" s="184">
        <v>2</v>
      </c>
    </row>
    <row r="99" spans="1:13" ht="17.25" hidden="1" customHeight="1" x14ac:dyDescent="0.25">
      <c r="A99" s="183" t="s">
        <v>26</v>
      </c>
      <c r="B99" s="190">
        <v>1750</v>
      </c>
      <c r="C99" s="184">
        <v>2013</v>
      </c>
      <c r="D99" s="183" t="s">
        <v>1154</v>
      </c>
      <c r="E99" s="183" t="s">
        <v>740</v>
      </c>
      <c r="F99" s="189">
        <v>276882</v>
      </c>
      <c r="G99" s="183" t="s">
        <v>741</v>
      </c>
      <c r="H99" s="183" t="s">
        <v>1155</v>
      </c>
      <c r="I99" s="183" t="s">
        <v>1156</v>
      </c>
      <c r="J99" s="183" t="s">
        <v>1157</v>
      </c>
      <c r="K99" s="183" t="s">
        <v>1110</v>
      </c>
      <c r="L99" s="184">
        <v>0</v>
      </c>
      <c r="M99" s="184">
        <v>0.4</v>
      </c>
    </row>
    <row r="100" spans="1:13" ht="17.25" hidden="1" customHeight="1" x14ac:dyDescent="0.25">
      <c r="A100" s="183" t="s">
        <v>26</v>
      </c>
      <c r="B100" s="190">
        <v>1743</v>
      </c>
      <c r="C100" s="184">
        <v>2013</v>
      </c>
      <c r="D100" s="183" t="s">
        <v>1158</v>
      </c>
      <c r="E100" s="183" t="s">
        <v>740</v>
      </c>
      <c r="F100" s="189">
        <v>128400</v>
      </c>
      <c r="G100" s="183" t="s">
        <v>749</v>
      </c>
      <c r="H100" s="183" t="s">
        <v>1056</v>
      </c>
      <c r="I100" s="183" t="s">
        <v>1159</v>
      </c>
      <c r="J100" s="183" t="s">
        <v>1160</v>
      </c>
      <c r="K100" s="183" t="s">
        <v>1161</v>
      </c>
      <c r="L100" s="184">
        <v>10</v>
      </c>
      <c r="M100" s="185">
        <v>5000</v>
      </c>
    </row>
    <row r="101" spans="1:13" ht="17.25" hidden="1" customHeight="1" x14ac:dyDescent="0.25">
      <c r="A101" s="183" t="s">
        <v>26</v>
      </c>
      <c r="B101" s="190">
        <v>1748</v>
      </c>
      <c r="C101" s="184">
        <v>2013</v>
      </c>
      <c r="D101" s="183" t="s">
        <v>1162</v>
      </c>
      <c r="E101" s="183" t="s">
        <v>740</v>
      </c>
      <c r="F101" s="189">
        <v>215054</v>
      </c>
      <c r="G101" s="183" t="s">
        <v>749</v>
      </c>
      <c r="H101" s="183" t="s">
        <v>1163</v>
      </c>
      <c r="I101" s="183" t="s">
        <v>1164</v>
      </c>
      <c r="J101" s="183" t="s">
        <v>1165</v>
      </c>
      <c r="K101" s="183" t="s">
        <v>1035</v>
      </c>
      <c r="L101" s="184">
        <v>0</v>
      </c>
      <c r="M101" s="184">
        <v>17</v>
      </c>
    </row>
    <row r="102" spans="1:13" ht="17.25" hidden="1" customHeight="1" x14ac:dyDescent="0.25">
      <c r="A102" s="183" t="s">
        <v>26</v>
      </c>
      <c r="B102" s="190">
        <v>1760</v>
      </c>
      <c r="C102" s="184">
        <v>2014</v>
      </c>
      <c r="D102" s="183" t="s">
        <v>1166</v>
      </c>
      <c r="E102" s="183" t="s">
        <v>740</v>
      </c>
      <c r="F102" s="184">
        <v>0</v>
      </c>
      <c r="G102" s="183" t="s">
        <v>740</v>
      </c>
      <c r="H102" s="183" t="s">
        <v>1167</v>
      </c>
      <c r="I102" s="183" t="s">
        <v>1168</v>
      </c>
      <c r="J102" s="183" t="s">
        <v>1169</v>
      </c>
      <c r="K102" s="183" t="s">
        <v>1059</v>
      </c>
      <c r="L102" s="184">
        <v>11</v>
      </c>
      <c r="M102" s="184">
        <v>102.5</v>
      </c>
    </row>
    <row r="103" spans="1:13" ht="17.25" hidden="1" customHeight="1" x14ac:dyDescent="0.25">
      <c r="A103" s="183" t="s">
        <v>26</v>
      </c>
      <c r="B103" s="190">
        <v>1771</v>
      </c>
      <c r="C103" s="184">
        <v>2014</v>
      </c>
      <c r="D103" s="183" t="s">
        <v>1170</v>
      </c>
      <c r="E103" s="183" t="s">
        <v>740</v>
      </c>
      <c r="F103" s="184">
        <v>0</v>
      </c>
      <c r="G103" s="183" t="s">
        <v>740</v>
      </c>
      <c r="H103" s="183" t="s">
        <v>1171</v>
      </c>
      <c r="I103" s="183" t="s">
        <v>1172</v>
      </c>
      <c r="J103" s="183" t="s">
        <v>1173</v>
      </c>
      <c r="K103" s="183" t="s">
        <v>1095</v>
      </c>
      <c r="L103" s="184">
        <v>10</v>
      </c>
      <c r="M103" s="184">
        <v>19.7</v>
      </c>
    </row>
    <row r="104" spans="1:13" ht="17.25" hidden="1" customHeight="1" x14ac:dyDescent="0.25">
      <c r="A104" s="183" t="s">
        <v>26</v>
      </c>
      <c r="B104" s="190">
        <v>1751</v>
      </c>
      <c r="C104" s="184">
        <v>2014</v>
      </c>
      <c r="D104" s="183" t="s">
        <v>1174</v>
      </c>
      <c r="E104" s="183" t="s">
        <v>740</v>
      </c>
      <c r="F104" s="184">
        <v>0</v>
      </c>
      <c r="G104" s="183" t="s">
        <v>740</v>
      </c>
      <c r="H104" s="183" t="s">
        <v>1175</v>
      </c>
      <c r="I104" s="183" t="s">
        <v>1176</v>
      </c>
      <c r="J104" s="183" t="s">
        <v>1177</v>
      </c>
      <c r="K104" s="183" t="s">
        <v>1178</v>
      </c>
      <c r="L104" s="184">
        <v>8</v>
      </c>
      <c r="M104" s="184">
        <v>5</v>
      </c>
    </row>
    <row r="105" spans="1:13" ht="17.25" hidden="1" customHeight="1" x14ac:dyDescent="0.25">
      <c r="A105" s="183" t="s">
        <v>26</v>
      </c>
      <c r="B105" s="190">
        <v>1744</v>
      </c>
      <c r="C105" s="184">
        <v>2014</v>
      </c>
      <c r="D105" s="183" t="s">
        <v>1179</v>
      </c>
      <c r="E105" s="183" t="s">
        <v>740</v>
      </c>
      <c r="F105" s="184">
        <v>0</v>
      </c>
      <c r="G105" s="183" t="s">
        <v>741</v>
      </c>
      <c r="H105" s="183" t="s">
        <v>1056</v>
      </c>
      <c r="I105" s="183" t="s">
        <v>1180</v>
      </c>
      <c r="J105" s="183" t="s">
        <v>1130</v>
      </c>
      <c r="K105" s="183" t="s">
        <v>1131</v>
      </c>
      <c r="L105" s="184">
        <v>0</v>
      </c>
      <c r="M105" s="185">
        <v>3201.9</v>
      </c>
    </row>
    <row r="106" spans="1:13" ht="17.25" hidden="1" customHeight="1" x14ac:dyDescent="0.25">
      <c r="A106" s="183" t="s">
        <v>26</v>
      </c>
      <c r="B106" s="190">
        <v>1768</v>
      </c>
      <c r="C106" s="184">
        <v>2014</v>
      </c>
      <c r="D106" s="183" t="s">
        <v>1181</v>
      </c>
      <c r="E106" s="183" t="s">
        <v>740</v>
      </c>
      <c r="F106" s="184">
        <v>0</v>
      </c>
      <c r="G106" s="183" t="s">
        <v>741</v>
      </c>
      <c r="H106" s="183" t="s">
        <v>1092</v>
      </c>
      <c r="I106" s="183" t="s">
        <v>1182</v>
      </c>
      <c r="J106" s="183" t="s">
        <v>1183</v>
      </c>
      <c r="K106" s="183" t="s">
        <v>1184</v>
      </c>
      <c r="L106" s="184">
        <v>18</v>
      </c>
      <c r="M106" s="184">
        <v>109.4</v>
      </c>
    </row>
    <row r="107" spans="1:13" ht="17.25" hidden="1" customHeight="1" x14ac:dyDescent="0.25">
      <c r="A107" s="183" t="s">
        <v>26</v>
      </c>
      <c r="B107" s="190">
        <v>1739</v>
      </c>
      <c r="C107" s="184">
        <v>2014</v>
      </c>
      <c r="D107" s="183" t="s">
        <v>1185</v>
      </c>
      <c r="E107" s="183" t="s">
        <v>740</v>
      </c>
      <c r="F107" s="184">
        <v>0</v>
      </c>
      <c r="G107" s="183" t="s">
        <v>741</v>
      </c>
      <c r="H107" s="183" t="s">
        <v>1070</v>
      </c>
      <c r="I107" s="183" t="s">
        <v>1186</v>
      </c>
      <c r="J107" s="183" t="s">
        <v>1072</v>
      </c>
      <c r="K107" s="183" t="s">
        <v>1073</v>
      </c>
      <c r="L107" s="184">
        <v>12</v>
      </c>
      <c r="M107" s="184">
        <v>72.099999999999994</v>
      </c>
    </row>
    <row r="108" spans="1:13" ht="17.25" hidden="1" customHeight="1" x14ac:dyDescent="0.25">
      <c r="A108" s="183" t="s">
        <v>26</v>
      </c>
      <c r="B108" s="190">
        <v>1773</v>
      </c>
      <c r="C108" s="184">
        <v>2014</v>
      </c>
      <c r="D108" s="183" t="s">
        <v>1187</v>
      </c>
      <c r="E108" s="183" t="s">
        <v>740</v>
      </c>
      <c r="F108" s="184">
        <v>0</v>
      </c>
      <c r="G108" s="183" t="s">
        <v>741</v>
      </c>
      <c r="H108" s="183" t="s">
        <v>1188</v>
      </c>
      <c r="I108" s="183" t="s">
        <v>1189</v>
      </c>
      <c r="J108" s="183" t="s">
        <v>1190</v>
      </c>
      <c r="K108" s="183" t="s">
        <v>1082</v>
      </c>
      <c r="L108" s="184">
        <v>26</v>
      </c>
      <c r="M108" s="184">
        <v>69</v>
      </c>
    </row>
    <row r="109" spans="1:13" ht="17.25" hidden="1" customHeight="1" x14ac:dyDescent="0.25">
      <c r="A109" s="183" t="s">
        <v>26</v>
      </c>
      <c r="B109" s="190">
        <v>1756</v>
      </c>
      <c r="C109" s="184">
        <v>2014</v>
      </c>
      <c r="D109" s="183" t="s">
        <v>1191</v>
      </c>
      <c r="E109" s="183" t="s">
        <v>740</v>
      </c>
      <c r="F109" s="184">
        <v>0</v>
      </c>
      <c r="G109" s="183" t="s">
        <v>741</v>
      </c>
      <c r="H109" s="183" t="s">
        <v>1192</v>
      </c>
      <c r="I109" s="183" t="s">
        <v>1193</v>
      </c>
      <c r="J109" s="183" t="s">
        <v>1194</v>
      </c>
      <c r="K109" s="183" t="s">
        <v>1195</v>
      </c>
      <c r="L109" s="184">
        <v>22</v>
      </c>
      <c r="M109" s="184">
        <v>27.2</v>
      </c>
    </row>
    <row r="110" spans="1:13" ht="17.25" hidden="1" customHeight="1" x14ac:dyDescent="0.25">
      <c r="A110" s="183" t="s">
        <v>26</v>
      </c>
      <c r="B110" s="190">
        <v>1763</v>
      </c>
      <c r="C110" s="184">
        <v>2014</v>
      </c>
      <c r="D110" s="183" t="s">
        <v>1196</v>
      </c>
      <c r="E110" s="183" t="s">
        <v>740</v>
      </c>
      <c r="F110" s="184">
        <v>0</v>
      </c>
      <c r="G110" s="183" t="s">
        <v>741</v>
      </c>
      <c r="H110" s="183" t="s">
        <v>1197</v>
      </c>
      <c r="I110" s="183" t="s">
        <v>1198</v>
      </c>
      <c r="J110" s="183" t="s">
        <v>1199</v>
      </c>
      <c r="K110" s="183" t="s">
        <v>1035</v>
      </c>
      <c r="L110" s="184">
        <v>25</v>
      </c>
      <c r="M110" s="184">
        <v>24.9</v>
      </c>
    </row>
    <row r="111" spans="1:13" ht="17.25" hidden="1" customHeight="1" x14ac:dyDescent="0.25">
      <c r="A111" s="183" t="s">
        <v>26</v>
      </c>
      <c r="B111" s="190">
        <v>1765</v>
      </c>
      <c r="C111" s="184">
        <v>2014</v>
      </c>
      <c r="D111" s="183" t="s">
        <v>1200</v>
      </c>
      <c r="E111" s="183" t="s">
        <v>740</v>
      </c>
      <c r="F111" s="184">
        <v>0</v>
      </c>
      <c r="G111" s="183" t="s">
        <v>741</v>
      </c>
      <c r="H111" s="183" t="s">
        <v>1047</v>
      </c>
      <c r="I111" s="183" t="s">
        <v>1201</v>
      </c>
      <c r="J111" s="183" t="s">
        <v>1049</v>
      </c>
      <c r="K111" s="183" t="s">
        <v>186</v>
      </c>
      <c r="L111" s="184">
        <v>0</v>
      </c>
      <c r="M111" s="184">
        <v>16.600000000000001</v>
      </c>
    </row>
    <row r="112" spans="1:13" ht="17.25" hidden="1" customHeight="1" x14ac:dyDescent="0.25">
      <c r="A112" s="183" t="s">
        <v>26</v>
      </c>
      <c r="B112" s="190">
        <v>1772</v>
      </c>
      <c r="C112" s="184">
        <v>2014</v>
      </c>
      <c r="D112" s="183" t="s">
        <v>1202</v>
      </c>
      <c r="E112" s="183" t="s">
        <v>740</v>
      </c>
      <c r="F112" s="184">
        <v>0</v>
      </c>
      <c r="G112" s="183" t="s">
        <v>741</v>
      </c>
      <c r="H112" s="183" t="s">
        <v>1203</v>
      </c>
      <c r="I112" s="183" t="s">
        <v>1204</v>
      </c>
      <c r="J112" s="183" t="s">
        <v>1205</v>
      </c>
      <c r="K112" s="183" t="s">
        <v>1095</v>
      </c>
      <c r="L112" s="184">
        <v>10</v>
      </c>
      <c r="M112" s="184">
        <v>15.5</v>
      </c>
    </row>
    <row r="113" spans="1:13" ht="17.25" hidden="1" customHeight="1" x14ac:dyDescent="0.25">
      <c r="A113" s="183" t="s">
        <v>26</v>
      </c>
      <c r="B113" s="190">
        <v>1758</v>
      </c>
      <c r="C113" s="184">
        <v>2014</v>
      </c>
      <c r="D113" s="183" t="s">
        <v>1206</v>
      </c>
      <c r="E113" s="183" t="s">
        <v>740</v>
      </c>
      <c r="F113" s="184">
        <v>0</v>
      </c>
      <c r="G113" s="183" t="s">
        <v>741</v>
      </c>
      <c r="H113" s="183" t="s">
        <v>1207</v>
      </c>
      <c r="I113" s="183" t="s">
        <v>1208</v>
      </c>
      <c r="J113" s="183" t="s">
        <v>1209</v>
      </c>
      <c r="K113" s="183" t="s">
        <v>1210</v>
      </c>
      <c r="L113" s="184">
        <v>15</v>
      </c>
      <c r="M113" s="184">
        <v>11.9</v>
      </c>
    </row>
    <row r="114" spans="1:13" ht="17.25" hidden="1" customHeight="1" x14ac:dyDescent="0.25">
      <c r="A114" s="183" t="s">
        <v>26</v>
      </c>
      <c r="B114" s="190">
        <v>1769</v>
      </c>
      <c r="C114" s="184">
        <v>2014</v>
      </c>
      <c r="D114" s="183" t="s">
        <v>1211</v>
      </c>
      <c r="E114" s="183" t="s">
        <v>740</v>
      </c>
      <c r="F114" s="184">
        <v>0</v>
      </c>
      <c r="G114" s="183" t="s">
        <v>741</v>
      </c>
      <c r="H114" s="183" t="s">
        <v>1212</v>
      </c>
      <c r="I114" s="183" t="s">
        <v>1213</v>
      </c>
      <c r="J114" s="183" t="s">
        <v>1214</v>
      </c>
      <c r="K114" s="183" t="s">
        <v>1095</v>
      </c>
      <c r="L114" s="184">
        <v>10</v>
      </c>
      <c r="M114" s="184">
        <v>6</v>
      </c>
    </row>
    <row r="115" spans="1:13" ht="17.25" hidden="1" customHeight="1" x14ac:dyDescent="0.25">
      <c r="A115" s="183" t="s">
        <v>26</v>
      </c>
      <c r="B115" s="190">
        <v>1770</v>
      </c>
      <c r="C115" s="184">
        <v>2014</v>
      </c>
      <c r="D115" s="183" t="s">
        <v>1215</v>
      </c>
      <c r="E115" s="183" t="s">
        <v>740</v>
      </c>
      <c r="F115" s="184">
        <v>0</v>
      </c>
      <c r="G115" s="183" t="s">
        <v>741</v>
      </c>
      <c r="H115" s="183" t="s">
        <v>1216</v>
      </c>
      <c r="I115" s="183" t="s">
        <v>1217</v>
      </c>
      <c r="J115" s="183" t="s">
        <v>1218</v>
      </c>
      <c r="K115" s="183" t="s">
        <v>1095</v>
      </c>
      <c r="L115" s="184">
        <v>10</v>
      </c>
      <c r="M115" s="184">
        <v>5.2</v>
      </c>
    </row>
    <row r="116" spans="1:13" ht="17.25" hidden="1" customHeight="1" x14ac:dyDescent="0.25">
      <c r="A116" s="183" t="s">
        <v>26</v>
      </c>
      <c r="B116" s="190">
        <v>1767</v>
      </c>
      <c r="C116" s="184">
        <v>2014</v>
      </c>
      <c r="D116" s="183" t="s">
        <v>1219</v>
      </c>
      <c r="E116" s="183" t="s">
        <v>740</v>
      </c>
      <c r="F116" s="184">
        <v>0</v>
      </c>
      <c r="G116" s="183" t="s">
        <v>741</v>
      </c>
      <c r="H116" s="183" t="s">
        <v>1220</v>
      </c>
      <c r="I116" s="183" t="s">
        <v>1221</v>
      </c>
      <c r="J116" s="183" t="s">
        <v>1222</v>
      </c>
      <c r="K116" s="183" t="s">
        <v>1223</v>
      </c>
      <c r="L116" s="184">
        <v>20</v>
      </c>
      <c r="M116" s="184">
        <v>2.8</v>
      </c>
    </row>
    <row r="117" spans="1:13" ht="17.25" hidden="1" customHeight="1" x14ac:dyDescent="0.25">
      <c r="A117" s="183" t="s">
        <v>26</v>
      </c>
      <c r="B117" s="190">
        <v>1764</v>
      </c>
      <c r="C117" s="184">
        <v>2014</v>
      </c>
      <c r="D117" s="183" t="s">
        <v>1224</v>
      </c>
      <c r="E117" s="183" t="s">
        <v>740</v>
      </c>
      <c r="F117" s="184">
        <v>0</v>
      </c>
      <c r="G117" s="183" t="s">
        <v>741</v>
      </c>
      <c r="H117" s="183" t="s">
        <v>1225</v>
      </c>
      <c r="I117" s="183" t="s">
        <v>1226</v>
      </c>
      <c r="J117" s="183" t="s">
        <v>1227</v>
      </c>
      <c r="K117" s="183" t="s">
        <v>1228</v>
      </c>
      <c r="L117" s="184">
        <v>4</v>
      </c>
      <c r="M117" s="184">
        <v>2.1</v>
      </c>
    </row>
    <row r="118" spans="1:13" ht="17.25" hidden="1" customHeight="1" x14ac:dyDescent="0.25">
      <c r="A118" s="183" t="s">
        <v>26</v>
      </c>
      <c r="B118" s="190">
        <v>1766</v>
      </c>
      <c r="C118" s="184">
        <v>2014</v>
      </c>
      <c r="D118" s="183" t="s">
        <v>1229</v>
      </c>
      <c r="E118" s="183" t="s">
        <v>740</v>
      </c>
      <c r="F118" s="184">
        <v>0</v>
      </c>
      <c r="G118" s="183" t="s">
        <v>741</v>
      </c>
      <c r="H118" s="183" t="s">
        <v>1023</v>
      </c>
      <c r="I118" s="183" t="s">
        <v>1230</v>
      </c>
      <c r="J118" s="183" t="s">
        <v>1231</v>
      </c>
      <c r="K118" s="183" t="s">
        <v>1232</v>
      </c>
      <c r="L118" s="184">
        <v>12</v>
      </c>
      <c r="M118" s="184">
        <v>0.3</v>
      </c>
    </row>
    <row r="119" spans="1:13" ht="17.25" hidden="1" customHeight="1" x14ac:dyDescent="0.25">
      <c r="A119" s="183" t="s">
        <v>26</v>
      </c>
      <c r="B119" s="190">
        <v>1759</v>
      </c>
      <c r="C119" s="184">
        <v>2014</v>
      </c>
      <c r="D119" s="183" t="s">
        <v>1233</v>
      </c>
      <c r="E119" s="183" t="s">
        <v>740</v>
      </c>
      <c r="F119" s="184">
        <v>0</v>
      </c>
      <c r="G119" s="183" t="s">
        <v>749</v>
      </c>
      <c r="H119" s="183" t="s">
        <v>1056</v>
      </c>
      <c r="I119" s="183" t="s">
        <v>1234</v>
      </c>
      <c r="J119" s="183" t="s">
        <v>1160</v>
      </c>
      <c r="K119" s="183" t="s">
        <v>1161</v>
      </c>
      <c r="L119" s="184">
        <v>10</v>
      </c>
      <c r="M119" s="185">
        <v>5000</v>
      </c>
    </row>
    <row r="120" spans="1:13" ht="17.25" hidden="1" customHeight="1" x14ac:dyDescent="0.25">
      <c r="A120" s="183" t="s">
        <v>26</v>
      </c>
      <c r="B120" s="190">
        <v>1757</v>
      </c>
      <c r="C120" s="184">
        <v>2014</v>
      </c>
      <c r="D120" s="183" t="s">
        <v>1235</v>
      </c>
      <c r="E120" s="183" t="s">
        <v>740</v>
      </c>
      <c r="F120" s="184">
        <v>0</v>
      </c>
      <c r="G120" s="183" t="s">
        <v>749</v>
      </c>
      <c r="H120" s="183" t="s">
        <v>1010</v>
      </c>
      <c r="I120" s="183" t="s">
        <v>1236</v>
      </c>
      <c r="J120" s="183" t="s">
        <v>1235</v>
      </c>
      <c r="K120" s="183" t="s">
        <v>1237</v>
      </c>
      <c r="L120" s="184">
        <v>2</v>
      </c>
      <c r="M120" s="184">
        <v>646</v>
      </c>
    </row>
    <row r="121" spans="1:13" ht="17.25" hidden="1" customHeight="1" x14ac:dyDescent="0.25">
      <c r="A121" s="183" t="s">
        <v>26</v>
      </c>
      <c r="B121" s="190">
        <v>1775</v>
      </c>
      <c r="C121" s="184">
        <v>2014</v>
      </c>
      <c r="D121" s="183" t="s">
        <v>1238</v>
      </c>
      <c r="E121" s="183" t="s">
        <v>740</v>
      </c>
      <c r="F121" s="184">
        <v>0</v>
      </c>
      <c r="G121" s="183" t="s">
        <v>749</v>
      </c>
      <c r="H121" s="183" t="s">
        <v>1056</v>
      </c>
      <c r="I121" s="183" t="s">
        <v>1239</v>
      </c>
      <c r="J121" s="183" t="s">
        <v>1240</v>
      </c>
      <c r="K121" s="183" t="s">
        <v>1210</v>
      </c>
      <c r="L121" s="184">
        <v>11</v>
      </c>
      <c r="M121" s="184">
        <v>34.9</v>
      </c>
    </row>
    <row r="122" spans="1:13" ht="17.25" hidden="1" customHeight="1" x14ac:dyDescent="0.25">
      <c r="A122" s="183" t="s">
        <v>26</v>
      </c>
      <c r="B122" s="190">
        <v>1761</v>
      </c>
      <c r="C122" s="184">
        <v>2014</v>
      </c>
      <c r="D122" s="183" t="s">
        <v>1241</v>
      </c>
      <c r="E122" s="183" t="s">
        <v>740</v>
      </c>
      <c r="F122" s="184">
        <v>0</v>
      </c>
      <c r="G122" s="183" t="s">
        <v>749</v>
      </c>
      <c r="H122" s="183" t="s">
        <v>1242</v>
      </c>
      <c r="I122" s="183" t="s">
        <v>1243</v>
      </c>
      <c r="J122" s="183" t="s">
        <v>1244</v>
      </c>
      <c r="K122" s="183" t="s">
        <v>1105</v>
      </c>
      <c r="L122" s="184">
        <v>21</v>
      </c>
      <c r="M122" s="184">
        <v>9.4</v>
      </c>
    </row>
    <row r="123" spans="1:13" ht="17.25" hidden="1" customHeight="1" x14ac:dyDescent="0.25">
      <c r="A123" s="183" t="s">
        <v>24</v>
      </c>
      <c r="B123" s="190">
        <v>1120</v>
      </c>
      <c r="C123" s="184">
        <v>2011</v>
      </c>
      <c r="D123" s="183" t="s">
        <v>1245</v>
      </c>
      <c r="E123" s="183" t="s">
        <v>740</v>
      </c>
      <c r="F123" s="185">
        <v>547565</v>
      </c>
      <c r="G123" s="183" t="s">
        <v>741</v>
      </c>
      <c r="H123" s="183" t="s">
        <v>1246</v>
      </c>
      <c r="I123" s="183" t="s">
        <v>1247</v>
      </c>
      <c r="J123" s="183" t="s">
        <v>1248</v>
      </c>
      <c r="K123" s="183" t="s">
        <v>1249</v>
      </c>
      <c r="L123" s="184">
        <v>6</v>
      </c>
      <c r="M123" s="185">
        <v>4286.8999999999996</v>
      </c>
    </row>
    <row r="124" spans="1:13" ht="17.25" hidden="1" customHeight="1" x14ac:dyDescent="0.25">
      <c r="A124" s="183" t="s">
        <v>24</v>
      </c>
      <c r="B124" s="190">
        <v>1118</v>
      </c>
      <c r="C124" s="184">
        <v>2011</v>
      </c>
      <c r="D124" s="183" t="s">
        <v>1250</v>
      </c>
      <c r="E124" s="183" t="s">
        <v>740</v>
      </c>
      <c r="F124" s="185">
        <v>222713</v>
      </c>
      <c r="G124" s="183" t="s">
        <v>741</v>
      </c>
      <c r="H124" s="183" t="s">
        <v>1251</v>
      </c>
      <c r="I124" s="183" t="s">
        <v>1252</v>
      </c>
      <c r="J124" s="183" t="s">
        <v>1253</v>
      </c>
      <c r="K124" s="183" t="s">
        <v>1254</v>
      </c>
      <c r="L124" s="184">
        <v>5</v>
      </c>
      <c r="M124" s="184">
        <v>0.1</v>
      </c>
    </row>
    <row r="125" spans="1:13" ht="17.25" hidden="1" customHeight="1" x14ac:dyDescent="0.25">
      <c r="A125" s="183" t="s">
        <v>24</v>
      </c>
      <c r="B125" s="190">
        <v>1119</v>
      </c>
      <c r="C125" s="184">
        <v>2012</v>
      </c>
      <c r="D125" s="183" t="s">
        <v>1255</v>
      </c>
      <c r="E125" s="183" t="s">
        <v>740</v>
      </c>
      <c r="F125" s="185">
        <v>211703</v>
      </c>
      <c r="G125" s="183" t="s">
        <v>741</v>
      </c>
      <c r="H125" s="183" t="s">
        <v>1256</v>
      </c>
      <c r="I125" s="183" t="s">
        <v>1257</v>
      </c>
      <c r="J125" s="183" t="s">
        <v>1258</v>
      </c>
      <c r="K125" s="183" t="s">
        <v>1259</v>
      </c>
      <c r="L125" s="184">
        <v>3</v>
      </c>
      <c r="M125" s="184">
        <v>35.4</v>
      </c>
    </row>
    <row r="126" spans="1:13" ht="17.25" hidden="1" customHeight="1" x14ac:dyDescent="0.25">
      <c r="A126" s="183" t="s">
        <v>24</v>
      </c>
      <c r="B126" s="190">
        <v>1119</v>
      </c>
      <c r="C126" s="184">
        <v>2012</v>
      </c>
      <c r="D126" s="183" t="s">
        <v>1255</v>
      </c>
      <c r="E126" s="183" t="s">
        <v>740</v>
      </c>
      <c r="F126" s="185">
        <v>211703</v>
      </c>
      <c r="G126" s="183" t="s">
        <v>741</v>
      </c>
      <c r="H126" s="183" t="s">
        <v>1256</v>
      </c>
      <c r="I126" s="183" t="s">
        <v>1257</v>
      </c>
      <c r="J126" s="183" t="s">
        <v>1260</v>
      </c>
      <c r="K126" s="183" t="s">
        <v>1259</v>
      </c>
      <c r="L126" s="184">
        <v>3</v>
      </c>
      <c r="M126" s="184">
        <v>15.4</v>
      </c>
    </row>
    <row r="127" spans="1:13" ht="17.25" hidden="1" customHeight="1" x14ac:dyDescent="0.25">
      <c r="A127" s="183" t="s">
        <v>24</v>
      </c>
      <c r="B127" s="190">
        <v>1121</v>
      </c>
      <c r="C127" s="184">
        <v>2012</v>
      </c>
      <c r="D127" s="183" t="s">
        <v>1261</v>
      </c>
      <c r="E127" s="183" t="s">
        <v>740</v>
      </c>
      <c r="F127" s="185">
        <v>258320</v>
      </c>
      <c r="G127" s="183" t="s">
        <v>741</v>
      </c>
      <c r="H127" s="183" t="s">
        <v>1262</v>
      </c>
      <c r="I127" s="183" t="s">
        <v>1263</v>
      </c>
      <c r="J127" s="183" t="s">
        <v>1264</v>
      </c>
      <c r="K127" s="183" t="s">
        <v>1265</v>
      </c>
      <c r="L127" s="184">
        <v>4</v>
      </c>
      <c r="M127" s="184">
        <v>1.7</v>
      </c>
    </row>
    <row r="128" spans="1:13" ht="17.25" hidden="1" customHeight="1" x14ac:dyDescent="0.25">
      <c r="A128" s="183" t="s">
        <v>24</v>
      </c>
      <c r="B128" s="190">
        <v>1122</v>
      </c>
      <c r="C128" s="184">
        <v>2013</v>
      </c>
      <c r="D128" s="183" t="s">
        <v>1266</v>
      </c>
      <c r="E128" s="183" t="s">
        <v>740</v>
      </c>
      <c r="F128" s="185">
        <v>176303</v>
      </c>
      <c r="G128" s="183" t="s">
        <v>741</v>
      </c>
      <c r="H128" s="183" t="s">
        <v>1267</v>
      </c>
      <c r="I128" s="183" t="s">
        <v>1268</v>
      </c>
      <c r="J128" s="183" t="s">
        <v>1269</v>
      </c>
      <c r="K128" s="183" t="s">
        <v>1270</v>
      </c>
      <c r="L128" s="184">
        <v>0</v>
      </c>
      <c r="M128" s="184">
        <v>19.5</v>
      </c>
    </row>
    <row r="129" spans="1:13" ht="17.25" hidden="1" customHeight="1" x14ac:dyDescent="0.25">
      <c r="A129" s="183" t="s">
        <v>24</v>
      </c>
      <c r="B129" s="190">
        <v>1123</v>
      </c>
      <c r="C129" s="184">
        <v>2013</v>
      </c>
      <c r="D129" s="183" t="s">
        <v>1271</v>
      </c>
      <c r="E129" s="183" t="s">
        <v>740</v>
      </c>
      <c r="F129" s="185">
        <v>249493</v>
      </c>
      <c r="G129" s="183" t="s">
        <v>741</v>
      </c>
      <c r="H129" s="183" t="s">
        <v>1272</v>
      </c>
      <c r="I129" s="183" t="s">
        <v>1273</v>
      </c>
      <c r="J129" s="183" t="s">
        <v>1274</v>
      </c>
      <c r="K129" s="183" t="s">
        <v>1275</v>
      </c>
      <c r="L129" s="184">
        <v>0</v>
      </c>
      <c r="M129" s="184">
        <v>1.6</v>
      </c>
    </row>
    <row r="130" spans="1:13" ht="17.25" hidden="1" customHeight="1" x14ac:dyDescent="0.25">
      <c r="A130" s="183" t="s">
        <v>24</v>
      </c>
      <c r="B130" s="190">
        <v>1126</v>
      </c>
      <c r="C130" s="184">
        <v>2013</v>
      </c>
      <c r="D130" s="183" t="s">
        <v>1276</v>
      </c>
      <c r="E130" s="183" t="s">
        <v>740</v>
      </c>
      <c r="F130" s="185">
        <v>132893</v>
      </c>
      <c r="G130" s="183" t="s">
        <v>741</v>
      </c>
      <c r="H130" s="183" t="s">
        <v>1277</v>
      </c>
      <c r="I130" s="183" t="s">
        <v>1278</v>
      </c>
      <c r="J130" s="183" t="s">
        <v>1279</v>
      </c>
      <c r="K130" s="183" t="s">
        <v>1280</v>
      </c>
      <c r="L130" s="184">
        <v>0</v>
      </c>
      <c r="M130" s="184">
        <v>1.5</v>
      </c>
    </row>
    <row r="131" spans="1:13" ht="17.25" hidden="1" customHeight="1" x14ac:dyDescent="0.25">
      <c r="A131" s="183" t="s">
        <v>24</v>
      </c>
      <c r="B131" s="190">
        <v>1122</v>
      </c>
      <c r="C131" s="184">
        <v>2013</v>
      </c>
      <c r="D131" s="183" t="s">
        <v>1266</v>
      </c>
      <c r="E131" s="183" t="s">
        <v>740</v>
      </c>
      <c r="F131" s="185">
        <v>176303</v>
      </c>
      <c r="G131" s="183" t="s">
        <v>741</v>
      </c>
      <c r="H131" s="183" t="s">
        <v>1267</v>
      </c>
      <c r="I131" s="183" t="s">
        <v>1268</v>
      </c>
      <c r="J131" s="183" t="s">
        <v>1281</v>
      </c>
      <c r="K131" s="183" t="s">
        <v>1270</v>
      </c>
      <c r="L131" s="184">
        <v>0</v>
      </c>
      <c r="M131" s="184">
        <v>1.2</v>
      </c>
    </row>
    <row r="132" spans="1:13" ht="17.25" hidden="1" customHeight="1" x14ac:dyDescent="0.25">
      <c r="A132" s="183" t="s">
        <v>24</v>
      </c>
      <c r="B132" s="190">
        <v>1129</v>
      </c>
      <c r="C132" s="184">
        <v>2014</v>
      </c>
      <c r="D132" s="183" t="s">
        <v>1282</v>
      </c>
      <c r="E132" s="183" t="s">
        <v>740</v>
      </c>
      <c r="F132" s="185">
        <v>120455</v>
      </c>
      <c r="G132" s="183" t="s">
        <v>741</v>
      </c>
      <c r="H132" s="183" t="s">
        <v>1283</v>
      </c>
      <c r="I132" s="183" t="s">
        <v>1284</v>
      </c>
      <c r="J132" s="183" t="s">
        <v>1285</v>
      </c>
      <c r="K132" s="183" t="s">
        <v>1286</v>
      </c>
      <c r="L132" s="184">
        <v>3</v>
      </c>
      <c r="M132" s="184">
        <v>5.5</v>
      </c>
    </row>
    <row r="133" spans="1:13" ht="17.25" customHeight="1" x14ac:dyDescent="0.25">
      <c r="A133" s="183" t="s">
        <v>24</v>
      </c>
      <c r="B133" s="190">
        <v>1124</v>
      </c>
      <c r="C133" s="184">
        <v>2014</v>
      </c>
      <c r="D133" s="183" t="s">
        <v>1287</v>
      </c>
      <c r="E133" s="183" t="s">
        <v>740</v>
      </c>
      <c r="F133" s="185">
        <v>258440</v>
      </c>
      <c r="G133" s="183" t="s">
        <v>741</v>
      </c>
      <c r="H133" s="183" t="s">
        <v>1288</v>
      </c>
      <c r="I133" s="183" t="s">
        <v>1289</v>
      </c>
      <c r="J133" s="183" t="s">
        <v>1290</v>
      </c>
      <c r="K133" s="183" t="s">
        <v>1291</v>
      </c>
      <c r="L133" s="184">
        <v>2</v>
      </c>
      <c r="M133" s="184">
        <v>5.0999999999999996</v>
      </c>
    </row>
    <row r="134" spans="1:13" ht="17.25" customHeight="1" x14ac:dyDescent="0.25">
      <c r="A134" s="183" t="s">
        <v>24</v>
      </c>
      <c r="B134" s="190">
        <v>1128</v>
      </c>
      <c r="C134" s="184">
        <v>2014</v>
      </c>
      <c r="D134" s="183" t="s">
        <v>1292</v>
      </c>
      <c r="E134" s="183" t="s">
        <v>740</v>
      </c>
      <c r="F134" s="185">
        <v>452270</v>
      </c>
      <c r="G134" s="183" t="s">
        <v>749</v>
      </c>
      <c r="H134" s="183" t="s">
        <v>1293</v>
      </c>
      <c r="I134" s="183" t="s">
        <v>1294</v>
      </c>
      <c r="J134" s="183" t="s">
        <v>1295</v>
      </c>
      <c r="K134" s="183" t="s">
        <v>1291</v>
      </c>
      <c r="L134" s="184">
        <v>2</v>
      </c>
      <c r="M134" s="184">
        <v>4.9000000000000004</v>
      </c>
    </row>
    <row r="135" spans="1:13" ht="17.25" hidden="1" customHeight="1" x14ac:dyDescent="0.25">
      <c r="A135" s="183" t="s">
        <v>1296</v>
      </c>
      <c r="B135" s="184">
        <v>463</v>
      </c>
      <c r="C135" s="184">
        <v>2011</v>
      </c>
      <c r="D135" s="183" t="s">
        <v>1297</v>
      </c>
      <c r="E135" s="183" t="s">
        <v>740</v>
      </c>
      <c r="F135" s="185">
        <v>563000</v>
      </c>
      <c r="G135" s="183" t="s">
        <v>741</v>
      </c>
      <c r="H135" s="183" t="s">
        <v>1298</v>
      </c>
      <c r="I135" s="183"/>
      <c r="J135" s="183" t="s">
        <v>1299</v>
      </c>
      <c r="K135" s="183" t="s">
        <v>1300</v>
      </c>
      <c r="L135" s="184">
        <v>3</v>
      </c>
      <c r="M135" s="184">
        <v>920</v>
      </c>
    </row>
    <row r="136" spans="1:13" ht="17.25" hidden="1" customHeight="1" x14ac:dyDescent="0.25">
      <c r="A136" s="183" t="s">
        <v>1296</v>
      </c>
      <c r="B136" s="184">
        <v>464</v>
      </c>
      <c r="C136" s="184">
        <v>2012</v>
      </c>
      <c r="D136" s="183" t="s">
        <v>1301</v>
      </c>
      <c r="E136" s="183" t="s">
        <v>740</v>
      </c>
      <c r="F136" s="185">
        <v>1200000</v>
      </c>
      <c r="G136" s="183" t="s">
        <v>749</v>
      </c>
      <c r="H136" s="183" t="s">
        <v>1302</v>
      </c>
      <c r="I136" s="183" t="s">
        <v>1303</v>
      </c>
      <c r="J136" s="183" t="s">
        <v>1304</v>
      </c>
      <c r="K136" s="183" t="s">
        <v>1305</v>
      </c>
      <c r="L136" s="184">
        <v>2</v>
      </c>
      <c r="M136" s="184">
        <v>554</v>
      </c>
    </row>
    <row r="137" spans="1:13" ht="17.25" hidden="1" customHeight="1" x14ac:dyDescent="0.25">
      <c r="A137" s="183" t="s">
        <v>1296</v>
      </c>
      <c r="B137" s="184">
        <v>464</v>
      </c>
      <c r="C137" s="184">
        <v>2012</v>
      </c>
      <c r="D137" s="183" t="s">
        <v>1301</v>
      </c>
      <c r="E137" s="183" t="s">
        <v>740</v>
      </c>
      <c r="F137" s="185">
        <v>1200000</v>
      </c>
      <c r="G137" s="183" t="s">
        <v>749</v>
      </c>
      <c r="H137" s="183" t="s">
        <v>1302</v>
      </c>
      <c r="I137" s="183" t="s">
        <v>1303</v>
      </c>
      <c r="J137" s="183" t="s">
        <v>1306</v>
      </c>
      <c r="K137" s="183" t="s">
        <v>1307</v>
      </c>
      <c r="L137" s="184">
        <v>2</v>
      </c>
      <c r="M137" s="184">
        <v>355.6</v>
      </c>
    </row>
    <row r="138" spans="1:13" ht="17.25" hidden="1" customHeight="1" x14ac:dyDescent="0.25">
      <c r="A138" s="183" t="s">
        <v>1296</v>
      </c>
      <c r="B138" s="184">
        <v>464</v>
      </c>
      <c r="C138" s="184">
        <v>2012</v>
      </c>
      <c r="D138" s="183" t="s">
        <v>1301</v>
      </c>
      <c r="E138" s="183" t="s">
        <v>740</v>
      </c>
      <c r="F138" s="185">
        <v>1200000</v>
      </c>
      <c r="G138" s="183" t="s">
        <v>749</v>
      </c>
      <c r="H138" s="183" t="s">
        <v>1302</v>
      </c>
      <c r="I138" s="183" t="s">
        <v>1303</v>
      </c>
      <c r="J138" s="183" t="s">
        <v>1308</v>
      </c>
      <c r="K138" s="183" t="s">
        <v>1305</v>
      </c>
      <c r="L138" s="184">
        <v>2</v>
      </c>
      <c r="M138" s="184">
        <v>92.6</v>
      </c>
    </row>
    <row r="139" spans="1:13" ht="17.25" hidden="1" customHeight="1" x14ac:dyDescent="0.25">
      <c r="A139" s="183" t="s">
        <v>1296</v>
      </c>
      <c r="B139" s="184">
        <v>464</v>
      </c>
      <c r="C139" s="184">
        <v>2012</v>
      </c>
      <c r="D139" s="183" t="s">
        <v>1301</v>
      </c>
      <c r="E139" s="183" t="s">
        <v>740</v>
      </c>
      <c r="F139" s="185">
        <v>1200000</v>
      </c>
      <c r="G139" s="183" t="s">
        <v>749</v>
      </c>
      <c r="H139" s="183" t="s">
        <v>1302</v>
      </c>
      <c r="I139" s="183" t="s">
        <v>1303</v>
      </c>
      <c r="J139" s="183" t="s">
        <v>1309</v>
      </c>
      <c r="K139" s="183" t="s">
        <v>1310</v>
      </c>
      <c r="L139" s="184">
        <v>1</v>
      </c>
      <c r="M139" s="184">
        <v>70</v>
      </c>
    </row>
    <row r="140" spans="1:13" ht="17.25" hidden="1" customHeight="1" x14ac:dyDescent="0.25">
      <c r="A140" s="183" t="s">
        <v>1311</v>
      </c>
      <c r="B140" s="184">
        <v>102</v>
      </c>
      <c r="C140" s="184">
        <v>2012</v>
      </c>
      <c r="D140" s="183" t="s">
        <v>1312</v>
      </c>
      <c r="E140" s="183" t="s">
        <v>740</v>
      </c>
      <c r="F140" s="185">
        <v>85140</v>
      </c>
      <c r="G140" s="183" t="s">
        <v>749</v>
      </c>
      <c r="H140" s="183" t="s">
        <v>1313</v>
      </c>
      <c r="I140" s="183" t="s">
        <v>1314</v>
      </c>
      <c r="J140" s="183" t="s">
        <v>1315</v>
      </c>
      <c r="K140" s="183" t="s">
        <v>198</v>
      </c>
      <c r="L140" s="184">
        <v>0</v>
      </c>
      <c r="M140" s="184">
        <v>0.3</v>
      </c>
    </row>
    <row r="141" spans="1:13" ht="17.25" hidden="1" customHeight="1" x14ac:dyDescent="0.25">
      <c r="A141" s="183" t="s">
        <v>1316</v>
      </c>
      <c r="B141" s="184">
        <v>190</v>
      </c>
      <c r="C141" s="184">
        <v>2012</v>
      </c>
      <c r="D141" s="183" t="s">
        <v>1317</v>
      </c>
      <c r="E141" s="183" t="s">
        <v>740</v>
      </c>
      <c r="F141" s="185">
        <v>100000</v>
      </c>
      <c r="G141" s="183" t="s">
        <v>740</v>
      </c>
      <c r="H141" s="183" t="s">
        <v>1318</v>
      </c>
      <c r="I141" s="183" t="s">
        <v>1319</v>
      </c>
      <c r="J141" s="183" t="s">
        <v>1320</v>
      </c>
      <c r="K141" s="183" t="s">
        <v>1321</v>
      </c>
      <c r="L141" s="184">
        <v>0</v>
      </c>
      <c r="M141" s="184">
        <v>725.5</v>
      </c>
    </row>
    <row r="142" spans="1:13" ht="17.25" hidden="1" customHeight="1" x14ac:dyDescent="0.25">
      <c r="A142" s="183" t="s">
        <v>1316</v>
      </c>
      <c r="B142" s="184">
        <v>192</v>
      </c>
      <c r="C142" s="184">
        <v>2012</v>
      </c>
      <c r="D142" s="183" t="s">
        <v>1322</v>
      </c>
      <c r="E142" s="183" t="s">
        <v>740</v>
      </c>
      <c r="F142" s="185">
        <v>50000</v>
      </c>
      <c r="G142" s="183" t="s">
        <v>740</v>
      </c>
      <c r="H142" s="183" t="s">
        <v>1318</v>
      </c>
      <c r="I142" s="183" t="s">
        <v>1323</v>
      </c>
      <c r="J142" s="183" t="s">
        <v>1324</v>
      </c>
      <c r="K142" s="183" t="s">
        <v>1321</v>
      </c>
      <c r="L142" s="184">
        <v>0</v>
      </c>
      <c r="M142" s="184">
        <v>12.8</v>
      </c>
    </row>
    <row r="143" spans="1:13" ht="17.25" hidden="1" customHeight="1" x14ac:dyDescent="0.25">
      <c r="A143" s="183" t="s">
        <v>1316</v>
      </c>
      <c r="B143" s="184">
        <v>191</v>
      </c>
      <c r="C143" s="184">
        <v>2012</v>
      </c>
      <c r="D143" s="183" t="s">
        <v>1325</v>
      </c>
      <c r="E143" s="183" t="s">
        <v>740</v>
      </c>
      <c r="F143" s="185">
        <v>300000</v>
      </c>
      <c r="G143" s="183" t="s">
        <v>741</v>
      </c>
      <c r="H143" s="183" t="s">
        <v>1326</v>
      </c>
      <c r="I143" s="183" t="s">
        <v>1327</v>
      </c>
      <c r="J143" s="183" t="s">
        <v>1325</v>
      </c>
      <c r="K143" s="183" t="s">
        <v>1328</v>
      </c>
      <c r="L143" s="184">
        <v>0</v>
      </c>
      <c r="M143" s="185">
        <v>3177</v>
      </c>
    </row>
    <row r="144" spans="1:13" ht="17.25" hidden="1" customHeight="1" x14ac:dyDescent="0.25">
      <c r="A144" s="183" t="s">
        <v>16</v>
      </c>
      <c r="B144" s="184">
        <v>574</v>
      </c>
      <c r="C144" s="184">
        <v>2011</v>
      </c>
      <c r="D144" s="183" t="s">
        <v>1329</v>
      </c>
      <c r="E144" s="183" t="s">
        <v>773</v>
      </c>
      <c r="F144" s="185">
        <v>200000</v>
      </c>
      <c r="G144" s="183" t="s">
        <v>740</v>
      </c>
      <c r="H144" s="183" t="s">
        <v>1330</v>
      </c>
      <c r="I144" s="183" t="s">
        <v>1331</v>
      </c>
      <c r="J144" s="183" t="s">
        <v>1332</v>
      </c>
      <c r="K144" s="183" t="s">
        <v>1110</v>
      </c>
      <c r="L144" s="184">
        <v>8</v>
      </c>
      <c r="M144" s="184">
        <v>200</v>
      </c>
    </row>
    <row r="145" spans="1:13" ht="17.25" hidden="1" customHeight="1" x14ac:dyDescent="0.25">
      <c r="A145" s="183" t="s">
        <v>16</v>
      </c>
      <c r="B145" s="184">
        <v>575</v>
      </c>
      <c r="C145" s="184">
        <v>2011</v>
      </c>
      <c r="D145" s="183" t="s">
        <v>1333</v>
      </c>
      <c r="E145" s="183" t="s">
        <v>773</v>
      </c>
      <c r="F145" s="185">
        <v>163527.4</v>
      </c>
      <c r="G145" s="183" t="s">
        <v>740</v>
      </c>
      <c r="H145" s="183" t="s">
        <v>1334</v>
      </c>
      <c r="I145" s="183" t="s">
        <v>1335</v>
      </c>
      <c r="J145" s="183" t="s">
        <v>1333</v>
      </c>
      <c r="K145" s="183" t="s">
        <v>1336</v>
      </c>
      <c r="L145" s="184">
        <v>3</v>
      </c>
      <c r="M145" s="184">
        <v>25.7</v>
      </c>
    </row>
    <row r="146" spans="1:13" ht="17.25" hidden="1" customHeight="1" x14ac:dyDescent="0.25">
      <c r="A146" s="183" t="s">
        <v>16</v>
      </c>
      <c r="B146" s="184">
        <v>577</v>
      </c>
      <c r="C146" s="184">
        <v>2011</v>
      </c>
      <c r="D146" s="183" t="s">
        <v>1337</v>
      </c>
      <c r="E146" s="183" t="s">
        <v>773</v>
      </c>
      <c r="F146" s="185">
        <v>87779.03</v>
      </c>
      <c r="G146" s="183" t="s">
        <v>740</v>
      </c>
      <c r="H146" s="183" t="s">
        <v>1338</v>
      </c>
      <c r="I146" s="183" t="s">
        <v>1339</v>
      </c>
      <c r="J146" s="183" t="s">
        <v>1340</v>
      </c>
      <c r="K146" s="183" t="s">
        <v>1341</v>
      </c>
      <c r="L146" s="184">
        <v>19</v>
      </c>
      <c r="M146" s="184">
        <v>4.9000000000000004</v>
      </c>
    </row>
    <row r="147" spans="1:13" ht="17.25" hidden="1" customHeight="1" x14ac:dyDescent="0.25">
      <c r="A147" s="183" t="s">
        <v>16</v>
      </c>
      <c r="B147" s="184">
        <v>573</v>
      </c>
      <c r="C147" s="184">
        <v>2011</v>
      </c>
      <c r="D147" s="183" t="s">
        <v>1342</v>
      </c>
      <c r="E147" s="183" t="s">
        <v>773</v>
      </c>
      <c r="F147" s="185">
        <v>200000</v>
      </c>
      <c r="G147" s="183" t="s">
        <v>740</v>
      </c>
      <c r="H147" s="183" t="s">
        <v>1343</v>
      </c>
      <c r="I147" s="183" t="s">
        <v>1344</v>
      </c>
      <c r="J147" s="183" t="s">
        <v>1345</v>
      </c>
      <c r="K147" s="183" t="s">
        <v>1346</v>
      </c>
      <c r="L147" s="184">
        <v>10</v>
      </c>
      <c r="M147" s="184">
        <v>0.7</v>
      </c>
    </row>
    <row r="148" spans="1:13" ht="17.25" hidden="1" customHeight="1" x14ac:dyDescent="0.25">
      <c r="A148" s="183" t="s">
        <v>16</v>
      </c>
      <c r="B148" s="184">
        <v>587</v>
      </c>
      <c r="C148" s="184">
        <v>2011</v>
      </c>
      <c r="D148" s="183" t="s">
        <v>1347</v>
      </c>
      <c r="E148" s="183" t="s">
        <v>740</v>
      </c>
      <c r="F148" s="185">
        <v>200000</v>
      </c>
      <c r="G148" s="183" t="s">
        <v>741</v>
      </c>
      <c r="H148" s="183" t="s">
        <v>1348</v>
      </c>
      <c r="I148" s="183" t="s">
        <v>1349</v>
      </c>
      <c r="J148" s="183" t="s">
        <v>1347</v>
      </c>
      <c r="K148" s="183" t="s">
        <v>1350</v>
      </c>
      <c r="L148" s="184">
        <v>7</v>
      </c>
      <c r="M148" s="185">
        <v>1650</v>
      </c>
    </row>
    <row r="149" spans="1:13" ht="17.25" hidden="1" customHeight="1" x14ac:dyDescent="0.25">
      <c r="A149" s="183" t="s">
        <v>16</v>
      </c>
      <c r="B149" s="184">
        <v>585</v>
      </c>
      <c r="C149" s="184">
        <v>2011</v>
      </c>
      <c r="D149" s="183" t="s">
        <v>1351</v>
      </c>
      <c r="E149" s="183" t="s">
        <v>740</v>
      </c>
      <c r="F149" s="185">
        <v>107804</v>
      </c>
      <c r="G149" s="183" t="s">
        <v>741</v>
      </c>
      <c r="H149" s="183" t="s">
        <v>1352</v>
      </c>
      <c r="I149" s="183" t="s">
        <v>1353</v>
      </c>
      <c r="J149" s="183" t="s">
        <v>1351</v>
      </c>
      <c r="K149" s="183" t="s">
        <v>1354</v>
      </c>
      <c r="L149" s="184">
        <v>5</v>
      </c>
      <c r="M149" s="184">
        <v>217</v>
      </c>
    </row>
    <row r="150" spans="1:13" ht="17.25" hidden="1" customHeight="1" x14ac:dyDescent="0.25">
      <c r="A150" s="183" t="s">
        <v>16</v>
      </c>
      <c r="B150" s="184">
        <v>589</v>
      </c>
      <c r="C150" s="184">
        <v>2011</v>
      </c>
      <c r="D150" s="183" t="s">
        <v>1355</v>
      </c>
      <c r="E150" s="183" t="s">
        <v>740</v>
      </c>
      <c r="F150" s="185">
        <v>200000</v>
      </c>
      <c r="G150" s="183" t="s">
        <v>741</v>
      </c>
      <c r="H150" s="183" t="s">
        <v>1352</v>
      </c>
      <c r="I150" s="183" t="s">
        <v>1356</v>
      </c>
      <c r="J150" s="183" t="s">
        <v>1351</v>
      </c>
      <c r="K150" s="183" t="s">
        <v>1354</v>
      </c>
      <c r="L150" s="184">
        <v>5</v>
      </c>
      <c r="M150" s="184">
        <v>217</v>
      </c>
    </row>
    <row r="151" spans="1:13" ht="17.25" hidden="1" customHeight="1" x14ac:dyDescent="0.25">
      <c r="A151" s="183" t="s">
        <v>16</v>
      </c>
      <c r="B151" s="184">
        <v>582</v>
      </c>
      <c r="C151" s="184">
        <v>2011</v>
      </c>
      <c r="D151" s="183" t="s">
        <v>1357</v>
      </c>
      <c r="E151" s="183" t="s">
        <v>773</v>
      </c>
      <c r="F151" s="185">
        <v>200000</v>
      </c>
      <c r="G151" s="183" t="s">
        <v>741</v>
      </c>
      <c r="H151" s="183" t="s">
        <v>1358</v>
      </c>
      <c r="I151" s="183" t="s">
        <v>1359</v>
      </c>
      <c r="J151" s="183" t="s">
        <v>1357</v>
      </c>
      <c r="K151" s="183" t="s">
        <v>1360</v>
      </c>
      <c r="L151" s="184">
        <v>15</v>
      </c>
      <c r="M151" s="184">
        <v>88.5</v>
      </c>
    </row>
    <row r="152" spans="1:13" ht="17.25" hidden="1" customHeight="1" x14ac:dyDescent="0.25">
      <c r="A152" s="183" t="s">
        <v>16</v>
      </c>
      <c r="B152" s="184">
        <v>583</v>
      </c>
      <c r="C152" s="184">
        <v>2011</v>
      </c>
      <c r="D152" s="183" t="s">
        <v>1361</v>
      </c>
      <c r="E152" s="183" t="s">
        <v>740</v>
      </c>
      <c r="F152" s="185">
        <v>200000</v>
      </c>
      <c r="G152" s="183" t="s">
        <v>741</v>
      </c>
      <c r="H152" s="183" t="s">
        <v>1362</v>
      </c>
      <c r="I152" s="183" t="s">
        <v>1363</v>
      </c>
      <c r="J152" s="183" t="s">
        <v>1364</v>
      </c>
      <c r="K152" s="183" t="s">
        <v>1365</v>
      </c>
      <c r="L152" s="184">
        <v>19</v>
      </c>
      <c r="M152" s="184">
        <v>32.700000000000003</v>
      </c>
    </row>
    <row r="153" spans="1:13" ht="17.25" hidden="1" customHeight="1" x14ac:dyDescent="0.25">
      <c r="A153" s="183" t="s">
        <v>16</v>
      </c>
      <c r="B153" s="184">
        <v>581</v>
      </c>
      <c r="C153" s="184">
        <v>2011</v>
      </c>
      <c r="D153" s="183" t="s">
        <v>1366</v>
      </c>
      <c r="E153" s="183" t="s">
        <v>740</v>
      </c>
      <c r="F153" s="185">
        <v>200000</v>
      </c>
      <c r="G153" s="183" t="s">
        <v>741</v>
      </c>
      <c r="H153" s="183" t="s">
        <v>1348</v>
      </c>
      <c r="I153" s="183" t="s">
        <v>1367</v>
      </c>
      <c r="J153" s="183" t="s">
        <v>1366</v>
      </c>
      <c r="K153" s="183" t="s">
        <v>1350</v>
      </c>
      <c r="L153" s="184">
        <v>24</v>
      </c>
      <c r="M153" s="184">
        <v>17.3</v>
      </c>
    </row>
    <row r="154" spans="1:13" ht="17.25" hidden="1" customHeight="1" x14ac:dyDescent="0.25">
      <c r="A154" s="183" t="s">
        <v>16</v>
      </c>
      <c r="B154" s="184">
        <v>580</v>
      </c>
      <c r="C154" s="184">
        <v>2011</v>
      </c>
      <c r="D154" s="183" t="s">
        <v>1368</v>
      </c>
      <c r="E154" s="183" t="s">
        <v>740</v>
      </c>
      <c r="F154" s="185">
        <v>200000</v>
      </c>
      <c r="G154" s="183" t="s">
        <v>741</v>
      </c>
      <c r="H154" s="183" t="s">
        <v>1369</v>
      </c>
      <c r="I154" s="183" t="s">
        <v>1370</v>
      </c>
      <c r="J154" s="183" t="s">
        <v>1371</v>
      </c>
      <c r="K154" s="183" t="s">
        <v>1372</v>
      </c>
      <c r="L154" s="184">
        <v>14</v>
      </c>
      <c r="M154" s="184">
        <v>9</v>
      </c>
    </row>
    <row r="155" spans="1:13" ht="17.25" hidden="1" customHeight="1" x14ac:dyDescent="0.25">
      <c r="A155" s="183" t="s">
        <v>16</v>
      </c>
      <c r="B155" s="184">
        <v>579</v>
      </c>
      <c r="C155" s="184">
        <v>2011</v>
      </c>
      <c r="D155" s="183" t="s">
        <v>1373</v>
      </c>
      <c r="E155" s="183" t="s">
        <v>740</v>
      </c>
      <c r="F155" s="185">
        <v>150000</v>
      </c>
      <c r="G155" s="183" t="s">
        <v>741</v>
      </c>
      <c r="H155" s="183" t="s">
        <v>1374</v>
      </c>
      <c r="I155" s="183" t="s">
        <v>1375</v>
      </c>
      <c r="J155" s="183" t="s">
        <v>1376</v>
      </c>
      <c r="K155" s="183" t="s">
        <v>1346</v>
      </c>
      <c r="L155" s="184">
        <v>10</v>
      </c>
      <c r="M155" s="184">
        <v>8.5</v>
      </c>
    </row>
    <row r="156" spans="1:13" ht="17.25" hidden="1" customHeight="1" x14ac:dyDescent="0.25">
      <c r="A156" s="183" t="s">
        <v>16</v>
      </c>
      <c r="B156" s="184">
        <v>584</v>
      </c>
      <c r="C156" s="184">
        <v>2011</v>
      </c>
      <c r="D156" s="183" t="s">
        <v>1377</v>
      </c>
      <c r="E156" s="183" t="s">
        <v>740</v>
      </c>
      <c r="F156" s="185">
        <v>200000</v>
      </c>
      <c r="G156" s="183" t="s">
        <v>741</v>
      </c>
      <c r="H156" s="183" t="s">
        <v>1378</v>
      </c>
      <c r="I156" s="183" t="s">
        <v>1379</v>
      </c>
      <c r="J156" s="183" t="s">
        <v>1377</v>
      </c>
      <c r="K156" s="183" t="s">
        <v>1341</v>
      </c>
      <c r="L156" s="184">
        <v>20</v>
      </c>
      <c r="M156" s="184">
        <v>1.3</v>
      </c>
    </row>
    <row r="157" spans="1:13" ht="17.25" hidden="1" customHeight="1" x14ac:dyDescent="0.25">
      <c r="A157" s="183" t="s">
        <v>16</v>
      </c>
      <c r="B157" s="184">
        <v>591</v>
      </c>
      <c r="C157" s="184">
        <v>2012</v>
      </c>
      <c r="D157" s="183" t="s">
        <v>1380</v>
      </c>
      <c r="E157" s="183" t="s">
        <v>773</v>
      </c>
      <c r="F157" s="185">
        <v>200000</v>
      </c>
      <c r="G157" s="183" t="s">
        <v>740</v>
      </c>
      <c r="H157" s="183" t="s">
        <v>1358</v>
      </c>
      <c r="I157" s="183" t="s">
        <v>1381</v>
      </c>
      <c r="J157" s="183" t="s">
        <v>1380</v>
      </c>
      <c r="K157" s="183" t="s">
        <v>1360</v>
      </c>
      <c r="L157" s="184">
        <v>15</v>
      </c>
      <c r="M157" s="184">
        <v>41.5</v>
      </c>
    </row>
    <row r="158" spans="1:13" ht="17.25" hidden="1" customHeight="1" x14ac:dyDescent="0.25">
      <c r="A158" s="183" t="s">
        <v>16</v>
      </c>
      <c r="B158" s="184">
        <v>600</v>
      </c>
      <c r="C158" s="184">
        <v>2012</v>
      </c>
      <c r="D158" s="183" t="s">
        <v>1382</v>
      </c>
      <c r="E158" s="183" t="s">
        <v>773</v>
      </c>
      <c r="F158" s="185">
        <v>200000</v>
      </c>
      <c r="G158" s="183" t="s">
        <v>740</v>
      </c>
      <c r="H158" s="183" t="s">
        <v>1383</v>
      </c>
      <c r="I158" s="183" t="s">
        <v>1384</v>
      </c>
      <c r="J158" s="183" t="s">
        <v>1382</v>
      </c>
      <c r="K158" s="183" t="s">
        <v>1346</v>
      </c>
      <c r="L158" s="184">
        <v>10</v>
      </c>
      <c r="M158" s="184">
        <v>6</v>
      </c>
    </row>
    <row r="159" spans="1:13" ht="17.25" hidden="1" customHeight="1" x14ac:dyDescent="0.25">
      <c r="A159" s="183" t="s">
        <v>16</v>
      </c>
      <c r="B159" s="184">
        <v>608</v>
      </c>
      <c r="C159" s="184">
        <v>2012</v>
      </c>
      <c r="D159" s="183" t="s">
        <v>1385</v>
      </c>
      <c r="E159" s="183" t="s">
        <v>773</v>
      </c>
      <c r="F159" s="185">
        <v>200000</v>
      </c>
      <c r="G159" s="183" t="s">
        <v>741</v>
      </c>
      <c r="H159" s="183" t="s">
        <v>1362</v>
      </c>
      <c r="I159" s="183" t="s">
        <v>1386</v>
      </c>
      <c r="J159" s="183" t="s">
        <v>1387</v>
      </c>
      <c r="K159" s="183" t="s">
        <v>1388</v>
      </c>
      <c r="L159" s="184">
        <v>15</v>
      </c>
      <c r="M159" s="185">
        <v>6416</v>
      </c>
    </row>
    <row r="160" spans="1:13" ht="17.25" hidden="1" customHeight="1" x14ac:dyDescent="0.25">
      <c r="A160" s="183" t="s">
        <v>16</v>
      </c>
      <c r="B160" s="184">
        <v>593</v>
      </c>
      <c r="C160" s="184">
        <v>2012</v>
      </c>
      <c r="D160" s="183" t="s">
        <v>1389</v>
      </c>
      <c r="E160" s="183" t="s">
        <v>740</v>
      </c>
      <c r="F160" s="185">
        <v>150000</v>
      </c>
      <c r="G160" s="183" t="s">
        <v>741</v>
      </c>
      <c r="H160" s="183" t="s">
        <v>1390</v>
      </c>
      <c r="I160" s="183" t="s">
        <v>1391</v>
      </c>
      <c r="J160" s="183" t="s">
        <v>1389</v>
      </c>
      <c r="K160" s="183" t="s">
        <v>1346</v>
      </c>
      <c r="L160" s="184">
        <v>9</v>
      </c>
      <c r="M160" s="184">
        <v>225</v>
      </c>
    </row>
    <row r="161" spans="1:13" ht="17.25" hidden="1" customHeight="1" x14ac:dyDescent="0.25">
      <c r="A161" s="183" t="s">
        <v>16</v>
      </c>
      <c r="B161" s="184">
        <v>609</v>
      </c>
      <c r="C161" s="184">
        <v>2012</v>
      </c>
      <c r="D161" s="183" t="s">
        <v>1392</v>
      </c>
      <c r="E161" s="183" t="s">
        <v>740</v>
      </c>
      <c r="F161" s="185">
        <v>200000</v>
      </c>
      <c r="G161" s="183" t="s">
        <v>741</v>
      </c>
      <c r="H161" s="183" t="s">
        <v>1393</v>
      </c>
      <c r="I161" s="183" t="s">
        <v>1394</v>
      </c>
      <c r="J161" s="183" t="s">
        <v>1395</v>
      </c>
      <c r="K161" s="183" t="s">
        <v>1396</v>
      </c>
      <c r="L161" s="184">
        <v>15</v>
      </c>
      <c r="M161" s="184">
        <v>40</v>
      </c>
    </row>
    <row r="162" spans="1:13" ht="17.25" hidden="1" customHeight="1" x14ac:dyDescent="0.25">
      <c r="A162" s="183" t="s">
        <v>16</v>
      </c>
      <c r="B162" s="184">
        <v>607</v>
      </c>
      <c r="C162" s="184">
        <v>2012</v>
      </c>
      <c r="D162" s="183" t="s">
        <v>1397</v>
      </c>
      <c r="E162" s="183" t="s">
        <v>740</v>
      </c>
      <c r="F162" s="185">
        <v>200000</v>
      </c>
      <c r="G162" s="183" t="s">
        <v>741</v>
      </c>
      <c r="H162" s="183" t="s">
        <v>1398</v>
      </c>
      <c r="I162" s="183" t="s">
        <v>1399</v>
      </c>
      <c r="J162" s="183" t="s">
        <v>1397</v>
      </c>
      <c r="K162" s="183" t="s">
        <v>1365</v>
      </c>
      <c r="L162" s="184">
        <v>22</v>
      </c>
      <c r="M162" s="184">
        <v>28</v>
      </c>
    </row>
    <row r="163" spans="1:13" ht="17.25" hidden="1" customHeight="1" x14ac:dyDescent="0.25">
      <c r="A163" s="183" t="s">
        <v>16</v>
      </c>
      <c r="B163" s="184">
        <v>595</v>
      </c>
      <c r="C163" s="184">
        <v>2012</v>
      </c>
      <c r="D163" s="183" t="s">
        <v>1400</v>
      </c>
      <c r="E163" s="183" t="s">
        <v>740</v>
      </c>
      <c r="F163" s="185">
        <v>200000</v>
      </c>
      <c r="G163" s="183" t="s">
        <v>741</v>
      </c>
      <c r="H163" s="183" t="s">
        <v>1401</v>
      </c>
      <c r="I163" s="183" t="s">
        <v>1402</v>
      </c>
      <c r="J163" s="183" t="s">
        <v>1403</v>
      </c>
      <c r="K163" s="183" t="s">
        <v>1341</v>
      </c>
      <c r="L163" s="184">
        <v>20</v>
      </c>
      <c r="M163" s="184">
        <v>23</v>
      </c>
    </row>
    <row r="164" spans="1:13" ht="17.25" hidden="1" customHeight="1" x14ac:dyDescent="0.25">
      <c r="A164" s="183" t="s">
        <v>16</v>
      </c>
      <c r="B164" s="184">
        <v>602</v>
      </c>
      <c r="C164" s="184">
        <v>2012</v>
      </c>
      <c r="D164" s="183" t="s">
        <v>1404</v>
      </c>
      <c r="E164" s="183" t="s">
        <v>740</v>
      </c>
      <c r="F164" s="185">
        <v>200000</v>
      </c>
      <c r="G164" s="183" t="s">
        <v>741</v>
      </c>
      <c r="H164" s="183" t="s">
        <v>1405</v>
      </c>
      <c r="I164" s="183" t="s">
        <v>1406</v>
      </c>
      <c r="J164" s="183" t="s">
        <v>1404</v>
      </c>
      <c r="K164" s="183" t="s">
        <v>1407</v>
      </c>
      <c r="L164" s="184">
        <v>9</v>
      </c>
      <c r="M164" s="184">
        <v>20</v>
      </c>
    </row>
    <row r="165" spans="1:13" ht="17.25" hidden="1" customHeight="1" x14ac:dyDescent="0.25">
      <c r="A165" s="183" t="s">
        <v>16</v>
      </c>
      <c r="B165" s="184">
        <v>604</v>
      </c>
      <c r="C165" s="184">
        <v>2012</v>
      </c>
      <c r="D165" s="183" t="s">
        <v>1408</v>
      </c>
      <c r="E165" s="183" t="s">
        <v>740</v>
      </c>
      <c r="F165" s="185">
        <v>83180</v>
      </c>
      <c r="G165" s="183" t="s">
        <v>741</v>
      </c>
      <c r="H165" s="183" t="s">
        <v>1409</v>
      </c>
      <c r="I165" s="183" t="s">
        <v>1410</v>
      </c>
      <c r="J165" s="183" t="s">
        <v>1408</v>
      </c>
      <c r="K165" s="183" t="s">
        <v>1365</v>
      </c>
      <c r="L165" s="184">
        <v>22</v>
      </c>
      <c r="M165" s="184">
        <v>20</v>
      </c>
    </row>
    <row r="166" spans="1:13" ht="17.25" hidden="1" customHeight="1" x14ac:dyDescent="0.25">
      <c r="A166" s="183" t="s">
        <v>16</v>
      </c>
      <c r="B166" s="184">
        <v>597</v>
      </c>
      <c r="C166" s="184">
        <v>2012</v>
      </c>
      <c r="D166" s="183" t="s">
        <v>1411</v>
      </c>
      <c r="E166" s="183" t="s">
        <v>740</v>
      </c>
      <c r="F166" s="185">
        <v>193000</v>
      </c>
      <c r="G166" s="183" t="s">
        <v>741</v>
      </c>
      <c r="H166" s="183" t="s">
        <v>1374</v>
      </c>
      <c r="I166" s="183" t="s">
        <v>1412</v>
      </c>
      <c r="J166" s="183" t="s">
        <v>1411</v>
      </c>
      <c r="K166" s="183" t="s">
        <v>1346</v>
      </c>
      <c r="L166" s="184">
        <v>10</v>
      </c>
      <c r="M166" s="184">
        <v>15</v>
      </c>
    </row>
    <row r="167" spans="1:13" ht="17.25" hidden="1" customHeight="1" x14ac:dyDescent="0.25">
      <c r="A167" s="183" t="s">
        <v>16</v>
      </c>
      <c r="B167" s="184">
        <v>590</v>
      </c>
      <c r="C167" s="184">
        <v>2012</v>
      </c>
      <c r="D167" s="183" t="s">
        <v>1413</v>
      </c>
      <c r="E167" s="183" t="s">
        <v>740</v>
      </c>
      <c r="F167" s="185">
        <v>100000</v>
      </c>
      <c r="G167" s="183" t="s">
        <v>741</v>
      </c>
      <c r="H167" s="183" t="s">
        <v>1414</v>
      </c>
      <c r="I167" s="183" t="s">
        <v>1415</v>
      </c>
      <c r="J167" s="183" t="s">
        <v>1416</v>
      </c>
      <c r="K167" s="183" t="s">
        <v>1417</v>
      </c>
      <c r="L167" s="184">
        <v>17</v>
      </c>
      <c r="M167" s="184">
        <v>12</v>
      </c>
    </row>
    <row r="168" spans="1:13" ht="17.25" hidden="1" customHeight="1" x14ac:dyDescent="0.25">
      <c r="A168" s="183" t="s">
        <v>16</v>
      </c>
      <c r="B168" s="184">
        <v>606</v>
      </c>
      <c r="C168" s="184">
        <v>2012</v>
      </c>
      <c r="D168" s="183" t="s">
        <v>1418</v>
      </c>
      <c r="E168" s="183" t="s">
        <v>740</v>
      </c>
      <c r="F168" s="185">
        <v>200000</v>
      </c>
      <c r="G168" s="183" t="s">
        <v>741</v>
      </c>
      <c r="H168" s="183" t="s">
        <v>1419</v>
      </c>
      <c r="I168" s="183" t="s">
        <v>1420</v>
      </c>
      <c r="J168" s="183" t="s">
        <v>1418</v>
      </c>
      <c r="K168" s="183" t="s">
        <v>1365</v>
      </c>
      <c r="L168" s="184">
        <v>16</v>
      </c>
      <c r="M168" s="184">
        <v>10</v>
      </c>
    </row>
    <row r="169" spans="1:13" ht="17.25" hidden="1" customHeight="1" x14ac:dyDescent="0.25">
      <c r="A169" s="183" t="s">
        <v>16</v>
      </c>
      <c r="B169" s="184">
        <v>598</v>
      </c>
      <c r="C169" s="184">
        <v>2012</v>
      </c>
      <c r="D169" s="183" t="s">
        <v>1421</v>
      </c>
      <c r="E169" s="183" t="s">
        <v>773</v>
      </c>
      <c r="F169" s="185">
        <v>100000</v>
      </c>
      <c r="G169" s="183" t="s">
        <v>741</v>
      </c>
      <c r="H169" s="183" t="s">
        <v>1422</v>
      </c>
      <c r="I169" s="183" t="s">
        <v>1423</v>
      </c>
      <c r="J169" s="183" t="s">
        <v>1421</v>
      </c>
      <c r="K169" s="183" t="s">
        <v>1350</v>
      </c>
      <c r="L169" s="184">
        <v>7</v>
      </c>
      <c r="M169" s="184">
        <v>6.9</v>
      </c>
    </row>
    <row r="170" spans="1:13" ht="17.25" hidden="1" customHeight="1" x14ac:dyDescent="0.25">
      <c r="A170" s="183" t="s">
        <v>16</v>
      </c>
      <c r="B170" s="184">
        <v>605</v>
      </c>
      <c r="C170" s="184">
        <v>2012</v>
      </c>
      <c r="D170" s="183" t="s">
        <v>1424</v>
      </c>
      <c r="E170" s="183" t="s">
        <v>740</v>
      </c>
      <c r="F170" s="185">
        <v>200000</v>
      </c>
      <c r="G170" s="183" t="s">
        <v>741</v>
      </c>
      <c r="H170" s="183" t="s">
        <v>1425</v>
      </c>
      <c r="I170" s="183" t="s">
        <v>1426</v>
      </c>
      <c r="J170" s="183" t="s">
        <v>1427</v>
      </c>
      <c r="K170" s="183" t="s">
        <v>1428</v>
      </c>
      <c r="L170" s="184">
        <v>22</v>
      </c>
      <c r="M170" s="184">
        <v>5.7</v>
      </c>
    </row>
    <row r="171" spans="1:13" ht="17.25" hidden="1" customHeight="1" x14ac:dyDescent="0.25">
      <c r="A171" s="183" t="s">
        <v>16</v>
      </c>
      <c r="B171" s="184">
        <v>599</v>
      </c>
      <c r="C171" s="184">
        <v>2012</v>
      </c>
      <c r="D171" s="183" t="s">
        <v>1429</v>
      </c>
      <c r="E171" s="183" t="s">
        <v>740</v>
      </c>
      <c r="F171" s="185">
        <v>200000</v>
      </c>
      <c r="G171" s="183" t="s">
        <v>741</v>
      </c>
      <c r="H171" s="183" t="s">
        <v>1430</v>
      </c>
      <c r="I171" s="183" t="s">
        <v>1431</v>
      </c>
      <c r="J171" s="183" t="s">
        <v>1432</v>
      </c>
      <c r="K171" s="183" t="s">
        <v>1417</v>
      </c>
      <c r="L171" s="184">
        <v>20</v>
      </c>
      <c r="M171" s="184">
        <v>5</v>
      </c>
    </row>
    <row r="172" spans="1:13" ht="17.25" hidden="1" customHeight="1" x14ac:dyDescent="0.25">
      <c r="A172" s="183" t="s">
        <v>16</v>
      </c>
      <c r="B172" s="184">
        <v>596</v>
      </c>
      <c r="C172" s="184">
        <v>2012</v>
      </c>
      <c r="D172" s="183" t="s">
        <v>1433</v>
      </c>
      <c r="E172" s="183" t="s">
        <v>773</v>
      </c>
      <c r="F172" s="185">
        <v>200000</v>
      </c>
      <c r="G172" s="183" t="s">
        <v>741</v>
      </c>
      <c r="H172" s="183" t="s">
        <v>1434</v>
      </c>
      <c r="I172" s="183" t="s">
        <v>1435</v>
      </c>
      <c r="J172" s="183" t="s">
        <v>1227</v>
      </c>
      <c r="K172" s="183" t="s">
        <v>1350</v>
      </c>
      <c r="L172" s="184">
        <v>3</v>
      </c>
      <c r="M172" s="184">
        <v>1.5</v>
      </c>
    </row>
    <row r="173" spans="1:13" ht="17.25" hidden="1" customHeight="1" x14ac:dyDescent="0.25">
      <c r="A173" s="183" t="s">
        <v>16</v>
      </c>
      <c r="B173" s="184">
        <v>590</v>
      </c>
      <c r="C173" s="184">
        <v>2012</v>
      </c>
      <c r="D173" s="183" t="s">
        <v>1413</v>
      </c>
      <c r="E173" s="183" t="s">
        <v>740</v>
      </c>
      <c r="F173" s="185">
        <v>100000</v>
      </c>
      <c r="G173" s="183" t="s">
        <v>741</v>
      </c>
      <c r="H173" s="183" t="s">
        <v>1414</v>
      </c>
      <c r="I173" s="183" t="s">
        <v>1415</v>
      </c>
      <c r="J173" s="183" t="s">
        <v>1436</v>
      </c>
      <c r="K173" s="183" t="s">
        <v>1417</v>
      </c>
      <c r="L173" s="184">
        <v>25</v>
      </c>
      <c r="M173" s="184">
        <v>0.7</v>
      </c>
    </row>
    <row r="174" spans="1:13" ht="17.25" hidden="1" customHeight="1" x14ac:dyDescent="0.25">
      <c r="A174" s="183" t="s">
        <v>16</v>
      </c>
      <c r="B174" s="184">
        <v>614</v>
      </c>
      <c r="C174" s="184">
        <v>2013</v>
      </c>
      <c r="D174" s="183" t="s">
        <v>1437</v>
      </c>
      <c r="E174" s="183" t="s">
        <v>740</v>
      </c>
      <c r="F174" s="189">
        <v>200000</v>
      </c>
      <c r="G174" s="183" t="s">
        <v>741</v>
      </c>
      <c r="H174" s="183" t="s">
        <v>1330</v>
      </c>
      <c r="I174" s="183" t="s">
        <v>1438</v>
      </c>
      <c r="J174" s="183" t="s">
        <v>1437</v>
      </c>
      <c r="K174" s="183" t="s">
        <v>1110</v>
      </c>
      <c r="L174" s="184">
        <v>0</v>
      </c>
      <c r="M174" s="184">
        <v>208.6</v>
      </c>
    </row>
    <row r="175" spans="1:13" ht="17.25" hidden="1" customHeight="1" x14ac:dyDescent="0.25">
      <c r="A175" s="183" t="s">
        <v>16</v>
      </c>
      <c r="B175" s="184">
        <v>612</v>
      </c>
      <c r="C175" s="184">
        <v>2013</v>
      </c>
      <c r="D175" s="183" t="s">
        <v>1439</v>
      </c>
      <c r="E175" s="183" t="s">
        <v>740</v>
      </c>
      <c r="F175" s="189">
        <v>200000</v>
      </c>
      <c r="G175" s="183" t="s">
        <v>741</v>
      </c>
      <c r="H175" s="183" t="s">
        <v>1440</v>
      </c>
      <c r="I175" s="183" t="s">
        <v>1441</v>
      </c>
      <c r="J175" s="183" t="s">
        <v>1439</v>
      </c>
      <c r="K175" s="183" t="s">
        <v>1442</v>
      </c>
      <c r="L175" s="184">
        <v>0</v>
      </c>
      <c r="M175" s="184">
        <v>115</v>
      </c>
    </row>
    <row r="176" spans="1:13" ht="17.25" hidden="1" customHeight="1" x14ac:dyDescent="0.25">
      <c r="A176" s="183" t="s">
        <v>16</v>
      </c>
      <c r="B176" s="184">
        <v>611</v>
      </c>
      <c r="C176" s="184">
        <v>2013</v>
      </c>
      <c r="D176" s="183" t="s">
        <v>1443</v>
      </c>
      <c r="E176" s="183" t="s">
        <v>740</v>
      </c>
      <c r="F176" s="189">
        <v>200000</v>
      </c>
      <c r="G176" s="183" t="s">
        <v>741</v>
      </c>
      <c r="H176" s="183" t="s">
        <v>1444</v>
      </c>
      <c r="I176" s="183" t="s">
        <v>1445</v>
      </c>
      <c r="J176" s="183" t="s">
        <v>1443</v>
      </c>
      <c r="K176" s="183" t="s">
        <v>1442</v>
      </c>
      <c r="L176" s="184">
        <v>0</v>
      </c>
      <c r="M176" s="184">
        <v>80</v>
      </c>
    </row>
    <row r="177" spans="1:13" ht="17.25" hidden="1" customHeight="1" x14ac:dyDescent="0.25">
      <c r="A177" s="183" t="s">
        <v>16</v>
      </c>
      <c r="B177" s="184">
        <v>611</v>
      </c>
      <c r="C177" s="184">
        <v>2013</v>
      </c>
      <c r="D177" s="183" t="s">
        <v>1443</v>
      </c>
      <c r="E177" s="183" t="s">
        <v>740</v>
      </c>
      <c r="F177" s="189">
        <v>200000</v>
      </c>
      <c r="G177" s="183" t="s">
        <v>741</v>
      </c>
      <c r="H177" s="183" t="s">
        <v>1444</v>
      </c>
      <c r="I177" s="183" t="s">
        <v>1445</v>
      </c>
      <c r="J177" s="183" t="s">
        <v>1446</v>
      </c>
      <c r="K177" s="183" t="s">
        <v>1442</v>
      </c>
      <c r="L177" s="184">
        <v>0</v>
      </c>
      <c r="M177" s="184">
        <v>80</v>
      </c>
    </row>
    <row r="178" spans="1:13" ht="17.25" hidden="1" customHeight="1" x14ac:dyDescent="0.25">
      <c r="A178" s="183" t="s">
        <v>16</v>
      </c>
      <c r="B178" s="184">
        <v>613</v>
      </c>
      <c r="C178" s="184">
        <v>2013</v>
      </c>
      <c r="D178" s="183" t="s">
        <v>1447</v>
      </c>
      <c r="E178" s="183" t="s">
        <v>740</v>
      </c>
      <c r="F178" s="189">
        <v>200000</v>
      </c>
      <c r="G178" s="183" t="s">
        <v>741</v>
      </c>
      <c r="H178" s="183" t="s">
        <v>1448</v>
      </c>
      <c r="I178" s="183" t="s">
        <v>1449</v>
      </c>
      <c r="J178" s="183" t="s">
        <v>1447</v>
      </c>
      <c r="K178" s="183" t="s">
        <v>1417</v>
      </c>
      <c r="L178" s="184">
        <v>0</v>
      </c>
      <c r="M178" s="184">
        <v>25</v>
      </c>
    </row>
    <row r="179" spans="1:13" ht="17.25" hidden="1" customHeight="1" x14ac:dyDescent="0.25">
      <c r="A179" s="183" t="s">
        <v>16</v>
      </c>
      <c r="B179" s="184">
        <v>610</v>
      </c>
      <c r="C179" s="184">
        <v>2013</v>
      </c>
      <c r="D179" s="183" t="s">
        <v>1450</v>
      </c>
      <c r="E179" s="183" t="s">
        <v>740</v>
      </c>
      <c r="F179" s="189">
        <v>200000</v>
      </c>
      <c r="G179" s="183" t="s">
        <v>741</v>
      </c>
      <c r="H179" s="183" t="s">
        <v>1434</v>
      </c>
      <c r="I179" s="183" t="s">
        <v>1451</v>
      </c>
      <c r="J179" s="183" t="s">
        <v>1450</v>
      </c>
      <c r="K179" s="183" t="s">
        <v>1452</v>
      </c>
      <c r="L179" s="184">
        <v>0</v>
      </c>
      <c r="M179" s="184">
        <v>10</v>
      </c>
    </row>
    <row r="180" spans="1:13" ht="17.25" hidden="1" customHeight="1" x14ac:dyDescent="0.25">
      <c r="A180" s="183" t="s">
        <v>16</v>
      </c>
      <c r="B180" s="184">
        <v>615</v>
      </c>
      <c r="C180" s="184">
        <v>2013</v>
      </c>
      <c r="D180" s="183" t="s">
        <v>1453</v>
      </c>
      <c r="E180" s="183" t="s">
        <v>740</v>
      </c>
      <c r="F180" s="189">
        <v>200000</v>
      </c>
      <c r="G180" s="183" t="s">
        <v>741</v>
      </c>
      <c r="H180" s="183" t="s">
        <v>1454</v>
      </c>
      <c r="I180" s="183" t="s">
        <v>1455</v>
      </c>
      <c r="J180" s="183" t="s">
        <v>1456</v>
      </c>
      <c r="K180" s="183" t="s">
        <v>1457</v>
      </c>
      <c r="L180" s="184">
        <v>0</v>
      </c>
      <c r="M180" s="184">
        <v>3</v>
      </c>
    </row>
    <row r="181" spans="1:13" ht="17.25" hidden="1" customHeight="1" x14ac:dyDescent="0.25">
      <c r="A181" s="183" t="s">
        <v>16</v>
      </c>
      <c r="B181" s="184">
        <v>618</v>
      </c>
      <c r="C181" s="184">
        <v>2014</v>
      </c>
      <c r="D181" s="183" t="s">
        <v>1458</v>
      </c>
      <c r="E181" s="183" t="s">
        <v>740</v>
      </c>
      <c r="F181" s="184">
        <v>0</v>
      </c>
      <c r="G181" s="183" t="s">
        <v>741</v>
      </c>
      <c r="H181" s="183" t="s">
        <v>1459</v>
      </c>
      <c r="I181" s="183" t="s">
        <v>1460</v>
      </c>
      <c r="J181" s="183" t="s">
        <v>1458</v>
      </c>
      <c r="K181" s="183" t="s">
        <v>1461</v>
      </c>
      <c r="L181" s="184">
        <v>16</v>
      </c>
      <c r="M181" s="184">
        <v>155</v>
      </c>
    </row>
    <row r="182" spans="1:13" ht="17.25" hidden="1" customHeight="1" x14ac:dyDescent="0.25">
      <c r="A182" s="183" t="s">
        <v>16</v>
      </c>
      <c r="B182" s="184">
        <v>624</v>
      </c>
      <c r="C182" s="184">
        <v>2014</v>
      </c>
      <c r="D182" s="183" t="s">
        <v>1462</v>
      </c>
      <c r="E182" s="183" t="s">
        <v>740</v>
      </c>
      <c r="F182" s="184">
        <v>0</v>
      </c>
      <c r="G182" s="183" t="s">
        <v>741</v>
      </c>
      <c r="H182" s="183" t="s">
        <v>1463</v>
      </c>
      <c r="I182" s="183" t="s">
        <v>1464</v>
      </c>
      <c r="J182" s="183" t="s">
        <v>1462</v>
      </c>
      <c r="K182" s="183" t="s">
        <v>1465</v>
      </c>
      <c r="L182" s="184">
        <v>2</v>
      </c>
      <c r="M182" s="184">
        <v>45.2</v>
      </c>
    </row>
    <row r="183" spans="1:13" ht="17.25" hidden="1" customHeight="1" x14ac:dyDescent="0.25">
      <c r="A183" s="183" t="s">
        <v>16</v>
      </c>
      <c r="B183" s="184">
        <v>620</v>
      </c>
      <c r="C183" s="184">
        <v>2014</v>
      </c>
      <c r="D183" s="183" t="s">
        <v>1466</v>
      </c>
      <c r="E183" s="183" t="s">
        <v>740</v>
      </c>
      <c r="F183" s="184">
        <v>0</v>
      </c>
      <c r="G183" s="183" t="s">
        <v>741</v>
      </c>
      <c r="H183" s="183" t="s">
        <v>1467</v>
      </c>
      <c r="I183" s="183" t="s">
        <v>1468</v>
      </c>
      <c r="J183" s="183" t="s">
        <v>1466</v>
      </c>
      <c r="K183" s="183" t="s">
        <v>1469</v>
      </c>
      <c r="L183" s="184">
        <v>5</v>
      </c>
      <c r="M183" s="184">
        <v>45</v>
      </c>
    </row>
    <row r="184" spans="1:13" ht="17.25" hidden="1" customHeight="1" x14ac:dyDescent="0.25">
      <c r="A184" s="183" t="s">
        <v>16</v>
      </c>
      <c r="B184" s="184">
        <v>617</v>
      </c>
      <c r="C184" s="184">
        <v>2014</v>
      </c>
      <c r="D184" s="183" t="s">
        <v>1470</v>
      </c>
      <c r="E184" s="183" t="s">
        <v>740</v>
      </c>
      <c r="F184" s="184">
        <v>0</v>
      </c>
      <c r="G184" s="183" t="s">
        <v>741</v>
      </c>
      <c r="H184" s="183" t="s">
        <v>1471</v>
      </c>
      <c r="I184" s="183" t="s">
        <v>1472</v>
      </c>
      <c r="J184" s="183" t="s">
        <v>1470</v>
      </c>
      <c r="K184" s="183" t="s">
        <v>1473</v>
      </c>
      <c r="L184" s="184">
        <v>1</v>
      </c>
      <c r="M184" s="184">
        <v>18</v>
      </c>
    </row>
    <row r="185" spans="1:13" ht="17.25" hidden="1" customHeight="1" x14ac:dyDescent="0.25">
      <c r="A185" s="183" t="s">
        <v>16</v>
      </c>
      <c r="B185" s="184">
        <v>616</v>
      </c>
      <c r="C185" s="184">
        <v>2014</v>
      </c>
      <c r="D185" s="183" t="s">
        <v>1474</v>
      </c>
      <c r="E185" s="183" t="s">
        <v>740</v>
      </c>
      <c r="F185" s="184">
        <v>0</v>
      </c>
      <c r="G185" s="183" t="s">
        <v>741</v>
      </c>
      <c r="H185" s="183" t="s">
        <v>1475</v>
      </c>
      <c r="I185" s="183" t="s">
        <v>1476</v>
      </c>
      <c r="J185" s="183" t="s">
        <v>1477</v>
      </c>
      <c r="K185" s="183" t="s">
        <v>1341</v>
      </c>
      <c r="L185" s="184">
        <v>20</v>
      </c>
      <c r="M185" s="184">
        <v>16</v>
      </c>
    </row>
    <row r="186" spans="1:13" ht="17.25" hidden="1" customHeight="1" x14ac:dyDescent="0.25">
      <c r="A186" s="183" t="s">
        <v>16</v>
      </c>
      <c r="B186" s="184">
        <v>619</v>
      </c>
      <c r="C186" s="184">
        <v>2014</v>
      </c>
      <c r="D186" s="183" t="s">
        <v>1478</v>
      </c>
      <c r="E186" s="183" t="s">
        <v>740</v>
      </c>
      <c r="F186" s="184">
        <v>0</v>
      </c>
      <c r="G186" s="183" t="s">
        <v>741</v>
      </c>
      <c r="H186" s="183" t="s">
        <v>1479</v>
      </c>
      <c r="I186" s="183" t="s">
        <v>1480</v>
      </c>
      <c r="J186" s="183" t="s">
        <v>1478</v>
      </c>
      <c r="K186" s="183" t="s">
        <v>1481</v>
      </c>
      <c r="L186" s="184">
        <v>13</v>
      </c>
      <c r="M186" s="184">
        <v>10.4</v>
      </c>
    </row>
    <row r="187" spans="1:13" ht="17.25" hidden="1" customHeight="1" x14ac:dyDescent="0.25">
      <c r="A187" s="183" t="s">
        <v>16</v>
      </c>
      <c r="B187" s="184">
        <v>623</v>
      </c>
      <c r="C187" s="184">
        <v>2014</v>
      </c>
      <c r="D187" s="183" t="s">
        <v>1482</v>
      </c>
      <c r="E187" s="183" t="s">
        <v>740</v>
      </c>
      <c r="F187" s="184">
        <v>0</v>
      </c>
      <c r="G187" s="183" t="s">
        <v>741</v>
      </c>
      <c r="H187" s="183" t="s">
        <v>1483</v>
      </c>
      <c r="I187" s="183" t="s">
        <v>1484</v>
      </c>
      <c r="J187" s="183"/>
      <c r="K187" s="183"/>
      <c r="L187" s="184">
        <v>0</v>
      </c>
      <c r="M187" s="184">
        <v>0</v>
      </c>
    </row>
    <row r="188" spans="1:13" ht="17.25" hidden="1" customHeight="1" x14ac:dyDescent="0.25">
      <c r="A188" s="183" t="s">
        <v>18</v>
      </c>
      <c r="B188" s="184">
        <v>921</v>
      </c>
      <c r="C188" s="184">
        <v>2011</v>
      </c>
      <c r="D188" s="183" t="s">
        <v>1485</v>
      </c>
      <c r="E188" s="183" t="s">
        <v>773</v>
      </c>
      <c r="F188" s="185">
        <v>105000</v>
      </c>
      <c r="G188" s="183" t="s">
        <v>740</v>
      </c>
      <c r="H188" s="183" t="s">
        <v>1486</v>
      </c>
      <c r="I188" s="183" t="s">
        <v>1487</v>
      </c>
      <c r="J188" s="183" t="s">
        <v>1488</v>
      </c>
      <c r="K188" s="183" t="s">
        <v>1489</v>
      </c>
      <c r="L188" s="184">
        <v>10</v>
      </c>
      <c r="M188" s="184">
        <v>44</v>
      </c>
    </row>
    <row r="189" spans="1:13" ht="17.25" hidden="1" customHeight="1" x14ac:dyDescent="0.25">
      <c r="A189" s="183" t="s">
        <v>18</v>
      </c>
      <c r="B189" s="184">
        <v>920</v>
      </c>
      <c r="C189" s="184">
        <v>2011</v>
      </c>
      <c r="D189" s="183" t="s">
        <v>1490</v>
      </c>
      <c r="E189" s="183" t="s">
        <v>740</v>
      </c>
      <c r="F189" s="185">
        <v>105000</v>
      </c>
      <c r="G189" s="183" t="s">
        <v>741</v>
      </c>
      <c r="H189" s="183" t="s">
        <v>1491</v>
      </c>
      <c r="I189" s="183" t="s">
        <v>1492</v>
      </c>
      <c r="J189" s="183" t="s">
        <v>1493</v>
      </c>
      <c r="K189" s="183" t="s">
        <v>1494</v>
      </c>
      <c r="L189" s="184">
        <v>3</v>
      </c>
      <c r="M189" s="184">
        <v>488</v>
      </c>
    </row>
    <row r="190" spans="1:13" ht="17.25" hidden="1" customHeight="1" x14ac:dyDescent="0.25">
      <c r="A190" s="183" t="s">
        <v>18</v>
      </c>
      <c r="B190" s="184">
        <v>926</v>
      </c>
      <c r="C190" s="184">
        <v>2011</v>
      </c>
      <c r="D190" s="183" t="s">
        <v>1495</v>
      </c>
      <c r="E190" s="183" t="s">
        <v>773</v>
      </c>
      <c r="F190" s="185">
        <v>105000</v>
      </c>
      <c r="G190" s="183" t="s">
        <v>741</v>
      </c>
      <c r="H190" s="183" t="s">
        <v>1496</v>
      </c>
      <c r="I190" s="183" t="s">
        <v>1497</v>
      </c>
      <c r="J190" s="183" t="s">
        <v>1498</v>
      </c>
      <c r="K190" s="183" t="s">
        <v>151</v>
      </c>
      <c r="L190" s="184">
        <v>0</v>
      </c>
      <c r="M190" s="184">
        <v>12</v>
      </c>
    </row>
    <row r="191" spans="1:13" ht="17.25" hidden="1" customHeight="1" x14ac:dyDescent="0.25">
      <c r="A191" s="183" t="s">
        <v>18</v>
      </c>
      <c r="B191" s="184">
        <v>923</v>
      </c>
      <c r="C191" s="184">
        <v>2011</v>
      </c>
      <c r="D191" s="183" t="s">
        <v>1499</v>
      </c>
      <c r="E191" s="183" t="s">
        <v>773</v>
      </c>
      <c r="F191" s="185">
        <v>87500</v>
      </c>
      <c r="G191" s="183" t="s">
        <v>749</v>
      </c>
      <c r="H191" s="183" t="s">
        <v>1500</v>
      </c>
      <c r="I191" s="183" t="s">
        <v>1501</v>
      </c>
      <c r="J191" s="183" t="s">
        <v>1499</v>
      </c>
      <c r="K191" s="183" t="s">
        <v>1502</v>
      </c>
      <c r="L191" s="184">
        <v>9</v>
      </c>
      <c r="M191" s="184">
        <v>108</v>
      </c>
    </row>
    <row r="192" spans="1:13" ht="17.25" hidden="1" customHeight="1" x14ac:dyDescent="0.25">
      <c r="A192" s="183" t="s">
        <v>18</v>
      </c>
      <c r="B192" s="184">
        <v>924</v>
      </c>
      <c r="C192" s="184">
        <v>2011</v>
      </c>
      <c r="D192" s="183" t="s">
        <v>1503</v>
      </c>
      <c r="E192" s="183" t="s">
        <v>773</v>
      </c>
      <c r="F192" s="185">
        <v>65520</v>
      </c>
      <c r="G192" s="183" t="s">
        <v>749</v>
      </c>
      <c r="H192" s="183" t="s">
        <v>1504</v>
      </c>
      <c r="I192" s="183" t="s">
        <v>1505</v>
      </c>
      <c r="J192" s="183" t="s">
        <v>1503</v>
      </c>
      <c r="K192" s="183" t="s">
        <v>874</v>
      </c>
      <c r="L192" s="184">
        <v>10</v>
      </c>
      <c r="M192" s="184">
        <v>7.8</v>
      </c>
    </row>
    <row r="193" spans="1:13" ht="17.25" hidden="1" customHeight="1" x14ac:dyDescent="0.25">
      <c r="A193" s="183" t="s">
        <v>18</v>
      </c>
      <c r="B193" s="184">
        <v>922</v>
      </c>
      <c r="C193" s="184">
        <v>2011</v>
      </c>
      <c r="D193" s="183" t="s">
        <v>1506</v>
      </c>
      <c r="E193" s="183" t="s">
        <v>773</v>
      </c>
      <c r="F193" s="185">
        <v>26250</v>
      </c>
      <c r="G193" s="183" t="s">
        <v>749</v>
      </c>
      <c r="H193" s="183" t="s">
        <v>1507</v>
      </c>
      <c r="I193" s="183" t="s">
        <v>1508</v>
      </c>
      <c r="J193" s="183" t="s">
        <v>1506</v>
      </c>
      <c r="K193" s="183" t="s">
        <v>1509</v>
      </c>
      <c r="L193" s="184">
        <v>6</v>
      </c>
      <c r="M193" s="184">
        <v>4.2</v>
      </c>
    </row>
    <row r="194" spans="1:13" ht="17.25" hidden="1" customHeight="1" x14ac:dyDescent="0.25">
      <c r="A194" s="183" t="s">
        <v>18</v>
      </c>
      <c r="B194" s="184">
        <v>925</v>
      </c>
      <c r="C194" s="184">
        <v>2011</v>
      </c>
      <c r="D194" s="183" t="s">
        <v>1510</v>
      </c>
      <c r="E194" s="183" t="s">
        <v>773</v>
      </c>
      <c r="F194" s="185">
        <v>36750</v>
      </c>
      <c r="G194" s="183" t="s">
        <v>749</v>
      </c>
      <c r="H194" s="183" t="s">
        <v>1511</v>
      </c>
      <c r="I194" s="183" t="s">
        <v>1512</v>
      </c>
      <c r="J194" s="183" t="s">
        <v>1510</v>
      </c>
      <c r="K194" s="183" t="s">
        <v>1513</v>
      </c>
      <c r="L194" s="184">
        <v>13</v>
      </c>
      <c r="M194" s="184">
        <v>3</v>
      </c>
    </row>
    <row r="195" spans="1:13" ht="17.25" hidden="1" customHeight="1" x14ac:dyDescent="0.25">
      <c r="A195" s="183" t="s">
        <v>18</v>
      </c>
      <c r="B195" s="184">
        <v>932</v>
      </c>
      <c r="C195" s="184">
        <v>2012</v>
      </c>
      <c r="D195" s="183" t="s">
        <v>1514</v>
      </c>
      <c r="E195" s="183" t="s">
        <v>740</v>
      </c>
      <c r="F195" s="185">
        <v>98175</v>
      </c>
      <c r="G195" s="183" t="s">
        <v>740</v>
      </c>
      <c r="H195" s="183" t="s">
        <v>1515</v>
      </c>
      <c r="I195" s="183" t="s">
        <v>1516</v>
      </c>
      <c r="J195" s="183" t="s">
        <v>1514</v>
      </c>
      <c r="K195" s="183" t="s">
        <v>159</v>
      </c>
      <c r="L195" s="184">
        <v>8</v>
      </c>
      <c r="M195" s="184">
        <v>2.2000000000000002</v>
      </c>
    </row>
    <row r="196" spans="1:13" ht="17.25" hidden="1" customHeight="1" x14ac:dyDescent="0.25">
      <c r="A196" s="183" t="s">
        <v>18</v>
      </c>
      <c r="B196" s="184">
        <v>930</v>
      </c>
      <c r="C196" s="184">
        <v>2012</v>
      </c>
      <c r="D196" s="183" t="s">
        <v>1517</v>
      </c>
      <c r="E196" s="183" t="s">
        <v>740</v>
      </c>
      <c r="F196" s="185">
        <v>64050</v>
      </c>
      <c r="G196" s="183" t="s">
        <v>773</v>
      </c>
      <c r="H196" s="183" t="s">
        <v>1518</v>
      </c>
      <c r="I196" s="183" t="s">
        <v>1519</v>
      </c>
      <c r="J196" s="183" t="s">
        <v>1517</v>
      </c>
      <c r="K196" s="183" t="s">
        <v>1520</v>
      </c>
      <c r="L196" s="184">
        <v>10</v>
      </c>
      <c r="M196" s="184">
        <v>2.5</v>
      </c>
    </row>
    <row r="197" spans="1:13" ht="17.25" hidden="1" customHeight="1" x14ac:dyDescent="0.25">
      <c r="A197" s="183" t="s">
        <v>18</v>
      </c>
      <c r="B197" s="184">
        <v>938</v>
      </c>
      <c r="C197" s="184">
        <v>2012</v>
      </c>
      <c r="D197" s="183" t="s">
        <v>1521</v>
      </c>
      <c r="E197" s="183" t="s">
        <v>773</v>
      </c>
      <c r="F197" s="185">
        <v>590000</v>
      </c>
      <c r="G197" s="183" t="s">
        <v>741</v>
      </c>
      <c r="H197" s="183" t="s">
        <v>1522</v>
      </c>
      <c r="I197" s="183" t="s">
        <v>1523</v>
      </c>
      <c r="J197" s="183" t="s">
        <v>1524</v>
      </c>
      <c r="K197" s="183" t="s">
        <v>864</v>
      </c>
      <c r="L197" s="184">
        <v>10</v>
      </c>
      <c r="M197" s="184">
        <v>393</v>
      </c>
    </row>
    <row r="198" spans="1:13" ht="17.25" hidden="1" customHeight="1" x14ac:dyDescent="0.25">
      <c r="A198" s="183" t="s">
        <v>18</v>
      </c>
      <c r="B198" s="184">
        <v>931</v>
      </c>
      <c r="C198" s="184">
        <v>2012</v>
      </c>
      <c r="D198" s="183" t="s">
        <v>1525</v>
      </c>
      <c r="E198" s="183" t="s">
        <v>740</v>
      </c>
      <c r="F198" s="185">
        <v>85050</v>
      </c>
      <c r="G198" s="183" t="s">
        <v>741</v>
      </c>
      <c r="H198" s="183" t="s">
        <v>1526</v>
      </c>
      <c r="I198" s="183" t="s">
        <v>1527</v>
      </c>
      <c r="J198" s="183" t="s">
        <v>1525</v>
      </c>
      <c r="K198" s="183" t="s">
        <v>1528</v>
      </c>
      <c r="L198" s="184">
        <v>9</v>
      </c>
      <c r="M198" s="184">
        <v>20</v>
      </c>
    </row>
    <row r="199" spans="1:13" ht="17.25" hidden="1" customHeight="1" x14ac:dyDescent="0.25">
      <c r="A199" s="183" t="s">
        <v>18</v>
      </c>
      <c r="B199" s="184">
        <v>937</v>
      </c>
      <c r="C199" s="184">
        <v>2012</v>
      </c>
      <c r="D199" s="183" t="s">
        <v>1529</v>
      </c>
      <c r="E199" s="183" t="s">
        <v>740</v>
      </c>
      <c r="F199" s="185">
        <v>105000</v>
      </c>
      <c r="G199" s="183" t="s">
        <v>741</v>
      </c>
      <c r="H199" s="183" t="s">
        <v>1530</v>
      </c>
      <c r="I199" s="183" t="s">
        <v>1531</v>
      </c>
      <c r="J199" s="183" t="s">
        <v>1529</v>
      </c>
      <c r="K199" s="183" t="s">
        <v>1532</v>
      </c>
      <c r="L199" s="184">
        <v>3</v>
      </c>
      <c r="M199" s="184">
        <v>13</v>
      </c>
    </row>
    <row r="200" spans="1:13" ht="17.25" hidden="1" customHeight="1" x14ac:dyDescent="0.25">
      <c r="A200" s="183" t="s">
        <v>18</v>
      </c>
      <c r="B200" s="184">
        <v>936</v>
      </c>
      <c r="C200" s="184">
        <v>2012</v>
      </c>
      <c r="D200" s="183" t="s">
        <v>1533</v>
      </c>
      <c r="E200" s="183" t="s">
        <v>740</v>
      </c>
      <c r="F200" s="185">
        <v>105000</v>
      </c>
      <c r="G200" s="183" t="s">
        <v>741</v>
      </c>
      <c r="H200" s="183" t="s">
        <v>1534</v>
      </c>
      <c r="I200" s="183" t="s">
        <v>1535</v>
      </c>
      <c r="J200" s="183" t="s">
        <v>1533</v>
      </c>
      <c r="K200" s="183" t="s">
        <v>1536</v>
      </c>
      <c r="L200" s="184">
        <v>8</v>
      </c>
      <c r="M200" s="184">
        <v>6</v>
      </c>
    </row>
    <row r="201" spans="1:13" ht="17.25" hidden="1" customHeight="1" x14ac:dyDescent="0.25">
      <c r="A201" s="183" t="s">
        <v>18</v>
      </c>
      <c r="B201" s="184">
        <v>935</v>
      </c>
      <c r="C201" s="184">
        <v>2012</v>
      </c>
      <c r="D201" s="183" t="s">
        <v>1537</v>
      </c>
      <c r="E201" s="183" t="s">
        <v>740</v>
      </c>
      <c r="F201" s="185">
        <v>105000</v>
      </c>
      <c r="G201" s="183" t="s">
        <v>741</v>
      </c>
      <c r="H201" s="183" t="s">
        <v>1538</v>
      </c>
      <c r="I201" s="183" t="s">
        <v>1539</v>
      </c>
      <c r="J201" s="183" t="s">
        <v>1537</v>
      </c>
      <c r="K201" s="183" t="s">
        <v>150</v>
      </c>
      <c r="L201" s="184">
        <v>13</v>
      </c>
      <c r="M201" s="184">
        <v>5</v>
      </c>
    </row>
    <row r="202" spans="1:13" ht="17.25" hidden="1" customHeight="1" x14ac:dyDescent="0.25">
      <c r="A202" s="183" t="s">
        <v>18</v>
      </c>
      <c r="B202" s="184">
        <v>929</v>
      </c>
      <c r="C202" s="184">
        <v>2012</v>
      </c>
      <c r="D202" s="183" t="s">
        <v>1540</v>
      </c>
      <c r="E202" s="183" t="s">
        <v>740</v>
      </c>
      <c r="F202" s="185">
        <v>53550</v>
      </c>
      <c r="G202" s="183" t="s">
        <v>749</v>
      </c>
      <c r="H202" s="183" t="s">
        <v>1541</v>
      </c>
      <c r="I202" s="183" t="s">
        <v>1542</v>
      </c>
      <c r="J202" s="183" t="s">
        <v>1543</v>
      </c>
      <c r="K202" s="183" t="s">
        <v>1544</v>
      </c>
      <c r="L202" s="184">
        <v>2</v>
      </c>
      <c r="M202" s="185">
        <v>6382</v>
      </c>
    </row>
    <row r="203" spans="1:13" ht="17.25" hidden="1" customHeight="1" x14ac:dyDescent="0.25">
      <c r="A203" s="183" t="s">
        <v>18</v>
      </c>
      <c r="B203" s="184">
        <v>933</v>
      </c>
      <c r="C203" s="184">
        <v>2012</v>
      </c>
      <c r="D203" s="183" t="s">
        <v>1545</v>
      </c>
      <c r="E203" s="183" t="s">
        <v>740</v>
      </c>
      <c r="F203" s="185">
        <v>105000</v>
      </c>
      <c r="G203" s="183" t="s">
        <v>749</v>
      </c>
      <c r="H203" s="183" t="s">
        <v>1546</v>
      </c>
      <c r="I203" s="183" t="s">
        <v>1547</v>
      </c>
      <c r="J203" s="183" t="s">
        <v>1548</v>
      </c>
      <c r="K203" s="183" t="s">
        <v>159</v>
      </c>
      <c r="L203" s="184">
        <v>8</v>
      </c>
      <c r="M203" s="184">
        <v>418</v>
      </c>
    </row>
    <row r="204" spans="1:13" ht="17.25" hidden="1" customHeight="1" x14ac:dyDescent="0.25">
      <c r="A204" s="183" t="s">
        <v>18</v>
      </c>
      <c r="B204" s="184">
        <v>934</v>
      </c>
      <c r="C204" s="184">
        <v>2012</v>
      </c>
      <c r="D204" s="183" t="s">
        <v>1549</v>
      </c>
      <c r="E204" s="183" t="s">
        <v>773</v>
      </c>
      <c r="F204" s="185">
        <v>105000</v>
      </c>
      <c r="G204" s="183" t="s">
        <v>749</v>
      </c>
      <c r="H204" s="183" t="s">
        <v>1550</v>
      </c>
      <c r="I204" s="183" t="s">
        <v>1551</v>
      </c>
      <c r="J204" s="183" t="s">
        <v>1552</v>
      </c>
      <c r="K204" s="183" t="s">
        <v>1553</v>
      </c>
      <c r="L204" s="184">
        <v>6</v>
      </c>
      <c r="M204" s="184">
        <v>3.1</v>
      </c>
    </row>
    <row r="205" spans="1:13" ht="17.25" hidden="1" customHeight="1" x14ac:dyDescent="0.25">
      <c r="A205" s="183" t="s">
        <v>18</v>
      </c>
      <c r="B205" s="184">
        <v>928</v>
      </c>
      <c r="C205" s="184">
        <v>2012</v>
      </c>
      <c r="D205" s="183" t="s">
        <v>1554</v>
      </c>
      <c r="E205" s="183" t="s">
        <v>740</v>
      </c>
      <c r="F205" s="185">
        <v>26250</v>
      </c>
      <c r="G205" s="183" t="s">
        <v>749</v>
      </c>
      <c r="H205" s="183" t="s">
        <v>1555</v>
      </c>
      <c r="I205" s="183" t="s">
        <v>1556</v>
      </c>
      <c r="J205" s="183" t="s">
        <v>1554</v>
      </c>
      <c r="K205" s="183" t="s">
        <v>1557</v>
      </c>
      <c r="L205" s="184">
        <v>1</v>
      </c>
      <c r="M205" s="184">
        <v>1.4</v>
      </c>
    </row>
    <row r="206" spans="1:13" ht="17.25" hidden="1" customHeight="1" x14ac:dyDescent="0.25">
      <c r="A206" s="183" t="s">
        <v>18</v>
      </c>
      <c r="B206" s="184">
        <v>940</v>
      </c>
      <c r="C206" s="184">
        <v>2013</v>
      </c>
      <c r="D206" s="183" t="s">
        <v>1558</v>
      </c>
      <c r="E206" s="183" t="s">
        <v>740</v>
      </c>
      <c r="F206" s="189">
        <v>261600</v>
      </c>
      <c r="G206" s="183" t="s">
        <v>749</v>
      </c>
      <c r="H206" s="183" t="s">
        <v>1559</v>
      </c>
      <c r="I206" s="183" t="s">
        <v>1560</v>
      </c>
      <c r="J206" s="183" t="s">
        <v>1561</v>
      </c>
      <c r="K206" s="183" t="s">
        <v>1562</v>
      </c>
      <c r="L206" s="184">
        <v>0</v>
      </c>
      <c r="M206" s="185">
        <v>9049</v>
      </c>
    </row>
    <row r="207" spans="1:13" ht="17.25" hidden="1" customHeight="1" x14ac:dyDescent="0.25">
      <c r="A207" s="183" t="s">
        <v>18</v>
      </c>
      <c r="B207" s="184">
        <v>940</v>
      </c>
      <c r="C207" s="184">
        <v>2013</v>
      </c>
      <c r="D207" s="183" t="s">
        <v>1558</v>
      </c>
      <c r="E207" s="183" t="s">
        <v>740</v>
      </c>
      <c r="F207" s="184">
        <v>0</v>
      </c>
      <c r="G207" s="183" t="s">
        <v>749</v>
      </c>
      <c r="H207" s="183" t="s">
        <v>1559</v>
      </c>
      <c r="I207" s="183" t="s">
        <v>1560</v>
      </c>
      <c r="J207" s="183" t="s">
        <v>1563</v>
      </c>
      <c r="K207" s="183" t="s">
        <v>1564</v>
      </c>
      <c r="L207" s="184">
        <v>0</v>
      </c>
      <c r="M207" s="185">
        <v>3712</v>
      </c>
    </row>
    <row r="208" spans="1:13" ht="17.25" hidden="1" customHeight="1" x14ac:dyDescent="0.25">
      <c r="A208" s="183" t="s">
        <v>18</v>
      </c>
      <c r="B208" s="184">
        <v>940</v>
      </c>
      <c r="C208" s="184">
        <v>2013</v>
      </c>
      <c r="D208" s="183" t="s">
        <v>1558</v>
      </c>
      <c r="E208" s="183" t="s">
        <v>740</v>
      </c>
      <c r="F208" s="189">
        <v>261600</v>
      </c>
      <c r="G208" s="183" t="s">
        <v>749</v>
      </c>
      <c r="H208" s="183" t="s">
        <v>1559</v>
      </c>
      <c r="I208" s="183" t="s">
        <v>1560</v>
      </c>
      <c r="J208" s="183" t="s">
        <v>1565</v>
      </c>
      <c r="K208" s="183" t="s">
        <v>1275</v>
      </c>
      <c r="L208" s="184">
        <v>0</v>
      </c>
      <c r="M208" s="185">
        <v>2549</v>
      </c>
    </row>
    <row r="209" spans="1:13" ht="17.25" hidden="1" customHeight="1" x14ac:dyDescent="0.25">
      <c r="A209" s="183" t="s">
        <v>18</v>
      </c>
      <c r="B209" s="184">
        <v>940</v>
      </c>
      <c r="C209" s="184">
        <v>2013</v>
      </c>
      <c r="D209" s="183" t="s">
        <v>1558</v>
      </c>
      <c r="E209" s="183" t="s">
        <v>740</v>
      </c>
      <c r="F209" s="189">
        <v>261600</v>
      </c>
      <c r="G209" s="183" t="s">
        <v>749</v>
      </c>
      <c r="H209" s="183" t="s">
        <v>1559</v>
      </c>
      <c r="I209" s="183" t="s">
        <v>1560</v>
      </c>
      <c r="J209" s="183" t="s">
        <v>1566</v>
      </c>
      <c r="K209" s="183" t="s">
        <v>1567</v>
      </c>
      <c r="L209" s="184">
        <v>0</v>
      </c>
      <c r="M209" s="185">
        <v>1776</v>
      </c>
    </row>
    <row r="210" spans="1:13" ht="17.25" hidden="1" customHeight="1" x14ac:dyDescent="0.25">
      <c r="A210" s="183" t="s">
        <v>18</v>
      </c>
      <c r="B210" s="184">
        <v>940</v>
      </c>
      <c r="C210" s="184">
        <v>2013</v>
      </c>
      <c r="D210" s="183" t="s">
        <v>1558</v>
      </c>
      <c r="E210" s="183" t="s">
        <v>740</v>
      </c>
      <c r="F210" s="189">
        <v>261600</v>
      </c>
      <c r="G210" s="183" t="s">
        <v>749</v>
      </c>
      <c r="H210" s="183" t="s">
        <v>1559</v>
      </c>
      <c r="I210" s="183" t="s">
        <v>1560</v>
      </c>
      <c r="J210" s="183" t="s">
        <v>1568</v>
      </c>
      <c r="K210" s="183" t="s">
        <v>1569</v>
      </c>
      <c r="L210" s="184">
        <v>0</v>
      </c>
      <c r="M210" s="185">
        <v>1613</v>
      </c>
    </row>
    <row r="211" spans="1:13" ht="17.25" hidden="1" customHeight="1" x14ac:dyDescent="0.25">
      <c r="A211" s="183" t="s">
        <v>18</v>
      </c>
      <c r="B211" s="184">
        <v>940</v>
      </c>
      <c r="C211" s="184">
        <v>2013</v>
      </c>
      <c r="D211" s="183" t="s">
        <v>1558</v>
      </c>
      <c r="E211" s="183" t="s">
        <v>740</v>
      </c>
      <c r="F211" s="189">
        <v>261600</v>
      </c>
      <c r="G211" s="183" t="s">
        <v>749</v>
      </c>
      <c r="H211" s="183" t="s">
        <v>1559</v>
      </c>
      <c r="I211" s="183" t="s">
        <v>1560</v>
      </c>
      <c r="J211" s="183" t="s">
        <v>1570</v>
      </c>
      <c r="K211" s="183" t="s">
        <v>1571</v>
      </c>
      <c r="L211" s="184">
        <v>0</v>
      </c>
      <c r="M211" s="185">
        <v>1316</v>
      </c>
    </row>
    <row r="212" spans="1:13" ht="17.25" hidden="1" customHeight="1" x14ac:dyDescent="0.25">
      <c r="A212" s="183" t="s">
        <v>18</v>
      </c>
      <c r="B212" s="184">
        <v>940</v>
      </c>
      <c r="C212" s="184">
        <v>2013</v>
      </c>
      <c r="D212" s="183" t="s">
        <v>1558</v>
      </c>
      <c r="E212" s="183" t="s">
        <v>740</v>
      </c>
      <c r="F212" s="189">
        <v>261600</v>
      </c>
      <c r="G212" s="183" t="s">
        <v>749</v>
      </c>
      <c r="H212" s="183" t="s">
        <v>1559</v>
      </c>
      <c r="I212" s="183" t="s">
        <v>1560</v>
      </c>
      <c r="J212" s="183" t="s">
        <v>1572</v>
      </c>
      <c r="K212" s="183" t="s">
        <v>1573</v>
      </c>
      <c r="L212" s="184">
        <v>0</v>
      </c>
      <c r="M212" s="184">
        <v>662</v>
      </c>
    </row>
    <row r="213" spans="1:13" ht="17.25" hidden="1" customHeight="1" x14ac:dyDescent="0.25">
      <c r="A213" s="183" t="s">
        <v>18</v>
      </c>
      <c r="B213" s="184">
        <v>940</v>
      </c>
      <c r="C213" s="184">
        <v>2013</v>
      </c>
      <c r="D213" s="183" t="s">
        <v>1558</v>
      </c>
      <c r="E213" s="183" t="s">
        <v>740</v>
      </c>
      <c r="F213" s="189">
        <v>261600</v>
      </c>
      <c r="G213" s="183" t="s">
        <v>749</v>
      </c>
      <c r="H213" s="183" t="s">
        <v>1559</v>
      </c>
      <c r="I213" s="183" t="s">
        <v>1560</v>
      </c>
      <c r="J213" s="183" t="s">
        <v>1574</v>
      </c>
      <c r="K213" s="183" t="s">
        <v>1575</v>
      </c>
      <c r="L213" s="184">
        <v>0</v>
      </c>
      <c r="M213" s="184">
        <v>626</v>
      </c>
    </row>
    <row r="214" spans="1:13" ht="17.25" hidden="1" customHeight="1" x14ac:dyDescent="0.25">
      <c r="A214" s="183" t="s">
        <v>18</v>
      </c>
      <c r="B214" s="184">
        <v>940</v>
      </c>
      <c r="C214" s="184">
        <v>2013</v>
      </c>
      <c r="D214" s="183" t="s">
        <v>1558</v>
      </c>
      <c r="E214" s="183" t="s">
        <v>740</v>
      </c>
      <c r="F214" s="189">
        <v>261600</v>
      </c>
      <c r="G214" s="183" t="s">
        <v>749</v>
      </c>
      <c r="H214" s="183" t="s">
        <v>1559</v>
      </c>
      <c r="I214" s="183" t="s">
        <v>1560</v>
      </c>
      <c r="J214" s="183" t="s">
        <v>1576</v>
      </c>
      <c r="K214" s="183" t="s">
        <v>1577</v>
      </c>
      <c r="L214" s="184">
        <v>0</v>
      </c>
      <c r="M214" s="184">
        <v>588</v>
      </c>
    </row>
    <row r="215" spans="1:13" ht="17.25" hidden="1" customHeight="1" x14ac:dyDescent="0.25">
      <c r="A215" s="183" t="s">
        <v>18</v>
      </c>
      <c r="B215" s="184">
        <v>940</v>
      </c>
      <c r="C215" s="184">
        <v>2013</v>
      </c>
      <c r="D215" s="183" t="s">
        <v>1558</v>
      </c>
      <c r="E215" s="183" t="s">
        <v>740</v>
      </c>
      <c r="F215" s="189">
        <v>261600</v>
      </c>
      <c r="G215" s="183" t="s">
        <v>749</v>
      </c>
      <c r="H215" s="183" t="s">
        <v>1559</v>
      </c>
      <c r="I215" s="183" t="s">
        <v>1560</v>
      </c>
      <c r="J215" s="183" t="s">
        <v>1578</v>
      </c>
      <c r="K215" s="183" t="s">
        <v>1579</v>
      </c>
      <c r="L215" s="184">
        <v>0</v>
      </c>
      <c r="M215" s="184">
        <v>561</v>
      </c>
    </row>
    <row r="216" spans="1:13" ht="17.25" hidden="1" customHeight="1" x14ac:dyDescent="0.25">
      <c r="A216" s="183" t="s">
        <v>18</v>
      </c>
      <c r="B216" s="184">
        <v>940</v>
      </c>
      <c r="C216" s="184">
        <v>2013</v>
      </c>
      <c r="D216" s="183" t="s">
        <v>1558</v>
      </c>
      <c r="E216" s="183" t="s">
        <v>740</v>
      </c>
      <c r="F216" s="189">
        <v>261600</v>
      </c>
      <c r="G216" s="183" t="s">
        <v>749</v>
      </c>
      <c r="H216" s="183" t="s">
        <v>1559</v>
      </c>
      <c r="I216" s="183" t="s">
        <v>1560</v>
      </c>
      <c r="J216" s="183" t="s">
        <v>1580</v>
      </c>
      <c r="K216" s="183" t="s">
        <v>1581</v>
      </c>
      <c r="L216" s="184">
        <v>0</v>
      </c>
      <c r="M216" s="184">
        <v>528</v>
      </c>
    </row>
    <row r="217" spans="1:13" ht="17.25" hidden="1" customHeight="1" x14ac:dyDescent="0.25">
      <c r="A217" s="183" t="s">
        <v>18</v>
      </c>
      <c r="B217" s="184">
        <v>940</v>
      </c>
      <c r="C217" s="184">
        <v>2013</v>
      </c>
      <c r="D217" s="183" t="s">
        <v>1558</v>
      </c>
      <c r="E217" s="183" t="s">
        <v>740</v>
      </c>
      <c r="F217" s="189">
        <v>261600</v>
      </c>
      <c r="G217" s="183" t="s">
        <v>749</v>
      </c>
      <c r="H217" s="183" t="s">
        <v>1559</v>
      </c>
      <c r="I217" s="183" t="s">
        <v>1560</v>
      </c>
      <c r="J217" s="183" t="s">
        <v>1582</v>
      </c>
      <c r="K217" s="183" t="s">
        <v>1583</v>
      </c>
      <c r="L217" s="184">
        <v>0</v>
      </c>
      <c r="M217" s="184">
        <v>447</v>
      </c>
    </row>
    <row r="218" spans="1:13" ht="17.25" hidden="1" customHeight="1" x14ac:dyDescent="0.25">
      <c r="A218" s="183" t="s">
        <v>18</v>
      </c>
      <c r="B218" s="184">
        <v>941</v>
      </c>
      <c r="C218" s="184">
        <v>2014</v>
      </c>
      <c r="D218" s="183" t="s">
        <v>1584</v>
      </c>
      <c r="E218" s="183" t="s">
        <v>740</v>
      </c>
      <c r="F218" s="189">
        <v>261600</v>
      </c>
      <c r="G218" s="183" t="s">
        <v>741</v>
      </c>
      <c r="H218" s="183" t="s">
        <v>1585</v>
      </c>
      <c r="I218" s="183" t="s">
        <v>1586</v>
      </c>
      <c r="J218" s="183" t="s">
        <v>1587</v>
      </c>
      <c r="K218" s="183" t="s">
        <v>1588</v>
      </c>
      <c r="L218" s="184">
        <v>10</v>
      </c>
      <c r="M218" s="184">
        <v>40</v>
      </c>
    </row>
    <row r="219" spans="1:13" ht="17.25" hidden="1" customHeight="1" x14ac:dyDescent="0.25">
      <c r="A219" s="183" t="s">
        <v>18</v>
      </c>
      <c r="B219" s="184">
        <v>949</v>
      </c>
      <c r="C219" s="184">
        <v>2014</v>
      </c>
      <c r="D219" s="183" t="s">
        <v>1589</v>
      </c>
      <c r="E219" s="183" t="s">
        <v>740</v>
      </c>
      <c r="F219" s="184">
        <v>0</v>
      </c>
      <c r="G219" s="183" t="s">
        <v>749</v>
      </c>
      <c r="H219" s="183" t="s">
        <v>1590</v>
      </c>
      <c r="I219" s="183" t="s">
        <v>1591</v>
      </c>
      <c r="J219" s="183" t="s">
        <v>1589</v>
      </c>
      <c r="K219" s="183" t="s">
        <v>1592</v>
      </c>
      <c r="L219" s="184">
        <v>13</v>
      </c>
      <c r="M219" s="184">
        <v>142</v>
      </c>
    </row>
    <row r="220" spans="1:13" ht="17.25" hidden="1" customHeight="1" x14ac:dyDescent="0.25">
      <c r="A220" s="183" t="s">
        <v>18</v>
      </c>
      <c r="B220" s="184">
        <v>942</v>
      </c>
      <c r="C220" s="184">
        <v>2014</v>
      </c>
      <c r="D220" s="183" t="s">
        <v>1593</v>
      </c>
      <c r="E220" s="183" t="s">
        <v>740</v>
      </c>
      <c r="F220" s="184">
        <v>0</v>
      </c>
      <c r="G220" s="183" t="s">
        <v>749</v>
      </c>
      <c r="H220" s="183" t="s">
        <v>1594</v>
      </c>
      <c r="I220" s="183" t="s">
        <v>1595</v>
      </c>
      <c r="J220" s="183" t="s">
        <v>1593</v>
      </c>
      <c r="K220" s="183" t="s">
        <v>1596</v>
      </c>
      <c r="L220" s="184">
        <v>10</v>
      </c>
      <c r="M220" s="184">
        <v>77</v>
      </c>
    </row>
    <row r="221" spans="1:13" ht="17.25" hidden="1" customHeight="1" x14ac:dyDescent="0.25">
      <c r="A221" s="183" t="s">
        <v>18</v>
      </c>
      <c r="B221" s="184">
        <v>954</v>
      </c>
      <c r="C221" s="184">
        <v>2014</v>
      </c>
      <c r="D221" s="183" t="s">
        <v>1597</v>
      </c>
      <c r="E221" s="183" t="s">
        <v>740</v>
      </c>
      <c r="F221" s="184">
        <v>0</v>
      </c>
      <c r="G221" s="183" t="s">
        <v>749</v>
      </c>
      <c r="H221" s="183" t="s">
        <v>1550</v>
      </c>
      <c r="I221" s="183" t="s">
        <v>1598</v>
      </c>
      <c r="J221" s="183" t="s">
        <v>1597</v>
      </c>
      <c r="K221" s="183" t="s">
        <v>1592</v>
      </c>
      <c r="L221" s="184">
        <v>6</v>
      </c>
      <c r="M221" s="184">
        <v>61.4</v>
      </c>
    </row>
    <row r="222" spans="1:13" ht="17.25" hidden="1" customHeight="1" x14ac:dyDescent="0.25">
      <c r="A222" s="183" t="s">
        <v>18</v>
      </c>
      <c r="B222" s="184">
        <v>950</v>
      </c>
      <c r="C222" s="184">
        <v>2014</v>
      </c>
      <c r="D222" s="183" t="s">
        <v>1599</v>
      </c>
      <c r="E222" s="183" t="s">
        <v>740</v>
      </c>
      <c r="F222" s="184">
        <v>0</v>
      </c>
      <c r="G222" s="183" t="s">
        <v>749</v>
      </c>
      <c r="H222" s="183" t="s">
        <v>1600</v>
      </c>
      <c r="I222" s="183" t="s">
        <v>1601</v>
      </c>
      <c r="J222" s="183" t="s">
        <v>1599</v>
      </c>
      <c r="K222" s="183" t="s">
        <v>1592</v>
      </c>
      <c r="L222" s="184">
        <v>13</v>
      </c>
      <c r="M222" s="184">
        <v>58</v>
      </c>
    </row>
    <row r="223" spans="1:13" ht="17.25" hidden="1" customHeight="1" x14ac:dyDescent="0.25">
      <c r="A223" s="183" t="s">
        <v>18</v>
      </c>
      <c r="B223" s="184">
        <v>951</v>
      </c>
      <c r="C223" s="184">
        <v>2014</v>
      </c>
      <c r="D223" s="183" t="s">
        <v>1602</v>
      </c>
      <c r="E223" s="183" t="s">
        <v>740</v>
      </c>
      <c r="F223" s="184">
        <v>0</v>
      </c>
      <c r="G223" s="183" t="s">
        <v>749</v>
      </c>
      <c r="H223" s="183" t="s">
        <v>1603</v>
      </c>
      <c r="I223" s="183" t="s">
        <v>1604</v>
      </c>
      <c r="J223" s="183" t="s">
        <v>1602</v>
      </c>
      <c r="K223" s="183" t="s">
        <v>1605</v>
      </c>
      <c r="L223" s="184">
        <v>3</v>
      </c>
      <c r="M223" s="184">
        <v>40.799999999999997</v>
      </c>
    </row>
    <row r="224" spans="1:13" ht="17.25" hidden="1" customHeight="1" x14ac:dyDescent="0.25">
      <c r="A224" s="183" t="s">
        <v>18</v>
      </c>
      <c r="B224" s="184">
        <v>947</v>
      </c>
      <c r="C224" s="184">
        <v>2014</v>
      </c>
      <c r="D224" s="183" t="s">
        <v>1606</v>
      </c>
      <c r="E224" s="183" t="s">
        <v>740</v>
      </c>
      <c r="F224" s="184">
        <v>0</v>
      </c>
      <c r="G224" s="183" t="s">
        <v>749</v>
      </c>
      <c r="H224" s="183" t="s">
        <v>1607</v>
      </c>
      <c r="I224" s="183" t="s">
        <v>1608</v>
      </c>
      <c r="J224" s="183" t="s">
        <v>1606</v>
      </c>
      <c r="K224" s="183" t="s">
        <v>1609</v>
      </c>
      <c r="L224" s="184">
        <v>9</v>
      </c>
      <c r="M224" s="184">
        <v>25</v>
      </c>
    </row>
    <row r="225" spans="1:13" ht="17.25" hidden="1" customHeight="1" x14ac:dyDescent="0.25">
      <c r="A225" s="183" t="s">
        <v>18</v>
      </c>
      <c r="B225" s="184">
        <v>943</v>
      </c>
      <c r="C225" s="184">
        <v>2014</v>
      </c>
      <c r="D225" s="183" t="s">
        <v>1610</v>
      </c>
      <c r="E225" s="183" t="s">
        <v>740</v>
      </c>
      <c r="F225" s="184">
        <v>0</v>
      </c>
      <c r="G225" s="183" t="s">
        <v>749</v>
      </c>
      <c r="H225" s="183" t="s">
        <v>1611</v>
      </c>
      <c r="I225" s="183" t="s">
        <v>1612</v>
      </c>
      <c r="J225" s="183" t="s">
        <v>1610</v>
      </c>
      <c r="K225" s="183" t="s">
        <v>1613</v>
      </c>
      <c r="L225" s="184">
        <v>7</v>
      </c>
      <c r="M225" s="184">
        <v>24.6</v>
      </c>
    </row>
    <row r="226" spans="1:13" ht="17.25" hidden="1" customHeight="1" x14ac:dyDescent="0.25">
      <c r="A226" s="183" t="s">
        <v>18</v>
      </c>
      <c r="B226" s="184">
        <v>945</v>
      </c>
      <c r="C226" s="184">
        <v>2014</v>
      </c>
      <c r="D226" s="183" t="s">
        <v>1614</v>
      </c>
      <c r="E226" s="183" t="s">
        <v>740</v>
      </c>
      <c r="F226" s="184">
        <v>0</v>
      </c>
      <c r="G226" s="183" t="s">
        <v>749</v>
      </c>
      <c r="H226" s="183" t="s">
        <v>1615</v>
      </c>
      <c r="I226" s="183" t="s">
        <v>1616</v>
      </c>
      <c r="J226" s="183" t="s">
        <v>1614</v>
      </c>
      <c r="K226" s="183" t="s">
        <v>1617</v>
      </c>
      <c r="L226" s="184">
        <v>2</v>
      </c>
      <c r="M226" s="184">
        <v>15.3</v>
      </c>
    </row>
    <row r="227" spans="1:13" ht="17.25" hidden="1" customHeight="1" x14ac:dyDescent="0.25">
      <c r="A227" s="183" t="s">
        <v>18</v>
      </c>
      <c r="B227" s="184">
        <v>948</v>
      </c>
      <c r="C227" s="184">
        <v>2014</v>
      </c>
      <c r="D227" s="183" t="s">
        <v>1618</v>
      </c>
      <c r="E227" s="183" t="s">
        <v>740</v>
      </c>
      <c r="F227" s="184">
        <v>0</v>
      </c>
      <c r="G227" s="183" t="s">
        <v>749</v>
      </c>
      <c r="H227" s="183" t="s">
        <v>1619</v>
      </c>
      <c r="I227" s="183" t="s">
        <v>1620</v>
      </c>
      <c r="J227" s="183" t="s">
        <v>1621</v>
      </c>
      <c r="K227" s="183" t="s">
        <v>1622</v>
      </c>
      <c r="L227" s="184">
        <v>2</v>
      </c>
      <c r="M227" s="184">
        <v>14</v>
      </c>
    </row>
    <row r="228" spans="1:13" ht="17.25" hidden="1" customHeight="1" x14ac:dyDescent="0.25">
      <c r="A228" s="183" t="s">
        <v>18</v>
      </c>
      <c r="B228" s="184">
        <v>944</v>
      </c>
      <c r="C228" s="184">
        <v>2014</v>
      </c>
      <c r="D228" s="183" t="s">
        <v>1260</v>
      </c>
      <c r="E228" s="183" t="s">
        <v>740</v>
      </c>
      <c r="F228" s="184">
        <v>0</v>
      </c>
      <c r="G228" s="183" t="s">
        <v>749</v>
      </c>
      <c r="H228" s="183" t="s">
        <v>1623</v>
      </c>
      <c r="I228" s="183" t="s">
        <v>1624</v>
      </c>
      <c r="J228" s="183" t="s">
        <v>1260</v>
      </c>
      <c r="K228" s="183" t="s">
        <v>1625</v>
      </c>
      <c r="L228" s="184">
        <v>12</v>
      </c>
      <c r="M228" s="184">
        <v>12.2</v>
      </c>
    </row>
    <row r="229" spans="1:13" ht="17.25" hidden="1" customHeight="1" x14ac:dyDescent="0.25">
      <c r="A229" s="183" t="s">
        <v>18</v>
      </c>
      <c r="B229" s="184">
        <v>946</v>
      </c>
      <c r="C229" s="184">
        <v>2014</v>
      </c>
      <c r="D229" s="183" t="s">
        <v>1626</v>
      </c>
      <c r="E229" s="183" t="s">
        <v>740</v>
      </c>
      <c r="F229" s="184">
        <v>0</v>
      </c>
      <c r="G229" s="183" t="s">
        <v>749</v>
      </c>
      <c r="H229" s="183" t="s">
        <v>1627</v>
      </c>
      <c r="I229" s="183" t="s">
        <v>1628</v>
      </c>
      <c r="J229" s="183" t="s">
        <v>1626</v>
      </c>
      <c r="K229" s="183" t="s">
        <v>1629</v>
      </c>
      <c r="L229" s="184">
        <v>12</v>
      </c>
      <c r="M229" s="184">
        <v>7.3</v>
      </c>
    </row>
    <row r="230" spans="1:13" ht="17.25" hidden="1" customHeight="1" x14ac:dyDescent="0.25">
      <c r="A230" s="183" t="s">
        <v>18</v>
      </c>
      <c r="B230" s="184">
        <v>953</v>
      </c>
      <c r="C230" s="184">
        <v>2014</v>
      </c>
      <c r="D230" s="183" t="s">
        <v>1506</v>
      </c>
      <c r="E230" s="183" t="s">
        <v>740</v>
      </c>
      <c r="F230" s="184">
        <v>0</v>
      </c>
      <c r="G230" s="183" t="s">
        <v>749</v>
      </c>
      <c r="H230" s="183" t="s">
        <v>1507</v>
      </c>
      <c r="I230" s="183" t="s">
        <v>1630</v>
      </c>
      <c r="J230" s="183" t="s">
        <v>1506</v>
      </c>
      <c r="K230" s="183" t="s">
        <v>1509</v>
      </c>
      <c r="L230" s="184">
        <v>6</v>
      </c>
      <c r="M230" s="184">
        <v>4.2</v>
      </c>
    </row>
    <row r="231" spans="1:13" ht="17.25" hidden="1" customHeight="1" x14ac:dyDescent="0.25">
      <c r="A231" s="183" t="s">
        <v>18</v>
      </c>
      <c r="B231" s="184">
        <v>952</v>
      </c>
      <c r="C231" s="184">
        <v>2014</v>
      </c>
      <c r="D231" s="183" t="s">
        <v>1631</v>
      </c>
      <c r="E231" s="183" t="s">
        <v>740</v>
      </c>
      <c r="F231" s="184">
        <v>0</v>
      </c>
      <c r="G231" s="183" t="s">
        <v>749</v>
      </c>
      <c r="H231" s="183" t="s">
        <v>1632</v>
      </c>
      <c r="I231" s="183" t="s">
        <v>1633</v>
      </c>
      <c r="J231" s="183" t="s">
        <v>1631</v>
      </c>
      <c r="K231" s="183" t="s">
        <v>1634</v>
      </c>
      <c r="L231" s="184">
        <v>1</v>
      </c>
      <c r="M231" s="184">
        <v>1</v>
      </c>
    </row>
    <row r="232" spans="1:13" ht="17.25" hidden="1" customHeight="1" x14ac:dyDescent="0.25">
      <c r="A232" s="183" t="s">
        <v>1635</v>
      </c>
      <c r="B232" s="184">
        <v>33</v>
      </c>
      <c r="C232" s="184">
        <v>2011</v>
      </c>
      <c r="D232" s="183" t="s">
        <v>1636</v>
      </c>
      <c r="E232" s="183" t="s">
        <v>740</v>
      </c>
      <c r="F232" s="185">
        <v>103630</v>
      </c>
      <c r="G232" s="183" t="s">
        <v>741</v>
      </c>
      <c r="H232" s="183" t="s">
        <v>1637</v>
      </c>
      <c r="I232" s="183" t="s">
        <v>1638</v>
      </c>
      <c r="J232" s="183" t="s">
        <v>1639</v>
      </c>
      <c r="K232" s="183" t="s">
        <v>201</v>
      </c>
      <c r="L232" s="184">
        <v>0</v>
      </c>
      <c r="M232" s="184">
        <v>59.7</v>
      </c>
    </row>
    <row r="233" spans="1:13" ht="17.25" hidden="1" customHeight="1" x14ac:dyDescent="0.25">
      <c r="A233" s="183" t="s">
        <v>0</v>
      </c>
      <c r="B233" s="184">
        <v>164</v>
      </c>
      <c r="C233" s="184">
        <v>2011</v>
      </c>
      <c r="D233" s="183" t="s">
        <v>1640</v>
      </c>
      <c r="E233" s="183" t="s">
        <v>740</v>
      </c>
      <c r="F233" s="185">
        <v>518656</v>
      </c>
      <c r="G233" s="183" t="s">
        <v>749</v>
      </c>
      <c r="H233" s="183" t="s">
        <v>1641</v>
      </c>
      <c r="I233" s="183" t="s">
        <v>1642</v>
      </c>
      <c r="J233" s="183" t="s">
        <v>1643</v>
      </c>
      <c r="K233" s="183" t="s">
        <v>1644</v>
      </c>
      <c r="L233" s="184">
        <v>1</v>
      </c>
      <c r="M233" s="184">
        <v>14</v>
      </c>
    </row>
    <row r="234" spans="1:13" ht="17.25" hidden="1" customHeight="1" x14ac:dyDescent="0.25">
      <c r="A234" s="183" t="s">
        <v>0</v>
      </c>
      <c r="B234" s="184">
        <v>169</v>
      </c>
      <c r="C234" s="184">
        <v>2014</v>
      </c>
      <c r="D234" s="183" t="s">
        <v>1645</v>
      </c>
      <c r="E234" s="183" t="s">
        <v>740</v>
      </c>
      <c r="F234" s="184">
        <v>0</v>
      </c>
      <c r="G234" s="183" t="s">
        <v>740</v>
      </c>
      <c r="H234" s="183" t="s">
        <v>1646</v>
      </c>
      <c r="I234" s="183" t="s">
        <v>1647</v>
      </c>
      <c r="J234" s="183" t="s">
        <v>1648</v>
      </c>
      <c r="K234" s="183" t="s">
        <v>1649</v>
      </c>
      <c r="L234" s="184">
        <v>2</v>
      </c>
      <c r="M234" s="184">
        <v>10.9</v>
      </c>
    </row>
    <row r="235" spans="1:13" ht="17.25" hidden="1" customHeight="1" x14ac:dyDescent="0.25">
      <c r="A235" s="183" t="s">
        <v>0</v>
      </c>
      <c r="B235" s="184">
        <v>168</v>
      </c>
      <c r="C235" s="184">
        <v>2014</v>
      </c>
      <c r="D235" s="183" t="s">
        <v>1650</v>
      </c>
      <c r="E235" s="183" t="s">
        <v>740</v>
      </c>
      <c r="F235" s="184">
        <v>0</v>
      </c>
      <c r="G235" s="183" t="s">
        <v>741</v>
      </c>
      <c r="H235" s="183" t="s">
        <v>1651</v>
      </c>
      <c r="I235" s="183" t="s">
        <v>1652</v>
      </c>
      <c r="J235" s="183" t="s">
        <v>1653</v>
      </c>
      <c r="K235" s="183" t="s">
        <v>202</v>
      </c>
      <c r="L235" s="184">
        <v>2</v>
      </c>
      <c r="M235" s="184">
        <v>15.3</v>
      </c>
    </row>
    <row r="236" spans="1:13" ht="17.25" hidden="1" customHeight="1" x14ac:dyDescent="0.25">
      <c r="A236" s="183" t="s">
        <v>0</v>
      </c>
      <c r="B236" s="184">
        <v>166</v>
      </c>
      <c r="C236" s="184">
        <v>2014</v>
      </c>
      <c r="D236" s="183" t="s">
        <v>1654</v>
      </c>
      <c r="E236" s="183" t="s">
        <v>740</v>
      </c>
      <c r="F236" s="184">
        <v>0</v>
      </c>
      <c r="G236" s="183" t="s">
        <v>749</v>
      </c>
      <c r="H236" s="183" t="s">
        <v>1655</v>
      </c>
      <c r="I236" s="183" t="s">
        <v>1656</v>
      </c>
      <c r="J236" s="183" t="s">
        <v>1654</v>
      </c>
      <c r="K236" s="183" t="s">
        <v>1649</v>
      </c>
      <c r="L236" s="184">
        <v>2</v>
      </c>
      <c r="M236" s="184">
        <v>346.9</v>
      </c>
    </row>
    <row r="237" spans="1:13" ht="17.25" hidden="1" customHeight="1" x14ac:dyDescent="0.25">
      <c r="A237" s="183" t="s">
        <v>0</v>
      </c>
      <c r="B237" s="184">
        <v>167</v>
      </c>
      <c r="C237" s="184">
        <v>2014</v>
      </c>
      <c r="D237" s="183" t="s">
        <v>1657</v>
      </c>
      <c r="E237" s="183" t="s">
        <v>740</v>
      </c>
      <c r="F237" s="184">
        <v>0</v>
      </c>
      <c r="G237" s="183" t="s">
        <v>749</v>
      </c>
      <c r="H237" s="183" t="s">
        <v>1658</v>
      </c>
      <c r="I237" s="183" t="s">
        <v>1659</v>
      </c>
      <c r="J237" s="183" t="s">
        <v>1657</v>
      </c>
      <c r="K237" s="183" t="s">
        <v>1660</v>
      </c>
      <c r="L237" s="184">
        <v>2</v>
      </c>
      <c r="M237" s="184">
        <v>113.4</v>
      </c>
    </row>
    <row r="238" spans="1:13" ht="17.25" hidden="1" customHeight="1" x14ac:dyDescent="0.25">
      <c r="A238" s="183" t="s">
        <v>12</v>
      </c>
      <c r="B238" s="190">
        <v>1284</v>
      </c>
      <c r="C238" s="184">
        <v>2011</v>
      </c>
      <c r="D238" s="183" t="s">
        <v>1661</v>
      </c>
      <c r="E238" s="183" t="s">
        <v>773</v>
      </c>
      <c r="F238" s="185">
        <v>36090.25</v>
      </c>
      <c r="G238" s="183" t="s">
        <v>740</v>
      </c>
      <c r="H238" s="183" t="s">
        <v>1662</v>
      </c>
      <c r="I238" s="183" t="s">
        <v>1663</v>
      </c>
      <c r="J238" s="183" t="s">
        <v>1664</v>
      </c>
      <c r="K238" s="183" t="s">
        <v>1665</v>
      </c>
      <c r="L238" s="184">
        <v>2</v>
      </c>
      <c r="M238" s="184">
        <v>103.2</v>
      </c>
    </row>
    <row r="239" spans="1:13" ht="17.25" hidden="1" customHeight="1" x14ac:dyDescent="0.25">
      <c r="A239" s="183" t="s">
        <v>12</v>
      </c>
      <c r="B239" s="190">
        <v>1282</v>
      </c>
      <c r="C239" s="184">
        <v>2011</v>
      </c>
      <c r="D239" s="183" t="s">
        <v>1666</v>
      </c>
      <c r="E239" s="183" t="s">
        <v>773</v>
      </c>
      <c r="F239" s="185">
        <v>61500</v>
      </c>
      <c r="G239" s="183" t="s">
        <v>741</v>
      </c>
      <c r="H239" s="183" t="s">
        <v>1667</v>
      </c>
      <c r="I239" s="183" t="s">
        <v>1668</v>
      </c>
      <c r="J239" s="183" t="s">
        <v>1669</v>
      </c>
      <c r="K239" s="183" t="s">
        <v>1670</v>
      </c>
      <c r="L239" s="184">
        <v>3</v>
      </c>
      <c r="M239" s="185">
        <v>1834</v>
      </c>
    </row>
    <row r="240" spans="1:13" ht="17.25" hidden="1" customHeight="1" x14ac:dyDescent="0.25">
      <c r="A240" s="183" t="s">
        <v>12</v>
      </c>
      <c r="B240" s="190">
        <v>1289</v>
      </c>
      <c r="C240" s="184">
        <v>2012</v>
      </c>
      <c r="D240" s="183" t="s">
        <v>1671</v>
      </c>
      <c r="E240" s="183" t="s">
        <v>740</v>
      </c>
      <c r="F240" s="185">
        <v>123884.47</v>
      </c>
      <c r="G240" s="183" t="s">
        <v>741</v>
      </c>
      <c r="H240" s="183" t="s">
        <v>1672</v>
      </c>
      <c r="I240" s="183" t="s">
        <v>1673</v>
      </c>
      <c r="J240" s="183" t="s">
        <v>1674</v>
      </c>
      <c r="K240" s="183" t="s">
        <v>239</v>
      </c>
      <c r="L240" s="184">
        <v>2</v>
      </c>
      <c r="M240" s="185">
        <v>1415</v>
      </c>
    </row>
    <row r="241" spans="1:13" ht="17.25" hidden="1" customHeight="1" x14ac:dyDescent="0.25">
      <c r="A241" s="183" t="s">
        <v>12</v>
      </c>
      <c r="B241" s="190">
        <v>1288</v>
      </c>
      <c r="C241" s="184">
        <v>2012</v>
      </c>
      <c r="D241" s="183" t="s">
        <v>1675</v>
      </c>
      <c r="E241" s="183" t="s">
        <v>773</v>
      </c>
      <c r="F241" s="185">
        <v>220000</v>
      </c>
      <c r="G241" s="183" t="s">
        <v>741</v>
      </c>
      <c r="H241" s="183" t="s">
        <v>1672</v>
      </c>
      <c r="I241" s="183" t="s">
        <v>1676</v>
      </c>
      <c r="J241" s="183" t="s">
        <v>1677</v>
      </c>
      <c r="K241" s="183" t="s">
        <v>1678</v>
      </c>
      <c r="L241" s="184">
        <v>5</v>
      </c>
      <c r="M241" s="185">
        <v>1062</v>
      </c>
    </row>
    <row r="242" spans="1:13" ht="17.25" hidden="1" customHeight="1" x14ac:dyDescent="0.25">
      <c r="A242" s="183" t="s">
        <v>12</v>
      </c>
      <c r="B242" s="190">
        <v>1287</v>
      </c>
      <c r="C242" s="184">
        <v>2012</v>
      </c>
      <c r="D242" s="183" t="s">
        <v>1679</v>
      </c>
      <c r="E242" s="183" t="s">
        <v>773</v>
      </c>
      <c r="F242" s="185">
        <v>62346</v>
      </c>
      <c r="G242" s="183" t="s">
        <v>741</v>
      </c>
      <c r="H242" s="183" t="s">
        <v>1680</v>
      </c>
      <c r="I242" s="183" t="s">
        <v>1681</v>
      </c>
      <c r="J242" s="183" t="s">
        <v>1682</v>
      </c>
      <c r="K242" s="183" t="s">
        <v>1683</v>
      </c>
      <c r="L242" s="184">
        <v>0</v>
      </c>
      <c r="M242" s="184">
        <v>192</v>
      </c>
    </row>
    <row r="243" spans="1:13" ht="17.25" hidden="1" customHeight="1" x14ac:dyDescent="0.25">
      <c r="A243" s="183" t="s">
        <v>12</v>
      </c>
      <c r="B243" s="190">
        <v>1292</v>
      </c>
      <c r="C243" s="184">
        <v>2012</v>
      </c>
      <c r="D243" s="183" t="s">
        <v>1684</v>
      </c>
      <c r="E243" s="183" t="s">
        <v>773</v>
      </c>
      <c r="F243" s="185">
        <v>31800</v>
      </c>
      <c r="G243" s="183" t="s">
        <v>741</v>
      </c>
      <c r="H243" s="183" t="s">
        <v>1685</v>
      </c>
      <c r="I243" s="183" t="s">
        <v>1686</v>
      </c>
      <c r="J243" s="183" t="s">
        <v>1687</v>
      </c>
      <c r="K243" s="183" t="s">
        <v>1100</v>
      </c>
      <c r="L243" s="184">
        <v>1</v>
      </c>
      <c r="M243" s="184">
        <v>1</v>
      </c>
    </row>
    <row r="244" spans="1:13" ht="17.25" hidden="1" customHeight="1" x14ac:dyDescent="0.25">
      <c r="A244" s="183" t="s">
        <v>12</v>
      </c>
      <c r="B244" s="190">
        <v>1286</v>
      </c>
      <c r="C244" s="184">
        <v>2012</v>
      </c>
      <c r="D244" s="183" t="s">
        <v>1688</v>
      </c>
      <c r="E244" s="183" t="s">
        <v>773</v>
      </c>
      <c r="F244" s="185">
        <v>8910.5</v>
      </c>
      <c r="G244" s="183" t="s">
        <v>741</v>
      </c>
      <c r="H244" s="183" t="s">
        <v>1689</v>
      </c>
      <c r="I244" s="183" t="s">
        <v>1690</v>
      </c>
      <c r="J244" s="183" t="s">
        <v>1587</v>
      </c>
      <c r="K244" s="183" t="s">
        <v>1691</v>
      </c>
      <c r="L244" s="184">
        <v>4</v>
      </c>
      <c r="M244" s="184">
        <v>0.5</v>
      </c>
    </row>
    <row r="245" spans="1:13" ht="17.25" hidden="1" customHeight="1" x14ac:dyDescent="0.25">
      <c r="A245" s="183" t="s">
        <v>12</v>
      </c>
      <c r="B245" s="190">
        <v>1285</v>
      </c>
      <c r="C245" s="184">
        <v>2012</v>
      </c>
      <c r="D245" s="183" t="s">
        <v>1692</v>
      </c>
      <c r="E245" s="183" t="s">
        <v>740</v>
      </c>
      <c r="F245" s="185">
        <v>75000</v>
      </c>
      <c r="G245" s="183" t="s">
        <v>749</v>
      </c>
      <c r="H245" s="183" t="s">
        <v>1693</v>
      </c>
      <c r="I245" s="183" t="s">
        <v>1694</v>
      </c>
      <c r="J245" s="183" t="s">
        <v>1695</v>
      </c>
      <c r="K245" s="183" t="s">
        <v>1696</v>
      </c>
      <c r="L245" s="184">
        <v>1</v>
      </c>
      <c r="M245" s="184">
        <v>10</v>
      </c>
    </row>
    <row r="246" spans="1:13" ht="17.25" hidden="1" customHeight="1" x14ac:dyDescent="0.25">
      <c r="A246" s="183" t="s">
        <v>12</v>
      </c>
      <c r="B246" s="190">
        <v>1291</v>
      </c>
      <c r="C246" s="184">
        <v>2013</v>
      </c>
      <c r="D246" s="183" t="s">
        <v>1697</v>
      </c>
      <c r="E246" s="183" t="s">
        <v>740</v>
      </c>
      <c r="F246" s="185">
        <v>175000</v>
      </c>
      <c r="G246" s="183" t="s">
        <v>773</v>
      </c>
      <c r="H246" s="183" t="s">
        <v>1698</v>
      </c>
      <c r="I246" s="183" t="s">
        <v>1699</v>
      </c>
      <c r="J246" s="183" t="s">
        <v>1700</v>
      </c>
      <c r="K246" s="183" t="s">
        <v>1701</v>
      </c>
      <c r="L246" s="184">
        <v>0</v>
      </c>
      <c r="M246" s="184">
        <v>86</v>
      </c>
    </row>
    <row r="247" spans="1:13" ht="17.25" hidden="1" customHeight="1" x14ac:dyDescent="0.25">
      <c r="A247" s="183" t="s">
        <v>12</v>
      </c>
      <c r="B247" s="190">
        <v>1290</v>
      </c>
      <c r="C247" s="184">
        <v>2013</v>
      </c>
      <c r="D247" s="183" t="s">
        <v>1702</v>
      </c>
      <c r="E247" s="183" t="s">
        <v>740</v>
      </c>
      <c r="F247" s="185">
        <v>260592</v>
      </c>
      <c r="G247" s="183" t="s">
        <v>741</v>
      </c>
      <c r="H247" s="183" t="s">
        <v>1672</v>
      </c>
      <c r="I247" s="183" t="s">
        <v>1703</v>
      </c>
      <c r="J247" s="183" t="s">
        <v>1704</v>
      </c>
      <c r="K247" s="183" t="s">
        <v>1705</v>
      </c>
      <c r="L247" s="184">
        <v>0</v>
      </c>
      <c r="M247" s="185">
        <v>6500</v>
      </c>
    </row>
    <row r="248" spans="1:13" ht="17.25" hidden="1" customHeight="1" x14ac:dyDescent="0.25">
      <c r="A248" s="183" t="s">
        <v>12</v>
      </c>
      <c r="B248" s="190">
        <v>1293</v>
      </c>
      <c r="C248" s="184">
        <v>2013</v>
      </c>
      <c r="D248" s="183" t="s">
        <v>1706</v>
      </c>
      <c r="E248" s="183" t="s">
        <v>740</v>
      </c>
      <c r="F248" s="185">
        <v>67004</v>
      </c>
      <c r="G248" s="183" t="s">
        <v>741</v>
      </c>
      <c r="H248" s="183" t="s">
        <v>1680</v>
      </c>
      <c r="I248" s="183" t="s">
        <v>1707</v>
      </c>
      <c r="J248" s="183" t="s">
        <v>1682</v>
      </c>
      <c r="K248" s="183" t="s">
        <v>1683</v>
      </c>
      <c r="L248" s="184">
        <v>0</v>
      </c>
      <c r="M248" s="184">
        <v>192</v>
      </c>
    </row>
    <row r="249" spans="1:13" ht="17.25" hidden="1" customHeight="1" x14ac:dyDescent="0.25">
      <c r="A249" s="183" t="s">
        <v>12</v>
      </c>
      <c r="B249" s="190">
        <v>1299</v>
      </c>
      <c r="C249" s="184">
        <v>2014</v>
      </c>
      <c r="D249" s="183" t="s">
        <v>1708</v>
      </c>
      <c r="E249" s="183" t="s">
        <v>740</v>
      </c>
      <c r="F249" s="185">
        <v>150000</v>
      </c>
      <c r="G249" s="183" t="s">
        <v>740</v>
      </c>
      <c r="H249" s="183" t="s">
        <v>1709</v>
      </c>
      <c r="I249" s="183" t="s">
        <v>1710</v>
      </c>
      <c r="J249" s="183" t="s">
        <v>1711</v>
      </c>
      <c r="K249" s="183" t="s">
        <v>1712</v>
      </c>
      <c r="L249" s="184">
        <v>2</v>
      </c>
      <c r="M249" s="184">
        <v>235</v>
      </c>
    </row>
    <row r="250" spans="1:13" ht="17.25" hidden="1" customHeight="1" x14ac:dyDescent="0.25">
      <c r="A250" s="183" t="s">
        <v>12</v>
      </c>
      <c r="B250" s="190">
        <v>1297</v>
      </c>
      <c r="C250" s="184">
        <v>2014</v>
      </c>
      <c r="D250" s="183" t="s">
        <v>1713</v>
      </c>
      <c r="E250" s="183" t="s">
        <v>740</v>
      </c>
      <c r="F250" s="185">
        <v>262360</v>
      </c>
      <c r="G250" s="183" t="s">
        <v>741</v>
      </c>
      <c r="H250" s="183" t="s">
        <v>1672</v>
      </c>
      <c r="I250" s="183" t="s">
        <v>1714</v>
      </c>
      <c r="J250" s="183" t="s">
        <v>1704</v>
      </c>
      <c r="K250" s="183" t="s">
        <v>1705</v>
      </c>
      <c r="L250" s="184">
        <v>0</v>
      </c>
      <c r="M250" s="185">
        <v>6500</v>
      </c>
    </row>
    <row r="251" spans="1:13" ht="17.25" hidden="1" customHeight="1" x14ac:dyDescent="0.25">
      <c r="A251" s="183" t="s">
        <v>12</v>
      </c>
      <c r="B251" s="190">
        <v>1295</v>
      </c>
      <c r="C251" s="184">
        <v>2014</v>
      </c>
      <c r="D251" s="183" t="s">
        <v>1715</v>
      </c>
      <c r="E251" s="183" t="s">
        <v>740</v>
      </c>
      <c r="F251" s="185">
        <v>87000</v>
      </c>
      <c r="G251" s="183" t="s">
        <v>741</v>
      </c>
      <c r="H251" s="183" t="s">
        <v>1716</v>
      </c>
      <c r="I251" s="183" t="s">
        <v>1717</v>
      </c>
      <c r="J251" s="183" t="s">
        <v>1718</v>
      </c>
      <c r="K251" s="183" t="s">
        <v>1719</v>
      </c>
      <c r="L251" s="184">
        <v>3</v>
      </c>
      <c r="M251" s="184">
        <v>500</v>
      </c>
    </row>
    <row r="252" spans="1:13" ht="17.25" hidden="1" customHeight="1" x14ac:dyDescent="0.25">
      <c r="A252" s="183" t="s">
        <v>12</v>
      </c>
      <c r="B252" s="190">
        <v>1298</v>
      </c>
      <c r="C252" s="184">
        <v>2014</v>
      </c>
      <c r="D252" s="183" t="s">
        <v>1720</v>
      </c>
      <c r="E252" s="183" t="s">
        <v>740</v>
      </c>
      <c r="F252" s="185">
        <v>103436.82</v>
      </c>
      <c r="G252" s="183" t="s">
        <v>741</v>
      </c>
      <c r="H252" s="183" t="s">
        <v>1721</v>
      </c>
      <c r="I252" s="183" t="s">
        <v>1722</v>
      </c>
      <c r="J252" s="183" t="s">
        <v>1723</v>
      </c>
      <c r="K252" s="183" t="s">
        <v>1670</v>
      </c>
      <c r="L252" s="184">
        <v>3</v>
      </c>
      <c r="M252" s="184">
        <v>135</v>
      </c>
    </row>
    <row r="253" spans="1:13" ht="17.25" hidden="1" customHeight="1" x14ac:dyDescent="0.25">
      <c r="A253" s="183" t="s">
        <v>12</v>
      </c>
      <c r="B253" s="190">
        <v>1296</v>
      </c>
      <c r="C253" s="184">
        <v>2014</v>
      </c>
      <c r="D253" s="183" t="s">
        <v>1724</v>
      </c>
      <c r="E253" s="183" t="s">
        <v>740</v>
      </c>
      <c r="F253" s="185">
        <v>175000</v>
      </c>
      <c r="G253" s="183" t="s">
        <v>741</v>
      </c>
      <c r="H253" s="183" t="s">
        <v>1662</v>
      </c>
      <c r="I253" s="183" t="s">
        <v>1725</v>
      </c>
      <c r="J253" s="183" t="s">
        <v>1664</v>
      </c>
      <c r="K253" s="183" t="s">
        <v>1665</v>
      </c>
      <c r="L253" s="184">
        <v>2</v>
      </c>
      <c r="M253" s="184">
        <v>103.2</v>
      </c>
    </row>
    <row r="254" spans="1:13" ht="17.25" hidden="1" customHeight="1" x14ac:dyDescent="0.25">
      <c r="A254" s="183" t="s">
        <v>4</v>
      </c>
      <c r="B254" s="184">
        <v>559</v>
      </c>
      <c r="C254" s="184">
        <v>2011</v>
      </c>
      <c r="D254" s="183" t="s">
        <v>1726</v>
      </c>
      <c r="E254" s="183" t="s">
        <v>773</v>
      </c>
      <c r="F254" s="185">
        <v>150000</v>
      </c>
      <c r="G254" s="183" t="s">
        <v>741</v>
      </c>
      <c r="H254" s="183" t="s">
        <v>1727</v>
      </c>
      <c r="I254" s="183" t="s">
        <v>1728</v>
      </c>
      <c r="J254" s="183" t="s">
        <v>1726</v>
      </c>
      <c r="K254" s="183" t="s">
        <v>1729</v>
      </c>
      <c r="L254" s="184">
        <v>2</v>
      </c>
      <c r="M254" s="184">
        <v>11.6</v>
      </c>
    </row>
    <row r="255" spans="1:13" ht="17.25" hidden="1" customHeight="1" x14ac:dyDescent="0.25">
      <c r="A255" s="183" t="s">
        <v>4</v>
      </c>
      <c r="B255" s="184">
        <v>558</v>
      </c>
      <c r="C255" s="184">
        <v>2011</v>
      </c>
      <c r="D255" s="183" t="s">
        <v>1730</v>
      </c>
      <c r="E255" s="183" t="s">
        <v>740</v>
      </c>
      <c r="F255" s="185">
        <v>300000</v>
      </c>
      <c r="G255" s="183" t="s">
        <v>749</v>
      </c>
      <c r="H255" s="183" t="s">
        <v>1731</v>
      </c>
      <c r="I255" s="183" t="s">
        <v>1732</v>
      </c>
      <c r="J255" s="183" t="s">
        <v>1733</v>
      </c>
      <c r="K255" s="183" t="s">
        <v>1734</v>
      </c>
      <c r="L255" s="184">
        <v>1</v>
      </c>
      <c r="M255" s="185">
        <v>2644.6</v>
      </c>
    </row>
    <row r="256" spans="1:13" ht="17.25" hidden="1" customHeight="1" x14ac:dyDescent="0.25">
      <c r="A256" s="183" t="s">
        <v>4</v>
      </c>
      <c r="B256" s="184">
        <v>561</v>
      </c>
      <c r="C256" s="184">
        <v>2012</v>
      </c>
      <c r="D256" s="183" t="s">
        <v>1735</v>
      </c>
      <c r="E256" s="183" t="s">
        <v>773</v>
      </c>
      <c r="F256" s="185">
        <v>82250</v>
      </c>
      <c r="G256" s="183" t="s">
        <v>741</v>
      </c>
      <c r="H256" s="183" t="s">
        <v>1736</v>
      </c>
      <c r="I256" s="183" t="s">
        <v>1737</v>
      </c>
      <c r="J256" s="183" t="s">
        <v>1738</v>
      </c>
      <c r="K256" s="183" t="s">
        <v>1739</v>
      </c>
      <c r="L256" s="184">
        <v>2</v>
      </c>
      <c r="M256" s="184">
        <v>20.6</v>
      </c>
    </row>
    <row r="257" spans="1:13" ht="17.25" hidden="1" customHeight="1" x14ac:dyDescent="0.25">
      <c r="A257" s="183" t="s">
        <v>4</v>
      </c>
      <c r="B257" s="184">
        <v>560</v>
      </c>
      <c r="C257" s="184">
        <v>2012</v>
      </c>
      <c r="D257" s="183" t="s">
        <v>1740</v>
      </c>
      <c r="E257" s="183" t="s">
        <v>773</v>
      </c>
      <c r="F257" s="185">
        <v>117927</v>
      </c>
      <c r="G257" s="183" t="s">
        <v>741</v>
      </c>
      <c r="H257" s="183" t="s">
        <v>1741</v>
      </c>
      <c r="I257" s="183" t="s">
        <v>1742</v>
      </c>
      <c r="J257" s="183" t="s">
        <v>1743</v>
      </c>
      <c r="K257" s="183" t="s">
        <v>1744</v>
      </c>
      <c r="L257" s="184">
        <v>1</v>
      </c>
      <c r="M257" s="184">
        <v>11.2</v>
      </c>
    </row>
    <row r="258" spans="1:13" ht="17.25" hidden="1" customHeight="1" x14ac:dyDescent="0.25">
      <c r="A258" s="183" t="s">
        <v>4</v>
      </c>
      <c r="B258" s="184">
        <v>562</v>
      </c>
      <c r="C258" s="184">
        <v>2013</v>
      </c>
      <c r="D258" s="183" t="s">
        <v>1745</v>
      </c>
      <c r="E258" s="183" t="s">
        <v>740</v>
      </c>
      <c r="F258" s="189">
        <v>100000</v>
      </c>
      <c r="G258" s="183" t="s">
        <v>749</v>
      </c>
      <c r="H258" s="183" t="s">
        <v>1731</v>
      </c>
      <c r="I258" s="183" t="s">
        <v>1746</v>
      </c>
      <c r="J258" s="183" t="s">
        <v>1747</v>
      </c>
      <c r="K258" s="183" t="s">
        <v>1748</v>
      </c>
      <c r="L258" s="184">
        <v>2</v>
      </c>
      <c r="M258" s="184">
        <v>613</v>
      </c>
    </row>
    <row r="259" spans="1:13" ht="17.25" hidden="1" customHeight="1" x14ac:dyDescent="0.25">
      <c r="A259" s="183" t="s">
        <v>4</v>
      </c>
      <c r="B259" s="184">
        <v>564</v>
      </c>
      <c r="C259" s="184">
        <v>2014</v>
      </c>
      <c r="D259" s="183" t="s">
        <v>1749</v>
      </c>
      <c r="E259" s="183" t="s">
        <v>740</v>
      </c>
      <c r="F259" s="189">
        <v>60000</v>
      </c>
      <c r="G259" s="183" t="s">
        <v>741</v>
      </c>
      <c r="H259" s="183" t="s">
        <v>1731</v>
      </c>
      <c r="I259" s="183" t="s">
        <v>1750</v>
      </c>
      <c r="J259" s="183" t="s">
        <v>1751</v>
      </c>
      <c r="K259" s="183" t="s">
        <v>1752</v>
      </c>
      <c r="L259" s="184">
        <v>1</v>
      </c>
      <c r="M259" s="184">
        <v>546</v>
      </c>
    </row>
    <row r="260" spans="1:13" ht="17.25" hidden="1" customHeight="1" x14ac:dyDescent="0.25">
      <c r="A260" s="183" t="s">
        <v>4</v>
      </c>
      <c r="B260" s="184">
        <v>563</v>
      </c>
      <c r="C260" s="184">
        <v>2014</v>
      </c>
      <c r="D260" s="183" t="s">
        <v>1753</v>
      </c>
      <c r="E260" s="183" t="s">
        <v>740</v>
      </c>
      <c r="F260" s="189">
        <v>40000</v>
      </c>
      <c r="G260" s="183" t="s">
        <v>741</v>
      </c>
      <c r="H260" s="183" t="s">
        <v>1754</v>
      </c>
      <c r="I260" s="183" t="s">
        <v>1755</v>
      </c>
      <c r="J260" s="183" t="s">
        <v>1753</v>
      </c>
      <c r="K260" s="183" t="s">
        <v>1756</v>
      </c>
      <c r="L260" s="184">
        <v>2</v>
      </c>
      <c r="M260" s="184">
        <v>5.2</v>
      </c>
    </row>
    <row r="261" spans="1:13" ht="17.25" hidden="1" customHeight="1" x14ac:dyDescent="0.25">
      <c r="A261" s="183" t="s">
        <v>4</v>
      </c>
      <c r="B261" s="184">
        <v>568</v>
      </c>
      <c r="C261" s="184">
        <v>2014</v>
      </c>
      <c r="D261" s="183" t="s">
        <v>1757</v>
      </c>
      <c r="E261" s="183" t="s">
        <v>740</v>
      </c>
      <c r="F261" s="184">
        <v>0</v>
      </c>
      <c r="G261" s="183" t="s">
        <v>749</v>
      </c>
      <c r="H261" s="183" t="s">
        <v>1758</v>
      </c>
      <c r="I261" s="183" t="s">
        <v>1759</v>
      </c>
      <c r="J261" s="183" t="s">
        <v>1760</v>
      </c>
      <c r="K261" s="183" t="s">
        <v>1761</v>
      </c>
      <c r="L261" s="184">
        <v>2</v>
      </c>
      <c r="M261" s="184">
        <v>45</v>
      </c>
    </row>
    <row r="262" spans="1:13" ht="17.25" hidden="1" customHeight="1" x14ac:dyDescent="0.25">
      <c r="A262" s="183" t="s">
        <v>1762</v>
      </c>
      <c r="B262" s="184">
        <v>968</v>
      </c>
      <c r="C262" s="184">
        <v>2011</v>
      </c>
      <c r="D262" s="183" t="s">
        <v>1763</v>
      </c>
      <c r="E262" s="183" t="s">
        <v>773</v>
      </c>
      <c r="F262" s="185">
        <v>750000</v>
      </c>
      <c r="G262" s="183" t="s">
        <v>740</v>
      </c>
      <c r="H262" s="183" t="s">
        <v>1764</v>
      </c>
      <c r="I262" s="183" t="s">
        <v>1765</v>
      </c>
      <c r="J262" s="183" t="s">
        <v>1766</v>
      </c>
      <c r="K262" s="183" t="s">
        <v>1569</v>
      </c>
      <c r="L262" s="184">
        <v>10</v>
      </c>
      <c r="M262" s="184">
        <v>127.5</v>
      </c>
    </row>
    <row r="263" spans="1:13" ht="17.25" hidden="1" customHeight="1" x14ac:dyDescent="0.25">
      <c r="A263" s="183" t="s">
        <v>1762</v>
      </c>
      <c r="B263" s="184">
        <v>970</v>
      </c>
      <c r="C263" s="184">
        <v>2012</v>
      </c>
      <c r="D263" s="183" t="s">
        <v>1767</v>
      </c>
      <c r="E263" s="183" t="s">
        <v>740</v>
      </c>
      <c r="F263" s="185">
        <v>576080</v>
      </c>
      <c r="G263" s="183" t="s">
        <v>740</v>
      </c>
      <c r="H263" s="183" t="s">
        <v>1768</v>
      </c>
      <c r="I263" s="183" t="s">
        <v>1769</v>
      </c>
      <c r="J263" s="183" t="s">
        <v>1770</v>
      </c>
      <c r="K263" s="183" t="s">
        <v>1771</v>
      </c>
      <c r="L263" s="184">
        <v>14</v>
      </c>
      <c r="M263" s="184">
        <v>142.5</v>
      </c>
    </row>
    <row r="264" spans="1:13" ht="17.25" hidden="1" customHeight="1" x14ac:dyDescent="0.25">
      <c r="A264" s="183" t="s">
        <v>1762</v>
      </c>
      <c r="B264" s="184">
        <v>969</v>
      </c>
      <c r="C264" s="184">
        <v>2012</v>
      </c>
      <c r="D264" s="183" t="s">
        <v>1772</v>
      </c>
      <c r="E264" s="183" t="s">
        <v>773</v>
      </c>
      <c r="F264" s="185">
        <v>542250</v>
      </c>
      <c r="G264" s="183" t="s">
        <v>740</v>
      </c>
      <c r="H264" s="183" t="s">
        <v>1773</v>
      </c>
      <c r="I264" s="183" t="s">
        <v>1774</v>
      </c>
      <c r="J264" s="183" t="s">
        <v>1775</v>
      </c>
      <c r="K264" s="183" t="s">
        <v>1776</v>
      </c>
      <c r="L264" s="184">
        <v>11</v>
      </c>
      <c r="M264" s="184">
        <v>108.8</v>
      </c>
    </row>
    <row r="265" spans="1:13" ht="17.25" hidden="1" customHeight="1" x14ac:dyDescent="0.25">
      <c r="A265" s="183" t="s">
        <v>1762</v>
      </c>
      <c r="B265" s="184">
        <v>971</v>
      </c>
      <c r="C265" s="184">
        <v>2012</v>
      </c>
      <c r="D265" s="183" t="s">
        <v>1777</v>
      </c>
      <c r="E265" s="183" t="s">
        <v>773</v>
      </c>
      <c r="F265" s="185">
        <v>245000</v>
      </c>
      <c r="G265" s="183" t="s">
        <v>741</v>
      </c>
      <c r="H265" s="183" t="s">
        <v>1778</v>
      </c>
      <c r="I265" s="183" t="s">
        <v>1779</v>
      </c>
      <c r="J265" s="183" t="s">
        <v>1777</v>
      </c>
      <c r="K265" s="183" t="s">
        <v>1780</v>
      </c>
      <c r="L265" s="184">
        <v>18</v>
      </c>
      <c r="M265" s="184">
        <v>49.3</v>
      </c>
    </row>
    <row r="266" spans="1:13" ht="17.25" hidden="1" customHeight="1" x14ac:dyDescent="0.25">
      <c r="A266" s="183" t="s">
        <v>1762</v>
      </c>
      <c r="B266" s="184">
        <v>975</v>
      </c>
      <c r="C266" s="184">
        <v>2013</v>
      </c>
      <c r="D266" s="183" t="s">
        <v>1781</v>
      </c>
      <c r="E266" s="183" t="s">
        <v>740</v>
      </c>
      <c r="F266" s="185">
        <v>276500</v>
      </c>
      <c r="G266" s="183" t="s">
        <v>740</v>
      </c>
      <c r="H266" s="183" t="s">
        <v>1782</v>
      </c>
      <c r="I266" s="183" t="s">
        <v>1783</v>
      </c>
      <c r="J266" s="183" t="s">
        <v>1784</v>
      </c>
      <c r="K266" s="183" t="s">
        <v>1785</v>
      </c>
      <c r="L266" s="184">
        <v>0</v>
      </c>
      <c r="M266" s="184">
        <v>37.200000000000003</v>
      </c>
    </row>
    <row r="267" spans="1:13" ht="17.25" hidden="1" customHeight="1" x14ac:dyDescent="0.25">
      <c r="A267" s="183" t="s">
        <v>1762</v>
      </c>
      <c r="B267" s="184">
        <v>976</v>
      </c>
      <c r="C267" s="184">
        <v>2013</v>
      </c>
      <c r="D267" s="183" t="s">
        <v>1786</v>
      </c>
      <c r="E267" s="183" t="s">
        <v>773</v>
      </c>
      <c r="F267" s="185">
        <v>266000</v>
      </c>
      <c r="G267" s="183" t="s">
        <v>740</v>
      </c>
      <c r="H267" s="183" t="s">
        <v>1787</v>
      </c>
      <c r="I267" s="183" t="s">
        <v>1788</v>
      </c>
      <c r="J267" s="183" t="s">
        <v>1789</v>
      </c>
      <c r="K267" s="183" t="s">
        <v>1790</v>
      </c>
      <c r="L267" s="184">
        <v>0</v>
      </c>
      <c r="M267" s="184">
        <v>4.5</v>
      </c>
    </row>
    <row r="268" spans="1:13" ht="17.25" hidden="1" customHeight="1" x14ac:dyDescent="0.25">
      <c r="A268" s="183" t="s">
        <v>1762</v>
      </c>
      <c r="B268" s="184">
        <v>972</v>
      </c>
      <c r="C268" s="184">
        <v>2013</v>
      </c>
      <c r="D268" s="183" t="s">
        <v>1791</v>
      </c>
      <c r="E268" s="183" t="s">
        <v>740</v>
      </c>
      <c r="F268" s="185">
        <v>506100</v>
      </c>
      <c r="G268" s="183" t="s">
        <v>740</v>
      </c>
      <c r="H268" s="183" t="s">
        <v>1792</v>
      </c>
      <c r="I268" s="183" t="s">
        <v>1793</v>
      </c>
      <c r="J268" s="183" t="s">
        <v>1794</v>
      </c>
      <c r="K268" s="183" t="s">
        <v>1790</v>
      </c>
      <c r="L268" s="184">
        <v>0</v>
      </c>
      <c r="M268" s="184">
        <v>4.0999999999999996</v>
      </c>
    </row>
    <row r="269" spans="1:13" ht="17.25" hidden="1" customHeight="1" x14ac:dyDescent="0.25">
      <c r="A269" s="183" t="s">
        <v>1762</v>
      </c>
      <c r="B269" s="184">
        <v>973</v>
      </c>
      <c r="C269" s="184">
        <v>2013</v>
      </c>
      <c r="D269" s="183" t="s">
        <v>1795</v>
      </c>
      <c r="E269" s="183" t="s">
        <v>773</v>
      </c>
      <c r="F269" s="185">
        <v>130000</v>
      </c>
      <c r="G269" s="183" t="s">
        <v>740</v>
      </c>
      <c r="H269" s="183" t="s">
        <v>1796</v>
      </c>
      <c r="I269" s="183" t="s">
        <v>1797</v>
      </c>
      <c r="J269" s="183" t="s">
        <v>1798</v>
      </c>
      <c r="K269" s="183" t="s">
        <v>1569</v>
      </c>
      <c r="L269" s="184">
        <v>0</v>
      </c>
      <c r="M269" s="184">
        <v>0.7</v>
      </c>
    </row>
    <row r="270" spans="1:13" ht="17.25" hidden="1" customHeight="1" x14ac:dyDescent="0.25">
      <c r="A270" s="183" t="s">
        <v>1762</v>
      </c>
      <c r="B270" s="184">
        <v>978</v>
      </c>
      <c r="C270" s="184">
        <v>2014</v>
      </c>
      <c r="D270" s="183" t="s">
        <v>1799</v>
      </c>
      <c r="E270" s="183" t="s">
        <v>740</v>
      </c>
      <c r="F270" s="185">
        <v>389200</v>
      </c>
      <c r="G270" s="183" t="s">
        <v>740</v>
      </c>
      <c r="H270" s="183" t="s">
        <v>1768</v>
      </c>
      <c r="I270" s="183" t="s">
        <v>1800</v>
      </c>
      <c r="J270" s="183" t="s">
        <v>1801</v>
      </c>
      <c r="K270" s="183" t="s">
        <v>1771</v>
      </c>
      <c r="L270" s="184">
        <v>14</v>
      </c>
      <c r="M270" s="184">
        <v>37</v>
      </c>
    </row>
    <row r="271" spans="1:13" ht="17.25" hidden="1" customHeight="1" x14ac:dyDescent="0.25">
      <c r="A271" s="183" t="s">
        <v>1762</v>
      </c>
      <c r="B271" s="184">
        <v>977</v>
      </c>
      <c r="C271" s="184">
        <v>2014</v>
      </c>
      <c r="D271" s="183" t="s">
        <v>1802</v>
      </c>
      <c r="E271" s="183" t="s">
        <v>740</v>
      </c>
      <c r="F271" s="185">
        <v>904000</v>
      </c>
      <c r="G271" s="183" t="s">
        <v>740</v>
      </c>
      <c r="H271" s="183" t="s">
        <v>1803</v>
      </c>
      <c r="I271" s="183" t="s">
        <v>1804</v>
      </c>
      <c r="J271" s="183" t="s">
        <v>1805</v>
      </c>
      <c r="K271" s="183" t="s">
        <v>1569</v>
      </c>
      <c r="L271" s="184">
        <v>1</v>
      </c>
      <c r="M271" s="184">
        <v>29.3</v>
      </c>
    </row>
    <row r="272" spans="1:13" ht="17.25" hidden="1" customHeight="1" x14ac:dyDescent="0.25">
      <c r="A272" s="183" t="s">
        <v>1762</v>
      </c>
      <c r="B272" s="184">
        <v>979</v>
      </c>
      <c r="C272" s="184">
        <v>2014</v>
      </c>
      <c r="D272" s="183" t="s">
        <v>1806</v>
      </c>
      <c r="E272" s="183" t="s">
        <v>740</v>
      </c>
      <c r="F272" s="185">
        <v>750000</v>
      </c>
      <c r="G272" s="183" t="s">
        <v>740</v>
      </c>
      <c r="H272" s="183" t="s">
        <v>1807</v>
      </c>
      <c r="I272" s="183" t="s">
        <v>1808</v>
      </c>
      <c r="J272" s="183" t="s">
        <v>1809</v>
      </c>
      <c r="K272" s="183" t="s">
        <v>1569</v>
      </c>
      <c r="L272" s="184">
        <v>9</v>
      </c>
      <c r="M272" s="184">
        <v>11.4</v>
      </c>
    </row>
    <row r="273" spans="1:13" ht="17.25" hidden="1" customHeight="1" x14ac:dyDescent="0.25">
      <c r="A273" s="183" t="s">
        <v>1762</v>
      </c>
      <c r="B273" s="184">
        <v>981</v>
      </c>
      <c r="C273" s="184">
        <v>2014</v>
      </c>
      <c r="D273" s="183" t="s">
        <v>1810</v>
      </c>
      <c r="E273" s="183" t="s">
        <v>740</v>
      </c>
      <c r="F273" s="185">
        <v>400000</v>
      </c>
      <c r="G273" s="183" t="s">
        <v>740</v>
      </c>
      <c r="H273" s="183" t="s">
        <v>1811</v>
      </c>
      <c r="I273" s="183" t="s">
        <v>1812</v>
      </c>
      <c r="J273" s="183" t="s">
        <v>1813</v>
      </c>
      <c r="K273" s="183" t="s">
        <v>1569</v>
      </c>
      <c r="L273" s="184">
        <v>1</v>
      </c>
      <c r="M273" s="184">
        <v>4.5999999999999996</v>
      </c>
    </row>
    <row r="274" spans="1:13" ht="17.25" hidden="1" customHeight="1" x14ac:dyDescent="0.25">
      <c r="A274" s="183" t="s">
        <v>1762</v>
      </c>
      <c r="B274" s="184">
        <v>980</v>
      </c>
      <c r="C274" s="184">
        <v>2014</v>
      </c>
      <c r="D274" s="183" t="s">
        <v>1814</v>
      </c>
      <c r="E274" s="183" t="s">
        <v>740</v>
      </c>
      <c r="F274" s="185">
        <v>97700</v>
      </c>
      <c r="G274" s="183" t="s">
        <v>740</v>
      </c>
      <c r="H274" s="183" t="s">
        <v>1815</v>
      </c>
      <c r="I274" s="183" t="s">
        <v>1816</v>
      </c>
      <c r="J274" s="183" t="s">
        <v>1814</v>
      </c>
      <c r="K274" s="183" t="s">
        <v>1569</v>
      </c>
      <c r="L274" s="184">
        <v>5</v>
      </c>
      <c r="M274" s="184">
        <v>0.1</v>
      </c>
    </row>
    <row r="275" spans="1:13" ht="17.25" hidden="1" customHeight="1" x14ac:dyDescent="0.25">
      <c r="A275" s="183" t="s">
        <v>1817</v>
      </c>
      <c r="B275" s="184">
        <v>572</v>
      </c>
      <c r="C275" s="184">
        <v>2011</v>
      </c>
      <c r="D275" s="183" t="s">
        <v>1818</v>
      </c>
      <c r="E275" s="183" t="s">
        <v>773</v>
      </c>
      <c r="F275" s="185">
        <v>200000</v>
      </c>
      <c r="G275" s="183" t="s">
        <v>773</v>
      </c>
      <c r="H275" s="183" t="s">
        <v>1819</v>
      </c>
      <c r="I275" s="183" t="s">
        <v>1820</v>
      </c>
      <c r="J275" s="183" t="s">
        <v>1818</v>
      </c>
      <c r="K275" s="183" t="s">
        <v>1821</v>
      </c>
      <c r="L275" s="184">
        <v>9</v>
      </c>
      <c r="M275" s="184">
        <v>18</v>
      </c>
    </row>
    <row r="276" spans="1:13" ht="17.25" hidden="1" customHeight="1" x14ac:dyDescent="0.25">
      <c r="A276" s="183" t="s">
        <v>1817</v>
      </c>
      <c r="B276" s="184">
        <v>574</v>
      </c>
      <c r="C276" s="184">
        <v>2011</v>
      </c>
      <c r="D276" s="183" t="s">
        <v>1822</v>
      </c>
      <c r="E276" s="183" t="s">
        <v>740</v>
      </c>
      <c r="F276" s="185">
        <v>200000</v>
      </c>
      <c r="G276" s="183" t="s">
        <v>773</v>
      </c>
      <c r="H276" s="183" t="s">
        <v>1823</v>
      </c>
      <c r="I276" s="183" t="s">
        <v>1824</v>
      </c>
      <c r="J276" s="183" t="s">
        <v>1822</v>
      </c>
      <c r="K276" s="183" t="s">
        <v>968</v>
      </c>
      <c r="L276" s="184">
        <v>4</v>
      </c>
      <c r="M276" s="184">
        <v>16</v>
      </c>
    </row>
    <row r="277" spans="1:13" ht="17.25" hidden="1" customHeight="1" x14ac:dyDescent="0.25">
      <c r="A277" s="183" t="s">
        <v>1817</v>
      </c>
      <c r="B277" s="184">
        <v>573</v>
      </c>
      <c r="C277" s="184">
        <v>2011</v>
      </c>
      <c r="D277" s="183" t="s">
        <v>1825</v>
      </c>
      <c r="E277" s="183" t="s">
        <v>773</v>
      </c>
      <c r="F277" s="185">
        <v>200000</v>
      </c>
      <c r="G277" s="183" t="s">
        <v>773</v>
      </c>
      <c r="H277" s="183" t="s">
        <v>1826</v>
      </c>
      <c r="I277" s="183" t="s">
        <v>1827</v>
      </c>
      <c r="J277" s="183" t="s">
        <v>1825</v>
      </c>
      <c r="K277" s="183" t="s">
        <v>1828</v>
      </c>
      <c r="L277" s="184">
        <v>4</v>
      </c>
      <c r="M277" s="184">
        <v>10</v>
      </c>
    </row>
    <row r="278" spans="1:13" ht="17.25" hidden="1" customHeight="1" x14ac:dyDescent="0.25">
      <c r="A278" s="183" t="s">
        <v>1817</v>
      </c>
      <c r="B278" s="184">
        <v>575</v>
      </c>
      <c r="C278" s="184">
        <v>2011</v>
      </c>
      <c r="D278" s="183" t="s">
        <v>1829</v>
      </c>
      <c r="E278" s="183" t="s">
        <v>773</v>
      </c>
      <c r="F278" s="185">
        <v>156466</v>
      </c>
      <c r="G278" s="183" t="s">
        <v>741</v>
      </c>
      <c r="H278" s="183" t="s">
        <v>1830</v>
      </c>
      <c r="I278" s="183" t="s">
        <v>1831</v>
      </c>
      <c r="J278" s="183" t="s">
        <v>1832</v>
      </c>
      <c r="K278" s="183" t="s">
        <v>1833</v>
      </c>
      <c r="L278" s="184">
        <v>5</v>
      </c>
      <c r="M278" s="184">
        <v>51.6</v>
      </c>
    </row>
    <row r="279" spans="1:13" ht="17.25" hidden="1" customHeight="1" x14ac:dyDescent="0.25">
      <c r="A279" s="183" t="s">
        <v>1817</v>
      </c>
      <c r="B279" s="184">
        <v>579</v>
      </c>
      <c r="C279" s="184">
        <v>2012</v>
      </c>
      <c r="D279" s="183" t="s">
        <v>1834</v>
      </c>
      <c r="E279" s="183" t="s">
        <v>740</v>
      </c>
      <c r="F279" s="185">
        <v>137058</v>
      </c>
      <c r="G279" s="183" t="s">
        <v>773</v>
      </c>
      <c r="H279" s="183" t="s">
        <v>1835</v>
      </c>
      <c r="I279" s="183" t="s">
        <v>1836</v>
      </c>
      <c r="J279" s="183" t="s">
        <v>1834</v>
      </c>
      <c r="K279" s="183" t="s">
        <v>1837</v>
      </c>
      <c r="L279" s="184">
        <v>6</v>
      </c>
      <c r="M279" s="184">
        <v>33</v>
      </c>
    </row>
    <row r="280" spans="1:13" ht="17.25" hidden="1" customHeight="1" x14ac:dyDescent="0.25">
      <c r="A280" s="183" t="s">
        <v>1817</v>
      </c>
      <c r="B280" s="184">
        <v>578</v>
      </c>
      <c r="C280" s="184">
        <v>2012</v>
      </c>
      <c r="D280" s="183" t="s">
        <v>1838</v>
      </c>
      <c r="E280" s="183" t="s">
        <v>740</v>
      </c>
      <c r="F280" s="185">
        <v>200000</v>
      </c>
      <c r="G280" s="183" t="s">
        <v>773</v>
      </c>
      <c r="H280" s="183" t="s">
        <v>1839</v>
      </c>
      <c r="I280" s="183" t="s">
        <v>1840</v>
      </c>
      <c r="J280" s="183" t="s">
        <v>1841</v>
      </c>
      <c r="K280" s="183" t="s">
        <v>1336</v>
      </c>
      <c r="L280" s="184">
        <v>8</v>
      </c>
      <c r="M280" s="184">
        <v>30.7</v>
      </c>
    </row>
    <row r="281" spans="1:13" ht="17.25" hidden="1" customHeight="1" x14ac:dyDescent="0.25">
      <c r="A281" s="183" t="s">
        <v>1817</v>
      </c>
      <c r="B281" s="184">
        <v>576</v>
      </c>
      <c r="C281" s="184">
        <v>2012</v>
      </c>
      <c r="D281" s="183" t="s">
        <v>1842</v>
      </c>
      <c r="E281" s="183" t="s">
        <v>740</v>
      </c>
      <c r="F281" s="185">
        <v>200000</v>
      </c>
      <c r="G281" s="183" t="s">
        <v>773</v>
      </c>
      <c r="H281" s="183" t="s">
        <v>1843</v>
      </c>
      <c r="I281" s="183" t="s">
        <v>1844</v>
      </c>
      <c r="J281" s="183" t="s">
        <v>1842</v>
      </c>
      <c r="K281" s="183" t="s">
        <v>874</v>
      </c>
      <c r="L281" s="184">
        <v>9</v>
      </c>
      <c r="M281" s="184">
        <v>29</v>
      </c>
    </row>
    <row r="282" spans="1:13" ht="17.25" hidden="1" customHeight="1" x14ac:dyDescent="0.25">
      <c r="A282" s="183" t="s">
        <v>1817</v>
      </c>
      <c r="B282" s="184">
        <v>577</v>
      </c>
      <c r="C282" s="184">
        <v>2012</v>
      </c>
      <c r="D282" s="183" t="s">
        <v>1845</v>
      </c>
      <c r="E282" s="183" t="s">
        <v>740</v>
      </c>
      <c r="F282" s="185">
        <v>199550</v>
      </c>
      <c r="G282" s="183" t="s">
        <v>773</v>
      </c>
      <c r="H282" s="183" t="s">
        <v>1846</v>
      </c>
      <c r="I282" s="183" t="s">
        <v>1847</v>
      </c>
      <c r="J282" s="183" t="s">
        <v>1845</v>
      </c>
      <c r="K282" s="183" t="s">
        <v>1848</v>
      </c>
      <c r="L282" s="184">
        <v>3</v>
      </c>
      <c r="M282" s="184">
        <v>11</v>
      </c>
    </row>
    <row r="283" spans="1:13" ht="17.25" hidden="1" customHeight="1" x14ac:dyDescent="0.25">
      <c r="A283" s="183" t="s">
        <v>1817</v>
      </c>
      <c r="B283" s="184">
        <v>581</v>
      </c>
      <c r="C283" s="184">
        <v>2013</v>
      </c>
      <c r="D283" s="183" t="s">
        <v>1849</v>
      </c>
      <c r="E283" s="183" t="s">
        <v>740</v>
      </c>
      <c r="F283" s="185">
        <v>200000</v>
      </c>
      <c r="G283" s="183" t="s">
        <v>773</v>
      </c>
      <c r="H283" s="183" t="s">
        <v>1850</v>
      </c>
      <c r="I283" s="183" t="s">
        <v>1851</v>
      </c>
      <c r="J283" s="183" t="s">
        <v>1852</v>
      </c>
      <c r="K283" s="183" t="s">
        <v>169</v>
      </c>
      <c r="L283" s="184">
        <v>0</v>
      </c>
      <c r="M283" s="184">
        <v>84.5</v>
      </c>
    </row>
    <row r="284" spans="1:13" ht="17.25" hidden="1" customHeight="1" x14ac:dyDescent="0.25">
      <c r="A284" s="183" t="s">
        <v>1817</v>
      </c>
      <c r="B284" s="184">
        <v>582</v>
      </c>
      <c r="C284" s="184">
        <v>2013</v>
      </c>
      <c r="D284" s="183" t="s">
        <v>1853</v>
      </c>
      <c r="E284" s="183" t="s">
        <v>740</v>
      </c>
      <c r="F284" s="185">
        <v>200000</v>
      </c>
      <c r="G284" s="183" t="s">
        <v>741</v>
      </c>
      <c r="H284" s="183" t="s">
        <v>1839</v>
      </c>
      <c r="I284" s="183" t="s">
        <v>1854</v>
      </c>
      <c r="J284" s="183" t="s">
        <v>1855</v>
      </c>
      <c r="K284" s="183" t="s">
        <v>1856</v>
      </c>
      <c r="L284" s="184">
        <v>0</v>
      </c>
      <c r="M284" s="184">
        <v>19</v>
      </c>
    </row>
    <row r="285" spans="1:13" ht="17.25" hidden="1" customHeight="1" x14ac:dyDescent="0.25">
      <c r="A285" s="183" t="s">
        <v>1817</v>
      </c>
      <c r="B285" s="184">
        <v>580</v>
      </c>
      <c r="C285" s="184">
        <v>2014</v>
      </c>
      <c r="D285" s="183" t="s">
        <v>1857</v>
      </c>
      <c r="E285" s="183" t="s">
        <v>740</v>
      </c>
      <c r="F285" s="185">
        <v>200000</v>
      </c>
      <c r="G285" s="183" t="s">
        <v>773</v>
      </c>
      <c r="H285" s="183" t="s">
        <v>1858</v>
      </c>
      <c r="I285" s="183" t="s">
        <v>1859</v>
      </c>
      <c r="J285" s="183" t="s">
        <v>1857</v>
      </c>
      <c r="K285" s="183" t="s">
        <v>1469</v>
      </c>
      <c r="L285" s="184">
        <v>1</v>
      </c>
      <c r="M285" s="184">
        <v>840</v>
      </c>
    </row>
    <row r="286" spans="1:13" ht="17.25" hidden="1" customHeight="1" x14ac:dyDescent="0.25">
      <c r="A286" s="183" t="s">
        <v>1817</v>
      </c>
      <c r="B286" s="184">
        <v>585</v>
      </c>
      <c r="C286" s="184">
        <v>2014</v>
      </c>
      <c r="D286" s="183" t="s">
        <v>1860</v>
      </c>
      <c r="E286" s="183" t="s">
        <v>740</v>
      </c>
      <c r="F286" s="185">
        <v>200000</v>
      </c>
      <c r="G286" s="183" t="s">
        <v>773</v>
      </c>
      <c r="H286" s="183" t="s">
        <v>1861</v>
      </c>
      <c r="I286" s="183" t="s">
        <v>1862</v>
      </c>
      <c r="J286" s="183" t="s">
        <v>1860</v>
      </c>
      <c r="K286" s="183" t="s">
        <v>1863</v>
      </c>
      <c r="L286" s="184">
        <v>3</v>
      </c>
      <c r="M286" s="184">
        <v>140.30000000000001</v>
      </c>
    </row>
    <row r="287" spans="1:13" ht="17.25" hidden="1" customHeight="1" x14ac:dyDescent="0.25">
      <c r="A287" s="183" t="s">
        <v>1817</v>
      </c>
      <c r="B287" s="184">
        <v>586</v>
      </c>
      <c r="C287" s="184">
        <v>2014</v>
      </c>
      <c r="D287" s="183" t="s">
        <v>1864</v>
      </c>
      <c r="E287" s="183" t="s">
        <v>740</v>
      </c>
      <c r="F287" s="185">
        <v>200000</v>
      </c>
      <c r="G287" s="183" t="s">
        <v>773</v>
      </c>
      <c r="H287" s="183" t="s">
        <v>1865</v>
      </c>
      <c r="I287" s="183" t="s">
        <v>1866</v>
      </c>
      <c r="J287" s="183" t="s">
        <v>1864</v>
      </c>
      <c r="K287" s="183" t="s">
        <v>1354</v>
      </c>
      <c r="L287" s="184">
        <v>1</v>
      </c>
      <c r="M287" s="184">
        <v>40</v>
      </c>
    </row>
    <row r="288" spans="1:13" ht="17.25" hidden="1" customHeight="1" x14ac:dyDescent="0.25">
      <c r="A288" s="183" t="s">
        <v>1817</v>
      </c>
      <c r="B288" s="184">
        <v>587</v>
      </c>
      <c r="C288" s="184">
        <v>2014</v>
      </c>
      <c r="D288" s="183" t="s">
        <v>1867</v>
      </c>
      <c r="E288" s="183" t="s">
        <v>740</v>
      </c>
      <c r="F288" s="185">
        <v>200000</v>
      </c>
      <c r="G288" s="183" t="s">
        <v>773</v>
      </c>
      <c r="H288" s="183" t="s">
        <v>1868</v>
      </c>
      <c r="I288" s="183" t="s">
        <v>1869</v>
      </c>
      <c r="J288" s="183" t="s">
        <v>1867</v>
      </c>
      <c r="K288" s="183" t="s">
        <v>1870</v>
      </c>
      <c r="L288" s="184">
        <v>5</v>
      </c>
      <c r="M288" s="184">
        <v>19</v>
      </c>
    </row>
    <row r="289" spans="1:13" ht="17.25" hidden="1" customHeight="1" x14ac:dyDescent="0.25">
      <c r="A289" s="183" t="s">
        <v>1817</v>
      </c>
      <c r="B289" s="184">
        <v>588</v>
      </c>
      <c r="C289" s="184">
        <v>2014</v>
      </c>
      <c r="D289" s="183" t="s">
        <v>1871</v>
      </c>
      <c r="E289" s="183" t="s">
        <v>740</v>
      </c>
      <c r="F289" s="185">
        <v>188755</v>
      </c>
      <c r="G289" s="183" t="s">
        <v>773</v>
      </c>
      <c r="H289" s="183" t="s">
        <v>1872</v>
      </c>
      <c r="I289" s="183" t="s">
        <v>1873</v>
      </c>
      <c r="J289" s="183" t="s">
        <v>1871</v>
      </c>
      <c r="K289" s="183" t="s">
        <v>1874</v>
      </c>
      <c r="L289" s="184">
        <v>3</v>
      </c>
      <c r="M289" s="184">
        <v>10.9</v>
      </c>
    </row>
    <row r="290" spans="1:13" ht="17.25" hidden="1" customHeight="1" x14ac:dyDescent="0.25">
      <c r="A290" s="183" t="s">
        <v>522</v>
      </c>
      <c r="B290" s="184">
        <v>749</v>
      </c>
      <c r="C290" s="184">
        <v>2011</v>
      </c>
      <c r="D290" s="183" t="s">
        <v>1875</v>
      </c>
      <c r="E290" s="183" t="s">
        <v>740</v>
      </c>
      <c r="F290" s="185">
        <v>501971</v>
      </c>
      <c r="G290" s="183" t="s">
        <v>741</v>
      </c>
      <c r="H290" s="183" t="s">
        <v>1876</v>
      </c>
      <c r="I290" s="183" t="s">
        <v>1877</v>
      </c>
      <c r="J290" s="183" t="s">
        <v>1878</v>
      </c>
      <c r="K290" s="183" t="s">
        <v>1879</v>
      </c>
      <c r="L290" s="184">
        <v>0</v>
      </c>
      <c r="M290" s="185">
        <v>12880</v>
      </c>
    </row>
    <row r="291" spans="1:13" ht="17.25" hidden="1" customHeight="1" x14ac:dyDescent="0.25">
      <c r="A291" s="183" t="s">
        <v>522</v>
      </c>
      <c r="B291" s="184">
        <v>750</v>
      </c>
      <c r="C291" s="184">
        <v>2012</v>
      </c>
      <c r="D291" s="183" t="s">
        <v>1880</v>
      </c>
      <c r="E291" s="183" t="s">
        <v>740</v>
      </c>
      <c r="F291" s="185">
        <v>60411.5</v>
      </c>
      <c r="G291" s="183" t="s">
        <v>741</v>
      </c>
      <c r="H291" s="183" t="s">
        <v>1876</v>
      </c>
      <c r="I291" s="183" t="s">
        <v>1881</v>
      </c>
      <c r="J291" s="183" t="s">
        <v>1882</v>
      </c>
      <c r="K291" s="183" t="s">
        <v>1883</v>
      </c>
      <c r="L291" s="184">
        <v>4</v>
      </c>
      <c r="M291" s="184">
        <v>857</v>
      </c>
    </row>
    <row r="292" spans="1:13" ht="17.25" hidden="1" customHeight="1" x14ac:dyDescent="0.25">
      <c r="A292" s="183" t="s">
        <v>522</v>
      </c>
      <c r="B292" s="184">
        <v>752</v>
      </c>
      <c r="C292" s="184">
        <v>2012</v>
      </c>
      <c r="D292" s="183" t="s">
        <v>1884</v>
      </c>
      <c r="E292" s="183" t="s">
        <v>773</v>
      </c>
      <c r="F292" s="185">
        <v>100000</v>
      </c>
      <c r="G292" s="183" t="s">
        <v>741</v>
      </c>
      <c r="H292" s="183" t="s">
        <v>1885</v>
      </c>
      <c r="I292" s="183" t="s">
        <v>1886</v>
      </c>
      <c r="J292" s="183" t="s">
        <v>1887</v>
      </c>
      <c r="K292" s="183" t="s">
        <v>1888</v>
      </c>
      <c r="L292" s="184">
        <v>4</v>
      </c>
      <c r="M292" s="184">
        <v>33</v>
      </c>
    </row>
    <row r="293" spans="1:13" ht="17.25" hidden="1" customHeight="1" x14ac:dyDescent="0.25">
      <c r="A293" s="183" t="s">
        <v>522</v>
      </c>
      <c r="B293" s="184">
        <v>754</v>
      </c>
      <c r="C293" s="184">
        <v>2013</v>
      </c>
      <c r="D293" s="183" t="s">
        <v>1889</v>
      </c>
      <c r="E293" s="183" t="s">
        <v>740</v>
      </c>
      <c r="F293" s="185">
        <v>253236</v>
      </c>
      <c r="G293" s="183" t="s">
        <v>741</v>
      </c>
      <c r="H293" s="183" t="s">
        <v>1876</v>
      </c>
      <c r="I293" s="183" t="s">
        <v>1890</v>
      </c>
      <c r="J293" s="183" t="s">
        <v>1878</v>
      </c>
      <c r="K293" s="183" t="s">
        <v>1879</v>
      </c>
      <c r="L293" s="184">
        <v>0</v>
      </c>
      <c r="M293" s="185">
        <v>12880</v>
      </c>
    </row>
    <row r="294" spans="1:13" ht="17.25" hidden="1" customHeight="1" x14ac:dyDescent="0.25">
      <c r="A294" s="183" t="s">
        <v>522</v>
      </c>
      <c r="B294" s="184">
        <v>753</v>
      </c>
      <c r="C294" s="184">
        <v>2013</v>
      </c>
      <c r="D294" s="183" t="s">
        <v>1891</v>
      </c>
      <c r="E294" s="183" t="s">
        <v>740</v>
      </c>
      <c r="F294" s="185">
        <v>200000</v>
      </c>
      <c r="G294" s="183" t="s">
        <v>741</v>
      </c>
      <c r="H294" s="183" t="s">
        <v>1892</v>
      </c>
      <c r="I294" s="183" t="s">
        <v>1893</v>
      </c>
      <c r="J294" s="183" t="s">
        <v>1894</v>
      </c>
      <c r="K294" s="183" t="s">
        <v>1895</v>
      </c>
      <c r="L294" s="184">
        <v>0</v>
      </c>
      <c r="M294" s="184">
        <v>62</v>
      </c>
    </row>
    <row r="295" spans="1:13" ht="17.25" hidden="1" customHeight="1" x14ac:dyDescent="0.25">
      <c r="A295" s="183" t="s">
        <v>522</v>
      </c>
      <c r="B295" s="184">
        <v>755</v>
      </c>
      <c r="C295" s="184">
        <v>2014</v>
      </c>
      <c r="D295" s="183" t="s">
        <v>1896</v>
      </c>
      <c r="E295" s="183" t="s">
        <v>740</v>
      </c>
      <c r="F295" s="185">
        <v>120000</v>
      </c>
      <c r="G295" s="183" t="s">
        <v>741</v>
      </c>
      <c r="H295" s="183" t="s">
        <v>1876</v>
      </c>
      <c r="I295" s="183" t="s">
        <v>1897</v>
      </c>
      <c r="J295" s="183" t="s">
        <v>1898</v>
      </c>
      <c r="K295" s="183" t="s">
        <v>1899</v>
      </c>
      <c r="L295" s="184">
        <v>1</v>
      </c>
      <c r="M295" s="185">
        <v>1150</v>
      </c>
    </row>
    <row r="296" spans="1:13" ht="17.25" hidden="1" customHeight="1" x14ac:dyDescent="0.25">
      <c r="A296" s="183" t="s">
        <v>522</v>
      </c>
      <c r="B296" s="184">
        <v>756</v>
      </c>
      <c r="C296" s="184">
        <v>2014</v>
      </c>
      <c r="D296" s="183" t="s">
        <v>1900</v>
      </c>
      <c r="E296" s="183" t="s">
        <v>740</v>
      </c>
      <c r="F296" s="185">
        <v>364715</v>
      </c>
      <c r="G296" s="183" t="s">
        <v>749</v>
      </c>
      <c r="H296" s="183" t="s">
        <v>1876</v>
      </c>
      <c r="I296" s="183" t="s">
        <v>1901</v>
      </c>
      <c r="J296" s="183" t="s">
        <v>1902</v>
      </c>
      <c r="K296" s="183" t="s">
        <v>1888</v>
      </c>
      <c r="L296" s="184">
        <v>4</v>
      </c>
      <c r="M296" s="185">
        <v>4000</v>
      </c>
    </row>
    <row r="297" spans="1:13" ht="17.25" hidden="1" customHeight="1" x14ac:dyDescent="0.25">
      <c r="A297" s="183" t="s">
        <v>107</v>
      </c>
      <c r="B297" s="190">
        <v>1415</v>
      </c>
      <c r="C297" s="184">
        <v>2011</v>
      </c>
      <c r="D297" s="183" t="s">
        <v>1903</v>
      </c>
      <c r="E297" s="183" t="s">
        <v>773</v>
      </c>
      <c r="F297" s="185">
        <v>28750</v>
      </c>
      <c r="G297" s="183" t="s">
        <v>741</v>
      </c>
      <c r="H297" s="183" t="s">
        <v>1904</v>
      </c>
      <c r="I297" s="183" t="s">
        <v>1905</v>
      </c>
      <c r="J297" s="183" t="s">
        <v>1906</v>
      </c>
      <c r="K297" s="183" t="s">
        <v>1907</v>
      </c>
      <c r="L297" s="184">
        <v>4</v>
      </c>
      <c r="M297" s="184">
        <v>335</v>
      </c>
    </row>
    <row r="298" spans="1:13" ht="17.25" hidden="1" customHeight="1" x14ac:dyDescent="0.25">
      <c r="A298" s="183" t="s">
        <v>107</v>
      </c>
      <c r="B298" s="190">
        <v>1414</v>
      </c>
      <c r="C298" s="184">
        <v>2011</v>
      </c>
      <c r="D298" s="183" t="s">
        <v>1908</v>
      </c>
      <c r="E298" s="183" t="s">
        <v>773</v>
      </c>
      <c r="F298" s="185">
        <v>70000</v>
      </c>
      <c r="G298" s="183" t="s">
        <v>741</v>
      </c>
      <c r="H298" s="183" t="s">
        <v>1909</v>
      </c>
      <c r="I298" s="183" t="s">
        <v>1910</v>
      </c>
      <c r="J298" s="183" t="s">
        <v>1911</v>
      </c>
      <c r="K298" s="183" t="s">
        <v>791</v>
      </c>
      <c r="L298" s="184">
        <v>1</v>
      </c>
      <c r="M298" s="184">
        <v>83.7</v>
      </c>
    </row>
    <row r="299" spans="1:13" ht="17.25" hidden="1" customHeight="1" x14ac:dyDescent="0.25">
      <c r="A299" s="183" t="s">
        <v>107</v>
      </c>
      <c r="B299" s="190">
        <v>1427</v>
      </c>
      <c r="C299" s="184">
        <v>2011</v>
      </c>
      <c r="D299" s="183" t="s">
        <v>1912</v>
      </c>
      <c r="E299" s="183" t="s">
        <v>740</v>
      </c>
      <c r="F299" s="185">
        <v>18150</v>
      </c>
      <c r="G299" s="183" t="s">
        <v>741</v>
      </c>
      <c r="H299" s="183" t="s">
        <v>1913</v>
      </c>
      <c r="I299" s="183" t="s">
        <v>1914</v>
      </c>
      <c r="J299" s="183" t="s">
        <v>1915</v>
      </c>
      <c r="K299" s="183" t="s">
        <v>1916</v>
      </c>
      <c r="L299" s="184">
        <v>5</v>
      </c>
      <c r="M299" s="184">
        <v>81.7</v>
      </c>
    </row>
    <row r="300" spans="1:13" ht="17.25" hidden="1" customHeight="1" x14ac:dyDescent="0.25">
      <c r="A300" s="183" t="s">
        <v>107</v>
      </c>
      <c r="B300" s="190">
        <v>1429</v>
      </c>
      <c r="C300" s="184">
        <v>2011</v>
      </c>
      <c r="D300" s="183" t="s">
        <v>1917</v>
      </c>
      <c r="E300" s="183" t="s">
        <v>740</v>
      </c>
      <c r="F300" s="185">
        <v>65000</v>
      </c>
      <c r="G300" s="183" t="s">
        <v>741</v>
      </c>
      <c r="H300" s="183" t="s">
        <v>1918</v>
      </c>
      <c r="I300" s="183" t="s">
        <v>1919</v>
      </c>
      <c r="J300" s="183" t="s">
        <v>1917</v>
      </c>
      <c r="K300" s="183" t="s">
        <v>1920</v>
      </c>
      <c r="L300" s="184">
        <v>4</v>
      </c>
      <c r="M300" s="184">
        <v>24.7</v>
      </c>
    </row>
    <row r="301" spans="1:13" ht="17.25" hidden="1" customHeight="1" x14ac:dyDescent="0.25">
      <c r="A301" s="183" t="s">
        <v>107</v>
      </c>
      <c r="B301" s="190">
        <v>1428</v>
      </c>
      <c r="C301" s="184">
        <v>2011</v>
      </c>
      <c r="D301" s="183" t="s">
        <v>1921</v>
      </c>
      <c r="E301" s="183" t="s">
        <v>773</v>
      </c>
      <c r="F301" s="185">
        <v>65000</v>
      </c>
      <c r="G301" s="183" t="s">
        <v>741</v>
      </c>
      <c r="H301" s="183" t="s">
        <v>1922</v>
      </c>
      <c r="I301" s="183" t="s">
        <v>1923</v>
      </c>
      <c r="J301" s="183" t="s">
        <v>1924</v>
      </c>
      <c r="K301" s="183" t="s">
        <v>1925</v>
      </c>
      <c r="L301" s="184">
        <v>2</v>
      </c>
      <c r="M301" s="184">
        <v>20</v>
      </c>
    </row>
    <row r="302" spans="1:13" ht="17.25" hidden="1" customHeight="1" x14ac:dyDescent="0.25">
      <c r="A302" s="183" t="s">
        <v>107</v>
      </c>
      <c r="B302" s="190">
        <v>1430</v>
      </c>
      <c r="C302" s="184">
        <v>2011</v>
      </c>
      <c r="D302" s="183" t="s">
        <v>1926</v>
      </c>
      <c r="E302" s="183" t="s">
        <v>740</v>
      </c>
      <c r="F302" s="185">
        <v>65365</v>
      </c>
      <c r="G302" s="183" t="s">
        <v>741</v>
      </c>
      <c r="H302" s="183" t="s">
        <v>1927</v>
      </c>
      <c r="I302" s="183" t="s">
        <v>1928</v>
      </c>
      <c r="J302" s="183" t="s">
        <v>1929</v>
      </c>
      <c r="K302" s="183" t="s">
        <v>1930</v>
      </c>
      <c r="L302" s="184">
        <v>1</v>
      </c>
      <c r="M302" s="184">
        <v>17</v>
      </c>
    </row>
    <row r="303" spans="1:13" ht="17.25" hidden="1" customHeight="1" x14ac:dyDescent="0.25">
      <c r="A303" s="183" t="s">
        <v>107</v>
      </c>
      <c r="B303" s="190">
        <v>1421</v>
      </c>
      <c r="C303" s="184">
        <v>2011</v>
      </c>
      <c r="D303" s="183" t="s">
        <v>1931</v>
      </c>
      <c r="E303" s="183" t="s">
        <v>773</v>
      </c>
      <c r="F303" s="185">
        <v>65000</v>
      </c>
      <c r="G303" s="183" t="s">
        <v>741</v>
      </c>
      <c r="H303" s="183" t="s">
        <v>1932</v>
      </c>
      <c r="I303" s="183" t="s">
        <v>1933</v>
      </c>
      <c r="J303" s="183" t="s">
        <v>1934</v>
      </c>
      <c r="K303" s="183" t="s">
        <v>1935</v>
      </c>
      <c r="L303" s="184">
        <v>1</v>
      </c>
      <c r="M303" s="184">
        <v>12</v>
      </c>
    </row>
    <row r="304" spans="1:13" ht="17.25" hidden="1" customHeight="1" x14ac:dyDescent="0.25">
      <c r="A304" s="183" t="s">
        <v>107</v>
      </c>
      <c r="B304" s="190">
        <v>1416</v>
      </c>
      <c r="C304" s="184">
        <v>2011</v>
      </c>
      <c r="D304" s="183" t="s">
        <v>1936</v>
      </c>
      <c r="E304" s="183" t="s">
        <v>773</v>
      </c>
      <c r="F304" s="185">
        <v>12635</v>
      </c>
      <c r="G304" s="183" t="s">
        <v>741</v>
      </c>
      <c r="H304" s="183" t="s">
        <v>1937</v>
      </c>
      <c r="I304" s="183" t="s">
        <v>1938</v>
      </c>
      <c r="J304" s="183" t="s">
        <v>1939</v>
      </c>
      <c r="K304" s="183" t="s">
        <v>1828</v>
      </c>
      <c r="L304" s="184">
        <v>4</v>
      </c>
      <c r="M304" s="184">
        <v>8</v>
      </c>
    </row>
    <row r="305" spans="1:13" ht="17.25" hidden="1" customHeight="1" x14ac:dyDescent="0.25">
      <c r="A305" s="183" t="s">
        <v>107</v>
      </c>
      <c r="B305" s="190">
        <v>1424</v>
      </c>
      <c r="C305" s="184">
        <v>2011</v>
      </c>
      <c r="D305" s="183" t="s">
        <v>1940</v>
      </c>
      <c r="E305" s="183" t="s">
        <v>773</v>
      </c>
      <c r="F305" s="185">
        <v>60000</v>
      </c>
      <c r="G305" s="183" t="s">
        <v>741</v>
      </c>
      <c r="H305" s="183" t="s">
        <v>1941</v>
      </c>
      <c r="I305" s="183" t="s">
        <v>1942</v>
      </c>
      <c r="J305" s="183" t="s">
        <v>1940</v>
      </c>
      <c r="K305" s="183" t="s">
        <v>1943</v>
      </c>
      <c r="L305" s="184">
        <v>2</v>
      </c>
      <c r="M305" s="184">
        <v>6</v>
      </c>
    </row>
    <row r="306" spans="1:13" ht="17.25" hidden="1" customHeight="1" x14ac:dyDescent="0.25">
      <c r="A306" s="183" t="s">
        <v>107</v>
      </c>
      <c r="B306" s="190">
        <v>1426</v>
      </c>
      <c r="C306" s="184">
        <v>2011</v>
      </c>
      <c r="D306" s="183" t="s">
        <v>1944</v>
      </c>
      <c r="E306" s="183" t="s">
        <v>773</v>
      </c>
      <c r="F306" s="185">
        <v>9131</v>
      </c>
      <c r="G306" s="183" t="s">
        <v>741</v>
      </c>
      <c r="H306" s="183" t="s">
        <v>1945</v>
      </c>
      <c r="I306" s="183" t="s">
        <v>1946</v>
      </c>
      <c r="J306" s="183" t="s">
        <v>1944</v>
      </c>
      <c r="K306" s="183" t="s">
        <v>1947</v>
      </c>
      <c r="L306" s="184">
        <v>1</v>
      </c>
      <c r="M306" s="184">
        <v>1.3</v>
      </c>
    </row>
    <row r="307" spans="1:13" ht="17.25" hidden="1" customHeight="1" x14ac:dyDescent="0.25">
      <c r="A307" s="183" t="s">
        <v>107</v>
      </c>
      <c r="B307" s="190">
        <v>1418</v>
      </c>
      <c r="C307" s="184">
        <v>2011</v>
      </c>
      <c r="D307" s="183" t="s">
        <v>1948</v>
      </c>
      <c r="E307" s="183" t="s">
        <v>773</v>
      </c>
      <c r="F307" s="185">
        <v>5000</v>
      </c>
      <c r="G307" s="183" t="s">
        <v>749</v>
      </c>
      <c r="H307" s="183" t="s">
        <v>1949</v>
      </c>
      <c r="I307" s="183" t="s">
        <v>1950</v>
      </c>
      <c r="J307" s="183" t="s">
        <v>1948</v>
      </c>
      <c r="K307" s="183" t="s">
        <v>1951</v>
      </c>
      <c r="L307" s="184">
        <v>4</v>
      </c>
      <c r="M307" s="184">
        <v>20</v>
      </c>
    </row>
    <row r="308" spans="1:13" ht="17.25" hidden="1" customHeight="1" x14ac:dyDescent="0.25">
      <c r="A308" s="183" t="s">
        <v>107</v>
      </c>
      <c r="B308" s="190">
        <v>1419</v>
      </c>
      <c r="C308" s="184">
        <v>2011</v>
      </c>
      <c r="D308" s="183" t="s">
        <v>1952</v>
      </c>
      <c r="E308" s="183" t="s">
        <v>773</v>
      </c>
      <c r="F308" s="185">
        <v>65000</v>
      </c>
      <c r="G308" s="183" t="s">
        <v>749</v>
      </c>
      <c r="H308" s="183" t="s">
        <v>1953</v>
      </c>
      <c r="I308" s="183" t="s">
        <v>1954</v>
      </c>
      <c r="J308" s="183" t="s">
        <v>1952</v>
      </c>
      <c r="K308" s="183" t="s">
        <v>1955</v>
      </c>
      <c r="L308" s="184">
        <v>4</v>
      </c>
      <c r="M308" s="184">
        <v>10.7</v>
      </c>
    </row>
    <row r="309" spans="1:13" ht="17.25" hidden="1" customHeight="1" x14ac:dyDescent="0.25">
      <c r="A309" s="183" t="s">
        <v>107</v>
      </c>
      <c r="B309" s="190">
        <v>1422</v>
      </c>
      <c r="C309" s="184">
        <v>2011</v>
      </c>
      <c r="D309" s="183" t="s">
        <v>1956</v>
      </c>
      <c r="E309" s="183" t="s">
        <v>773</v>
      </c>
      <c r="F309" s="185">
        <v>65000</v>
      </c>
      <c r="G309" s="183" t="s">
        <v>749</v>
      </c>
      <c r="H309" s="183" t="s">
        <v>1957</v>
      </c>
      <c r="I309" s="183" t="s">
        <v>1958</v>
      </c>
      <c r="J309" s="183" t="s">
        <v>1959</v>
      </c>
      <c r="K309" s="183" t="s">
        <v>1960</v>
      </c>
      <c r="L309" s="184">
        <v>1</v>
      </c>
      <c r="M309" s="184">
        <v>9.6</v>
      </c>
    </row>
    <row r="310" spans="1:13" ht="17.25" hidden="1" customHeight="1" x14ac:dyDescent="0.25">
      <c r="A310" s="183" t="s">
        <v>107</v>
      </c>
      <c r="B310" s="190">
        <v>1425</v>
      </c>
      <c r="C310" s="184">
        <v>2011</v>
      </c>
      <c r="D310" s="183" t="s">
        <v>1961</v>
      </c>
      <c r="E310" s="183" t="s">
        <v>740</v>
      </c>
      <c r="F310" s="185">
        <v>5000</v>
      </c>
      <c r="G310" s="183" t="s">
        <v>749</v>
      </c>
      <c r="H310" s="183" t="s">
        <v>1962</v>
      </c>
      <c r="I310" s="183" t="s">
        <v>1963</v>
      </c>
      <c r="J310" s="183" t="s">
        <v>1961</v>
      </c>
      <c r="K310" s="183" t="s">
        <v>1964</v>
      </c>
      <c r="L310" s="184">
        <v>4</v>
      </c>
      <c r="M310" s="184">
        <v>4</v>
      </c>
    </row>
    <row r="311" spans="1:13" ht="17.25" hidden="1" customHeight="1" x14ac:dyDescent="0.25">
      <c r="A311" s="183" t="s">
        <v>107</v>
      </c>
      <c r="B311" s="190">
        <v>1417</v>
      </c>
      <c r="C311" s="184">
        <v>2011</v>
      </c>
      <c r="D311" s="183" t="s">
        <v>1965</v>
      </c>
      <c r="E311" s="183" t="s">
        <v>740</v>
      </c>
      <c r="F311" s="185">
        <v>30000</v>
      </c>
      <c r="G311" s="183" t="s">
        <v>749</v>
      </c>
      <c r="H311" s="183" t="s">
        <v>1966</v>
      </c>
      <c r="I311" s="183" t="s">
        <v>1967</v>
      </c>
      <c r="J311" s="183" t="s">
        <v>1968</v>
      </c>
      <c r="K311" s="183" t="s">
        <v>1969</v>
      </c>
      <c r="L311" s="184">
        <v>1</v>
      </c>
      <c r="M311" s="184">
        <v>1</v>
      </c>
    </row>
    <row r="312" spans="1:13" ht="17.25" hidden="1" customHeight="1" x14ac:dyDescent="0.25">
      <c r="A312" s="183" t="s">
        <v>107</v>
      </c>
      <c r="B312" s="190">
        <v>1420</v>
      </c>
      <c r="C312" s="184">
        <v>2011</v>
      </c>
      <c r="D312" s="183" t="s">
        <v>1970</v>
      </c>
      <c r="E312" s="183" t="s">
        <v>773</v>
      </c>
      <c r="F312" s="185">
        <v>32500</v>
      </c>
      <c r="G312" s="183" t="s">
        <v>749</v>
      </c>
      <c r="H312" s="183" t="s">
        <v>1971</v>
      </c>
      <c r="I312" s="183" t="s">
        <v>1972</v>
      </c>
      <c r="J312" s="183" t="s">
        <v>1973</v>
      </c>
      <c r="K312" s="183" t="s">
        <v>1974</v>
      </c>
      <c r="L312" s="184">
        <v>2</v>
      </c>
      <c r="M312" s="184">
        <v>1</v>
      </c>
    </row>
    <row r="313" spans="1:13" ht="17.25" hidden="1" customHeight="1" x14ac:dyDescent="0.25">
      <c r="A313" s="183" t="s">
        <v>107</v>
      </c>
      <c r="B313" s="190">
        <v>1436</v>
      </c>
      <c r="C313" s="184">
        <v>2012</v>
      </c>
      <c r="D313" s="183" t="s">
        <v>1975</v>
      </c>
      <c r="E313" s="183" t="s">
        <v>773</v>
      </c>
      <c r="F313" s="185">
        <v>30000</v>
      </c>
      <c r="G313" s="183" t="s">
        <v>741</v>
      </c>
      <c r="H313" s="183" t="s">
        <v>1976</v>
      </c>
      <c r="I313" s="183" t="s">
        <v>1977</v>
      </c>
      <c r="J313" s="183" t="s">
        <v>1978</v>
      </c>
      <c r="K313" s="183" t="s">
        <v>864</v>
      </c>
      <c r="L313" s="184">
        <v>6</v>
      </c>
      <c r="M313" s="184">
        <v>250</v>
      </c>
    </row>
    <row r="314" spans="1:13" ht="17.25" hidden="1" customHeight="1" x14ac:dyDescent="0.25">
      <c r="A314" s="183" t="s">
        <v>107</v>
      </c>
      <c r="B314" s="190">
        <v>1440</v>
      </c>
      <c r="C314" s="184">
        <v>2012</v>
      </c>
      <c r="D314" s="183" t="s">
        <v>1979</v>
      </c>
      <c r="E314" s="183" t="s">
        <v>740</v>
      </c>
      <c r="F314" s="185">
        <v>24828</v>
      </c>
      <c r="G314" s="183" t="s">
        <v>741</v>
      </c>
      <c r="H314" s="183" t="s">
        <v>1980</v>
      </c>
      <c r="I314" s="183" t="s">
        <v>1981</v>
      </c>
      <c r="J314" s="183" t="s">
        <v>1982</v>
      </c>
      <c r="K314" s="183" t="s">
        <v>1983</v>
      </c>
      <c r="L314" s="184">
        <v>5</v>
      </c>
      <c r="M314" s="184">
        <v>200</v>
      </c>
    </row>
    <row r="315" spans="1:13" ht="17.25" hidden="1" customHeight="1" x14ac:dyDescent="0.25">
      <c r="A315" s="183" t="s">
        <v>107</v>
      </c>
      <c r="B315" s="190">
        <v>1442</v>
      </c>
      <c r="C315" s="184">
        <v>2012</v>
      </c>
      <c r="D315" s="183" t="s">
        <v>1984</v>
      </c>
      <c r="E315" s="183" t="s">
        <v>773</v>
      </c>
      <c r="F315" s="185">
        <v>30000</v>
      </c>
      <c r="G315" s="183" t="s">
        <v>741</v>
      </c>
      <c r="H315" s="183" t="s">
        <v>1985</v>
      </c>
      <c r="I315" s="183" t="s">
        <v>1986</v>
      </c>
      <c r="J315" s="183" t="s">
        <v>1987</v>
      </c>
      <c r="K315" s="183" t="s">
        <v>821</v>
      </c>
      <c r="L315" s="184">
        <v>1</v>
      </c>
      <c r="M315" s="184">
        <v>80</v>
      </c>
    </row>
    <row r="316" spans="1:13" ht="17.25" hidden="1" customHeight="1" x14ac:dyDescent="0.25">
      <c r="A316" s="183" t="s">
        <v>107</v>
      </c>
      <c r="B316" s="190">
        <v>1438</v>
      </c>
      <c r="C316" s="184">
        <v>2012</v>
      </c>
      <c r="D316" s="183" t="s">
        <v>1988</v>
      </c>
      <c r="E316" s="183" t="s">
        <v>773</v>
      </c>
      <c r="F316" s="185">
        <v>50000</v>
      </c>
      <c r="G316" s="183" t="s">
        <v>741</v>
      </c>
      <c r="H316" s="183" t="s">
        <v>1989</v>
      </c>
      <c r="I316" s="183" t="s">
        <v>1990</v>
      </c>
      <c r="J316" s="183" t="s">
        <v>1991</v>
      </c>
      <c r="K316" s="183" t="s">
        <v>1870</v>
      </c>
      <c r="L316" s="184">
        <v>6</v>
      </c>
      <c r="M316" s="184">
        <v>75</v>
      </c>
    </row>
    <row r="317" spans="1:13" ht="17.25" hidden="1" customHeight="1" x14ac:dyDescent="0.25">
      <c r="A317" s="183" t="s">
        <v>107</v>
      </c>
      <c r="B317" s="190">
        <v>1441</v>
      </c>
      <c r="C317" s="184">
        <v>2012</v>
      </c>
      <c r="D317" s="183" t="s">
        <v>1992</v>
      </c>
      <c r="E317" s="183" t="s">
        <v>773</v>
      </c>
      <c r="F317" s="185">
        <v>10000</v>
      </c>
      <c r="G317" s="183" t="s">
        <v>741</v>
      </c>
      <c r="H317" s="183" t="s">
        <v>1993</v>
      </c>
      <c r="I317" s="183" t="s">
        <v>1994</v>
      </c>
      <c r="J317" s="183" t="s">
        <v>1992</v>
      </c>
      <c r="K317" s="183" t="s">
        <v>821</v>
      </c>
      <c r="L317" s="184">
        <v>1</v>
      </c>
      <c r="M317" s="184">
        <v>66</v>
      </c>
    </row>
    <row r="318" spans="1:13" ht="17.25" hidden="1" customHeight="1" x14ac:dyDescent="0.25">
      <c r="A318" s="183" t="s">
        <v>107</v>
      </c>
      <c r="B318" s="190">
        <v>1448</v>
      </c>
      <c r="C318" s="184">
        <v>2012</v>
      </c>
      <c r="D318" s="183" t="s">
        <v>1995</v>
      </c>
      <c r="E318" s="183" t="s">
        <v>773</v>
      </c>
      <c r="F318" s="185">
        <v>50000</v>
      </c>
      <c r="G318" s="183" t="s">
        <v>741</v>
      </c>
      <c r="H318" s="183" t="s">
        <v>1996</v>
      </c>
      <c r="I318" s="183" t="s">
        <v>1997</v>
      </c>
      <c r="J318" s="183" t="s">
        <v>1998</v>
      </c>
      <c r="K318" s="183" t="s">
        <v>786</v>
      </c>
      <c r="L318" s="184">
        <v>2</v>
      </c>
      <c r="M318" s="184">
        <v>9.3000000000000007</v>
      </c>
    </row>
    <row r="319" spans="1:13" ht="17.25" hidden="1" customHeight="1" x14ac:dyDescent="0.25">
      <c r="A319" s="183" t="s">
        <v>107</v>
      </c>
      <c r="B319" s="190">
        <v>1444</v>
      </c>
      <c r="C319" s="184">
        <v>2012</v>
      </c>
      <c r="D319" s="183" t="s">
        <v>1999</v>
      </c>
      <c r="E319" s="183" t="s">
        <v>740</v>
      </c>
      <c r="F319" s="185">
        <v>50000</v>
      </c>
      <c r="G319" s="183" t="s">
        <v>741</v>
      </c>
      <c r="H319" s="183" t="s">
        <v>2000</v>
      </c>
      <c r="I319" s="183" t="s">
        <v>2001</v>
      </c>
      <c r="J319" s="183" t="s">
        <v>2002</v>
      </c>
      <c r="K319" s="183" t="s">
        <v>2003</v>
      </c>
      <c r="L319" s="184">
        <v>1</v>
      </c>
      <c r="M319" s="184">
        <v>7</v>
      </c>
    </row>
    <row r="320" spans="1:13" ht="17.25" hidden="1" customHeight="1" x14ac:dyDescent="0.25">
      <c r="A320" s="183" t="s">
        <v>107</v>
      </c>
      <c r="B320" s="190">
        <v>1443</v>
      </c>
      <c r="C320" s="184">
        <v>2012</v>
      </c>
      <c r="D320" s="183" t="s">
        <v>2004</v>
      </c>
      <c r="E320" s="183" t="s">
        <v>740</v>
      </c>
      <c r="F320" s="185">
        <v>25000</v>
      </c>
      <c r="G320" s="183" t="s">
        <v>741</v>
      </c>
      <c r="H320" s="183" t="s">
        <v>2005</v>
      </c>
      <c r="I320" s="183" t="s">
        <v>2006</v>
      </c>
      <c r="J320" s="183" t="s">
        <v>2007</v>
      </c>
      <c r="K320" s="183" t="s">
        <v>1930</v>
      </c>
      <c r="L320" s="184">
        <v>1</v>
      </c>
      <c r="M320" s="184">
        <v>4.2</v>
      </c>
    </row>
    <row r="321" spans="1:13" ht="17.25" hidden="1" customHeight="1" x14ac:dyDescent="0.25">
      <c r="A321" s="183" t="s">
        <v>107</v>
      </c>
      <c r="B321" s="190">
        <v>1431</v>
      </c>
      <c r="C321" s="184">
        <v>2012</v>
      </c>
      <c r="D321" s="183" t="s">
        <v>2008</v>
      </c>
      <c r="E321" s="183" t="s">
        <v>773</v>
      </c>
      <c r="F321" s="185">
        <v>19202</v>
      </c>
      <c r="G321" s="183" t="s">
        <v>741</v>
      </c>
      <c r="H321" s="183" t="s">
        <v>2009</v>
      </c>
      <c r="I321" s="183" t="s">
        <v>2010</v>
      </c>
      <c r="J321" s="183" t="s">
        <v>2011</v>
      </c>
      <c r="K321" s="183" t="s">
        <v>2012</v>
      </c>
      <c r="L321" s="184">
        <v>5</v>
      </c>
      <c r="M321" s="184">
        <v>4</v>
      </c>
    </row>
    <row r="322" spans="1:13" ht="17.25" hidden="1" customHeight="1" x14ac:dyDescent="0.25">
      <c r="A322" s="183" t="s">
        <v>107</v>
      </c>
      <c r="B322" s="190">
        <v>1447</v>
      </c>
      <c r="C322" s="184">
        <v>2012</v>
      </c>
      <c r="D322" s="183" t="s">
        <v>2013</v>
      </c>
      <c r="E322" s="183" t="s">
        <v>740</v>
      </c>
      <c r="F322" s="185">
        <v>60000</v>
      </c>
      <c r="G322" s="183" t="s">
        <v>741</v>
      </c>
      <c r="H322" s="183" t="s">
        <v>2014</v>
      </c>
      <c r="I322" s="183" t="s">
        <v>2015</v>
      </c>
      <c r="J322" s="183" t="s">
        <v>2016</v>
      </c>
      <c r="K322" s="183" t="s">
        <v>2017</v>
      </c>
      <c r="L322" s="184">
        <v>1</v>
      </c>
      <c r="M322" s="184">
        <v>4</v>
      </c>
    </row>
    <row r="323" spans="1:13" ht="17.25" hidden="1" customHeight="1" x14ac:dyDescent="0.25">
      <c r="A323" s="183" t="s">
        <v>107</v>
      </c>
      <c r="B323" s="190">
        <v>1435</v>
      </c>
      <c r="C323" s="184">
        <v>2012</v>
      </c>
      <c r="D323" s="183" t="s">
        <v>2018</v>
      </c>
      <c r="E323" s="183" t="s">
        <v>773</v>
      </c>
      <c r="F323" s="185">
        <v>23267</v>
      </c>
      <c r="G323" s="183" t="s">
        <v>741</v>
      </c>
      <c r="H323" s="183" t="s">
        <v>2019</v>
      </c>
      <c r="I323" s="183" t="s">
        <v>2020</v>
      </c>
      <c r="J323" s="183" t="s">
        <v>2021</v>
      </c>
      <c r="K323" s="183" t="s">
        <v>2022</v>
      </c>
      <c r="L323" s="184">
        <v>5</v>
      </c>
      <c r="M323" s="184">
        <v>2</v>
      </c>
    </row>
    <row r="324" spans="1:13" ht="17.25" hidden="1" customHeight="1" x14ac:dyDescent="0.25">
      <c r="A324" s="183" t="s">
        <v>107</v>
      </c>
      <c r="B324" s="190">
        <v>1434</v>
      </c>
      <c r="C324" s="184">
        <v>2012</v>
      </c>
      <c r="D324" s="183" t="s">
        <v>2023</v>
      </c>
      <c r="E324" s="183" t="s">
        <v>773</v>
      </c>
      <c r="F324" s="185">
        <v>20356</v>
      </c>
      <c r="G324" s="183" t="s">
        <v>741</v>
      </c>
      <c r="H324" s="183" t="s">
        <v>2024</v>
      </c>
      <c r="I324" s="183" t="s">
        <v>2025</v>
      </c>
      <c r="J324" s="183" t="s">
        <v>2026</v>
      </c>
      <c r="K324" s="183" t="s">
        <v>835</v>
      </c>
      <c r="L324" s="184">
        <v>3</v>
      </c>
      <c r="M324" s="184">
        <v>1.8</v>
      </c>
    </row>
    <row r="325" spans="1:13" ht="17.25" hidden="1" customHeight="1" x14ac:dyDescent="0.25">
      <c r="A325" s="183" t="s">
        <v>107</v>
      </c>
      <c r="B325" s="190">
        <v>1446</v>
      </c>
      <c r="C325" s="184">
        <v>2012</v>
      </c>
      <c r="D325" s="183" t="s">
        <v>2027</v>
      </c>
      <c r="E325" s="183" t="s">
        <v>740</v>
      </c>
      <c r="F325" s="185">
        <v>60000</v>
      </c>
      <c r="G325" s="183" t="s">
        <v>741</v>
      </c>
      <c r="H325" s="183" t="s">
        <v>2028</v>
      </c>
      <c r="I325" s="183" t="s">
        <v>2029</v>
      </c>
      <c r="J325" s="183" t="s">
        <v>2030</v>
      </c>
      <c r="K325" s="183" t="s">
        <v>806</v>
      </c>
      <c r="L325" s="184">
        <v>5</v>
      </c>
      <c r="M325" s="184">
        <v>1.1000000000000001</v>
      </c>
    </row>
    <row r="326" spans="1:13" ht="17.25" hidden="1" customHeight="1" x14ac:dyDescent="0.25">
      <c r="A326" s="183" t="s">
        <v>107</v>
      </c>
      <c r="B326" s="190">
        <v>1439</v>
      </c>
      <c r="C326" s="184">
        <v>2012</v>
      </c>
      <c r="D326" s="183" t="s">
        <v>2031</v>
      </c>
      <c r="E326" s="183" t="s">
        <v>740</v>
      </c>
      <c r="F326" s="185">
        <v>20000</v>
      </c>
      <c r="G326" s="183" t="s">
        <v>741</v>
      </c>
      <c r="H326" s="183" t="s">
        <v>2032</v>
      </c>
      <c r="I326" s="183" t="s">
        <v>2033</v>
      </c>
      <c r="J326" s="183" t="s">
        <v>2034</v>
      </c>
      <c r="K326" s="183" t="s">
        <v>1947</v>
      </c>
      <c r="L326" s="184">
        <v>1</v>
      </c>
      <c r="M326" s="184">
        <v>0.3</v>
      </c>
    </row>
    <row r="327" spans="1:13" ht="17.25" hidden="1" customHeight="1" x14ac:dyDescent="0.25">
      <c r="A327" s="183" t="s">
        <v>107</v>
      </c>
      <c r="B327" s="190">
        <v>1433</v>
      </c>
      <c r="C327" s="184">
        <v>2012</v>
      </c>
      <c r="D327" s="183" t="s">
        <v>2035</v>
      </c>
      <c r="E327" s="183" t="s">
        <v>773</v>
      </c>
      <c r="F327" s="185">
        <v>7000</v>
      </c>
      <c r="G327" s="183" t="s">
        <v>741</v>
      </c>
      <c r="H327" s="183" t="s">
        <v>2036</v>
      </c>
      <c r="I327" s="183" t="s">
        <v>2037</v>
      </c>
      <c r="J327" s="183" t="s">
        <v>2038</v>
      </c>
      <c r="K327" s="183" t="s">
        <v>2039</v>
      </c>
      <c r="L327" s="184">
        <v>4</v>
      </c>
      <c r="M327" s="184">
        <v>0</v>
      </c>
    </row>
    <row r="328" spans="1:13" ht="17.25" hidden="1" customHeight="1" x14ac:dyDescent="0.25">
      <c r="A328" s="183" t="s">
        <v>107</v>
      </c>
      <c r="B328" s="190">
        <v>1432</v>
      </c>
      <c r="C328" s="184">
        <v>2012</v>
      </c>
      <c r="D328" s="183" t="s">
        <v>2040</v>
      </c>
      <c r="E328" s="183" t="s">
        <v>773</v>
      </c>
      <c r="F328" s="185">
        <v>15050</v>
      </c>
      <c r="G328" s="183" t="s">
        <v>749</v>
      </c>
      <c r="H328" s="183" t="s">
        <v>2041</v>
      </c>
      <c r="I328" s="183" t="s">
        <v>2042</v>
      </c>
      <c r="J328" s="183" t="s">
        <v>2043</v>
      </c>
      <c r="K328" s="183" t="s">
        <v>2044</v>
      </c>
      <c r="L328" s="184">
        <v>1</v>
      </c>
      <c r="M328" s="184">
        <v>32.4</v>
      </c>
    </row>
    <row r="329" spans="1:13" ht="17.25" hidden="1" customHeight="1" x14ac:dyDescent="0.25">
      <c r="A329" s="183" t="s">
        <v>107</v>
      </c>
      <c r="B329" s="190">
        <v>1445</v>
      </c>
      <c r="C329" s="184">
        <v>2012</v>
      </c>
      <c r="D329" s="183" t="s">
        <v>2045</v>
      </c>
      <c r="E329" s="183" t="s">
        <v>773</v>
      </c>
      <c r="F329" s="185">
        <v>13834</v>
      </c>
      <c r="G329" s="183" t="s">
        <v>749</v>
      </c>
      <c r="H329" s="183" t="s">
        <v>1932</v>
      </c>
      <c r="I329" s="183" t="s">
        <v>2046</v>
      </c>
      <c r="J329" s="183" t="s">
        <v>2047</v>
      </c>
      <c r="K329" s="183" t="s">
        <v>1935</v>
      </c>
      <c r="L329" s="184">
        <v>1</v>
      </c>
      <c r="M329" s="184">
        <v>21.8</v>
      </c>
    </row>
    <row r="330" spans="1:13" ht="17.25" hidden="1" customHeight="1" x14ac:dyDescent="0.25">
      <c r="A330" s="183" t="s">
        <v>107</v>
      </c>
      <c r="B330" s="190">
        <v>1437</v>
      </c>
      <c r="C330" s="184">
        <v>2012</v>
      </c>
      <c r="D330" s="183" t="s">
        <v>2048</v>
      </c>
      <c r="E330" s="183" t="s">
        <v>740</v>
      </c>
      <c r="F330" s="185">
        <v>50000</v>
      </c>
      <c r="G330" s="183" t="s">
        <v>749</v>
      </c>
      <c r="H330" s="183" t="s">
        <v>2049</v>
      </c>
      <c r="I330" s="183" t="s">
        <v>2050</v>
      </c>
      <c r="J330" s="183" t="s">
        <v>2051</v>
      </c>
      <c r="K330" s="183" t="s">
        <v>791</v>
      </c>
      <c r="L330" s="184">
        <v>1</v>
      </c>
      <c r="M330" s="184">
        <v>0.3</v>
      </c>
    </row>
    <row r="331" spans="1:13" ht="17.25" hidden="1" customHeight="1" x14ac:dyDescent="0.25">
      <c r="A331" s="183" t="s">
        <v>107</v>
      </c>
      <c r="B331" s="190">
        <v>1450</v>
      </c>
      <c r="C331" s="184">
        <v>2013</v>
      </c>
      <c r="D331" s="183" t="s">
        <v>2052</v>
      </c>
      <c r="E331" s="183" t="s">
        <v>740</v>
      </c>
      <c r="F331" s="189">
        <v>25000</v>
      </c>
      <c r="G331" s="183" t="s">
        <v>741</v>
      </c>
      <c r="H331" s="183" t="s">
        <v>2053</v>
      </c>
      <c r="I331" s="183" t="s">
        <v>2054</v>
      </c>
      <c r="J331" s="183" t="s">
        <v>2052</v>
      </c>
      <c r="K331" s="183" t="s">
        <v>1833</v>
      </c>
      <c r="L331" s="184">
        <v>0</v>
      </c>
      <c r="M331" s="185">
        <v>4539</v>
      </c>
    </row>
    <row r="332" spans="1:13" ht="17.25" hidden="1" customHeight="1" x14ac:dyDescent="0.25">
      <c r="A332" s="183" t="s">
        <v>107</v>
      </c>
      <c r="B332" s="190">
        <v>1451</v>
      </c>
      <c r="C332" s="184">
        <v>2013</v>
      </c>
      <c r="D332" s="183" t="s">
        <v>2055</v>
      </c>
      <c r="E332" s="183" t="s">
        <v>740</v>
      </c>
      <c r="F332" s="189">
        <v>13566</v>
      </c>
      <c r="G332" s="183" t="s">
        <v>741</v>
      </c>
      <c r="H332" s="183" t="s">
        <v>2056</v>
      </c>
      <c r="I332" s="183" t="s">
        <v>2057</v>
      </c>
      <c r="J332" s="183" t="s">
        <v>2058</v>
      </c>
      <c r="K332" s="183" t="s">
        <v>1947</v>
      </c>
      <c r="L332" s="184">
        <v>0</v>
      </c>
      <c r="M332" s="185">
        <v>1068</v>
      </c>
    </row>
    <row r="333" spans="1:13" ht="17.25" hidden="1" customHeight="1" x14ac:dyDescent="0.25">
      <c r="A333" s="183" t="s">
        <v>107</v>
      </c>
      <c r="B333" s="190">
        <v>1454</v>
      </c>
      <c r="C333" s="184">
        <v>2013</v>
      </c>
      <c r="D333" s="183" t="s">
        <v>2059</v>
      </c>
      <c r="E333" s="183" t="s">
        <v>740</v>
      </c>
      <c r="F333" s="189">
        <v>16560</v>
      </c>
      <c r="G333" s="183" t="s">
        <v>741</v>
      </c>
      <c r="H333" s="183" t="s">
        <v>2060</v>
      </c>
      <c r="I333" s="183" t="s">
        <v>2061</v>
      </c>
      <c r="J333" s="183" t="s">
        <v>2059</v>
      </c>
      <c r="K333" s="183" t="s">
        <v>2062</v>
      </c>
      <c r="L333" s="184">
        <v>0</v>
      </c>
      <c r="M333" s="184">
        <v>97</v>
      </c>
    </row>
    <row r="334" spans="1:13" ht="17.25" hidden="1" customHeight="1" x14ac:dyDescent="0.25">
      <c r="A334" s="183" t="s">
        <v>107</v>
      </c>
      <c r="B334" s="190">
        <v>1449</v>
      </c>
      <c r="C334" s="184">
        <v>2013</v>
      </c>
      <c r="D334" s="183" t="s">
        <v>2063</v>
      </c>
      <c r="E334" s="183" t="s">
        <v>740</v>
      </c>
      <c r="F334" s="189">
        <v>70000</v>
      </c>
      <c r="G334" s="183" t="s">
        <v>741</v>
      </c>
      <c r="H334" s="183" t="s">
        <v>2064</v>
      </c>
      <c r="I334" s="183" t="s">
        <v>2065</v>
      </c>
      <c r="J334" s="183" t="s">
        <v>2063</v>
      </c>
      <c r="K334" s="183" t="s">
        <v>2066</v>
      </c>
      <c r="L334" s="184">
        <v>0</v>
      </c>
      <c r="M334" s="184">
        <v>47</v>
      </c>
    </row>
    <row r="335" spans="1:13" ht="17.25" hidden="1" customHeight="1" x14ac:dyDescent="0.25">
      <c r="A335" s="183" t="s">
        <v>107</v>
      </c>
      <c r="B335" s="190">
        <v>1459</v>
      </c>
      <c r="C335" s="184">
        <v>2013</v>
      </c>
      <c r="D335" s="183" t="s">
        <v>2067</v>
      </c>
      <c r="E335" s="183" t="s">
        <v>740</v>
      </c>
      <c r="F335" s="189">
        <v>69295</v>
      </c>
      <c r="G335" s="183" t="s">
        <v>741</v>
      </c>
      <c r="H335" s="183" t="s">
        <v>2068</v>
      </c>
      <c r="I335" s="183" t="s">
        <v>2069</v>
      </c>
      <c r="J335" s="183" t="s">
        <v>2070</v>
      </c>
      <c r="K335" s="183" t="s">
        <v>1883</v>
      </c>
      <c r="L335" s="184">
        <v>0</v>
      </c>
      <c r="M335" s="184">
        <v>32</v>
      </c>
    </row>
    <row r="336" spans="1:13" ht="17.25" hidden="1" customHeight="1" x14ac:dyDescent="0.25">
      <c r="A336" s="183" t="s">
        <v>107</v>
      </c>
      <c r="B336" s="190">
        <v>1460</v>
      </c>
      <c r="C336" s="184">
        <v>2013</v>
      </c>
      <c r="D336" s="183" t="s">
        <v>2071</v>
      </c>
      <c r="E336" s="183" t="s">
        <v>740</v>
      </c>
      <c r="F336" s="189">
        <v>43000</v>
      </c>
      <c r="G336" s="183" t="s">
        <v>741</v>
      </c>
      <c r="H336" s="183" t="s">
        <v>1932</v>
      </c>
      <c r="I336" s="183" t="s">
        <v>2072</v>
      </c>
      <c r="J336" s="183" t="s">
        <v>2047</v>
      </c>
      <c r="K336" s="183" t="s">
        <v>1935</v>
      </c>
      <c r="L336" s="184">
        <v>0</v>
      </c>
      <c r="M336" s="184">
        <v>21.8</v>
      </c>
    </row>
    <row r="337" spans="1:13" ht="17.25" hidden="1" customHeight="1" x14ac:dyDescent="0.25">
      <c r="A337" s="183" t="s">
        <v>107</v>
      </c>
      <c r="B337" s="190">
        <v>1458</v>
      </c>
      <c r="C337" s="184">
        <v>2013</v>
      </c>
      <c r="D337" s="183" t="s">
        <v>2073</v>
      </c>
      <c r="E337" s="183" t="s">
        <v>740</v>
      </c>
      <c r="F337" s="189">
        <v>61000</v>
      </c>
      <c r="G337" s="183" t="s">
        <v>741</v>
      </c>
      <c r="H337" s="183" t="s">
        <v>2074</v>
      </c>
      <c r="I337" s="183" t="s">
        <v>2075</v>
      </c>
      <c r="J337" s="183" t="s">
        <v>2076</v>
      </c>
      <c r="K337" s="183" t="s">
        <v>835</v>
      </c>
      <c r="L337" s="184">
        <v>0</v>
      </c>
      <c r="M337" s="184">
        <v>20</v>
      </c>
    </row>
    <row r="338" spans="1:13" ht="17.25" hidden="1" customHeight="1" x14ac:dyDescent="0.25">
      <c r="A338" s="183" t="s">
        <v>107</v>
      </c>
      <c r="B338" s="190">
        <v>1453</v>
      </c>
      <c r="C338" s="184">
        <v>2013</v>
      </c>
      <c r="D338" s="183" t="s">
        <v>2077</v>
      </c>
      <c r="E338" s="183" t="s">
        <v>740</v>
      </c>
      <c r="F338" s="189">
        <v>70000</v>
      </c>
      <c r="G338" s="183" t="s">
        <v>749</v>
      </c>
      <c r="H338" s="183" t="s">
        <v>2078</v>
      </c>
      <c r="I338" s="183" t="s">
        <v>2079</v>
      </c>
      <c r="J338" s="183" t="s">
        <v>2080</v>
      </c>
      <c r="K338" s="183" t="s">
        <v>2081</v>
      </c>
      <c r="L338" s="184">
        <v>0</v>
      </c>
      <c r="M338" s="184">
        <v>14</v>
      </c>
    </row>
    <row r="339" spans="1:13" ht="17.25" hidden="1" customHeight="1" x14ac:dyDescent="0.25">
      <c r="A339" s="183" t="s">
        <v>107</v>
      </c>
      <c r="B339" s="190">
        <v>1457</v>
      </c>
      <c r="C339" s="184">
        <v>2013</v>
      </c>
      <c r="D339" s="183" t="s">
        <v>2082</v>
      </c>
      <c r="E339" s="183" t="s">
        <v>740</v>
      </c>
      <c r="F339" s="189">
        <v>33200</v>
      </c>
      <c r="G339" s="183" t="s">
        <v>749</v>
      </c>
      <c r="H339" s="183" t="s">
        <v>2083</v>
      </c>
      <c r="I339" s="183" t="s">
        <v>2084</v>
      </c>
      <c r="J339" s="183" t="s">
        <v>2085</v>
      </c>
      <c r="K339" s="183" t="s">
        <v>160</v>
      </c>
      <c r="L339" s="184">
        <v>0</v>
      </c>
      <c r="M339" s="184">
        <v>10</v>
      </c>
    </row>
    <row r="340" spans="1:13" ht="17.25" hidden="1" customHeight="1" x14ac:dyDescent="0.25">
      <c r="A340" s="183" t="s">
        <v>107</v>
      </c>
      <c r="B340" s="190">
        <v>1455</v>
      </c>
      <c r="C340" s="184">
        <v>2013</v>
      </c>
      <c r="D340" s="183" t="s">
        <v>2086</v>
      </c>
      <c r="E340" s="183" t="s">
        <v>740</v>
      </c>
      <c r="F340" s="189">
        <v>10500</v>
      </c>
      <c r="G340" s="183" t="s">
        <v>749</v>
      </c>
      <c r="H340" s="183" t="s">
        <v>2087</v>
      </c>
      <c r="I340" s="183" t="s">
        <v>2088</v>
      </c>
      <c r="J340" s="183" t="s">
        <v>2089</v>
      </c>
      <c r="K340" s="183" t="s">
        <v>835</v>
      </c>
      <c r="L340" s="184">
        <v>0</v>
      </c>
      <c r="M340" s="184">
        <v>3.3</v>
      </c>
    </row>
    <row r="341" spans="1:13" ht="17.25" hidden="1" customHeight="1" x14ac:dyDescent="0.25">
      <c r="A341" s="183" t="s">
        <v>107</v>
      </c>
      <c r="B341" s="190">
        <v>1461</v>
      </c>
      <c r="C341" s="184">
        <v>2014</v>
      </c>
      <c r="D341" s="183" t="s">
        <v>2090</v>
      </c>
      <c r="E341" s="183" t="s">
        <v>740</v>
      </c>
      <c r="F341" s="184">
        <v>0</v>
      </c>
      <c r="G341" s="183" t="s">
        <v>741</v>
      </c>
      <c r="H341" s="183" t="s">
        <v>2091</v>
      </c>
      <c r="I341" s="183" t="s">
        <v>2092</v>
      </c>
      <c r="J341" s="183" t="s">
        <v>2093</v>
      </c>
      <c r="K341" s="183" t="s">
        <v>1969</v>
      </c>
      <c r="L341" s="184">
        <v>1</v>
      </c>
      <c r="M341" s="184">
        <v>16</v>
      </c>
    </row>
    <row r="342" spans="1:13" ht="17.25" hidden="1" customHeight="1" x14ac:dyDescent="0.25">
      <c r="A342" s="183" t="s">
        <v>107</v>
      </c>
      <c r="B342" s="190">
        <v>1467</v>
      </c>
      <c r="C342" s="184">
        <v>2014</v>
      </c>
      <c r="D342" s="183" t="s">
        <v>2094</v>
      </c>
      <c r="E342" s="183" t="s">
        <v>740</v>
      </c>
      <c r="F342" s="184">
        <v>0</v>
      </c>
      <c r="G342" s="183" t="s">
        <v>741</v>
      </c>
      <c r="H342" s="183" t="s">
        <v>2095</v>
      </c>
      <c r="I342" s="183" t="s">
        <v>2096</v>
      </c>
      <c r="J342" s="183" t="s">
        <v>2097</v>
      </c>
      <c r="K342" s="183" t="s">
        <v>2098</v>
      </c>
      <c r="L342" s="184">
        <v>5</v>
      </c>
      <c r="M342" s="184">
        <v>13</v>
      </c>
    </row>
    <row r="343" spans="1:13" ht="17.25" hidden="1" customHeight="1" x14ac:dyDescent="0.25">
      <c r="A343" s="183" t="s">
        <v>107</v>
      </c>
      <c r="B343" s="190">
        <v>1465</v>
      </c>
      <c r="C343" s="184">
        <v>2014</v>
      </c>
      <c r="D343" s="183" t="s">
        <v>2099</v>
      </c>
      <c r="E343" s="183" t="s">
        <v>740</v>
      </c>
      <c r="F343" s="184">
        <v>0</v>
      </c>
      <c r="G343" s="183" t="s">
        <v>741</v>
      </c>
      <c r="H343" s="183" t="s">
        <v>2100</v>
      </c>
      <c r="I343" s="183" t="s">
        <v>2101</v>
      </c>
      <c r="J343" s="183" t="s">
        <v>2102</v>
      </c>
      <c r="K343" s="183" t="s">
        <v>2103</v>
      </c>
      <c r="L343" s="184">
        <v>5</v>
      </c>
      <c r="M343" s="184">
        <v>4.3</v>
      </c>
    </row>
    <row r="344" spans="1:13" ht="17.25" hidden="1" customHeight="1" x14ac:dyDescent="0.25">
      <c r="A344" s="183" t="s">
        <v>107</v>
      </c>
      <c r="B344" s="190">
        <v>1466</v>
      </c>
      <c r="C344" s="184">
        <v>2014</v>
      </c>
      <c r="D344" s="183" t="s">
        <v>2104</v>
      </c>
      <c r="E344" s="183" t="s">
        <v>740</v>
      </c>
      <c r="F344" s="184">
        <v>0</v>
      </c>
      <c r="G344" s="183" t="s">
        <v>741</v>
      </c>
      <c r="H344" s="183" t="s">
        <v>2105</v>
      </c>
      <c r="I344" s="183" t="s">
        <v>2096</v>
      </c>
      <c r="J344" s="183" t="s">
        <v>2106</v>
      </c>
      <c r="K344" s="183" t="s">
        <v>2017</v>
      </c>
      <c r="L344" s="184">
        <v>1</v>
      </c>
      <c r="M344" s="184">
        <v>0.4</v>
      </c>
    </row>
    <row r="345" spans="1:13" ht="17.25" hidden="1" customHeight="1" x14ac:dyDescent="0.25">
      <c r="A345" s="183" t="s">
        <v>108</v>
      </c>
      <c r="B345" s="184">
        <v>919</v>
      </c>
      <c r="C345" s="184">
        <v>2011</v>
      </c>
      <c r="D345" s="183" t="s">
        <v>2107</v>
      </c>
      <c r="E345" s="183" t="s">
        <v>773</v>
      </c>
      <c r="F345" s="185">
        <v>230000</v>
      </c>
      <c r="G345" s="183" t="s">
        <v>740</v>
      </c>
      <c r="H345" s="183" t="s">
        <v>2108</v>
      </c>
      <c r="I345" s="183" t="s">
        <v>2109</v>
      </c>
      <c r="J345" s="183" t="s">
        <v>2110</v>
      </c>
      <c r="K345" s="183" t="s">
        <v>239</v>
      </c>
      <c r="L345" s="184">
        <v>2</v>
      </c>
      <c r="M345" s="184">
        <v>153.30000000000001</v>
      </c>
    </row>
    <row r="346" spans="1:13" ht="17.25" hidden="1" customHeight="1" x14ac:dyDescent="0.25">
      <c r="A346" s="183" t="s">
        <v>108</v>
      </c>
      <c r="B346" s="184">
        <v>924</v>
      </c>
      <c r="C346" s="184">
        <v>2011</v>
      </c>
      <c r="D346" s="183" t="s">
        <v>2111</v>
      </c>
      <c r="E346" s="183" t="s">
        <v>773</v>
      </c>
      <c r="F346" s="185">
        <v>250000</v>
      </c>
      <c r="G346" s="183" t="s">
        <v>741</v>
      </c>
      <c r="H346" s="183" t="s">
        <v>2112</v>
      </c>
      <c r="I346" s="183" t="s">
        <v>2113</v>
      </c>
      <c r="J346" s="183" t="s">
        <v>2114</v>
      </c>
      <c r="K346" s="183" t="s">
        <v>2115</v>
      </c>
      <c r="L346" s="184">
        <v>2</v>
      </c>
      <c r="M346" s="184">
        <v>59</v>
      </c>
    </row>
    <row r="347" spans="1:13" ht="17.25" hidden="1" customHeight="1" x14ac:dyDescent="0.25">
      <c r="A347" s="183" t="s">
        <v>108</v>
      </c>
      <c r="B347" s="184">
        <v>921</v>
      </c>
      <c r="C347" s="184">
        <v>2011</v>
      </c>
      <c r="D347" s="183" t="s">
        <v>2116</v>
      </c>
      <c r="E347" s="183" t="s">
        <v>773</v>
      </c>
      <c r="F347" s="185">
        <v>250000</v>
      </c>
      <c r="G347" s="183" t="s">
        <v>741</v>
      </c>
      <c r="H347" s="183" t="s">
        <v>2117</v>
      </c>
      <c r="I347" s="183" t="s">
        <v>2118</v>
      </c>
      <c r="J347" s="183" t="s">
        <v>2116</v>
      </c>
      <c r="K347" s="183" t="s">
        <v>2119</v>
      </c>
      <c r="L347" s="184">
        <v>6</v>
      </c>
      <c r="M347" s="184">
        <v>30.2</v>
      </c>
    </row>
    <row r="348" spans="1:13" ht="17.25" hidden="1" customHeight="1" x14ac:dyDescent="0.25">
      <c r="A348" s="183" t="s">
        <v>108</v>
      </c>
      <c r="B348" s="184">
        <v>923</v>
      </c>
      <c r="C348" s="184">
        <v>2011</v>
      </c>
      <c r="D348" s="183" t="s">
        <v>2120</v>
      </c>
      <c r="E348" s="183" t="s">
        <v>740</v>
      </c>
      <c r="F348" s="185">
        <v>150000</v>
      </c>
      <c r="G348" s="183" t="s">
        <v>741</v>
      </c>
      <c r="H348" s="183" t="s">
        <v>2121</v>
      </c>
      <c r="I348" s="183" t="s">
        <v>2122</v>
      </c>
      <c r="J348" s="183" t="s">
        <v>2123</v>
      </c>
      <c r="K348" s="183" t="s">
        <v>2124</v>
      </c>
      <c r="L348" s="184">
        <v>3</v>
      </c>
      <c r="M348" s="184">
        <v>5</v>
      </c>
    </row>
    <row r="349" spans="1:13" ht="17.25" hidden="1" customHeight="1" x14ac:dyDescent="0.25">
      <c r="A349" s="183" t="s">
        <v>108</v>
      </c>
      <c r="B349" s="184">
        <v>920</v>
      </c>
      <c r="C349" s="184">
        <v>2011</v>
      </c>
      <c r="D349" s="183" t="s">
        <v>2125</v>
      </c>
      <c r="E349" s="183" t="s">
        <v>773</v>
      </c>
      <c r="F349" s="185">
        <v>35000</v>
      </c>
      <c r="G349" s="183" t="s">
        <v>741</v>
      </c>
      <c r="H349" s="183" t="s">
        <v>2126</v>
      </c>
      <c r="I349" s="183" t="s">
        <v>2127</v>
      </c>
      <c r="J349" s="183" t="s">
        <v>2128</v>
      </c>
      <c r="K349" s="183" t="s">
        <v>2129</v>
      </c>
      <c r="L349" s="184">
        <v>2</v>
      </c>
      <c r="M349" s="184">
        <v>1.2</v>
      </c>
    </row>
    <row r="350" spans="1:13" ht="17.25" hidden="1" customHeight="1" x14ac:dyDescent="0.25">
      <c r="A350" s="183" t="s">
        <v>108</v>
      </c>
      <c r="B350" s="184">
        <v>928</v>
      </c>
      <c r="C350" s="184">
        <v>2012</v>
      </c>
      <c r="D350" s="183" t="s">
        <v>2130</v>
      </c>
      <c r="E350" s="183" t="s">
        <v>740</v>
      </c>
      <c r="F350" s="185">
        <v>200000</v>
      </c>
      <c r="G350" s="183" t="s">
        <v>741</v>
      </c>
      <c r="H350" s="183" t="s">
        <v>2131</v>
      </c>
      <c r="I350" s="183" t="s">
        <v>2132</v>
      </c>
      <c r="J350" s="183" t="s">
        <v>2110</v>
      </c>
      <c r="K350" s="183" t="s">
        <v>239</v>
      </c>
      <c r="L350" s="184">
        <v>2</v>
      </c>
      <c r="M350" s="184">
        <v>153.30000000000001</v>
      </c>
    </row>
    <row r="351" spans="1:13" ht="17.25" hidden="1" customHeight="1" x14ac:dyDescent="0.25">
      <c r="A351" s="183" t="s">
        <v>108</v>
      </c>
      <c r="B351" s="184">
        <v>927</v>
      </c>
      <c r="C351" s="184">
        <v>2012</v>
      </c>
      <c r="D351" s="183" t="s">
        <v>2133</v>
      </c>
      <c r="E351" s="183" t="s">
        <v>740</v>
      </c>
      <c r="F351" s="185">
        <v>200000</v>
      </c>
      <c r="G351" s="183" t="s">
        <v>741</v>
      </c>
      <c r="H351" s="183" t="s">
        <v>2117</v>
      </c>
      <c r="I351" s="183" t="s">
        <v>2134</v>
      </c>
      <c r="J351" s="183" t="s">
        <v>2135</v>
      </c>
      <c r="K351" s="183" t="s">
        <v>2119</v>
      </c>
      <c r="L351" s="184">
        <v>5</v>
      </c>
      <c r="M351" s="184">
        <v>25.5</v>
      </c>
    </row>
    <row r="352" spans="1:13" ht="17.25" hidden="1" customHeight="1" x14ac:dyDescent="0.25">
      <c r="A352" s="183" t="s">
        <v>108</v>
      </c>
      <c r="B352" s="184">
        <v>929</v>
      </c>
      <c r="C352" s="184">
        <v>2012</v>
      </c>
      <c r="D352" s="183" t="s">
        <v>2136</v>
      </c>
      <c r="E352" s="183" t="s">
        <v>740</v>
      </c>
      <c r="F352" s="185">
        <v>200000</v>
      </c>
      <c r="G352" s="183" t="s">
        <v>741</v>
      </c>
      <c r="H352" s="183" t="s">
        <v>2137</v>
      </c>
      <c r="I352" s="183" t="s">
        <v>2138</v>
      </c>
      <c r="J352" s="183" t="s">
        <v>2139</v>
      </c>
      <c r="K352" s="183" t="s">
        <v>2140</v>
      </c>
      <c r="L352" s="184">
        <v>1</v>
      </c>
      <c r="M352" s="184">
        <v>12.6</v>
      </c>
    </row>
    <row r="353" spans="1:13" ht="17.25" hidden="1" customHeight="1" x14ac:dyDescent="0.25">
      <c r="A353" s="183" t="s">
        <v>108</v>
      </c>
      <c r="B353" s="184">
        <v>925</v>
      </c>
      <c r="C353" s="184">
        <v>2012</v>
      </c>
      <c r="D353" s="183" t="s">
        <v>2141</v>
      </c>
      <c r="E353" s="183" t="s">
        <v>740</v>
      </c>
      <c r="F353" s="185">
        <v>200000</v>
      </c>
      <c r="G353" s="183" t="s">
        <v>741</v>
      </c>
      <c r="H353" s="183" t="s">
        <v>2142</v>
      </c>
      <c r="I353" s="183" t="s">
        <v>2143</v>
      </c>
      <c r="J353" s="183" t="s">
        <v>2144</v>
      </c>
      <c r="K353" s="183" t="s">
        <v>239</v>
      </c>
      <c r="L353" s="184">
        <v>6</v>
      </c>
      <c r="M353" s="184">
        <v>2.2000000000000002</v>
      </c>
    </row>
    <row r="354" spans="1:13" ht="17.25" hidden="1" customHeight="1" x14ac:dyDescent="0.25">
      <c r="A354" s="183" t="s">
        <v>108</v>
      </c>
      <c r="B354" s="184">
        <v>932</v>
      </c>
      <c r="C354" s="184">
        <v>2014</v>
      </c>
      <c r="D354" s="183" t="s">
        <v>2145</v>
      </c>
      <c r="E354" s="183" t="s">
        <v>740</v>
      </c>
      <c r="F354" s="184">
        <v>0</v>
      </c>
      <c r="G354" s="183" t="s">
        <v>773</v>
      </c>
      <c r="H354" s="183" t="s">
        <v>2146</v>
      </c>
      <c r="I354" s="183" t="s">
        <v>2147</v>
      </c>
      <c r="J354" s="183" t="s">
        <v>2148</v>
      </c>
      <c r="K354" s="183" t="s">
        <v>2149</v>
      </c>
      <c r="L354" s="184">
        <v>1</v>
      </c>
      <c r="M354" s="184">
        <v>154.19999999999999</v>
      </c>
    </row>
    <row r="355" spans="1:13" ht="17.25" hidden="1" customHeight="1" x14ac:dyDescent="0.25">
      <c r="A355" s="183" t="s">
        <v>108</v>
      </c>
      <c r="B355" s="184">
        <v>931</v>
      </c>
      <c r="C355" s="184">
        <v>2014</v>
      </c>
      <c r="D355" s="183" t="s">
        <v>2150</v>
      </c>
      <c r="E355" s="183" t="s">
        <v>740</v>
      </c>
      <c r="F355" s="184">
        <v>0</v>
      </c>
      <c r="G355" s="183" t="s">
        <v>741</v>
      </c>
      <c r="H355" s="183" t="s">
        <v>2151</v>
      </c>
      <c r="I355" s="183" t="s">
        <v>2152</v>
      </c>
      <c r="J355" s="183" t="s">
        <v>2153</v>
      </c>
      <c r="K355" s="183" t="s">
        <v>2154</v>
      </c>
      <c r="L355" s="184">
        <v>1</v>
      </c>
      <c r="M355" s="184">
        <v>130</v>
      </c>
    </row>
    <row r="356" spans="1:13" ht="17.25" hidden="1" customHeight="1" x14ac:dyDescent="0.25">
      <c r="A356" s="183" t="s">
        <v>108</v>
      </c>
      <c r="B356" s="184">
        <v>933</v>
      </c>
      <c r="C356" s="184">
        <v>2014</v>
      </c>
      <c r="D356" s="183" t="s">
        <v>2155</v>
      </c>
      <c r="E356" s="183" t="s">
        <v>740</v>
      </c>
      <c r="F356" s="184">
        <v>0</v>
      </c>
      <c r="G356" s="183" t="s">
        <v>741</v>
      </c>
      <c r="H356" s="183" t="s">
        <v>2112</v>
      </c>
      <c r="I356" s="183" t="s">
        <v>2156</v>
      </c>
      <c r="J356" s="183" t="s">
        <v>2157</v>
      </c>
      <c r="K356" s="183" t="s">
        <v>2158</v>
      </c>
      <c r="L356" s="184">
        <v>2</v>
      </c>
      <c r="M356" s="184">
        <v>34</v>
      </c>
    </row>
    <row r="357" spans="1:13" ht="17.25" hidden="1" customHeight="1" x14ac:dyDescent="0.25">
      <c r="A357" s="183" t="s">
        <v>277</v>
      </c>
      <c r="B357" s="184">
        <v>495</v>
      </c>
      <c r="C357" s="184">
        <v>2011</v>
      </c>
      <c r="D357" s="183" t="s">
        <v>2159</v>
      </c>
      <c r="E357" s="183" t="s">
        <v>740</v>
      </c>
      <c r="F357" s="185">
        <v>111587</v>
      </c>
      <c r="G357" s="183" t="s">
        <v>749</v>
      </c>
      <c r="H357" s="183" t="s">
        <v>2160</v>
      </c>
      <c r="I357" s="183"/>
      <c r="J357" s="183" t="s">
        <v>2161</v>
      </c>
      <c r="K357" s="183" t="s">
        <v>1307</v>
      </c>
      <c r="L357" s="184">
        <v>3</v>
      </c>
      <c r="M357" s="184">
        <v>4.9000000000000004</v>
      </c>
    </row>
    <row r="358" spans="1:13" ht="17.25" hidden="1" customHeight="1" x14ac:dyDescent="0.25">
      <c r="A358" s="183" t="s">
        <v>277</v>
      </c>
      <c r="B358" s="184">
        <v>501</v>
      </c>
      <c r="C358" s="184">
        <v>2014</v>
      </c>
      <c r="D358" s="183" t="s">
        <v>2162</v>
      </c>
      <c r="E358" s="183" t="s">
        <v>740</v>
      </c>
      <c r="F358" s="184">
        <v>0</v>
      </c>
      <c r="G358" s="183" t="s">
        <v>740</v>
      </c>
      <c r="H358" s="183" t="s">
        <v>2163</v>
      </c>
      <c r="I358" s="183" t="s">
        <v>2164</v>
      </c>
      <c r="J358" s="183" t="s">
        <v>2165</v>
      </c>
      <c r="K358" s="183" t="s">
        <v>2166</v>
      </c>
      <c r="L358" s="184">
        <v>6</v>
      </c>
      <c r="M358" s="184">
        <v>46</v>
      </c>
    </row>
    <row r="359" spans="1:13" ht="17.25" hidden="1" customHeight="1" x14ac:dyDescent="0.25">
      <c r="A359" s="183" t="s">
        <v>277</v>
      </c>
      <c r="B359" s="184">
        <v>502</v>
      </c>
      <c r="C359" s="184">
        <v>2014</v>
      </c>
      <c r="D359" s="183" t="s">
        <v>2167</v>
      </c>
      <c r="E359" s="183" t="s">
        <v>740</v>
      </c>
      <c r="F359" s="184">
        <v>0</v>
      </c>
      <c r="G359" s="183" t="s">
        <v>741</v>
      </c>
      <c r="H359" s="183" t="s">
        <v>2168</v>
      </c>
      <c r="I359" s="183" t="s">
        <v>2169</v>
      </c>
      <c r="J359" s="183" t="s">
        <v>2167</v>
      </c>
      <c r="K359" s="183" t="s">
        <v>2170</v>
      </c>
      <c r="L359" s="184">
        <v>2</v>
      </c>
      <c r="M359" s="184">
        <v>30</v>
      </c>
    </row>
    <row r="360" spans="1:13" ht="17.25" hidden="1" customHeight="1" x14ac:dyDescent="0.25">
      <c r="A360" s="183" t="s">
        <v>277</v>
      </c>
      <c r="B360" s="184">
        <v>500</v>
      </c>
      <c r="C360" s="184">
        <v>2014</v>
      </c>
      <c r="D360" s="183" t="s">
        <v>2171</v>
      </c>
      <c r="E360" s="183" t="s">
        <v>740</v>
      </c>
      <c r="F360" s="184">
        <v>0</v>
      </c>
      <c r="G360" s="183" t="s">
        <v>741</v>
      </c>
      <c r="H360" s="183" t="s">
        <v>2172</v>
      </c>
      <c r="I360" s="183" t="s">
        <v>2173</v>
      </c>
      <c r="J360" s="183" t="s">
        <v>2171</v>
      </c>
      <c r="K360" s="183" t="s">
        <v>2174</v>
      </c>
      <c r="L360" s="184">
        <v>9</v>
      </c>
      <c r="M360" s="184">
        <v>1</v>
      </c>
    </row>
    <row r="361" spans="1:13" ht="17.25" hidden="1" customHeight="1" x14ac:dyDescent="0.25">
      <c r="A361" s="183" t="s">
        <v>277</v>
      </c>
      <c r="B361" s="184">
        <v>497</v>
      </c>
      <c r="C361" s="184">
        <v>2014</v>
      </c>
      <c r="D361" s="183" t="s">
        <v>2175</v>
      </c>
      <c r="E361" s="183" t="s">
        <v>740</v>
      </c>
      <c r="F361" s="184">
        <v>0</v>
      </c>
      <c r="G361" s="183" t="s">
        <v>749</v>
      </c>
      <c r="H361" s="183" t="s">
        <v>2176</v>
      </c>
      <c r="I361" s="183" t="s">
        <v>2177</v>
      </c>
      <c r="J361" s="183" t="s">
        <v>2175</v>
      </c>
      <c r="K361" s="183" t="s">
        <v>2170</v>
      </c>
      <c r="L361" s="184">
        <v>2</v>
      </c>
      <c r="M361" s="184">
        <v>21.2</v>
      </c>
    </row>
    <row r="362" spans="1:13" ht="17.25" hidden="1" customHeight="1" x14ac:dyDescent="0.25">
      <c r="A362" s="183" t="s">
        <v>277</v>
      </c>
      <c r="B362" s="184">
        <v>498</v>
      </c>
      <c r="C362" s="184">
        <v>2014</v>
      </c>
      <c r="D362" s="183" t="s">
        <v>2178</v>
      </c>
      <c r="E362" s="183" t="s">
        <v>740</v>
      </c>
      <c r="F362" s="184">
        <v>0</v>
      </c>
      <c r="G362" s="183" t="s">
        <v>749</v>
      </c>
      <c r="H362" s="183" t="s">
        <v>2179</v>
      </c>
      <c r="I362" s="183" t="s">
        <v>2180</v>
      </c>
      <c r="J362" s="183" t="s">
        <v>2178</v>
      </c>
      <c r="K362" s="183" t="s">
        <v>1307</v>
      </c>
      <c r="L362" s="184">
        <v>3</v>
      </c>
      <c r="M362" s="184">
        <v>7</v>
      </c>
    </row>
    <row r="363" spans="1:13" ht="17.25" hidden="1" customHeight="1" x14ac:dyDescent="0.25">
      <c r="A363" s="183" t="s">
        <v>22</v>
      </c>
      <c r="B363" s="184">
        <v>386</v>
      </c>
      <c r="C363" s="184">
        <v>2011</v>
      </c>
      <c r="D363" s="183" t="s">
        <v>2181</v>
      </c>
      <c r="E363" s="183" t="s">
        <v>740</v>
      </c>
      <c r="F363" s="185">
        <v>400000</v>
      </c>
      <c r="G363" s="183" t="s">
        <v>741</v>
      </c>
      <c r="H363" s="183" t="s">
        <v>1672</v>
      </c>
      <c r="I363" s="183" t="s">
        <v>2182</v>
      </c>
      <c r="J363" s="183" t="s">
        <v>2181</v>
      </c>
      <c r="K363" s="183" t="s">
        <v>2183</v>
      </c>
      <c r="L363" s="184">
        <v>5</v>
      </c>
      <c r="M363" s="184">
        <v>776</v>
      </c>
    </row>
    <row r="364" spans="1:13" ht="17.25" hidden="1" customHeight="1" x14ac:dyDescent="0.25">
      <c r="A364" s="183" t="s">
        <v>22</v>
      </c>
      <c r="B364" s="184">
        <v>388</v>
      </c>
      <c r="C364" s="184">
        <v>2012</v>
      </c>
      <c r="D364" s="183" t="s">
        <v>2184</v>
      </c>
      <c r="E364" s="183" t="s">
        <v>740</v>
      </c>
      <c r="F364" s="185">
        <v>950000</v>
      </c>
      <c r="G364" s="183" t="s">
        <v>740</v>
      </c>
      <c r="H364" s="183" t="s">
        <v>1672</v>
      </c>
      <c r="I364" s="183" t="s">
        <v>2185</v>
      </c>
      <c r="J364" s="183" t="s">
        <v>2186</v>
      </c>
      <c r="K364" s="183" t="s">
        <v>2187</v>
      </c>
      <c r="L364" s="184">
        <v>6</v>
      </c>
      <c r="M364" s="184">
        <v>382</v>
      </c>
    </row>
    <row r="365" spans="1:13" ht="17.25" hidden="1" customHeight="1" x14ac:dyDescent="0.25">
      <c r="A365" s="183" t="s">
        <v>110</v>
      </c>
      <c r="B365" s="184">
        <v>834</v>
      </c>
      <c r="C365" s="184">
        <v>2011</v>
      </c>
      <c r="D365" s="183" t="s">
        <v>2188</v>
      </c>
      <c r="E365" s="183" t="s">
        <v>773</v>
      </c>
      <c r="F365" s="185">
        <v>200000</v>
      </c>
      <c r="G365" s="183" t="s">
        <v>740</v>
      </c>
      <c r="H365" s="183" t="s">
        <v>2189</v>
      </c>
      <c r="I365" s="183"/>
      <c r="J365" s="183" t="s">
        <v>2190</v>
      </c>
      <c r="K365" s="183" t="s">
        <v>2012</v>
      </c>
      <c r="L365" s="184">
        <v>1</v>
      </c>
      <c r="M365" s="185">
        <v>5800</v>
      </c>
    </row>
    <row r="366" spans="1:13" ht="17.25" hidden="1" customHeight="1" x14ac:dyDescent="0.25">
      <c r="A366" s="183" t="s">
        <v>110</v>
      </c>
      <c r="B366" s="184">
        <v>833</v>
      </c>
      <c r="C366" s="184">
        <v>2011</v>
      </c>
      <c r="D366" s="183" t="s">
        <v>2191</v>
      </c>
      <c r="E366" s="183" t="s">
        <v>773</v>
      </c>
      <c r="F366" s="185">
        <v>57000</v>
      </c>
      <c r="G366" s="183" t="s">
        <v>741</v>
      </c>
      <c r="H366" s="183" t="s">
        <v>2192</v>
      </c>
      <c r="I366" s="183"/>
      <c r="J366" s="183" t="s">
        <v>2193</v>
      </c>
      <c r="K366" s="183" t="s">
        <v>2194</v>
      </c>
      <c r="L366" s="184">
        <v>2</v>
      </c>
      <c r="M366" s="184">
        <v>9.3000000000000007</v>
      </c>
    </row>
    <row r="367" spans="1:13" ht="17.25" hidden="1" customHeight="1" x14ac:dyDescent="0.25">
      <c r="A367" s="183" t="s">
        <v>110</v>
      </c>
      <c r="B367" s="184">
        <v>832</v>
      </c>
      <c r="C367" s="184">
        <v>2011</v>
      </c>
      <c r="D367" s="183" t="s">
        <v>2195</v>
      </c>
      <c r="E367" s="183" t="s">
        <v>740</v>
      </c>
      <c r="F367" s="185">
        <v>16412</v>
      </c>
      <c r="G367" s="183" t="s">
        <v>741</v>
      </c>
      <c r="H367" s="183" t="s">
        <v>2196</v>
      </c>
      <c r="I367" s="183"/>
      <c r="J367" s="183" t="s">
        <v>2197</v>
      </c>
      <c r="K367" s="183" t="s">
        <v>2194</v>
      </c>
      <c r="L367" s="184">
        <v>2</v>
      </c>
      <c r="M367" s="184">
        <v>8.3000000000000007</v>
      </c>
    </row>
    <row r="368" spans="1:13" ht="17.25" hidden="1" customHeight="1" x14ac:dyDescent="0.25">
      <c r="A368" s="183" t="s">
        <v>110</v>
      </c>
      <c r="B368" s="184">
        <v>830</v>
      </c>
      <c r="C368" s="184">
        <v>2011</v>
      </c>
      <c r="D368" s="183" t="s">
        <v>2198</v>
      </c>
      <c r="E368" s="183" t="s">
        <v>773</v>
      </c>
      <c r="F368" s="185">
        <v>25000</v>
      </c>
      <c r="G368" s="183" t="s">
        <v>741</v>
      </c>
      <c r="H368" s="183" t="s">
        <v>2199</v>
      </c>
      <c r="I368" s="183"/>
      <c r="J368" s="183" t="s">
        <v>2200</v>
      </c>
      <c r="K368" s="183" t="s">
        <v>2201</v>
      </c>
      <c r="L368" s="184">
        <v>2</v>
      </c>
      <c r="M368" s="184">
        <v>6.2</v>
      </c>
    </row>
    <row r="369" spans="1:13" ht="17.25" hidden="1" customHeight="1" x14ac:dyDescent="0.25">
      <c r="A369" s="183" t="s">
        <v>110</v>
      </c>
      <c r="B369" s="184">
        <v>831</v>
      </c>
      <c r="C369" s="184">
        <v>2011</v>
      </c>
      <c r="D369" s="183" t="s">
        <v>2202</v>
      </c>
      <c r="E369" s="183" t="s">
        <v>740</v>
      </c>
      <c r="F369" s="185">
        <v>74850</v>
      </c>
      <c r="G369" s="183" t="s">
        <v>741</v>
      </c>
      <c r="H369" s="183" t="s">
        <v>2203</v>
      </c>
      <c r="I369" s="183"/>
      <c r="J369" s="183" t="s">
        <v>2204</v>
      </c>
      <c r="K369" s="183" t="s">
        <v>2205</v>
      </c>
      <c r="L369" s="184">
        <v>1</v>
      </c>
      <c r="M369" s="184">
        <v>4</v>
      </c>
    </row>
    <row r="370" spans="1:13" ht="17.25" hidden="1" customHeight="1" x14ac:dyDescent="0.25">
      <c r="A370" s="183" t="s">
        <v>110</v>
      </c>
      <c r="B370" s="184">
        <v>835</v>
      </c>
      <c r="C370" s="184">
        <v>2011</v>
      </c>
      <c r="D370" s="183" t="s">
        <v>2206</v>
      </c>
      <c r="E370" s="183" t="s">
        <v>740</v>
      </c>
      <c r="F370" s="185">
        <v>43473</v>
      </c>
      <c r="G370" s="183" t="s">
        <v>749</v>
      </c>
      <c r="H370" s="183" t="s">
        <v>2189</v>
      </c>
      <c r="I370" s="183"/>
      <c r="J370" s="183" t="s">
        <v>2207</v>
      </c>
      <c r="K370" s="183" t="s">
        <v>2208</v>
      </c>
      <c r="L370" s="184">
        <v>1</v>
      </c>
      <c r="M370" s="184">
        <v>7.6</v>
      </c>
    </row>
    <row r="371" spans="1:13" ht="17.25" hidden="1" customHeight="1" x14ac:dyDescent="0.25">
      <c r="A371" s="183" t="s">
        <v>110</v>
      </c>
      <c r="B371" s="184">
        <v>837</v>
      </c>
      <c r="C371" s="184">
        <v>2012</v>
      </c>
      <c r="D371" s="183" t="s">
        <v>2209</v>
      </c>
      <c r="E371" s="183" t="s">
        <v>740</v>
      </c>
      <c r="F371" s="185">
        <v>75000</v>
      </c>
      <c r="G371" s="183" t="s">
        <v>741</v>
      </c>
      <c r="H371" s="183" t="s">
        <v>2210</v>
      </c>
      <c r="I371" s="183" t="s">
        <v>2211</v>
      </c>
      <c r="J371" s="183" t="s">
        <v>2212</v>
      </c>
      <c r="K371" s="183" t="s">
        <v>2012</v>
      </c>
      <c r="L371" s="184">
        <v>1</v>
      </c>
      <c r="M371" s="184">
        <v>250</v>
      </c>
    </row>
    <row r="372" spans="1:13" ht="17.25" hidden="1" customHeight="1" x14ac:dyDescent="0.25">
      <c r="A372" s="183" t="s">
        <v>110</v>
      </c>
      <c r="B372" s="184">
        <v>842</v>
      </c>
      <c r="C372" s="184">
        <v>2012</v>
      </c>
      <c r="D372" s="183" t="s">
        <v>2213</v>
      </c>
      <c r="E372" s="183" t="s">
        <v>740</v>
      </c>
      <c r="F372" s="185">
        <v>13441</v>
      </c>
      <c r="G372" s="183" t="s">
        <v>741</v>
      </c>
      <c r="H372" s="183" t="s">
        <v>2214</v>
      </c>
      <c r="I372" s="183" t="s">
        <v>2215</v>
      </c>
      <c r="J372" s="183" t="s">
        <v>2216</v>
      </c>
      <c r="K372" s="183" t="s">
        <v>1833</v>
      </c>
      <c r="L372" s="184">
        <v>2</v>
      </c>
      <c r="M372" s="184">
        <v>18.100000000000001</v>
      </c>
    </row>
    <row r="373" spans="1:13" ht="17.25" hidden="1" customHeight="1" x14ac:dyDescent="0.25">
      <c r="A373" s="183" t="s">
        <v>110</v>
      </c>
      <c r="B373" s="184">
        <v>839</v>
      </c>
      <c r="C373" s="184">
        <v>2012</v>
      </c>
      <c r="D373" s="183" t="s">
        <v>2217</v>
      </c>
      <c r="E373" s="183" t="s">
        <v>740</v>
      </c>
      <c r="F373" s="185">
        <v>27966</v>
      </c>
      <c r="G373" s="183" t="s">
        <v>741</v>
      </c>
      <c r="H373" s="183" t="s">
        <v>2218</v>
      </c>
      <c r="I373" s="183" t="s">
        <v>2219</v>
      </c>
      <c r="J373" s="183" t="s">
        <v>2220</v>
      </c>
      <c r="K373" s="183" t="s">
        <v>2221</v>
      </c>
      <c r="L373" s="184">
        <v>1</v>
      </c>
      <c r="M373" s="184">
        <v>10.4</v>
      </c>
    </row>
    <row r="374" spans="1:13" ht="17.25" hidden="1" customHeight="1" x14ac:dyDescent="0.25">
      <c r="A374" s="183" t="s">
        <v>110</v>
      </c>
      <c r="B374" s="184">
        <v>836</v>
      </c>
      <c r="C374" s="184">
        <v>2012</v>
      </c>
      <c r="D374" s="183" t="s">
        <v>2222</v>
      </c>
      <c r="E374" s="183" t="s">
        <v>740</v>
      </c>
      <c r="F374" s="185">
        <v>25000</v>
      </c>
      <c r="G374" s="183" t="s">
        <v>741</v>
      </c>
      <c r="H374" s="183" t="s">
        <v>2223</v>
      </c>
      <c r="I374" s="183" t="s">
        <v>2224</v>
      </c>
      <c r="J374" s="183" t="s">
        <v>2225</v>
      </c>
      <c r="K374" s="183" t="s">
        <v>2201</v>
      </c>
      <c r="L374" s="184">
        <v>2</v>
      </c>
      <c r="M374" s="184">
        <v>3.6</v>
      </c>
    </row>
    <row r="375" spans="1:13" ht="17.25" hidden="1" customHeight="1" x14ac:dyDescent="0.25">
      <c r="A375" s="183" t="s">
        <v>110</v>
      </c>
      <c r="B375" s="184">
        <v>838</v>
      </c>
      <c r="C375" s="184">
        <v>2012</v>
      </c>
      <c r="D375" s="183" t="s">
        <v>2226</v>
      </c>
      <c r="E375" s="183" t="s">
        <v>740</v>
      </c>
      <c r="F375" s="185">
        <v>36500</v>
      </c>
      <c r="G375" s="183" t="s">
        <v>741</v>
      </c>
      <c r="H375" s="183" t="s">
        <v>2227</v>
      </c>
      <c r="I375" s="183" t="s">
        <v>2228</v>
      </c>
      <c r="J375" s="183" t="s">
        <v>2229</v>
      </c>
      <c r="K375" s="183" t="s">
        <v>2208</v>
      </c>
      <c r="L375" s="184">
        <v>1</v>
      </c>
      <c r="M375" s="184">
        <v>2.4</v>
      </c>
    </row>
    <row r="376" spans="1:13" ht="17.25" hidden="1" customHeight="1" x14ac:dyDescent="0.25">
      <c r="A376" s="183" t="s">
        <v>110</v>
      </c>
      <c r="B376" s="184">
        <v>840</v>
      </c>
      <c r="C376" s="184">
        <v>2012</v>
      </c>
      <c r="D376" s="183" t="s">
        <v>2230</v>
      </c>
      <c r="E376" s="183" t="s">
        <v>740</v>
      </c>
      <c r="F376" s="185">
        <v>18617</v>
      </c>
      <c r="G376" s="183" t="s">
        <v>741</v>
      </c>
      <c r="H376" s="183" t="s">
        <v>2231</v>
      </c>
      <c r="I376" s="183" t="s">
        <v>2232</v>
      </c>
      <c r="J376" s="183" t="s">
        <v>2233</v>
      </c>
      <c r="K376" s="183" t="s">
        <v>2234</v>
      </c>
      <c r="L376" s="184">
        <v>1</v>
      </c>
      <c r="M376" s="184">
        <v>1.4</v>
      </c>
    </row>
    <row r="377" spans="1:13" ht="17.25" hidden="1" customHeight="1" x14ac:dyDescent="0.25">
      <c r="A377" s="183" t="s">
        <v>110</v>
      </c>
      <c r="B377" s="184">
        <v>845</v>
      </c>
      <c r="C377" s="184">
        <v>2012</v>
      </c>
      <c r="D377" s="183" t="s">
        <v>2235</v>
      </c>
      <c r="E377" s="183" t="s">
        <v>740</v>
      </c>
      <c r="F377" s="185">
        <v>59141</v>
      </c>
      <c r="G377" s="183" t="s">
        <v>749</v>
      </c>
      <c r="H377" s="183" t="s">
        <v>2214</v>
      </c>
      <c r="I377" s="183" t="s">
        <v>2236</v>
      </c>
      <c r="J377" s="183" t="s">
        <v>2237</v>
      </c>
      <c r="K377" s="183" t="s">
        <v>2221</v>
      </c>
      <c r="L377" s="184">
        <v>1</v>
      </c>
      <c r="M377" s="185">
        <v>1344.8</v>
      </c>
    </row>
    <row r="378" spans="1:13" ht="17.25" hidden="1" customHeight="1" x14ac:dyDescent="0.25">
      <c r="A378" s="183" t="s">
        <v>110</v>
      </c>
      <c r="B378" s="184">
        <v>841</v>
      </c>
      <c r="C378" s="184">
        <v>2012</v>
      </c>
      <c r="D378" s="183" t="s">
        <v>2238</v>
      </c>
      <c r="E378" s="183" t="s">
        <v>740</v>
      </c>
      <c r="F378" s="185">
        <v>107530</v>
      </c>
      <c r="G378" s="183" t="s">
        <v>749</v>
      </c>
      <c r="H378" s="183" t="s">
        <v>2214</v>
      </c>
      <c r="I378" s="183" t="s">
        <v>2239</v>
      </c>
      <c r="J378" s="183" t="s">
        <v>2240</v>
      </c>
      <c r="K378" s="183" t="s">
        <v>1583</v>
      </c>
      <c r="L378" s="184">
        <v>1</v>
      </c>
      <c r="M378" s="184">
        <v>0.3</v>
      </c>
    </row>
    <row r="379" spans="1:13" ht="17.25" hidden="1" customHeight="1" x14ac:dyDescent="0.25">
      <c r="A379" s="183" t="s">
        <v>110</v>
      </c>
      <c r="B379" s="184">
        <v>843</v>
      </c>
      <c r="C379" s="184">
        <v>2012</v>
      </c>
      <c r="D379" s="183" t="s">
        <v>2241</v>
      </c>
      <c r="E379" s="183" t="s">
        <v>740</v>
      </c>
      <c r="F379" s="185">
        <v>5377</v>
      </c>
      <c r="G379" s="183" t="s">
        <v>749</v>
      </c>
      <c r="H379" s="183" t="s">
        <v>2214</v>
      </c>
      <c r="I379" s="183" t="s">
        <v>2242</v>
      </c>
      <c r="J379" s="183" t="s">
        <v>2243</v>
      </c>
      <c r="K379" s="183" t="s">
        <v>2012</v>
      </c>
      <c r="L379" s="184">
        <v>1</v>
      </c>
      <c r="M379" s="184">
        <v>0.1</v>
      </c>
    </row>
    <row r="380" spans="1:13" ht="17.25" hidden="1" customHeight="1" x14ac:dyDescent="0.25">
      <c r="A380" s="183" t="s">
        <v>110</v>
      </c>
      <c r="B380" s="184">
        <v>847</v>
      </c>
      <c r="C380" s="184">
        <v>2013</v>
      </c>
      <c r="D380" s="183" t="s">
        <v>2244</v>
      </c>
      <c r="E380" s="183" t="s">
        <v>740</v>
      </c>
      <c r="F380" s="189">
        <v>58850</v>
      </c>
      <c r="G380" s="183" t="s">
        <v>749</v>
      </c>
      <c r="H380" s="183" t="s">
        <v>2245</v>
      </c>
      <c r="I380" s="183" t="s">
        <v>2246</v>
      </c>
      <c r="J380" s="183" t="s">
        <v>2247</v>
      </c>
      <c r="K380" s="183" t="s">
        <v>2248</v>
      </c>
      <c r="L380" s="184">
        <v>0</v>
      </c>
      <c r="M380" s="184">
        <v>23.5</v>
      </c>
    </row>
    <row r="381" spans="1:13" ht="17.25" hidden="1" customHeight="1" x14ac:dyDescent="0.25">
      <c r="A381" s="183" t="s">
        <v>110</v>
      </c>
      <c r="B381" s="184">
        <v>848</v>
      </c>
      <c r="C381" s="184">
        <v>2013</v>
      </c>
      <c r="D381" s="183" t="s">
        <v>2249</v>
      </c>
      <c r="E381" s="183" t="s">
        <v>740</v>
      </c>
      <c r="F381" s="189">
        <v>5470</v>
      </c>
      <c r="G381" s="183" t="s">
        <v>749</v>
      </c>
      <c r="H381" s="183" t="s">
        <v>2250</v>
      </c>
      <c r="I381" s="183" t="s">
        <v>2251</v>
      </c>
      <c r="J381" s="183" t="s">
        <v>2252</v>
      </c>
      <c r="K381" s="183" t="s">
        <v>2253</v>
      </c>
      <c r="L381" s="184">
        <v>0</v>
      </c>
      <c r="M381" s="184">
        <v>19</v>
      </c>
    </row>
    <row r="382" spans="1:13" ht="17.25" hidden="1" customHeight="1" x14ac:dyDescent="0.25">
      <c r="A382" s="183" t="s">
        <v>110</v>
      </c>
      <c r="B382" s="184">
        <v>846</v>
      </c>
      <c r="C382" s="184">
        <v>2013</v>
      </c>
      <c r="D382" s="183" t="s">
        <v>2254</v>
      </c>
      <c r="E382" s="183" t="s">
        <v>740</v>
      </c>
      <c r="F382" s="189">
        <v>147900</v>
      </c>
      <c r="G382" s="183" t="s">
        <v>749</v>
      </c>
      <c r="H382" s="183" t="s">
        <v>2255</v>
      </c>
      <c r="I382" s="183" t="s">
        <v>2256</v>
      </c>
      <c r="J382" s="183" t="s">
        <v>2257</v>
      </c>
      <c r="K382" s="183" t="s">
        <v>2248</v>
      </c>
      <c r="L382" s="184">
        <v>0</v>
      </c>
      <c r="M382" s="184">
        <v>13</v>
      </c>
    </row>
    <row r="383" spans="1:13" ht="17.25" hidden="1" customHeight="1" x14ac:dyDescent="0.25">
      <c r="A383" s="183" t="s">
        <v>110</v>
      </c>
      <c r="B383" s="184">
        <v>850</v>
      </c>
      <c r="C383" s="184">
        <v>2014</v>
      </c>
      <c r="D383" s="183" t="s">
        <v>2258</v>
      </c>
      <c r="E383" s="183" t="s">
        <v>740</v>
      </c>
      <c r="F383" s="184">
        <v>0</v>
      </c>
      <c r="G383" s="183" t="s">
        <v>741</v>
      </c>
      <c r="H383" s="183" t="s">
        <v>2259</v>
      </c>
      <c r="I383" s="183" t="s">
        <v>2260</v>
      </c>
      <c r="J383" s="183" t="s">
        <v>2261</v>
      </c>
      <c r="K383" s="183" t="s">
        <v>864</v>
      </c>
      <c r="L383" s="184">
        <v>2</v>
      </c>
      <c r="M383" s="184">
        <v>6</v>
      </c>
    </row>
    <row r="384" spans="1:13" ht="17.25" hidden="1" customHeight="1" x14ac:dyDescent="0.25">
      <c r="A384" s="183" t="s">
        <v>110</v>
      </c>
      <c r="B384" s="184">
        <v>853</v>
      </c>
      <c r="C384" s="184">
        <v>2014</v>
      </c>
      <c r="D384" s="183" t="s">
        <v>2262</v>
      </c>
      <c r="E384" s="183" t="s">
        <v>740</v>
      </c>
      <c r="F384" s="184">
        <v>0</v>
      </c>
      <c r="G384" s="183" t="s">
        <v>749</v>
      </c>
      <c r="H384" s="183" t="s">
        <v>2263</v>
      </c>
      <c r="I384" s="183" t="s">
        <v>2264</v>
      </c>
      <c r="J384" s="183" t="s">
        <v>2265</v>
      </c>
      <c r="K384" s="183" t="s">
        <v>2266</v>
      </c>
      <c r="L384" s="184">
        <v>2</v>
      </c>
      <c r="M384" s="184">
        <v>12</v>
      </c>
    </row>
    <row r="385" spans="1:13" ht="17.25" hidden="1" customHeight="1" x14ac:dyDescent="0.25">
      <c r="A385" s="183" t="s">
        <v>110</v>
      </c>
      <c r="B385" s="184">
        <v>851</v>
      </c>
      <c r="C385" s="184">
        <v>2014</v>
      </c>
      <c r="D385" s="183" t="s">
        <v>2267</v>
      </c>
      <c r="E385" s="183" t="s">
        <v>740</v>
      </c>
      <c r="F385" s="184">
        <v>0</v>
      </c>
      <c r="G385" s="183" t="s">
        <v>749</v>
      </c>
      <c r="H385" s="183" t="s">
        <v>2268</v>
      </c>
      <c r="I385" s="183" t="s">
        <v>2269</v>
      </c>
      <c r="J385" s="183" t="s">
        <v>2270</v>
      </c>
      <c r="K385" s="183" t="s">
        <v>2208</v>
      </c>
      <c r="L385" s="184">
        <v>2</v>
      </c>
      <c r="M385" s="184">
        <v>6</v>
      </c>
    </row>
    <row r="386" spans="1:13" ht="17.25" hidden="1" customHeight="1" x14ac:dyDescent="0.25">
      <c r="A386" s="183" t="s">
        <v>10</v>
      </c>
      <c r="B386" s="190">
        <v>1707</v>
      </c>
      <c r="C386" s="184">
        <v>2011</v>
      </c>
      <c r="D386" s="183" t="s">
        <v>2271</v>
      </c>
      <c r="E386" s="183" t="s">
        <v>740</v>
      </c>
      <c r="F386" s="185">
        <v>171225</v>
      </c>
      <c r="G386" s="183" t="s">
        <v>741</v>
      </c>
      <c r="H386" s="183" t="s">
        <v>1672</v>
      </c>
      <c r="I386" s="183" t="s">
        <v>2272</v>
      </c>
      <c r="J386" s="183" t="s">
        <v>2273</v>
      </c>
      <c r="K386" s="183" t="s">
        <v>2039</v>
      </c>
      <c r="L386" s="184">
        <v>2</v>
      </c>
      <c r="M386" s="185">
        <v>5300</v>
      </c>
    </row>
    <row r="387" spans="1:13" ht="17.25" hidden="1" customHeight="1" x14ac:dyDescent="0.25">
      <c r="A387" s="183" t="s">
        <v>10</v>
      </c>
      <c r="B387" s="190">
        <v>1708</v>
      </c>
      <c r="C387" s="184">
        <v>2011</v>
      </c>
      <c r="D387" s="183" t="s">
        <v>2274</v>
      </c>
      <c r="E387" s="183" t="s">
        <v>740</v>
      </c>
      <c r="F387" s="185">
        <v>332910</v>
      </c>
      <c r="G387" s="183" t="s">
        <v>741</v>
      </c>
      <c r="H387" s="183" t="s">
        <v>1672</v>
      </c>
      <c r="I387" s="183" t="s">
        <v>2275</v>
      </c>
      <c r="J387" s="183" t="s">
        <v>2276</v>
      </c>
      <c r="K387" s="183" t="s">
        <v>2277</v>
      </c>
      <c r="L387" s="184">
        <v>2</v>
      </c>
      <c r="M387" s="184">
        <v>142</v>
      </c>
    </row>
    <row r="388" spans="1:13" ht="17.25" hidden="1" customHeight="1" x14ac:dyDescent="0.25">
      <c r="A388" s="183" t="s">
        <v>10</v>
      </c>
      <c r="B388" s="190">
        <v>1706</v>
      </c>
      <c r="C388" s="184">
        <v>2011</v>
      </c>
      <c r="D388" s="183" t="s">
        <v>2278</v>
      </c>
      <c r="E388" s="183" t="s">
        <v>740</v>
      </c>
      <c r="F388" s="185">
        <v>114150</v>
      </c>
      <c r="G388" s="183" t="s">
        <v>741</v>
      </c>
      <c r="H388" s="183" t="s">
        <v>2279</v>
      </c>
      <c r="I388" s="183" t="s">
        <v>2280</v>
      </c>
      <c r="J388" s="183" t="s">
        <v>2281</v>
      </c>
      <c r="K388" s="183" t="s">
        <v>2282</v>
      </c>
      <c r="L388" s="184">
        <v>4</v>
      </c>
      <c r="M388" s="184">
        <v>48.3</v>
      </c>
    </row>
    <row r="389" spans="1:13" ht="17.25" hidden="1" customHeight="1" x14ac:dyDescent="0.25">
      <c r="A389" s="183" t="s">
        <v>10</v>
      </c>
      <c r="B389" s="190">
        <v>1702</v>
      </c>
      <c r="C389" s="184">
        <v>2011</v>
      </c>
      <c r="D389" s="183" t="s">
        <v>2283</v>
      </c>
      <c r="E389" s="183" t="s">
        <v>740</v>
      </c>
      <c r="F389" s="185">
        <v>85612</v>
      </c>
      <c r="G389" s="183" t="s">
        <v>741</v>
      </c>
      <c r="H389" s="183" t="s">
        <v>2284</v>
      </c>
      <c r="I389" s="183" t="s">
        <v>2285</v>
      </c>
      <c r="J389" s="183" t="s">
        <v>2286</v>
      </c>
      <c r="K389" s="183" t="s">
        <v>1916</v>
      </c>
      <c r="L389" s="184">
        <v>15</v>
      </c>
      <c r="M389" s="184">
        <v>8.3000000000000007</v>
      </c>
    </row>
    <row r="390" spans="1:13" ht="17.25" hidden="1" customHeight="1" x14ac:dyDescent="0.25">
      <c r="A390" s="183" t="s">
        <v>10</v>
      </c>
      <c r="B390" s="190">
        <v>1704</v>
      </c>
      <c r="C390" s="184">
        <v>2011</v>
      </c>
      <c r="D390" s="183" t="s">
        <v>2287</v>
      </c>
      <c r="E390" s="183" t="s">
        <v>773</v>
      </c>
      <c r="F390" s="185">
        <v>34137.93</v>
      </c>
      <c r="G390" s="183" t="s">
        <v>741</v>
      </c>
      <c r="H390" s="183" t="s">
        <v>2288</v>
      </c>
      <c r="I390" s="183" t="s">
        <v>2289</v>
      </c>
      <c r="J390" s="183" t="s">
        <v>2290</v>
      </c>
      <c r="K390" s="183" t="s">
        <v>2291</v>
      </c>
      <c r="L390" s="184">
        <v>4</v>
      </c>
      <c r="M390" s="184">
        <v>5.0999999999999996</v>
      </c>
    </row>
    <row r="391" spans="1:13" ht="17.25" hidden="1" customHeight="1" x14ac:dyDescent="0.25">
      <c r="A391" s="183" t="s">
        <v>10</v>
      </c>
      <c r="B391" s="190">
        <v>1703</v>
      </c>
      <c r="C391" s="184">
        <v>2011</v>
      </c>
      <c r="D391" s="183" t="s">
        <v>2292</v>
      </c>
      <c r="E391" s="183" t="s">
        <v>773</v>
      </c>
      <c r="F391" s="185">
        <v>113810</v>
      </c>
      <c r="G391" s="183" t="s">
        <v>741</v>
      </c>
      <c r="H391" s="183" t="s">
        <v>2293</v>
      </c>
      <c r="I391" s="183" t="s">
        <v>2294</v>
      </c>
      <c r="J391" s="183" t="s">
        <v>2295</v>
      </c>
      <c r="K391" s="183" t="s">
        <v>2296</v>
      </c>
      <c r="L391" s="184">
        <v>6</v>
      </c>
      <c r="M391" s="184">
        <v>5</v>
      </c>
    </row>
    <row r="392" spans="1:13" ht="17.25" hidden="1" customHeight="1" x14ac:dyDescent="0.25">
      <c r="A392" s="183" t="s">
        <v>10</v>
      </c>
      <c r="B392" s="190">
        <v>1697</v>
      </c>
      <c r="C392" s="184">
        <v>2011</v>
      </c>
      <c r="D392" s="183" t="s">
        <v>2297</v>
      </c>
      <c r="E392" s="183" t="s">
        <v>740</v>
      </c>
      <c r="F392" s="185">
        <v>81555.600000000006</v>
      </c>
      <c r="G392" s="183" t="s">
        <v>741</v>
      </c>
      <c r="H392" s="183" t="s">
        <v>2298</v>
      </c>
      <c r="I392" s="183" t="s">
        <v>2299</v>
      </c>
      <c r="J392" s="183" t="s">
        <v>2300</v>
      </c>
      <c r="K392" s="183" t="s">
        <v>2301</v>
      </c>
      <c r="L392" s="184">
        <v>4</v>
      </c>
      <c r="M392" s="184">
        <v>1.5</v>
      </c>
    </row>
    <row r="393" spans="1:13" ht="17.25" hidden="1" customHeight="1" x14ac:dyDescent="0.25">
      <c r="A393" s="183" t="s">
        <v>10</v>
      </c>
      <c r="B393" s="190">
        <v>1700</v>
      </c>
      <c r="C393" s="184">
        <v>2011</v>
      </c>
      <c r="D393" s="183" t="s">
        <v>2302</v>
      </c>
      <c r="E393" s="183" t="s">
        <v>773</v>
      </c>
      <c r="F393" s="185">
        <v>21370.05</v>
      </c>
      <c r="G393" s="183" t="s">
        <v>741</v>
      </c>
      <c r="H393" s="183" t="s">
        <v>2303</v>
      </c>
      <c r="I393" s="183" t="s">
        <v>2304</v>
      </c>
      <c r="J393" s="183" t="s">
        <v>2305</v>
      </c>
      <c r="K393" s="183" t="s">
        <v>2306</v>
      </c>
      <c r="L393" s="184">
        <v>7</v>
      </c>
      <c r="M393" s="184">
        <v>0.1</v>
      </c>
    </row>
    <row r="394" spans="1:13" ht="17.25" hidden="1" customHeight="1" x14ac:dyDescent="0.25">
      <c r="A394" s="183" t="s">
        <v>10</v>
      </c>
      <c r="B394" s="190">
        <v>1705</v>
      </c>
      <c r="C394" s="184">
        <v>2011</v>
      </c>
      <c r="D394" s="183" t="s">
        <v>2307</v>
      </c>
      <c r="E394" s="183" t="s">
        <v>773</v>
      </c>
      <c r="F394" s="185">
        <v>78762.86</v>
      </c>
      <c r="G394" s="183" t="s">
        <v>749</v>
      </c>
      <c r="H394" s="183" t="s">
        <v>2308</v>
      </c>
      <c r="I394" s="183" t="s">
        <v>2309</v>
      </c>
      <c r="J394" s="183" t="s">
        <v>2310</v>
      </c>
      <c r="K394" s="183" t="s">
        <v>2311</v>
      </c>
      <c r="L394" s="184">
        <v>1</v>
      </c>
      <c r="M394" s="184">
        <v>19.3</v>
      </c>
    </row>
    <row r="395" spans="1:13" ht="17.25" hidden="1" customHeight="1" x14ac:dyDescent="0.25">
      <c r="A395" s="183" t="s">
        <v>10</v>
      </c>
      <c r="B395" s="190">
        <v>1710</v>
      </c>
      <c r="C395" s="184">
        <v>2012</v>
      </c>
      <c r="D395" s="183" t="s">
        <v>2312</v>
      </c>
      <c r="E395" s="183" t="s">
        <v>740</v>
      </c>
      <c r="F395" s="185">
        <v>113550</v>
      </c>
      <c r="G395" s="183" t="s">
        <v>741</v>
      </c>
      <c r="H395" s="183" t="s">
        <v>2313</v>
      </c>
      <c r="I395" s="183" t="s">
        <v>2314</v>
      </c>
      <c r="J395" s="183" t="s">
        <v>2315</v>
      </c>
      <c r="K395" s="183" t="s">
        <v>1916</v>
      </c>
      <c r="L395" s="184">
        <v>11</v>
      </c>
      <c r="M395" s="184">
        <v>63.1</v>
      </c>
    </row>
    <row r="396" spans="1:13" ht="17.25" hidden="1" customHeight="1" x14ac:dyDescent="0.25">
      <c r="A396" s="183" t="s">
        <v>10</v>
      </c>
      <c r="B396" s="190">
        <v>1713</v>
      </c>
      <c r="C396" s="184">
        <v>2012</v>
      </c>
      <c r="D396" s="183" t="s">
        <v>2316</v>
      </c>
      <c r="E396" s="183" t="s">
        <v>740</v>
      </c>
      <c r="F396" s="185">
        <v>113550</v>
      </c>
      <c r="G396" s="183" t="s">
        <v>741</v>
      </c>
      <c r="H396" s="183" t="s">
        <v>2317</v>
      </c>
      <c r="I396" s="183" t="s">
        <v>2318</v>
      </c>
      <c r="J396" s="183" t="s">
        <v>2316</v>
      </c>
      <c r="K396" s="183" t="s">
        <v>2319</v>
      </c>
      <c r="L396" s="184">
        <v>1</v>
      </c>
      <c r="M396" s="184">
        <v>55</v>
      </c>
    </row>
    <row r="397" spans="1:13" ht="17.25" hidden="1" customHeight="1" x14ac:dyDescent="0.25">
      <c r="A397" s="183" t="s">
        <v>10</v>
      </c>
      <c r="B397" s="190">
        <v>1715</v>
      </c>
      <c r="C397" s="184">
        <v>2012</v>
      </c>
      <c r="D397" s="183" t="s">
        <v>2320</v>
      </c>
      <c r="E397" s="183" t="s">
        <v>740</v>
      </c>
      <c r="F397" s="185">
        <v>95949.75</v>
      </c>
      <c r="G397" s="183" t="s">
        <v>741</v>
      </c>
      <c r="H397" s="183" t="s">
        <v>2321</v>
      </c>
      <c r="I397" s="183" t="s">
        <v>2322</v>
      </c>
      <c r="J397" s="183" t="s">
        <v>2323</v>
      </c>
      <c r="K397" s="183" t="s">
        <v>2282</v>
      </c>
      <c r="L397" s="184">
        <v>4</v>
      </c>
      <c r="M397" s="184">
        <v>37</v>
      </c>
    </row>
    <row r="398" spans="1:13" ht="17.25" hidden="1" customHeight="1" x14ac:dyDescent="0.25">
      <c r="A398" s="183" t="s">
        <v>10</v>
      </c>
      <c r="B398" s="190">
        <v>1709</v>
      </c>
      <c r="C398" s="184">
        <v>2012</v>
      </c>
      <c r="D398" s="183" t="s">
        <v>2324</v>
      </c>
      <c r="E398" s="183" t="s">
        <v>740</v>
      </c>
      <c r="F398" s="185">
        <v>64245</v>
      </c>
      <c r="G398" s="183" t="s">
        <v>741</v>
      </c>
      <c r="H398" s="183" t="s">
        <v>2325</v>
      </c>
      <c r="I398" s="183" t="s">
        <v>2326</v>
      </c>
      <c r="J398" s="183" t="s">
        <v>2327</v>
      </c>
      <c r="K398" s="183" t="s">
        <v>2328</v>
      </c>
      <c r="L398" s="184">
        <v>2</v>
      </c>
      <c r="M398" s="184">
        <v>32.200000000000003</v>
      </c>
    </row>
    <row r="399" spans="1:13" ht="17.25" hidden="1" customHeight="1" x14ac:dyDescent="0.25">
      <c r="A399" s="183" t="s">
        <v>10</v>
      </c>
      <c r="B399" s="190">
        <v>1716</v>
      </c>
      <c r="C399" s="184">
        <v>2012</v>
      </c>
      <c r="D399" s="183" t="s">
        <v>2329</v>
      </c>
      <c r="E399" s="183" t="s">
        <v>740</v>
      </c>
      <c r="F399" s="185">
        <v>34065</v>
      </c>
      <c r="G399" s="183" t="s">
        <v>741</v>
      </c>
      <c r="H399" s="183" t="s">
        <v>2330</v>
      </c>
      <c r="I399" s="183" t="s">
        <v>2331</v>
      </c>
      <c r="J399" s="183" t="s">
        <v>2332</v>
      </c>
      <c r="K399" s="183" t="s">
        <v>2333</v>
      </c>
      <c r="L399" s="184">
        <v>2</v>
      </c>
      <c r="M399" s="184">
        <v>10.199999999999999</v>
      </c>
    </row>
    <row r="400" spans="1:13" ht="17.25" hidden="1" customHeight="1" x14ac:dyDescent="0.25">
      <c r="A400" s="183" t="s">
        <v>10</v>
      </c>
      <c r="B400" s="190">
        <v>1711</v>
      </c>
      <c r="C400" s="184">
        <v>2012</v>
      </c>
      <c r="D400" s="183" t="s">
        <v>2334</v>
      </c>
      <c r="E400" s="183" t="s">
        <v>740</v>
      </c>
      <c r="F400" s="185">
        <v>85162.5</v>
      </c>
      <c r="G400" s="183" t="s">
        <v>741</v>
      </c>
      <c r="H400" s="183" t="s">
        <v>2335</v>
      </c>
      <c r="I400" s="183" t="s">
        <v>2336</v>
      </c>
      <c r="J400" s="183" t="s">
        <v>2337</v>
      </c>
      <c r="K400" s="183" t="s">
        <v>1557</v>
      </c>
      <c r="L400" s="184">
        <v>6</v>
      </c>
      <c r="M400" s="184">
        <v>6.3</v>
      </c>
    </row>
    <row r="401" spans="1:13" ht="17.25" hidden="1" customHeight="1" x14ac:dyDescent="0.25">
      <c r="A401" s="183" t="s">
        <v>10</v>
      </c>
      <c r="B401" s="190">
        <v>1712</v>
      </c>
      <c r="C401" s="184">
        <v>2012</v>
      </c>
      <c r="D401" s="183" t="s">
        <v>2338</v>
      </c>
      <c r="E401" s="183" t="s">
        <v>740</v>
      </c>
      <c r="F401" s="185">
        <v>113550</v>
      </c>
      <c r="G401" s="183" t="s">
        <v>741</v>
      </c>
      <c r="H401" s="183" t="s">
        <v>2339</v>
      </c>
      <c r="I401" s="183" t="s">
        <v>2340</v>
      </c>
      <c r="J401" s="183" t="s">
        <v>2341</v>
      </c>
      <c r="K401" s="183" t="s">
        <v>2342</v>
      </c>
      <c r="L401" s="184">
        <v>4</v>
      </c>
      <c r="M401" s="184">
        <v>4.5</v>
      </c>
    </row>
    <row r="402" spans="1:13" ht="17.25" hidden="1" customHeight="1" x14ac:dyDescent="0.25">
      <c r="A402" s="183" t="s">
        <v>10</v>
      </c>
      <c r="B402" s="190">
        <v>1701</v>
      </c>
      <c r="C402" s="184">
        <v>2012</v>
      </c>
      <c r="D402" s="183" t="s">
        <v>2343</v>
      </c>
      <c r="E402" s="183" t="s">
        <v>740</v>
      </c>
      <c r="F402" s="185">
        <v>32075</v>
      </c>
      <c r="G402" s="183" t="s">
        <v>741</v>
      </c>
      <c r="H402" s="183" t="s">
        <v>2344</v>
      </c>
      <c r="I402" s="183" t="s">
        <v>2345</v>
      </c>
      <c r="J402" s="183" t="s">
        <v>2346</v>
      </c>
      <c r="K402" s="183" t="s">
        <v>2347</v>
      </c>
      <c r="L402" s="184">
        <v>2</v>
      </c>
      <c r="M402" s="184">
        <v>0.5</v>
      </c>
    </row>
    <row r="403" spans="1:13" ht="17.25" hidden="1" customHeight="1" x14ac:dyDescent="0.25">
      <c r="A403" s="183" t="s">
        <v>10</v>
      </c>
      <c r="B403" s="190">
        <v>1738</v>
      </c>
      <c r="C403" s="184">
        <v>2014</v>
      </c>
      <c r="D403" s="183" t="s">
        <v>2348</v>
      </c>
      <c r="E403" s="183" t="s">
        <v>740</v>
      </c>
      <c r="F403" s="185">
        <v>509650</v>
      </c>
      <c r="G403" s="183" t="s">
        <v>741</v>
      </c>
      <c r="H403" s="183" t="s">
        <v>1672</v>
      </c>
      <c r="I403" s="183" t="s">
        <v>2349</v>
      </c>
      <c r="J403" s="183" t="s">
        <v>2350</v>
      </c>
      <c r="K403" s="183" t="s">
        <v>1557</v>
      </c>
      <c r="L403" s="184">
        <v>6</v>
      </c>
      <c r="M403" s="185">
        <v>1952</v>
      </c>
    </row>
    <row r="404" spans="1:13" ht="17.25" hidden="1" customHeight="1" x14ac:dyDescent="0.25">
      <c r="A404" s="183" t="s">
        <v>10</v>
      </c>
      <c r="B404" s="190">
        <v>1727</v>
      </c>
      <c r="C404" s="184">
        <v>2014</v>
      </c>
      <c r="D404" s="183" t="s">
        <v>2351</v>
      </c>
      <c r="E404" s="183" t="s">
        <v>740</v>
      </c>
      <c r="F404" s="185">
        <v>95418</v>
      </c>
      <c r="G404" s="183" t="s">
        <v>741</v>
      </c>
      <c r="H404" s="183" t="s">
        <v>2352</v>
      </c>
      <c r="I404" s="183" t="s">
        <v>2353</v>
      </c>
      <c r="J404" s="183" t="s">
        <v>2354</v>
      </c>
      <c r="K404" s="183" t="s">
        <v>2355</v>
      </c>
      <c r="L404" s="184">
        <v>1</v>
      </c>
      <c r="M404" s="184">
        <v>880</v>
      </c>
    </row>
    <row r="405" spans="1:13" ht="17.25" hidden="1" customHeight="1" x14ac:dyDescent="0.25">
      <c r="A405" s="183" t="s">
        <v>10</v>
      </c>
      <c r="B405" s="190">
        <v>1724</v>
      </c>
      <c r="C405" s="184">
        <v>2014</v>
      </c>
      <c r="D405" s="183" t="s">
        <v>2356</v>
      </c>
      <c r="E405" s="183" t="s">
        <v>740</v>
      </c>
      <c r="F405" s="185">
        <v>35508</v>
      </c>
      <c r="G405" s="183" t="s">
        <v>741</v>
      </c>
      <c r="H405" s="183" t="s">
        <v>2357</v>
      </c>
      <c r="I405" s="183" t="s">
        <v>2358</v>
      </c>
      <c r="J405" s="183" t="s">
        <v>2359</v>
      </c>
      <c r="K405" s="183" t="s">
        <v>2360</v>
      </c>
      <c r="L405" s="184">
        <v>2</v>
      </c>
      <c r="M405" s="184">
        <v>183</v>
      </c>
    </row>
    <row r="406" spans="1:13" ht="17.25" hidden="1" customHeight="1" x14ac:dyDescent="0.25">
      <c r="A406" s="183" t="s">
        <v>10</v>
      </c>
      <c r="B406" s="190">
        <v>1729</v>
      </c>
      <c r="C406" s="184">
        <v>2014</v>
      </c>
      <c r="D406" s="183" t="s">
        <v>2361</v>
      </c>
      <c r="E406" s="183" t="s">
        <v>740</v>
      </c>
      <c r="F406" s="185">
        <v>91700</v>
      </c>
      <c r="G406" s="183" t="s">
        <v>741</v>
      </c>
      <c r="H406" s="183" t="s">
        <v>2362</v>
      </c>
      <c r="I406" s="183" t="s">
        <v>2363</v>
      </c>
      <c r="J406" s="183" t="s">
        <v>2364</v>
      </c>
      <c r="K406" s="183" t="s">
        <v>2365</v>
      </c>
      <c r="L406" s="184">
        <v>5</v>
      </c>
      <c r="M406" s="184">
        <v>102</v>
      </c>
    </row>
    <row r="407" spans="1:13" ht="17.25" hidden="1" customHeight="1" x14ac:dyDescent="0.25">
      <c r="A407" s="183" t="s">
        <v>10</v>
      </c>
      <c r="B407" s="190">
        <v>1731</v>
      </c>
      <c r="C407" s="184">
        <v>2014</v>
      </c>
      <c r="D407" s="183" t="s">
        <v>2366</v>
      </c>
      <c r="E407" s="183" t="s">
        <v>740</v>
      </c>
      <c r="F407" s="185">
        <v>55600</v>
      </c>
      <c r="G407" s="183" t="s">
        <v>741</v>
      </c>
      <c r="H407" s="183" t="s">
        <v>2367</v>
      </c>
      <c r="I407" s="183" t="s">
        <v>2368</v>
      </c>
      <c r="J407" s="183" t="s">
        <v>2369</v>
      </c>
      <c r="K407" s="183" t="s">
        <v>2370</v>
      </c>
      <c r="L407" s="184">
        <v>1</v>
      </c>
      <c r="M407" s="184">
        <v>68</v>
      </c>
    </row>
    <row r="408" spans="1:13" ht="17.25" hidden="1" customHeight="1" x14ac:dyDescent="0.25">
      <c r="A408" s="183" t="s">
        <v>10</v>
      </c>
      <c r="B408" s="190">
        <v>1733</v>
      </c>
      <c r="C408" s="184">
        <v>2014</v>
      </c>
      <c r="D408" s="183" t="s">
        <v>2371</v>
      </c>
      <c r="E408" s="183" t="s">
        <v>740</v>
      </c>
      <c r="F408" s="185">
        <v>115830</v>
      </c>
      <c r="G408" s="183" t="s">
        <v>741</v>
      </c>
      <c r="H408" s="183" t="s">
        <v>2372</v>
      </c>
      <c r="I408" s="183" t="s">
        <v>2373</v>
      </c>
      <c r="J408" s="183" t="s">
        <v>2374</v>
      </c>
      <c r="K408" s="183" t="s">
        <v>2375</v>
      </c>
      <c r="L408" s="184">
        <v>6</v>
      </c>
      <c r="M408" s="184">
        <v>47.6</v>
      </c>
    </row>
    <row r="409" spans="1:13" ht="17.25" hidden="1" customHeight="1" x14ac:dyDescent="0.25">
      <c r="A409" s="183" t="s">
        <v>10</v>
      </c>
      <c r="B409" s="190">
        <v>1721</v>
      </c>
      <c r="C409" s="184">
        <v>2014</v>
      </c>
      <c r="D409" s="183" t="s">
        <v>2376</v>
      </c>
      <c r="E409" s="183" t="s">
        <v>740</v>
      </c>
      <c r="F409" s="185">
        <v>64319</v>
      </c>
      <c r="G409" s="183" t="s">
        <v>741</v>
      </c>
      <c r="H409" s="183" t="s">
        <v>2377</v>
      </c>
      <c r="I409" s="183" t="s">
        <v>2378</v>
      </c>
      <c r="J409" s="183" t="s">
        <v>2376</v>
      </c>
      <c r="K409" s="183" t="s">
        <v>1821</v>
      </c>
      <c r="L409" s="184">
        <v>7</v>
      </c>
      <c r="M409" s="184">
        <v>35.799999999999997</v>
      </c>
    </row>
    <row r="410" spans="1:13" ht="17.25" hidden="1" customHeight="1" x14ac:dyDescent="0.25">
      <c r="A410" s="183" t="s">
        <v>10</v>
      </c>
      <c r="B410" s="190">
        <v>1720</v>
      </c>
      <c r="C410" s="184">
        <v>2014</v>
      </c>
      <c r="D410" s="183" t="s">
        <v>2379</v>
      </c>
      <c r="E410" s="183" t="s">
        <v>740</v>
      </c>
      <c r="F410" s="185">
        <v>113500</v>
      </c>
      <c r="G410" s="183" t="s">
        <v>741</v>
      </c>
      <c r="H410" s="183" t="s">
        <v>2380</v>
      </c>
      <c r="I410" s="183" t="s">
        <v>2381</v>
      </c>
      <c r="J410" s="183" t="s">
        <v>2382</v>
      </c>
      <c r="K410" s="183" t="s">
        <v>2383</v>
      </c>
      <c r="L410" s="184">
        <v>3</v>
      </c>
      <c r="M410" s="184">
        <v>27.9</v>
      </c>
    </row>
    <row r="411" spans="1:13" ht="17.25" hidden="1" customHeight="1" x14ac:dyDescent="0.25">
      <c r="A411" s="183" t="s">
        <v>10</v>
      </c>
      <c r="B411" s="190">
        <v>1723</v>
      </c>
      <c r="C411" s="184">
        <v>2014</v>
      </c>
      <c r="D411" s="183" t="s">
        <v>2384</v>
      </c>
      <c r="E411" s="183" t="s">
        <v>740</v>
      </c>
      <c r="F411" s="185">
        <v>68304</v>
      </c>
      <c r="G411" s="183" t="s">
        <v>741</v>
      </c>
      <c r="H411" s="183" t="s">
        <v>2385</v>
      </c>
      <c r="I411" s="183" t="s">
        <v>2386</v>
      </c>
      <c r="J411" s="183" t="s">
        <v>2387</v>
      </c>
      <c r="K411" s="183" t="s">
        <v>2388</v>
      </c>
      <c r="L411" s="184">
        <v>1</v>
      </c>
      <c r="M411" s="184">
        <v>6.4</v>
      </c>
    </row>
    <row r="412" spans="1:13" ht="17.25" hidden="1" customHeight="1" x14ac:dyDescent="0.25">
      <c r="A412" s="183" t="s">
        <v>10</v>
      </c>
      <c r="B412" s="190">
        <v>1734</v>
      </c>
      <c r="C412" s="184">
        <v>2014</v>
      </c>
      <c r="D412" s="183" t="s">
        <v>2389</v>
      </c>
      <c r="E412" s="183" t="s">
        <v>740</v>
      </c>
      <c r="F412" s="185">
        <v>36300</v>
      </c>
      <c r="G412" s="183" t="s">
        <v>741</v>
      </c>
      <c r="H412" s="183" t="s">
        <v>2390</v>
      </c>
      <c r="I412" s="183" t="s">
        <v>2391</v>
      </c>
      <c r="J412" s="183" t="s">
        <v>1382</v>
      </c>
      <c r="K412" s="183" t="s">
        <v>2392</v>
      </c>
      <c r="L412" s="184">
        <v>2</v>
      </c>
      <c r="M412" s="184">
        <v>4.9000000000000004</v>
      </c>
    </row>
    <row r="413" spans="1:13" ht="17.25" hidden="1" customHeight="1" x14ac:dyDescent="0.25">
      <c r="A413" s="183" t="s">
        <v>10</v>
      </c>
      <c r="B413" s="190">
        <v>1735</v>
      </c>
      <c r="C413" s="184">
        <v>2014</v>
      </c>
      <c r="D413" s="183" t="s">
        <v>2393</v>
      </c>
      <c r="E413" s="183" t="s">
        <v>740</v>
      </c>
      <c r="F413" s="185">
        <v>82600</v>
      </c>
      <c r="G413" s="183" t="s">
        <v>741</v>
      </c>
      <c r="H413" s="183" t="s">
        <v>2394</v>
      </c>
      <c r="I413" s="183" t="s">
        <v>2395</v>
      </c>
      <c r="J413" s="183" t="s">
        <v>2396</v>
      </c>
      <c r="K413" s="183" t="s">
        <v>2311</v>
      </c>
      <c r="L413" s="184">
        <v>5</v>
      </c>
      <c r="M413" s="184">
        <v>3.7</v>
      </c>
    </row>
    <row r="414" spans="1:13" ht="17.25" hidden="1" customHeight="1" x14ac:dyDescent="0.25">
      <c r="A414" s="183" t="s">
        <v>10</v>
      </c>
      <c r="B414" s="190">
        <v>1730</v>
      </c>
      <c r="C414" s="184">
        <v>2014</v>
      </c>
      <c r="D414" s="183" t="s">
        <v>2397</v>
      </c>
      <c r="E414" s="183" t="s">
        <v>740</v>
      </c>
      <c r="F414" s="185">
        <v>34800</v>
      </c>
      <c r="G414" s="183" t="s">
        <v>741</v>
      </c>
      <c r="H414" s="183" t="s">
        <v>2398</v>
      </c>
      <c r="I414" s="183" t="s">
        <v>2399</v>
      </c>
      <c r="J414" s="183" t="s">
        <v>2400</v>
      </c>
      <c r="K414" s="183" t="s">
        <v>2401</v>
      </c>
      <c r="L414" s="184">
        <v>1</v>
      </c>
      <c r="M414" s="184">
        <v>3.3</v>
      </c>
    </row>
    <row r="415" spans="1:13" ht="17.25" hidden="1" customHeight="1" x14ac:dyDescent="0.25">
      <c r="A415" s="183" t="s">
        <v>10</v>
      </c>
      <c r="B415" s="190">
        <v>1732</v>
      </c>
      <c r="C415" s="184">
        <v>2014</v>
      </c>
      <c r="D415" s="183" t="s">
        <v>2402</v>
      </c>
      <c r="E415" s="183" t="s">
        <v>740</v>
      </c>
      <c r="F415" s="185">
        <v>104200</v>
      </c>
      <c r="G415" s="183" t="s">
        <v>741</v>
      </c>
      <c r="H415" s="183" t="s">
        <v>2403</v>
      </c>
      <c r="I415" s="183" t="s">
        <v>2404</v>
      </c>
      <c r="J415" s="183" t="s">
        <v>2405</v>
      </c>
      <c r="K415" s="183" t="s">
        <v>2355</v>
      </c>
      <c r="L415" s="184">
        <v>1</v>
      </c>
      <c r="M415" s="184">
        <v>1.1000000000000001</v>
      </c>
    </row>
    <row r="416" spans="1:13" ht="17.25" hidden="1" customHeight="1" x14ac:dyDescent="0.25">
      <c r="A416" s="183" t="s">
        <v>10</v>
      </c>
      <c r="B416" s="190">
        <v>1737</v>
      </c>
      <c r="C416" s="184">
        <v>2014</v>
      </c>
      <c r="D416" s="183" t="s">
        <v>2406</v>
      </c>
      <c r="E416" s="183" t="s">
        <v>740</v>
      </c>
      <c r="F416" s="185">
        <v>427800</v>
      </c>
      <c r="G416" s="183" t="s">
        <v>749</v>
      </c>
      <c r="H416" s="183" t="s">
        <v>1672</v>
      </c>
      <c r="I416" s="183" t="s">
        <v>2407</v>
      </c>
      <c r="J416" s="183" t="s">
        <v>2408</v>
      </c>
      <c r="K416" s="183" t="s">
        <v>2409</v>
      </c>
      <c r="L416" s="184">
        <v>1</v>
      </c>
      <c r="M416" s="184">
        <v>711</v>
      </c>
    </row>
    <row r="417" spans="1:13" ht="17.25" hidden="1" customHeight="1" x14ac:dyDescent="0.25">
      <c r="A417" s="183" t="s">
        <v>10</v>
      </c>
      <c r="B417" s="190">
        <v>1719</v>
      </c>
      <c r="C417" s="184">
        <v>2014</v>
      </c>
      <c r="D417" s="183" t="s">
        <v>2410</v>
      </c>
      <c r="E417" s="183" t="s">
        <v>740</v>
      </c>
      <c r="F417" s="185">
        <v>113840</v>
      </c>
      <c r="G417" s="183" t="s">
        <v>749</v>
      </c>
      <c r="H417" s="183" t="s">
        <v>2411</v>
      </c>
      <c r="I417" s="183" t="s">
        <v>2412</v>
      </c>
      <c r="J417" s="183" t="s">
        <v>2413</v>
      </c>
      <c r="K417" s="183" t="s">
        <v>2414</v>
      </c>
      <c r="L417" s="184">
        <v>1</v>
      </c>
      <c r="M417" s="184">
        <v>282</v>
      </c>
    </row>
    <row r="418" spans="1:13" ht="17.25" hidden="1" customHeight="1" x14ac:dyDescent="0.25">
      <c r="A418" s="183" t="s">
        <v>10</v>
      </c>
      <c r="B418" s="190">
        <v>1725</v>
      </c>
      <c r="C418" s="184">
        <v>2014</v>
      </c>
      <c r="D418" s="183" t="s">
        <v>2415</v>
      </c>
      <c r="E418" s="183" t="s">
        <v>740</v>
      </c>
      <c r="F418" s="185">
        <v>113438</v>
      </c>
      <c r="G418" s="183" t="s">
        <v>749</v>
      </c>
      <c r="H418" s="183" t="s">
        <v>2416</v>
      </c>
      <c r="I418" s="183" t="s">
        <v>2417</v>
      </c>
      <c r="J418" s="183" t="s">
        <v>2418</v>
      </c>
      <c r="K418" s="183" t="s">
        <v>2419</v>
      </c>
      <c r="L418" s="184">
        <v>12</v>
      </c>
      <c r="M418" s="184">
        <v>90.1</v>
      </c>
    </row>
    <row r="419" spans="1:13" ht="17.25" hidden="1" customHeight="1" x14ac:dyDescent="0.25">
      <c r="A419" s="183" t="s">
        <v>10</v>
      </c>
      <c r="B419" s="190">
        <v>1717</v>
      </c>
      <c r="C419" s="184">
        <v>2014</v>
      </c>
      <c r="D419" s="183" t="s">
        <v>2420</v>
      </c>
      <c r="E419" s="183" t="s">
        <v>740</v>
      </c>
      <c r="F419" s="185">
        <v>246914.5</v>
      </c>
      <c r="G419" s="183" t="s">
        <v>749</v>
      </c>
      <c r="H419" s="183" t="s">
        <v>1672</v>
      </c>
      <c r="I419" s="183" t="s">
        <v>2421</v>
      </c>
      <c r="J419" s="183" t="s">
        <v>2422</v>
      </c>
      <c r="K419" s="183" t="s">
        <v>2360</v>
      </c>
      <c r="L419" s="184">
        <v>2</v>
      </c>
      <c r="M419" s="184">
        <v>36</v>
      </c>
    </row>
    <row r="420" spans="1:13" ht="17.25" hidden="1" customHeight="1" x14ac:dyDescent="0.25">
      <c r="A420" s="183" t="s">
        <v>10</v>
      </c>
      <c r="B420" s="190">
        <v>1736</v>
      </c>
      <c r="C420" s="184">
        <v>2014</v>
      </c>
      <c r="D420" s="183" t="s">
        <v>2423</v>
      </c>
      <c r="E420" s="183" t="s">
        <v>740</v>
      </c>
      <c r="F420" s="185">
        <v>71815</v>
      </c>
      <c r="G420" s="183" t="s">
        <v>749</v>
      </c>
      <c r="H420" s="183" t="s">
        <v>2424</v>
      </c>
      <c r="I420" s="183" t="s">
        <v>2425</v>
      </c>
      <c r="J420" s="183" t="s">
        <v>2426</v>
      </c>
      <c r="K420" s="183" t="s">
        <v>2311</v>
      </c>
      <c r="L420" s="184">
        <v>5</v>
      </c>
      <c r="M420" s="184">
        <v>20</v>
      </c>
    </row>
    <row r="421" spans="1:13" ht="17.25" hidden="1" customHeight="1" x14ac:dyDescent="0.25">
      <c r="A421" s="183" t="s">
        <v>10</v>
      </c>
      <c r="B421" s="190">
        <v>1728</v>
      </c>
      <c r="C421" s="184">
        <v>2014</v>
      </c>
      <c r="D421" s="183" t="s">
        <v>2427</v>
      </c>
      <c r="E421" s="183" t="s">
        <v>740</v>
      </c>
      <c r="F421" s="185">
        <v>114000</v>
      </c>
      <c r="G421" s="183" t="s">
        <v>749</v>
      </c>
      <c r="H421" s="183" t="s">
        <v>2428</v>
      </c>
      <c r="I421" s="183" t="s">
        <v>2429</v>
      </c>
      <c r="J421" s="183" t="s">
        <v>2430</v>
      </c>
      <c r="K421" s="183" t="s">
        <v>2355</v>
      </c>
      <c r="L421" s="184">
        <v>1</v>
      </c>
      <c r="M421" s="184">
        <v>3.8</v>
      </c>
    </row>
    <row r="422" spans="1:13" ht="17.25" hidden="1" customHeight="1" x14ac:dyDescent="0.25">
      <c r="A422" s="183" t="s">
        <v>10</v>
      </c>
      <c r="B422" s="190">
        <v>1714</v>
      </c>
      <c r="C422" s="184">
        <v>2014</v>
      </c>
      <c r="D422" s="183" t="s">
        <v>2431</v>
      </c>
      <c r="E422" s="183" t="s">
        <v>740</v>
      </c>
      <c r="F422" s="185">
        <v>76192</v>
      </c>
      <c r="G422" s="183" t="s">
        <v>749</v>
      </c>
      <c r="H422" s="183" t="s">
        <v>2432</v>
      </c>
      <c r="I422" s="183" t="s">
        <v>2433</v>
      </c>
      <c r="J422" s="183" t="s">
        <v>2434</v>
      </c>
      <c r="K422" s="183" t="s">
        <v>2435</v>
      </c>
      <c r="L422" s="184">
        <v>8</v>
      </c>
      <c r="M422" s="184">
        <v>0.9</v>
      </c>
    </row>
    <row r="423" spans="1:13" ht="17.25" hidden="1" customHeight="1" x14ac:dyDescent="0.25">
      <c r="A423" s="183" t="s">
        <v>111</v>
      </c>
      <c r="B423" s="190">
        <v>1380</v>
      </c>
      <c r="C423" s="184">
        <v>2011</v>
      </c>
      <c r="D423" s="183" t="s">
        <v>2436</v>
      </c>
      <c r="E423" s="183" t="s">
        <v>773</v>
      </c>
      <c r="F423" s="185">
        <v>600974</v>
      </c>
      <c r="G423" s="183" t="s">
        <v>740</v>
      </c>
      <c r="H423" s="183" t="s">
        <v>2437</v>
      </c>
      <c r="I423" s="183" t="s">
        <v>2438</v>
      </c>
      <c r="J423" s="183" t="s">
        <v>2436</v>
      </c>
      <c r="K423" s="183" t="s">
        <v>2439</v>
      </c>
      <c r="L423" s="184">
        <v>6</v>
      </c>
      <c r="M423" s="184">
        <v>126.7</v>
      </c>
    </row>
    <row r="424" spans="1:13" ht="17.25" hidden="1" customHeight="1" x14ac:dyDescent="0.25">
      <c r="A424" s="183" t="s">
        <v>111</v>
      </c>
      <c r="B424" s="184">
        <v>982</v>
      </c>
      <c r="C424" s="184">
        <v>2012</v>
      </c>
      <c r="D424" s="183" t="s">
        <v>2440</v>
      </c>
      <c r="E424" s="183" t="s">
        <v>740</v>
      </c>
      <c r="F424" s="185">
        <v>840037</v>
      </c>
      <c r="G424" s="183" t="s">
        <v>740</v>
      </c>
      <c r="H424" s="183" t="s">
        <v>1672</v>
      </c>
      <c r="I424" s="183" t="s">
        <v>2441</v>
      </c>
      <c r="J424" s="183" t="s">
        <v>2440</v>
      </c>
      <c r="K424" s="183" t="s">
        <v>2442</v>
      </c>
      <c r="L424" s="184">
        <v>1</v>
      </c>
      <c r="M424" s="185">
        <v>3630</v>
      </c>
    </row>
    <row r="425" spans="1:13" ht="17.25" hidden="1" customHeight="1" x14ac:dyDescent="0.25">
      <c r="A425" s="183" t="s">
        <v>111</v>
      </c>
      <c r="B425" s="184">
        <v>981</v>
      </c>
      <c r="C425" s="184">
        <v>2012</v>
      </c>
      <c r="D425" s="183" t="s">
        <v>2443</v>
      </c>
      <c r="E425" s="183" t="s">
        <v>773</v>
      </c>
      <c r="F425" s="185">
        <v>55000</v>
      </c>
      <c r="G425" s="183" t="s">
        <v>740</v>
      </c>
      <c r="H425" s="183" t="s">
        <v>1672</v>
      </c>
      <c r="I425" s="183" t="s">
        <v>2444</v>
      </c>
      <c r="J425" s="183" t="s">
        <v>2443</v>
      </c>
      <c r="K425" s="183" t="s">
        <v>2445</v>
      </c>
      <c r="L425" s="184">
        <v>0</v>
      </c>
      <c r="M425" s="185">
        <v>2700</v>
      </c>
    </row>
    <row r="426" spans="1:13" ht="17.25" hidden="1" customHeight="1" x14ac:dyDescent="0.25">
      <c r="A426" s="183" t="s">
        <v>111</v>
      </c>
      <c r="B426" s="184">
        <v>981</v>
      </c>
      <c r="C426" s="184">
        <v>2012</v>
      </c>
      <c r="D426" s="183" t="s">
        <v>2443</v>
      </c>
      <c r="E426" s="183" t="s">
        <v>773</v>
      </c>
      <c r="F426" s="185">
        <v>55000</v>
      </c>
      <c r="G426" s="183" t="s">
        <v>740</v>
      </c>
      <c r="H426" s="183" t="s">
        <v>1672</v>
      </c>
      <c r="I426" s="183" t="s">
        <v>2444</v>
      </c>
      <c r="J426" s="183" t="s">
        <v>2446</v>
      </c>
      <c r="K426" s="183" t="s">
        <v>1469</v>
      </c>
      <c r="L426" s="184">
        <v>0</v>
      </c>
      <c r="M426" s="185">
        <v>1944</v>
      </c>
    </row>
    <row r="427" spans="1:13" ht="17.25" hidden="1" customHeight="1" x14ac:dyDescent="0.25">
      <c r="A427" s="183" t="s">
        <v>111</v>
      </c>
      <c r="B427" s="184">
        <v>980</v>
      </c>
      <c r="C427" s="184">
        <v>2012</v>
      </c>
      <c r="D427" s="183" t="s">
        <v>2447</v>
      </c>
      <c r="E427" s="183" t="s">
        <v>773</v>
      </c>
      <c r="F427" s="185">
        <v>400000</v>
      </c>
      <c r="G427" s="183" t="s">
        <v>740</v>
      </c>
      <c r="H427" s="183" t="s">
        <v>1672</v>
      </c>
      <c r="I427" s="183" t="s">
        <v>2448</v>
      </c>
      <c r="J427" s="183" t="s">
        <v>2447</v>
      </c>
      <c r="K427" s="183" t="s">
        <v>239</v>
      </c>
      <c r="L427" s="184">
        <v>6</v>
      </c>
      <c r="M427" s="185">
        <v>1850</v>
      </c>
    </row>
    <row r="428" spans="1:13" ht="17.25" hidden="1" customHeight="1" x14ac:dyDescent="0.25">
      <c r="A428" s="183" t="s">
        <v>111</v>
      </c>
      <c r="B428" s="184">
        <v>981</v>
      </c>
      <c r="C428" s="184">
        <v>2012</v>
      </c>
      <c r="D428" s="183" t="s">
        <v>2443</v>
      </c>
      <c r="E428" s="183" t="s">
        <v>773</v>
      </c>
      <c r="F428" s="185">
        <v>55000</v>
      </c>
      <c r="G428" s="183" t="s">
        <v>740</v>
      </c>
      <c r="H428" s="183" t="s">
        <v>1672</v>
      </c>
      <c r="I428" s="183" t="s">
        <v>2444</v>
      </c>
      <c r="J428" s="183" t="s">
        <v>2449</v>
      </c>
      <c r="K428" s="183" t="s">
        <v>2450</v>
      </c>
      <c r="L428" s="184">
        <v>0</v>
      </c>
      <c r="M428" s="184">
        <v>640</v>
      </c>
    </row>
    <row r="429" spans="1:13" ht="17.25" hidden="1" customHeight="1" x14ac:dyDescent="0.25">
      <c r="A429" s="183" t="s">
        <v>111</v>
      </c>
      <c r="B429" s="184">
        <v>981</v>
      </c>
      <c r="C429" s="184">
        <v>2012</v>
      </c>
      <c r="D429" s="183" t="s">
        <v>2443</v>
      </c>
      <c r="E429" s="183" t="s">
        <v>773</v>
      </c>
      <c r="F429" s="185">
        <v>55000</v>
      </c>
      <c r="G429" s="183" t="s">
        <v>740</v>
      </c>
      <c r="H429" s="183" t="s">
        <v>1672</v>
      </c>
      <c r="I429" s="183" t="s">
        <v>2444</v>
      </c>
      <c r="J429" s="183" t="s">
        <v>2451</v>
      </c>
      <c r="K429" s="183" t="s">
        <v>2452</v>
      </c>
      <c r="L429" s="184">
        <v>0</v>
      </c>
      <c r="M429" s="184">
        <v>406.3</v>
      </c>
    </row>
    <row r="430" spans="1:13" ht="17.25" hidden="1" customHeight="1" x14ac:dyDescent="0.25">
      <c r="A430" s="183" t="s">
        <v>111</v>
      </c>
      <c r="B430" s="184">
        <v>981</v>
      </c>
      <c r="C430" s="184">
        <v>2012</v>
      </c>
      <c r="D430" s="183" t="s">
        <v>2443</v>
      </c>
      <c r="E430" s="183" t="s">
        <v>773</v>
      </c>
      <c r="F430" s="185">
        <v>55000</v>
      </c>
      <c r="G430" s="183" t="s">
        <v>740</v>
      </c>
      <c r="H430" s="183" t="s">
        <v>1672</v>
      </c>
      <c r="I430" s="183" t="s">
        <v>2444</v>
      </c>
      <c r="J430" s="183" t="s">
        <v>2453</v>
      </c>
      <c r="K430" s="183" t="s">
        <v>2454</v>
      </c>
      <c r="L430" s="184">
        <v>0</v>
      </c>
      <c r="M430" s="184">
        <v>327</v>
      </c>
    </row>
    <row r="431" spans="1:13" ht="17.25" hidden="1" customHeight="1" x14ac:dyDescent="0.25">
      <c r="A431" s="183" t="s">
        <v>111</v>
      </c>
      <c r="B431" s="184">
        <v>981</v>
      </c>
      <c r="C431" s="184">
        <v>2012</v>
      </c>
      <c r="D431" s="183" t="s">
        <v>2443</v>
      </c>
      <c r="E431" s="183" t="s">
        <v>773</v>
      </c>
      <c r="F431" s="185">
        <v>55000</v>
      </c>
      <c r="G431" s="183" t="s">
        <v>740</v>
      </c>
      <c r="H431" s="183" t="s">
        <v>1672</v>
      </c>
      <c r="I431" s="183" t="s">
        <v>2444</v>
      </c>
      <c r="J431" s="183" t="s">
        <v>2455</v>
      </c>
      <c r="K431" s="183" t="s">
        <v>2456</v>
      </c>
      <c r="L431" s="184">
        <v>0</v>
      </c>
      <c r="M431" s="184">
        <v>207</v>
      </c>
    </row>
    <row r="432" spans="1:13" ht="17.25" hidden="1" customHeight="1" x14ac:dyDescent="0.25">
      <c r="A432" s="183" t="s">
        <v>111</v>
      </c>
      <c r="B432" s="184">
        <v>981</v>
      </c>
      <c r="C432" s="184">
        <v>2012</v>
      </c>
      <c r="D432" s="183" t="s">
        <v>2443</v>
      </c>
      <c r="E432" s="183" t="s">
        <v>773</v>
      </c>
      <c r="F432" s="185">
        <v>55000</v>
      </c>
      <c r="G432" s="183" t="s">
        <v>740</v>
      </c>
      <c r="H432" s="183" t="s">
        <v>1672</v>
      </c>
      <c r="I432" s="183" t="s">
        <v>2444</v>
      </c>
      <c r="J432" s="183" t="s">
        <v>2457</v>
      </c>
      <c r="K432" s="183" t="s">
        <v>2458</v>
      </c>
      <c r="L432" s="184">
        <v>0</v>
      </c>
      <c r="M432" s="184">
        <v>108</v>
      </c>
    </row>
    <row r="433" spans="1:13" ht="17.25" hidden="1" customHeight="1" x14ac:dyDescent="0.25">
      <c r="A433" s="183" t="s">
        <v>111</v>
      </c>
      <c r="B433" s="190">
        <v>1391</v>
      </c>
      <c r="C433" s="184">
        <v>2012</v>
      </c>
      <c r="D433" s="183" t="s">
        <v>2459</v>
      </c>
      <c r="E433" s="183" t="s">
        <v>773</v>
      </c>
      <c r="F433" s="185">
        <v>369713</v>
      </c>
      <c r="G433" s="183" t="s">
        <v>740</v>
      </c>
      <c r="H433" s="183" t="s">
        <v>937</v>
      </c>
      <c r="I433" s="183" t="s">
        <v>2460</v>
      </c>
      <c r="J433" s="183" t="s">
        <v>2461</v>
      </c>
      <c r="K433" s="183" t="s">
        <v>2462</v>
      </c>
      <c r="L433" s="184">
        <v>2</v>
      </c>
      <c r="M433" s="184">
        <v>50.6</v>
      </c>
    </row>
    <row r="434" spans="1:13" ht="17.25" hidden="1" customHeight="1" x14ac:dyDescent="0.25">
      <c r="A434" s="183" t="s">
        <v>111</v>
      </c>
      <c r="B434" s="184">
        <v>981</v>
      </c>
      <c r="C434" s="184">
        <v>2012</v>
      </c>
      <c r="D434" s="183" t="s">
        <v>2443</v>
      </c>
      <c r="E434" s="183" t="s">
        <v>773</v>
      </c>
      <c r="F434" s="185">
        <v>55000</v>
      </c>
      <c r="G434" s="183" t="s">
        <v>740</v>
      </c>
      <c r="H434" s="183" t="s">
        <v>1672</v>
      </c>
      <c r="I434" s="183" t="s">
        <v>2444</v>
      </c>
      <c r="J434" s="183" t="s">
        <v>2463</v>
      </c>
      <c r="K434" s="183" t="s">
        <v>2464</v>
      </c>
      <c r="L434" s="184">
        <v>0</v>
      </c>
      <c r="M434" s="184">
        <v>1</v>
      </c>
    </row>
    <row r="435" spans="1:13" ht="17.25" hidden="1" customHeight="1" x14ac:dyDescent="0.25">
      <c r="A435" s="183" t="s">
        <v>111</v>
      </c>
      <c r="B435" s="190">
        <v>1390</v>
      </c>
      <c r="C435" s="184">
        <v>2012</v>
      </c>
      <c r="D435" s="183" t="s">
        <v>2465</v>
      </c>
      <c r="E435" s="183" t="s">
        <v>773</v>
      </c>
      <c r="F435" s="185">
        <v>10000</v>
      </c>
      <c r="G435" s="183" t="s">
        <v>741</v>
      </c>
      <c r="H435" s="183" t="s">
        <v>2466</v>
      </c>
      <c r="I435" s="183" t="s">
        <v>2467</v>
      </c>
      <c r="J435" s="183" t="s">
        <v>2465</v>
      </c>
      <c r="K435" s="183" t="s">
        <v>2468</v>
      </c>
      <c r="L435" s="184">
        <v>1</v>
      </c>
      <c r="M435" s="184">
        <v>182</v>
      </c>
    </row>
    <row r="436" spans="1:13" ht="17.25" hidden="1" customHeight="1" x14ac:dyDescent="0.25">
      <c r="A436" s="183" t="s">
        <v>111</v>
      </c>
      <c r="B436" s="190">
        <v>1381</v>
      </c>
      <c r="C436" s="184">
        <v>2012</v>
      </c>
      <c r="D436" s="183" t="s">
        <v>2469</v>
      </c>
      <c r="E436" s="183" t="s">
        <v>740</v>
      </c>
      <c r="F436" s="185">
        <v>40000</v>
      </c>
      <c r="G436" s="183" t="s">
        <v>741</v>
      </c>
      <c r="H436" s="183" t="s">
        <v>2470</v>
      </c>
      <c r="I436" s="183" t="s">
        <v>2471</v>
      </c>
      <c r="J436" s="183" t="s">
        <v>2469</v>
      </c>
      <c r="K436" s="183" t="s">
        <v>2472</v>
      </c>
      <c r="L436" s="184">
        <v>1</v>
      </c>
      <c r="M436" s="184">
        <v>33</v>
      </c>
    </row>
    <row r="437" spans="1:13" ht="17.25" hidden="1" customHeight="1" x14ac:dyDescent="0.25">
      <c r="A437" s="183" t="s">
        <v>111</v>
      </c>
      <c r="B437" s="190">
        <v>1389</v>
      </c>
      <c r="C437" s="184">
        <v>2012</v>
      </c>
      <c r="D437" s="183" t="s">
        <v>2473</v>
      </c>
      <c r="E437" s="183" t="s">
        <v>773</v>
      </c>
      <c r="F437" s="185">
        <v>13224</v>
      </c>
      <c r="G437" s="183" t="s">
        <v>741</v>
      </c>
      <c r="H437" s="183" t="s">
        <v>2474</v>
      </c>
      <c r="I437" s="183" t="s">
        <v>2475</v>
      </c>
      <c r="J437" s="183" t="s">
        <v>2473</v>
      </c>
      <c r="K437" s="183" t="s">
        <v>1920</v>
      </c>
      <c r="L437" s="184">
        <v>2</v>
      </c>
      <c r="M437" s="184">
        <v>12.5</v>
      </c>
    </row>
    <row r="438" spans="1:13" ht="17.25" hidden="1" customHeight="1" x14ac:dyDescent="0.25">
      <c r="A438" s="183" t="s">
        <v>111</v>
      </c>
      <c r="B438" s="190">
        <v>1385</v>
      </c>
      <c r="C438" s="184">
        <v>2012</v>
      </c>
      <c r="D438" s="183" t="s">
        <v>2476</v>
      </c>
      <c r="E438" s="183" t="s">
        <v>773</v>
      </c>
      <c r="F438" s="185">
        <v>86000</v>
      </c>
      <c r="G438" s="183" t="s">
        <v>741</v>
      </c>
      <c r="H438" s="183" t="s">
        <v>2477</v>
      </c>
      <c r="I438" s="183" t="s">
        <v>2478</v>
      </c>
      <c r="J438" s="183" t="s">
        <v>2476</v>
      </c>
      <c r="K438" s="183" t="s">
        <v>2479</v>
      </c>
      <c r="L438" s="184">
        <v>2</v>
      </c>
      <c r="M438" s="184">
        <v>8.1</v>
      </c>
    </row>
    <row r="439" spans="1:13" ht="17.25" hidden="1" customHeight="1" x14ac:dyDescent="0.25">
      <c r="A439" s="183" t="s">
        <v>111</v>
      </c>
      <c r="B439" s="190">
        <v>1382</v>
      </c>
      <c r="C439" s="184">
        <v>2012</v>
      </c>
      <c r="D439" s="183" t="s">
        <v>2480</v>
      </c>
      <c r="E439" s="183" t="s">
        <v>773</v>
      </c>
      <c r="F439" s="185">
        <v>12000</v>
      </c>
      <c r="G439" s="183" t="s">
        <v>741</v>
      </c>
      <c r="H439" s="183" t="s">
        <v>2481</v>
      </c>
      <c r="I439" s="183" t="s">
        <v>2482</v>
      </c>
      <c r="J439" s="183" t="s">
        <v>2480</v>
      </c>
      <c r="K439" s="183" t="s">
        <v>2483</v>
      </c>
      <c r="L439" s="184">
        <v>8</v>
      </c>
      <c r="M439" s="184">
        <v>6</v>
      </c>
    </row>
    <row r="440" spans="1:13" ht="17.25" hidden="1" customHeight="1" x14ac:dyDescent="0.25">
      <c r="A440" s="183" t="s">
        <v>111</v>
      </c>
      <c r="B440" s="190">
        <v>1384</v>
      </c>
      <c r="C440" s="184">
        <v>2012</v>
      </c>
      <c r="D440" s="183" t="s">
        <v>1260</v>
      </c>
      <c r="E440" s="183" t="s">
        <v>740</v>
      </c>
      <c r="F440" s="185">
        <v>50000</v>
      </c>
      <c r="G440" s="183" t="s">
        <v>741</v>
      </c>
      <c r="H440" s="183" t="s">
        <v>2484</v>
      </c>
      <c r="I440" s="183" t="s">
        <v>2485</v>
      </c>
      <c r="J440" s="183" t="s">
        <v>1260</v>
      </c>
      <c r="K440" s="183" t="s">
        <v>1275</v>
      </c>
      <c r="L440" s="184">
        <v>7</v>
      </c>
      <c r="M440" s="184">
        <v>6</v>
      </c>
    </row>
    <row r="441" spans="1:13" ht="17.25" hidden="1" customHeight="1" x14ac:dyDescent="0.25">
      <c r="A441" s="183" t="s">
        <v>111</v>
      </c>
      <c r="B441" s="190">
        <v>1383</v>
      </c>
      <c r="C441" s="184">
        <v>2012</v>
      </c>
      <c r="D441" s="183" t="s">
        <v>2486</v>
      </c>
      <c r="E441" s="183" t="s">
        <v>773</v>
      </c>
      <c r="F441" s="185">
        <v>15000</v>
      </c>
      <c r="G441" s="183" t="s">
        <v>741</v>
      </c>
      <c r="H441" s="183" t="s">
        <v>2487</v>
      </c>
      <c r="I441" s="183" t="s">
        <v>2488</v>
      </c>
      <c r="J441" s="183" t="s">
        <v>1587</v>
      </c>
      <c r="K441" s="183" t="s">
        <v>2489</v>
      </c>
      <c r="L441" s="184">
        <v>2</v>
      </c>
      <c r="M441" s="184">
        <v>0.7</v>
      </c>
    </row>
    <row r="442" spans="1:13" ht="17.25" hidden="1" customHeight="1" x14ac:dyDescent="0.25">
      <c r="A442" s="183" t="s">
        <v>111</v>
      </c>
      <c r="B442" s="190">
        <v>1388</v>
      </c>
      <c r="C442" s="184">
        <v>2012</v>
      </c>
      <c r="D442" s="183" t="s">
        <v>2490</v>
      </c>
      <c r="E442" s="183" t="s">
        <v>740</v>
      </c>
      <c r="F442" s="185">
        <v>58000</v>
      </c>
      <c r="G442" s="183" t="s">
        <v>741</v>
      </c>
      <c r="H442" s="183" t="s">
        <v>2491</v>
      </c>
      <c r="I442" s="183" t="s">
        <v>2492</v>
      </c>
      <c r="J442" s="183" t="s">
        <v>2490</v>
      </c>
      <c r="K442" s="183" t="s">
        <v>791</v>
      </c>
      <c r="L442" s="184">
        <v>7</v>
      </c>
      <c r="M442" s="184">
        <v>0.5</v>
      </c>
    </row>
    <row r="443" spans="1:13" ht="17.25" hidden="1" customHeight="1" x14ac:dyDescent="0.25">
      <c r="A443" s="183" t="s">
        <v>111</v>
      </c>
      <c r="B443" s="190">
        <v>1386</v>
      </c>
      <c r="C443" s="184">
        <v>2012</v>
      </c>
      <c r="D443" s="183" t="s">
        <v>2493</v>
      </c>
      <c r="E443" s="183" t="s">
        <v>740</v>
      </c>
      <c r="F443" s="185">
        <v>11500</v>
      </c>
      <c r="G443" s="183" t="s">
        <v>741</v>
      </c>
      <c r="H443" s="183" t="s">
        <v>2494</v>
      </c>
      <c r="I443" s="183" t="s">
        <v>2495</v>
      </c>
      <c r="J443" s="183" t="s">
        <v>2493</v>
      </c>
      <c r="K443" s="183" t="s">
        <v>2496</v>
      </c>
      <c r="L443" s="184">
        <v>1</v>
      </c>
      <c r="M443" s="184">
        <v>0.3</v>
      </c>
    </row>
    <row r="444" spans="1:13" ht="17.25" hidden="1" customHeight="1" x14ac:dyDescent="0.25">
      <c r="A444" s="183" t="s">
        <v>111</v>
      </c>
      <c r="B444" s="190">
        <v>1387</v>
      </c>
      <c r="C444" s="184">
        <v>2012</v>
      </c>
      <c r="D444" s="183" t="s">
        <v>2497</v>
      </c>
      <c r="E444" s="183" t="s">
        <v>740</v>
      </c>
      <c r="F444" s="185">
        <v>31500</v>
      </c>
      <c r="G444" s="183" t="s">
        <v>749</v>
      </c>
      <c r="H444" s="183" t="s">
        <v>2498</v>
      </c>
      <c r="I444" s="183" t="s">
        <v>2499</v>
      </c>
      <c r="J444" s="183" t="s">
        <v>2497</v>
      </c>
      <c r="K444" s="183" t="s">
        <v>2500</v>
      </c>
      <c r="L444" s="184">
        <v>7</v>
      </c>
      <c r="M444" s="184">
        <v>3.5</v>
      </c>
    </row>
    <row r="445" spans="1:13" ht="17.25" hidden="1" customHeight="1" x14ac:dyDescent="0.25">
      <c r="A445" s="183" t="s">
        <v>111</v>
      </c>
      <c r="B445" s="190">
        <v>1397</v>
      </c>
      <c r="C445" s="184">
        <v>2014</v>
      </c>
      <c r="D445" s="183" t="s">
        <v>2501</v>
      </c>
      <c r="E445" s="183" t="s">
        <v>740</v>
      </c>
      <c r="F445" s="185">
        <v>100000</v>
      </c>
      <c r="G445" s="183" t="s">
        <v>740</v>
      </c>
      <c r="H445" s="183" t="s">
        <v>937</v>
      </c>
      <c r="I445" s="183" t="s">
        <v>2502</v>
      </c>
      <c r="J445" s="183" t="s">
        <v>2461</v>
      </c>
      <c r="K445" s="183" t="s">
        <v>2462</v>
      </c>
      <c r="L445" s="184">
        <v>2</v>
      </c>
      <c r="M445" s="184">
        <v>50.6</v>
      </c>
    </row>
    <row r="446" spans="1:13" ht="17.25" hidden="1" customHeight="1" x14ac:dyDescent="0.25">
      <c r="A446" s="183" t="s">
        <v>111</v>
      </c>
      <c r="B446" s="190">
        <v>1392</v>
      </c>
      <c r="C446" s="184">
        <v>2014</v>
      </c>
      <c r="D446" s="183" t="s">
        <v>2503</v>
      </c>
      <c r="E446" s="183" t="s">
        <v>740</v>
      </c>
      <c r="F446" s="185">
        <v>21800</v>
      </c>
      <c r="G446" s="183" t="s">
        <v>749</v>
      </c>
      <c r="H446" s="183" t="s">
        <v>2504</v>
      </c>
      <c r="I446" s="183" t="s">
        <v>2505</v>
      </c>
      <c r="J446" s="183" t="s">
        <v>2503</v>
      </c>
      <c r="K446" s="183" t="s">
        <v>2506</v>
      </c>
      <c r="L446" s="184">
        <v>1</v>
      </c>
      <c r="M446" s="184">
        <v>50</v>
      </c>
    </row>
    <row r="447" spans="1:13" ht="17.25" hidden="1" customHeight="1" x14ac:dyDescent="0.25">
      <c r="A447" s="183" t="s">
        <v>111</v>
      </c>
      <c r="B447" s="190">
        <v>1395</v>
      </c>
      <c r="C447" s="184">
        <v>2014</v>
      </c>
      <c r="D447" s="183" t="s">
        <v>1934</v>
      </c>
      <c r="E447" s="183" t="s">
        <v>740</v>
      </c>
      <c r="F447" s="185">
        <v>60400</v>
      </c>
      <c r="G447" s="183" t="s">
        <v>749</v>
      </c>
      <c r="H447" s="183" t="s">
        <v>2507</v>
      </c>
      <c r="I447" s="183" t="s">
        <v>2508</v>
      </c>
      <c r="J447" s="183" t="s">
        <v>1934</v>
      </c>
      <c r="K447" s="183" t="s">
        <v>2462</v>
      </c>
      <c r="L447" s="184">
        <v>6</v>
      </c>
      <c r="M447" s="184">
        <v>21.3</v>
      </c>
    </row>
    <row r="448" spans="1:13" ht="17.25" hidden="1" customHeight="1" x14ac:dyDescent="0.25">
      <c r="A448" s="183" t="s">
        <v>111</v>
      </c>
      <c r="B448" s="190">
        <v>1393</v>
      </c>
      <c r="C448" s="184">
        <v>2014</v>
      </c>
      <c r="D448" s="183" t="s">
        <v>2509</v>
      </c>
      <c r="E448" s="183" t="s">
        <v>740</v>
      </c>
      <c r="F448" s="185">
        <v>11200</v>
      </c>
      <c r="G448" s="183" t="s">
        <v>749</v>
      </c>
      <c r="H448" s="183" t="s">
        <v>2510</v>
      </c>
      <c r="I448" s="183" t="s">
        <v>2511</v>
      </c>
      <c r="J448" s="183" t="s">
        <v>2509</v>
      </c>
      <c r="K448" s="183" t="s">
        <v>2512</v>
      </c>
      <c r="L448" s="184">
        <v>7</v>
      </c>
      <c r="M448" s="184">
        <v>2.8</v>
      </c>
    </row>
    <row r="449" spans="1:13" ht="17.25" hidden="1" customHeight="1" x14ac:dyDescent="0.25">
      <c r="A449" s="183" t="s">
        <v>111</v>
      </c>
      <c r="B449" s="190">
        <v>1394</v>
      </c>
      <c r="C449" s="184">
        <v>2014</v>
      </c>
      <c r="D449" s="183" t="s">
        <v>2513</v>
      </c>
      <c r="E449" s="183" t="s">
        <v>740</v>
      </c>
      <c r="F449" s="185">
        <v>27700</v>
      </c>
      <c r="G449" s="183" t="s">
        <v>749</v>
      </c>
      <c r="H449" s="183" t="s">
        <v>2510</v>
      </c>
      <c r="I449" s="183" t="s">
        <v>2514</v>
      </c>
      <c r="J449" s="183" t="s">
        <v>2513</v>
      </c>
      <c r="K449" s="183" t="s">
        <v>2512</v>
      </c>
      <c r="L449" s="184">
        <v>7</v>
      </c>
      <c r="M449" s="184">
        <v>1.1000000000000001</v>
      </c>
    </row>
    <row r="450" spans="1:13" ht="17.25" hidden="1" customHeight="1" x14ac:dyDescent="0.25">
      <c r="A450" s="183" t="s">
        <v>112</v>
      </c>
      <c r="B450" s="190">
        <v>1582</v>
      </c>
      <c r="C450" s="184">
        <v>2012</v>
      </c>
      <c r="D450" s="183" t="s">
        <v>2515</v>
      </c>
      <c r="E450" s="183" t="s">
        <v>740</v>
      </c>
      <c r="F450" s="185">
        <v>40858</v>
      </c>
      <c r="G450" s="183" t="s">
        <v>741</v>
      </c>
      <c r="H450" s="183" t="s">
        <v>2516</v>
      </c>
      <c r="I450" s="183" t="s">
        <v>2517</v>
      </c>
      <c r="J450" s="183" t="s">
        <v>1260</v>
      </c>
      <c r="K450" s="183" t="s">
        <v>2518</v>
      </c>
      <c r="L450" s="184">
        <v>9</v>
      </c>
      <c r="M450" s="184">
        <v>95</v>
      </c>
    </row>
    <row r="451" spans="1:13" ht="17.25" hidden="1" customHeight="1" x14ac:dyDescent="0.25">
      <c r="A451" s="183" t="s">
        <v>112</v>
      </c>
      <c r="B451" s="190">
        <v>1580</v>
      </c>
      <c r="C451" s="184">
        <v>2012</v>
      </c>
      <c r="D451" s="183" t="s">
        <v>2519</v>
      </c>
      <c r="E451" s="183" t="s">
        <v>773</v>
      </c>
      <c r="F451" s="185">
        <v>83333.5</v>
      </c>
      <c r="G451" s="183" t="s">
        <v>741</v>
      </c>
      <c r="H451" s="183" t="s">
        <v>2520</v>
      </c>
      <c r="I451" s="183" t="s">
        <v>2521</v>
      </c>
      <c r="J451" s="183" t="s">
        <v>2522</v>
      </c>
      <c r="K451" s="183" t="s">
        <v>2523</v>
      </c>
      <c r="L451" s="184">
        <v>8</v>
      </c>
      <c r="M451" s="184">
        <v>17</v>
      </c>
    </row>
    <row r="452" spans="1:13" ht="17.25" hidden="1" customHeight="1" x14ac:dyDescent="0.25">
      <c r="A452" s="183" t="s">
        <v>112</v>
      </c>
      <c r="B452" s="190">
        <v>1579</v>
      </c>
      <c r="C452" s="184">
        <v>2012</v>
      </c>
      <c r="D452" s="183" t="s">
        <v>2524</v>
      </c>
      <c r="E452" s="183" t="s">
        <v>773</v>
      </c>
      <c r="F452" s="185">
        <v>17255.5</v>
      </c>
      <c r="G452" s="183" t="s">
        <v>741</v>
      </c>
      <c r="H452" s="183" t="s">
        <v>2525</v>
      </c>
      <c r="I452" s="183" t="s">
        <v>2526</v>
      </c>
      <c r="J452" s="183" t="s">
        <v>2527</v>
      </c>
      <c r="K452" s="183" t="s">
        <v>2528</v>
      </c>
      <c r="L452" s="184">
        <v>9</v>
      </c>
      <c r="M452" s="184">
        <v>15.7</v>
      </c>
    </row>
    <row r="453" spans="1:13" ht="17.25" hidden="1" customHeight="1" x14ac:dyDescent="0.25">
      <c r="A453" s="183" t="s">
        <v>112</v>
      </c>
      <c r="B453" s="190">
        <v>1575</v>
      </c>
      <c r="C453" s="184">
        <v>2012</v>
      </c>
      <c r="D453" s="183" t="s">
        <v>2529</v>
      </c>
      <c r="E453" s="183" t="s">
        <v>773</v>
      </c>
      <c r="F453" s="185">
        <v>83333.5</v>
      </c>
      <c r="G453" s="183" t="s">
        <v>741</v>
      </c>
      <c r="H453" s="183" t="s">
        <v>2530</v>
      </c>
      <c r="I453" s="183" t="s">
        <v>2531</v>
      </c>
      <c r="J453" s="183" t="s">
        <v>2532</v>
      </c>
      <c r="K453" s="183" t="s">
        <v>2140</v>
      </c>
      <c r="L453" s="184">
        <v>2</v>
      </c>
      <c r="M453" s="184">
        <v>14</v>
      </c>
    </row>
    <row r="454" spans="1:13" ht="17.25" hidden="1" customHeight="1" x14ac:dyDescent="0.25">
      <c r="A454" s="183" t="s">
        <v>112</v>
      </c>
      <c r="B454" s="190">
        <v>1587</v>
      </c>
      <c r="C454" s="184">
        <v>2012</v>
      </c>
      <c r="D454" s="183" t="s">
        <v>2533</v>
      </c>
      <c r="E454" s="183" t="s">
        <v>740</v>
      </c>
      <c r="F454" s="185">
        <v>28308</v>
      </c>
      <c r="G454" s="183" t="s">
        <v>741</v>
      </c>
      <c r="H454" s="183" t="s">
        <v>2534</v>
      </c>
      <c r="I454" s="183" t="s">
        <v>2535</v>
      </c>
      <c r="J454" s="183" t="s">
        <v>2536</v>
      </c>
      <c r="K454" s="183" t="s">
        <v>2537</v>
      </c>
      <c r="L454" s="184">
        <v>8</v>
      </c>
      <c r="M454" s="184">
        <v>10</v>
      </c>
    </row>
    <row r="455" spans="1:13" ht="17.25" hidden="1" customHeight="1" x14ac:dyDescent="0.25">
      <c r="A455" s="183" t="s">
        <v>112</v>
      </c>
      <c r="B455" s="190">
        <v>1595</v>
      </c>
      <c r="C455" s="184">
        <v>2012</v>
      </c>
      <c r="D455" s="183" t="s">
        <v>2538</v>
      </c>
      <c r="E455" s="183" t="s">
        <v>740</v>
      </c>
      <c r="F455" s="185">
        <v>52500</v>
      </c>
      <c r="G455" s="183" t="s">
        <v>741</v>
      </c>
      <c r="H455" s="183" t="s">
        <v>2539</v>
      </c>
      <c r="I455" s="183" t="s">
        <v>2540</v>
      </c>
      <c r="J455" s="183" t="s">
        <v>2541</v>
      </c>
      <c r="K455" s="183" t="s">
        <v>234</v>
      </c>
      <c r="L455" s="184">
        <v>8</v>
      </c>
      <c r="M455" s="184">
        <v>7</v>
      </c>
    </row>
    <row r="456" spans="1:13" ht="17.25" hidden="1" customHeight="1" x14ac:dyDescent="0.25">
      <c r="A456" s="183" t="s">
        <v>112</v>
      </c>
      <c r="B456" s="190">
        <v>1574</v>
      </c>
      <c r="C456" s="184">
        <v>2012</v>
      </c>
      <c r="D456" s="183" t="s">
        <v>2542</v>
      </c>
      <c r="E456" s="183" t="s">
        <v>773</v>
      </c>
      <c r="F456" s="185">
        <v>28865</v>
      </c>
      <c r="G456" s="183" t="s">
        <v>741</v>
      </c>
      <c r="H456" s="183" t="s">
        <v>2543</v>
      </c>
      <c r="I456" s="183" t="s">
        <v>2544</v>
      </c>
      <c r="J456" s="183" t="s">
        <v>2545</v>
      </c>
      <c r="K456" s="183" t="s">
        <v>2546</v>
      </c>
      <c r="L456" s="184">
        <v>8</v>
      </c>
      <c r="M456" s="184">
        <v>2</v>
      </c>
    </row>
    <row r="457" spans="1:13" ht="17.25" hidden="1" customHeight="1" x14ac:dyDescent="0.25">
      <c r="A457" s="183" t="s">
        <v>112</v>
      </c>
      <c r="B457" s="190">
        <v>1593</v>
      </c>
      <c r="C457" s="184">
        <v>2012</v>
      </c>
      <c r="D457" s="183" t="s">
        <v>2547</v>
      </c>
      <c r="E457" s="183" t="s">
        <v>773</v>
      </c>
      <c r="F457" s="185">
        <v>41111</v>
      </c>
      <c r="G457" s="183" t="s">
        <v>749</v>
      </c>
      <c r="H457" s="183" t="s">
        <v>2548</v>
      </c>
      <c r="I457" s="183" t="s">
        <v>2549</v>
      </c>
      <c r="J457" s="183" t="s">
        <v>2550</v>
      </c>
      <c r="K457" s="183" t="s">
        <v>2551</v>
      </c>
      <c r="L457" s="184">
        <v>9</v>
      </c>
      <c r="M457" s="184">
        <v>250</v>
      </c>
    </row>
    <row r="458" spans="1:13" ht="17.25" hidden="1" customHeight="1" x14ac:dyDescent="0.25">
      <c r="A458" s="183" t="s">
        <v>112</v>
      </c>
      <c r="B458" s="190">
        <v>1590</v>
      </c>
      <c r="C458" s="184">
        <v>2012</v>
      </c>
      <c r="D458" s="183" t="s">
        <v>2552</v>
      </c>
      <c r="E458" s="183" t="s">
        <v>740</v>
      </c>
      <c r="F458" s="185">
        <v>63125</v>
      </c>
      <c r="G458" s="183" t="s">
        <v>749</v>
      </c>
      <c r="H458" s="183" t="s">
        <v>2553</v>
      </c>
      <c r="I458" s="183" t="s">
        <v>2554</v>
      </c>
      <c r="J458" s="183" t="s">
        <v>2555</v>
      </c>
      <c r="K458" s="183" t="s">
        <v>935</v>
      </c>
      <c r="L458" s="184">
        <v>4</v>
      </c>
      <c r="M458" s="184">
        <v>27.5</v>
      </c>
    </row>
    <row r="459" spans="1:13" ht="17.25" hidden="1" customHeight="1" x14ac:dyDescent="0.25">
      <c r="A459" s="183" t="s">
        <v>112</v>
      </c>
      <c r="B459" s="190">
        <v>1576</v>
      </c>
      <c r="C459" s="184">
        <v>2012</v>
      </c>
      <c r="D459" s="183" t="s">
        <v>2556</v>
      </c>
      <c r="E459" s="183" t="s">
        <v>740</v>
      </c>
      <c r="F459" s="185">
        <v>83333.5</v>
      </c>
      <c r="G459" s="183" t="s">
        <v>749</v>
      </c>
      <c r="H459" s="183" t="s">
        <v>2557</v>
      </c>
      <c r="I459" s="183" t="s">
        <v>2558</v>
      </c>
      <c r="J459" s="183" t="s">
        <v>2559</v>
      </c>
      <c r="K459" s="183" t="s">
        <v>973</v>
      </c>
      <c r="L459" s="184">
        <v>5</v>
      </c>
      <c r="M459" s="184">
        <v>22</v>
      </c>
    </row>
    <row r="460" spans="1:13" ht="17.25" hidden="1" customHeight="1" x14ac:dyDescent="0.25">
      <c r="A460" s="183" t="s">
        <v>112</v>
      </c>
      <c r="B460" s="190">
        <v>1578</v>
      </c>
      <c r="C460" s="184">
        <v>2012</v>
      </c>
      <c r="D460" s="183" t="s">
        <v>2560</v>
      </c>
      <c r="E460" s="183" t="s">
        <v>773</v>
      </c>
      <c r="F460" s="185">
        <v>82500</v>
      </c>
      <c r="G460" s="183" t="s">
        <v>749</v>
      </c>
      <c r="H460" s="183" t="s">
        <v>2561</v>
      </c>
      <c r="I460" s="183" t="s">
        <v>2562</v>
      </c>
      <c r="J460" s="183" t="s">
        <v>2563</v>
      </c>
      <c r="K460" s="183" t="s">
        <v>2564</v>
      </c>
      <c r="L460" s="184">
        <v>8</v>
      </c>
      <c r="M460" s="184">
        <v>20</v>
      </c>
    </row>
    <row r="461" spans="1:13" ht="17.25" hidden="1" customHeight="1" x14ac:dyDescent="0.25">
      <c r="A461" s="183" t="s">
        <v>112</v>
      </c>
      <c r="B461" s="190">
        <v>1577</v>
      </c>
      <c r="C461" s="184">
        <v>2012</v>
      </c>
      <c r="D461" s="183" t="s">
        <v>2565</v>
      </c>
      <c r="E461" s="183" t="s">
        <v>773</v>
      </c>
      <c r="F461" s="185">
        <v>82779</v>
      </c>
      <c r="G461" s="183" t="s">
        <v>749</v>
      </c>
      <c r="H461" s="183" t="s">
        <v>2566</v>
      </c>
      <c r="I461" s="183" t="s">
        <v>2567</v>
      </c>
      <c r="J461" s="183" t="s">
        <v>2568</v>
      </c>
      <c r="K461" s="183" t="s">
        <v>973</v>
      </c>
      <c r="L461" s="184">
        <v>5</v>
      </c>
      <c r="M461" s="184">
        <v>14.3</v>
      </c>
    </row>
    <row r="462" spans="1:13" ht="17.25" hidden="1" customHeight="1" x14ac:dyDescent="0.25">
      <c r="A462" s="183" t="s">
        <v>112</v>
      </c>
      <c r="B462" s="190">
        <v>1583</v>
      </c>
      <c r="C462" s="184">
        <v>2012</v>
      </c>
      <c r="D462" s="183" t="s">
        <v>2569</v>
      </c>
      <c r="E462" s="183" t="s">
        <v>740</v>
      </c>
      <c r="F462" s="185">
        <v>83333.5</v>
      </c>
      <c r="G462" s="183" t="s">
        <v>749</v>
      </c>
      <c r="H462" s="183" t="s">
        <v>2570</v>
      </c>
      <c r="I462" s="183" t="s">
        <v>2571</v>
      </c>
      <c r="J462" s="183" t="s">
        <v>1587</v>
      </c>
      <c r="K462" s="183" t="s">
        <v>2572</v>
      </c>
      <c r="L462" s="184">
        <v>8</v>
      </c>
      <c r="M462" s="184">
        <v>14</v>
      </c>
    </row>
    <row r="463" spans="1:13" ht="17.25" hidden="1" customHeight="1" x14ac:dyDescent="0.25">
      <c r="A463" s="183" t="s">
        <v>112</v>
      </c>
      <c r="B463" s="190">
        <v>1584</v>
      </c>
      <c r="C463" s="184">
        <v>2012</v>
      </c>
      <c r="D463" s="183" t="s">
        <v>2573</v>
      </c>
      <c r="E463" s="183" t="s">
        <v>740</v>
      </c>
      <c r="F463" s="185">
        <v>222252.5</v>
      </c>
      <c r="G463" s="183" t="s">
        <v>749</v>
      </c>
      <c r="H463" s="183" t="s">
        <v>2574</v>
      </c>
      <c r="I463" s="183" t="s">
        <v>2575</v>
      </c>
      <c r="J463" s="183" t="s">
        <v>2576</v>
      </c>
      <c r="K463" s="183" t="s">
        <v>2577</v>
      </c>
      <c r="L463" s="184">
        <v>7</v>
      </c>
      <c r="M463" s="184">
        <v>12.6</v>
      </c>
    </row>
    <row r="464" spans="1:13" ht="17.25" hidden="1" customHeight="1" x14ac:dyDescent="0.25">
      <c r="A464" s="183" t="s">
        <v>112</v>
      </c>
      <c r="B464" s="190">
        <v>1592</v>
      </c>
      <c r="C464" s="184">
        <v>2012</v>
      </c>
      <c r="D464" s="183" t="s">
        <v>2578</v>
      </c>
      <c r="E464" s="183" t="s">
        <v>773</v>
      </c>
      <c r="F464" s="185">
        <v>38890</v>
      </c>
      <c r="G464" s="183" t="s">
        <v>749</v>
      </c>
      <c r="H464" s="183" t="s">
        <v>2579</v>
      </c>
      <c r="I464" s="183" t="s">
        <v>2580</v>
      </c>
      <c r="J464" s="183" t="s">
        <v>2581</v>
      </c>
      <c r="K464" s="183" t="s">
        <v>2582</v>
      </c>
      <c r="L464" s="184">
        <v>9</v>
      </c>
      <c r="M464" s="184">
        <v>4.4000000000000004</v>
      </c>
    </row>
    <row r="465" spans="1:13" ht="17.25" hidden="1" customHeight="1" x14ac:dyDescent="0.25">
      <c r="A465" s="183" t="s">
        <v>112</v>
      </c>
      <c r="B465" s="190">
        <v>1573</v>
      </c>
      <c r="C465" s="184">
        <v>2012</v>
      </c>
      <c r="D465" s="183" t="s">
        <v>2583</v>
      </c>
      <c r="E465" s="183" t="s">
        <v>740</v>
      </c>
      <c r="F465" s="185">
        <v>83333.5</v>
      </c>
      <c r="G465" s="183" t="s">
        <v>749</v>
      </c>
      <c r="H465" s="183" t="s">
        <v>2584</v>
      </c>
      <c r="I465" s="183" t="s">
        <v>2585</v>
      </c>
      <c r="J465" s="183" t="s">
        <v>2586</v>
      </c>
      <c r="K465" s="183" t="s">
        <v>2587</v>
      </c>
      <c r="L465" s="184">
        <v>6</v>
      </c>
      <c r="M465" s="184">
        <v>2</v>
      </c>
    </row>
    <row r="466" spans="1:13" ht="17.25" hidden="1" customHeight="1" x14ac:dyDescent="0.25">
      <c r="A466" s="183" t="s">
        <v>112</v>
      </c>
      <c r="B466" s="190">
        <v>1581</v>
      </c>
      <c r="C466" s="184">
        <v>2012</v>
      </c>
      <c r="D466" s="183" t="s">
        <v>2588</v>
      </c>
      <c r="E466" s="183" t="s">
        <v>773</v>
      </c>
      <c r="F466" s="185">
        <v>10750</v>
      </c>
      <c r="G466" s="183" t="s">
        <v>749</v>
      </c>
      <c r="H466" s="183" t="s">
        <v>2589</v>
      </c>
      <c r="I466" s="183" t="s">
        <v>2590</v>
      </c>
      <c r="J466" s="183" t="s">
        <v>2591</v>
      </c>
      <c r="K466" s="183" t="s">
        <v>2572</v>
      </c>
      <c r="L466" s="184">
        <v>8</v>
      </c>
      <c r="M466" s="184">
        <v>1</v>
      </c>
    </row>
    <row r="467" spans="1:13" ht="17.25" hidden="1" customHeight="1" x14ac:dyDescent="0.25">
      <c r="A467" s="183" t="s">
        <v>112</v>
      </c>
      <c r="B467" s="190">
        <v>1594</v>
      </c>
      <c r="C467" s="184">
        <v>2013</v>
      </c>
      <c r="D467" s="183" t="s">
        <v>2592</v>
      </c>
      <c r="E467" s="183" t="s">
        <v>740</v>
      </c>
      <c r="F467" s="185">
        <v>59035</v>
      </c>
      <c r="G467" s="183" t="s">
        <v>741</v>
      </c>
      <c r="H467" s="183" t="s">
        <v>2593</v>
      </c>
      <c r="I467" s="183" t="s">
        <v>2594</v>
      </c>
      <c r="J467" s="183" t="s">
        <v>2595</v>
      </c>
      <c r="K467" s="183" t="s">
        <v>190</v>
      </c>
      <c r="L467" s="184">
        <v>0</v>
      </c>
      <c r="M467" s="184">
        <v>20.8</v>
      </c>
    </row>
    <row r="468" spans="1:13" ht="17.25" hidden="1" customHeight="1" x14ac:dyDescent="0.25">
      <c r="A468" s="183" t="s">
        <v>112</v>
      </c>
      <c r="B468" s="190">
        <v>1589</v>
      </c>
      <c r="C468" s="184">
        <v>2013</v>
      </c>
      <c r="D468" s="183" t="s">
        <v>2596</v>
      </c>
      <c r="E468" s="183" t="s">
        <v>740</v>
      </c>
      <c r="F468" s="185">
        <v>43000</v>
      </c>
      <c r="G468" s="183" t="s">
        <v>741</v>
      </c>
      <c r="H468" s="183" t="s">
        <v>2597</v>
      </c>
      <c r="I468" s="183" t="s">
        <v>2598</v>
      </c>
      <c r="J468" s="183" t="s">
        <v>2599</v>
      </c>
      <c r="K468" s="183" t="s">
        <v>2600</v>
      </c>
      <c r="L468" s="184">
        <v>0</v>
      </c>
      <c r="M468" s="184">
        <v>3</v>
      </c>
    </row>
    <row r="469" spans="1:13" ht="17.25" hidden="1" customHeight="1" x14ac:dyDescent="0.25">
      <c r="A469" s="183" t="s">
        <v>112</v>
      </c>
      <c r="B469" s="190">
        <v>1591</v>
      </c>
      <c r="C469" s="184">
        <v>2013</v>
      </c>
      <c r="D469" s="183" t="s">
        <v>2601</v>
      </c>
      <c r="E469" s="183" t="s">
        <v>740</v>
      </c>
      <c r="F469" s="185">
        <v>28500</v>
      </c>
      <c r="G469" s="183" t="s">
        <v>749</v>
      </c>
      <c r="H469" s="183" t="s">
        <v>2602</v>
      </c>
      <c r="I469" s="183" t="s">
        <v>2603</v>
      </c>
      <c r="J469" s="183" t="s">
        <v>2604</v>
      </c>
      <c r="K469" s="183" t="s">
        <v>2605</v>
      </c>
      <c r="L469" s="184">
        <v>0</v>
      </c>
      <c r="M469" s="184">
        <v>550</v>
      </c>
    </row>
    <row r="470" spans="1:13" ht="17.25" hidden="1" customHeight="1" x14ac:dyDescent="0.25">
      <c r="A470" s="183" t="s">
        <v>112</v>
      </c>
      <c r="B470" s="190">
        <v>1618</v>
      </c>
      <c r="C470" s="184">
        <v>2014</v>
      </c>
      <c r="D470" s="183" t="s">
        <v>2606</v>
      </c>
      <c r="E470" s="183" t="s">
        <v>740</v>
      </c>
      <c r="F470" s="185">
        <v>61111</v>
      </c>
      <c r="G470" s="183" t="s">
        <v>773</v>
      </c>
      <c r="H470" s="183" t="s">
        <v>2607</v>
      </c>
      <c r="I470" s="183" t="s">
        <v>2608</v>
      </c>
      <c r="J470" s="183" t="s">
        <v>2609</v>
      </c>
      <c r="K470" s="183" t="s">
        <v>2577</v>
      </c>
      <c r="L470" s="184">
        <v>7</v>
      </c>
      <c r="M470" s="184">
        <v>18</v>
      </c>
    </row>
    <row r="471" spans="1:13" ht="17.25" hidden="1" customHeight="1" x14ac:dyDescent="0.25">
      <c r="A471" s="183" t="s">
        <v>112</v>
      </c>
      <c r="B471" s="190">
        <v>1615</v>
      </c>
      <c r="C471" s="184">
        <v>2014</v>
      </c>
      <c r="D471" s="183" t="s">
        <v>2610</v>
      </c>
      <c r="E471" s="183" t="s">
        <v>740</v>
      </c>
      <c r="F471" s="185">
        <v>83333</v>
      </c>
      <c r="G471" s="183" t="s">
        <v>741</v>
      </c>
      <c r="H471" s="183" t="s">
        <v>2543</v>
      </c>
      <c r="I471" s="183" t="s">
        <v>2611</v>
      </c>
      <c r="J471" s="183" t="s">
        <v>2612</v>
      </c>
      <c r="K471" s="183" t="s">
        <v>2546</v>
      </c>
      <c r="L471" s="184">
        <v>8</v>
      </c>
      <c r="M471" s="184">
        <v>75</v>
      </c>
    </row>
    <row r="472" spans="1:13" ht="17.25" hidden="1" customHeight="1" x14ac:dyDescent="0.25">
      <c r="A472" s="183" t="s">
        <v>112</v>
      </c>
      <c r="B472" s="190">
        <v>1620</v>
      </c>
      <c r="C472" s="184">
        <v>2014</v>
      </c>
      <c r="D472" s="183" t="s">
        <v>2613</v>
      </c>
      <c r="E472" s="183" t="s">
        <v>740</v>
      </c>
      <c r="F472" s="185">
        <v>83333</v>
      </c>
      <c r="G472" s="183" t="s">
        <v>741</v>
      </c>
      <c r="H472" s="183" t="s">
        <v>2614</v>
      </c>
      <c r="I472" s="183" t="s">
        <v>2615</v>
      </c>
      <c r="J472" s="183" t="s">
        <v>2616</v>
      </c>
      <c r="K472" s="183" t="s">
        <v>2617</v>
      </c>
      <c r="L472" s="184">
        <v>2</v>
      </c>
      <c r="M472" s="184">
        <v>65</v>
      </c>
    </row>
    <row r="473" spans="1:13" ht="17.25" hidden="1" customHeight="1" x14ac:dyDescent="0.25">
      <c r="A473" s="183" t="s">
        <v>112</v>
      </c>
      <c r="B473" s="190">
        <v>1621</v>
      </c>
      <c r="C473" s="184">
        <v>2014</v>
      </c>
      <c r="D473" s="183" t="s">
        <v>2618</v>
      </c>
      <c r="E473" s="183" t="s">
        <v>740</v>
      </c>
      <c r="F473" s="185">
        <v>83333</v>
      </c>
      <c r="G473" s="183" t="s">
        <v>741</v>
      </c>
      <c r="H473" s="183" t="s">
        <v>2619</v>
      </c>
      <c r="I473" s="183" t="s">
        <v>2620</v>
      </c>
      <c r="J473" s="183" t="s">
        <v>2621</v>
      </c>
      <c r="K473" s="183" t="s">
        <v>2622</v>
      </c>
      <c r="L473" s="184">
        <v>5</v>
      </c>
      <c r="M473" s="184">
        <v>52</v>
      </c>
    </row>
    <row r="474" spans="1:13" ht="17.25" hidden="1" customHeight="1" x14ac:dyDescent="0.25">
      <c r="A474" s="183" t="s">
        <v>112</v>
      </c>
      <c r="B474" s="190">
        <v>1622</v>
      </c>
      <c r="C474" s="184">
        <v>2014</v>
      </c>
      <c r="D474" s="183" t="s">
        <v>2623</v>
      </c>
      <c r="E474" s="183" t="s">
        <v>740</v>
      </c>
      <c r="F474" s="185">
        <v>75608</v>
      </c>
      <c r="G474" s="183" t="s">
        <v>741</v>
      </c>
      <c r="H474" s="183" t="s">
        <v>2624</v>
      </c>
      <c r="I474" s="183" t="s">
        <v>2625</v>
      </c>
      <c r="J474" s="183" t="s">
        <v>1260</v>
      </c>
      <c r="K474" s="183" t="s">
        <v>2626</v>
      </c>
      <c r="L474" s="184">
        <v>5</v>
      </c>
      <c r="M474" s="184">
        <v>36.299999999999997</v>
      </c>
    </row>
    <row r="475" spans="1:13" ht="17.25" hidden="1" customHeight="1" x14ac:dyDescent="0.25">
      <c r="A475" s="183" t="s">
        <v>112</v>
      </c>
      <c r="B475" s="190">
        <v>1604</v>
      </c>
      <c r="C475" s="184">
        <v>2014</v>
      </c>
      <c r="D475" s="183" t="s">
        <v>2627</v>
      </c>
      <c r="E475" s="183" t="s">
        <v>740</v>
      </c>
      <c r="F475" s="185">
        <v>14490</v>
      </c>
      <c r="G475" s="183" t="s">
        <v>741</v>
      </c>
      <c r="H475" s="183" t="s">
        <v>2628</v>
      </c>
      <c r="I475" s="183" t="s">
        <v>2629</v>
      </c>
      <c r="J475" s="183" t="s">
        <v>2630</v>
      </c>
      <c r="K475" s="183" t="s">
        <v>1678</v>
      </c>
      <c r="L475" s="184">
        <v>4</v>
      </c>
      <c r="M475" s="184">
        <v>29.8</v>
      </c>
    </row>
    <row r="476" spans="1:13" ht="17.25" hidden="1" customHeight="1" x14ac:dyDescent="0.25">
      <c r="A476" s="183" t="s">
        <v>112</v>
      </c>
      <c r="B476" s="190">
        <v>1614</v>
      </c>
      <c r="C476" s="184">
        <v>2014</v>
      </c>
      <c r="D476" s="183" t="s">
        <v>2631</v>
      </c>
      <c r="E476" s="183" t="s">
        <v>740</v>
      </c>
      <c r="F476" s="185">
        <v>10000</v>
      </c>
      <c r="G476" s="183" t="s">
        <v>741</v>
      </c>
      <c r="H476" s="183" t="s">
        <v>2078</v>
      </c>
      <c r="I476" s="183" t="s">
        <v>2632</v>
      </c>
      <c r="J476" s="183" t="s">
        <v>2633</v>
      </c>
      <c r="K476" s="183" t="s">
        <v>2634</v>
      </c>
      <c r="L476" s="184">
        <v>8</v>
      </c>
      <c r="M476" s="184">
        <v>25</v>
      </c>
    </row>
    <row r="477" spans="1:13" ht="17.25" hidden="1" customHeight="1" x14ac:dyDescent="0.25">
      <c r="A477" s="183" t="s">
        <v>112</v>
      </c>
      <c r="B477" s="190">
        <v>1612</v>
      </c>
      <c r="C477" s="184">
        <v>2014</v>
      </c>
      <c r="D477" s="183" t="s">
        <v>2635</v>
      </c>
      <c r="E477" s="183" t="s">
        <v>740</v>
      </c>
      <c r="F477" s="185">
        <v>83333</v>
      </c>
      <c r="G477" s="183" t="s">
        <v>741</v>
      </c>
      <c r="H477" s="183" t="s">
        <v>2557</v>
      </c>
      <c r="I477" s="183" t="s">
        <v>2636</v>
      </c>
      <c r="J477" s="183" t="s">
        <v>2637</v>
      </c>
      <c r="K477" s="183" t="s">
        <v>973</v>
      </c>
      <c r="L477" s="184">
        <v>6</v>
      </c>
      <c r="M477" s="184">
        <v>18.7</v>
      </c>
    </row>
    <row r="478" spans="1:13" ht="17.25" hidden="1" customHeight="1" x14ac:dyDescent="0.25">
      <c r="A478" s="183" t="s">
        <v>112</v>
      </c>
      <c r="B478" s="190">
        <v>1611</v>
      </c>
      <c r="C478" s="184">
        <v>2014</v>
      </c>
      <c r="D478" s="183" t="s">
        <v>2638</v>
      </c>
      <c r="E478" s="183" t="s">
        <v>740</v>
      </c>
      <c r="F478" s="185">
        <v>83333</v>
      </c>
      <c r="G478" s="183" t="s">
        <v>741</v>
      </c>
      <c r="H478" s="183" t="s">
        <v>2639</v>
      </c>
      <c r="I478" s="183" t="s">
        <v>2640</v>
      </c>
      <c r="J478" s="183" t="s">
        <v>2641</v>
      </c>
      <c r="K478" s="183" t="s">
        <v>1583</v>
      </c>
      <c r="L478" s="184">
        <v>3</v>
      </c>
      <c r="M478" s="184">
        <v>14.3</v>
      </c>
    </row>
    <row r="479" spans="1:13" ht="17.25" hidden="1" customHeight="1" x14ac:dyDescent="0.25">
      <c r="A479" s="183" t="s">
        <v>112</v>
      </c>
      <c r="B479" s="190">
        <v>1610</v>
      </c>
      <c r="C479" s="184">
        <v>2014</v>
      </c>
      <c r="D479" s="183" t="s">
        <v>2642</v>
      </c>
      <c r="E479" s="183" t="s">
        <v>740</v>
      </c>
      <c r="F479" s="185">
        <v>39614</v>
      </c>
      <c r="G479" s="183" t="s">
        <v>741</v>
      </c>
      <c r="H479" s="183" t="s">
        <v>2643</v>
      </c>
      <c r="I479" s="183" t="s">
        <v>2644</v>
      </c>
      <c r="J479" s="183" t="s">
        <v>2645</v>
      </c>
      <c r="K479" s="183" t="s">
        <v>2646</v>
      </c>
      <c r="L479" s="184">
        <v>3</v>
      </c>
      <c r="M479" s="184">
        <v>2</v>
      </c>
    </row>
    <row r="480" spans="1:13" ht="17.25" hidden="1" customHeight="1" x14ac:dyDescent="0.25">
      <c r="A480" s="183" t="s">
        <v>112</v>
      </c>
      <c r="B480" s="190">
        <v>1609</v>
      </c>
      <c r="C480" s="184">
        <v>2014</v>
      </c>
      <c r="D480" s="183" t="s">
        <v>2647</v>
      </c>
      <c r="E480" s="183" t="s">
        <v>740</v>
      </c>
      <c r="F480" s="185">
        <v>15782</v>
      </c>
      <c r="G480" s="183" t="s">
        <v>741</v>
      </c>
      <c r="H480" s="183" t="s">
        <v>2648</v>
      </c>
      <c r="I480" s="183" t="s">
        <v>2649</v>
      </c>
      <c r="J480" s="183" t="s">
        <v>2650</v>
      </c>
      <c r="K480" s="183" t="s">
        <v>2651</v>
      </c>
      <c r="L480" s="184">
        <v>6</v>
      </c>
      <c r="M480" s="184">
        <v>0.7</v>
      </c>
    </row>
    <row r="481" spans="1:13" ht="17.25" hidden="1" customHeight="1" x14ac:dyDescent="0.25">
      <c r="A481" s="183" t="s">
        <v>112</v>
      </c>
      <c r="B481" s="190">
        <v>1608</v>
      </c>
      <c r="C481" s="184">
        <v>2014</v>
      </c>
      <c r="D481" s="183" t="s">
        <v>2652</v>
      </c>
      <c r="E481" s="183" t="s">
        <v>740</v>
      </c>
      <c r="F481" s="185">
        <v>83333</v>
      </c>
      <c r="G481" s="183" t="s">
        <v>741</v>
      </c>
      <c r="H481" s="183" t="s">
        <v>2653</v>
      </c>
      <c r="I481" s="183" t="s">
        <v>2654</v>
      </c>
      <c r="J481" s="183" t="s">
        <v>2655</v>
      </c>
      <c r="K481" s="183" t="s">
        <v>2582</v>
      </c>
      <c r="L481" s="184">
        <v>6</v>
      </c>
      <c r="M481" s="184">
        <v>0.5</v>
      </c>
    </row>
    <row r="482" spans="1:13" ht="17.25" hidden="1" customHeight="1" x14ac:dyDescent="0.25">
      <c r="A482" s="183" t="s">
        <v>112</v>
      </c>
      <c r="B482" s="190">
        <v>1601</v>
      </c>
      <c r="C482" s="184">
        <v>2014</v>
      </c>
      <c r="D482" s="183" t="s">
        <v>2656</v>
      </c>
      <c r="E482" s="183" t="s">
        <v>740</v>
      </c>
      <c r="F482" s="185">
        <v>20019</v>
      </c>
      <c r="G482" s="183" t="s">
        <v>749</v>
      </c>
      <c r="H482" s="183" t="s">
        <v>2657</v>
      </c>
      <c r="I482" s="183" t="s">
        <v>2658</v>
      </c>
      <c r="J482" s="183" t="s">
        <v>2659</v>
      </c>
      <c r="K482" s="183" t="s">
        <v>2660</v>
      </c>
      <c r="L482" s="184">
        <v>6</v>
      </c>
      <c r="M482" s="184">
        <v>491.4</v>
      </c>
    </row>
    <row r="483" spans="1:13" ht="17.25" hidden="1" customHeight="1" x14ac:dyDescent="0.25">
      <c r="A483" s="183" t="s">
        <v>112</v>
      </c>
      <c r="B483" s="190">
        <v>1603</v>
      </c>
      <c r="C483" s="184">
        <v>2014</v>
      </c>
      <c r="D483" s="183" t="s">
        <v>2661</v>
      </c>
      <c r="E483" s="183" t="s">
        <v>740</v>
      </c>
      <c r="F483" s="185">
        <v>77222</v>
      </c>
      <c r="G483" s="183" t="s">
        <v>749</v>
      </c>
      <c r="H483" s="183" t="s">
        <v>2662</v>
      </c>
      <c r="I483" s="183" t="s">
        <v>2663</v>
      </c>
      <c r="J483" s="183" t="s">
        <v>2664</v>
      </c>
      <c r="K483" s="183" t="s">
        <v>2665</v>
      </c>
      <c r="L483" s="184">
        <v>6</v>
      </c>
      <c r="M483" s="184">
        <v>89.7</v>
      </c>
    </row>
    <row r="484" spans="1:13" ht="17.25" hidden="1" customHeight="1" x14ac:dyDescent="0.25">
      <c r="A484" s="183" t="s">
        <v>112</v>
      </c>
      <c r="B484" s="190">
        <v>1617</v>
      </c>
      <c r="C484" s="184">
        <v>2014</v>
      </c>
      <c r="D484" s="183" t="s">
        <v>2666</v>
      </c>
      <c r="E484" s="183" t="s">
        <v>740</v>
      </c>
      <c r="F484" s="185">
        <v>83333</v>
      </c>
      <c r="G484" s="183" t="s">
        <v>749</v>
      </c>
      <c r="H484" s="183" t="s">
        <v>2667</v>
      </c>
      <c r="I484" s="183" t="s">
        <v>2668</v>
      </c>
      <c r="J484" s="183" t="s">
        <v>2669</v>
      </c>
      <c r="K484" s="183" t="s">
        <v>2670</v>
      </c>
      <c r="L484" s="184">
        <v>2</v>
      </c>
      <c r="M484" s="184">
        <v>65</v>
      </c>
    </row>
    <row r="485" spans="1:13" ht="17.25" hidden="1" customHeight="1" x14ac:dyDescent="0.25">
      <c r="A485" s="183" t="s">
        <v>112</v>
      </c>
      <c r="B485" s="190">
        <v>1623</v>
      </c>
      <c r="C485" s="184">
        <v>2014</v>
      </c>
      <c r="D485" s="183" t="s">
        <v>2671</v>
      </c>
      <c r="E485" s="183" t="s">
        <v>740</v>
      </c>
      <c r="F485" s="185">
        <v>65000</v>
      </c>
      <c r="G485" s="183" t="s">
        <v>749</v>
      </c>
      <c r="H485" s="183" t="s">
        <v>2672</v>
      </c>
      <c r="I485" s="183" t="s">
        <v>2673</v>
      </c>
      <c r="J485" s="183" t="s">
        <v>2674</v>
      </c>
      <c r="K485" s="183" t="s">
        <v>1983</v>
      </c>
      <c r="L485" s="184">
        <v>6</v>
      </c>
      <c r="M485" s="184">
        <v>42</v>
      </c>
    </row>
    <row r="486" spans="1:13" ht="17.25" hidden="1" customHeight="1" x14ac:dyDescent="0.25">
      <c r="A486" s="183" t="s">
        <v>112</v>
      </c>
      <c r="B486" s="190">
        <v>1599</v>
      </c>
      <c r="C486" s="184">
        <v>2014</v>
      </c>
      <c r="D486" s="183" t="s">
        <v>2675</v>
      </c>
      <c r="E486" s="183" t="s">
        <v>740</v>
      </c>
      <c r="F486" s="185">
        <v>63778</v>
      </c>
      <c r="G486" s="183" t="s">
        <v>749</v>
      </c>
      <c r="H486" s="183" t="s">
        <v>2676</v>
      </c>
      <c r="I486" s="183" t="s">
        <v>2677</v>
      </c>
      <c r="J486" s="183" t="s">
        <v>1478</v>
      </c>
      <c r="K486" s="183" t="s">
        <v>2670</v>
      </c>
      <c r="L486" s="184">
        <v>2</v>
      </c>
      <c r="M486" s="184">
        <v>36</v>
      </c>
    </row>
    <row r="487" spans="1:13" ht="17.25" hidden="1" customHeight="1" x14ac:dyDescent="0.25">
      <c r="A487" s="183" t="s">
        <v>112</v>
      </c>
      <c r="B487" s="190">
        <v>1600</v>
      </c>
      <c r="C487" s="184">
        <v>2014</v>
      </c>
      <c r="D487" s="183" t="s">
        <v>2678</v>
      </c>
      <c r="E487" s="183" t="s">
        <v>740</v>
      </c>
      <c r="F487" s="185">
        <v>83333</v>
      </c>
      <c r="G487" s="183" t="s">
        <v>749</v>
      </c>
      <c r="H487" s="183" t="s">
        <v>2679</v>
      </c>
      <c r="I487" s="183" t="s">
        <v>2680</v>
      </c>
      <c r="J487" s="183" t="s">
        <v>2681</v>
      </c>
      <c r="K487" s="183" t="s">
        <v>2682</v>
      </c>
      <c r="L487" s="184">
        <v>4</v>
      </c>
      <c r="M487" s="184">
        <v>35</v>
      </c>
    </row>
    <row r="488" spans="1:13" ht="17.25" hidden="1" customHeight="1" x14ac:dyDescent="0.25">
      <c r="A488" s="183" t="s">
        <v>112</v>
      </c>
      <c r="B488" s="190">
        <v>1598</v>
      </c>
      <c r="C488" s="184">
        <v>2014</v>
      </c>
      <c r="D488" s="183" t="s">
        <v>2683</v>
      </c>
      <c r="E488" s="183" t="s">
        <v>740</v>
      </c>
      <c r="F488" s="185">
        <v>30000</v>
      </c>
      <c r="G488" s="183" t="s">
        <v>749</v>
      </c>
      <c r="H488" s="183" t="s">
        <v>2684</v>
      </c>
      <c r="I488" s="183" t="s">
        <v>2685</v>
      </c>
      <c r="J488" s="183" t="s">
        <v>2686</v>
      </c>
      <c r="K488" s="183" t="s">
        <v>2687</v>
      </c>
      <c r="L488" s="184">
        <v>3</v>
      </c>
      <c r="M488" s="184">
        <v>26.5</v>
      </c>
    </row>
    <row r="489" spans="1:13" ht="17.25" hidden="1" customHeight="1" x14ac:dyDescent="0.25">
      <c r="A489" s="183" t="s">
        <v>112</v>
      </c>
      <c r="B489" s="190">
        <v>1605</v>
      </c>
      <c r="C489" s="184">
        <v>2014</v>
      </c>
      <c r="D489" s="183" t="s">
        <v>2688</v>
      </c>
      <c r="E489" s="183" t="s">
        <v>740</v>
      </c>
      <c r="F489" s="185">
        <v>83333</v>
      </c>
      <c r="G489" s="183" t="s">
        <v>749</v>
      </c>
      <c r="H489" s="183" t="s">
        <v>2689</v>
      </c>
      <c r="I489" s="183" t="s">
        <v>2690</v>
      </c>
      <c r="J489" s="183" t="s">
        <v>2691</v>
      </c>
      <c r="K489" s="183" t="s">
        <v>993</v>
      </c>
      <c r="L489" s="184">
        <v>4</v>
      </c>
      <c r="M489" s="184">
        <v>26</v>
      </c>
    </row>
    <row r="490" spans="1:13" ht="17.25" hidden="1" customHeight="1" x14ac:dyDescent="0.25">
      <c r="A490" s="183" t="s">
        <v>112</v>
      </c>
      <c r="B490" s="190">
        <v>1597</v>
      </c>
      <c r="C490" s="184">
        <v>2014</v>
      </c>
      <c r="D490" s="183" t="s">
        <v>2692</v>
      </c>
      <c r="E490" s="183" t="s">
        <v>740</v>
      </c>
      <c r="F490" s="185">
        <v>83333</v>
      </c>
      <c r="G490" s="183" t="s">
        <v>749</v>
      </c>
      <c r="H490" s="183" t="s">
        <v>2693</v>
      </c>
      <c r="I490" s="183" t="s">
        <v>2694</v>
      </c>
      <c r="J490" s="183" t="s">
        <v>2695</v>
      </c>
      <c r="K490" s="183" t="s">
        <v>2696</v>
      </c>
      <c r="L490" s="184">
        <v>5</v>
      </c>
      <c r="M490" s="184">
        <v>14.6</v>
      </c>
    </row>
    <row r="491" spans="1:13" ht="17.25" hidden="1" customHeight="1" x14ac:dyDescent="0.25">
      <c r="A491" s="183" t="s">
        <v>112</v>
      </c>
      <c r="B491" s="190">
        <v>1606</v>
      </c>
      <c r="C491" s="184">
        <v>2014</v>
      </c>
      <c r="D491" s="183" t="s">
        <v>2697</v>
      </c>
      <c r="E491" s="183" t="s">
        <v>740</v>
      </c>
      <c r="F491" s="185">
        <v>14642</v>
      </c>
      <c r="G491" s="183" t="s">
        <v>749</v>
      </c>
      <c r="H491" s="183" t="s">
        <v>2698</v>
      </c>
      <c r="I491" s="183" t="s">
        <v>2699</v>
      </c>
      <c r="J491" s="183" t="s">
        <v>2700</v>
      </c>
      <c r="K491" s="183" t="s">
        <v>2537</v>
      </c>
      <c r="L491" s="184">
        <v>8</v>
      </c>
      <c r="M491" s="184">
        <v>14</v>
      </c>
    </row>
    <row r="492" spans="1:13" ht="17.25" hidden="1" customHeight="1" x14ac:dyDescent="0.25">
      <c r="A492" s="183" t="s">
        <v>112</v>
      </c>
      <c r="B492" s="190">
        <v>1602</v>
      </c>
      <c r="C492" s="184">
        <v>2014</v>
      </c>
      <c r="D492" s="183" t="s">
        <v>2701</v>
      </c>
      <c r="E492" s="183" t="s">
        <v>740</v>
      </c>
      <c r="F492" s="185">
        <v>83333</v>
      </c>
      <c r="G492" s="183" t="s">
        <v>749</v>
      </c>
      <c r="H492" s="183" t="s">
        <v>2702</v>
      </c>
      <c r="I492" s="183" t="s">
        <v>2703</v>
      </c>
      <c r="J492" s="183" t="s">
        <v>2704</v>
      </c>
      <c r="K492" s="183" t="s">
        <v>2617</v>
      </c>
      <c r="L492" s="184">
        <v>1</v>
      </c>
      <c r="M492" s="184">
        <v>12.1</v>
      </c>
    </row>
    <row r="493" spans="1:13" ht="17.25" hidden="1" customHeight="1" x14ac:dyDescent="0.25">
      <c r="A493" s="183" t="s">
        <v>112</v>
      </c>
      <c r="B493" s="190">
        <v>1616</v>
      </c>
      <c r="C493" s="184">
        <v>2014</v>
      </c>
      <c r="D493" s="183" t="s">
        <v>2705</v>
      </c>
      <c r="E493" s="183" t="s">
        <v>740</v>
      </c>
      <c r="F493" s="185">
        <v>33965</v>
      </c>
      <c r="G493" s="183" t="s">
        <v>749</v>
      </c>
      <c r="H493" s="183" t="s">
        <v>2706</v>
      </c>
      <c r="I493" s="183" t="s">
        <v>2707</v>
      </c>
      <c r="J493" s="183" t="s">
        <v>1587</v>
      </c>
      <c r="K493" s="183" t="s">
        <v>2708</v>
      </c>
      <c r="L493" s="184">
        <v>6</v>
      </c>
      <c r="M493" s="184">
        <v>9</v>
      </c>
    </row>
    <row r="494" spans="1:13" ht="17.25" hidden="1" customHeight="1" x14ac:dyDescent="0.25">
      <c r="A494" s="183" t="s">
        <v>112</v>
      </c>
      <c r="B494" s="190">
        <v>1613</v>
      </c>
      <c r="C494" s="184">
        <v>2014</v>
      </c>
      <c r="D494" s="183" t="s">
        <v>2709</v>
      </c>
      <c r="E494" s="183" t="s">
        <v>740</v>
      </c>
      <c r="F494" s="185">
        <v>71273</v>
      </c>
      <c r="G494" s="183" t="s">
        <v>749</v>
      </c>
      <c r="H494" s="183" t="s">
        <v>2710</v>
      </c>
      <c r="I494" s="183" t="s">
        <v>2711</v>
      </c>
      <c r="J494" s="183" t="s">
        <v>2712</v>
      </c>
      <c r="K494" s="183" t="s">
        <v>2713</v>
      </c>
      <c r="L494" s="184">
        <v>8</v>
      </c>
      <c r="M494" s="184">
        <v>8</v>
      </c>
    </row>
    <row r="495" spans="1:13" ht="17.25" hidden="1" customHeight="1" x14ac:dyDescent="0.25">
      <c r="A495" s="183" t="s">
        <v>112</v>
      </c>
      <c r="B495" s="190">
        <v>1596</v>
      </c>
      <c r="C495" s="184">
        <v>2014</v>
      </c>
      <c r="D495" s="183" t="s">
        <v>2714</v>
      </c>
      <c r="E495" s="183" t="s">
        <v>740</v>
      </c>
      <c r="F495" s="185">
        <v>83333</v>
      </c>
      <c r="G495" s="183" t="s">
        <v>749</v>
      </c>
      <c r="H495" s="183" t="s">
        <v>2715</v>
      </c>
      <c r="I495" s="183" t="s">
        <v>2716</v>
      </c>
      <c r="J495" s="183" t="s">
        <v>2717</v>
      </c>
      <c r="K495" s="183" t="s">
        <v>2718</v>
      </c>
      <c r="L495" s="184">
        <v>4</v>
      </c>
      <c r="M495" s="184">
        <v>6.1</v>
      </c>
    </row>
    <row r="496" spans="1:13" ht="17.25" hidden="1" customHeight="1" x14ac:dyDescent="0.25">
      <c r="A496" s="183" t="s">
        <v>112</v>
      </c>
      <c r="B496" s="190">
        <v>1607</v>
      </c>
      <c r="C496" s="184">
        <v>2014</v>
      </c>
      <c r="D496" s="183" t="s">
        <v>2719</v>
      </c>
      <c r="E496" s="183" t="s">
        <v>740</v>
      </c>
      <c r="F496" s="185">
        <v>6922</v>
      </c>
      <c r="G496" s="183" t="s">
        <v>749</v>
      </c>
      <c r="H496" s="183" t="s">
        <v>2720</v>
      </c>
      <c r="I496" s="183" t="s">
        <v>2721</v>
      </c>
      <c r="J496" s="183" t="s">
        <v>2722</v>
      </c>
      <c r="K496" s="183" t="s">
        <v>2723</v>
      </c>
      <c r="L496" s="184">
        <v>4</v>
      </c>
      <c r="M496" s="184">
        <v>5.8</v>
      </c>
    </row>
    <row r="497" spans="1:13" ht="17.25" hidden="1" customHeight="1" x14ac:dyDescent="0.25">
      <c r="A497" s="183" t="s">
        <v>112</v>
      </c>
      <c r="B497" s="190">
        <v>1624</v>
      </c>
      <c r="C497" s="184">
        <v>2014</v>
      </c>
      <c r="D497" s="183" t="s">
        <v>2724</v>
      </c>
      <c r="E497" s="183" t="s">
        <v>740</v>
      </c>
      <c r="F497" s="185">
        <v>83333</v>
      </c>
      <c r="G497" s="183" t="s">
        <v>749</v>
      </c>
      <c r="H497" s="183" t="s">
        <v>2725</v>
      </c>
      <c r="I497" s="183" t="s">
        <v>2726</v>
      </c>
      <c r="J497" s="183" t="s">
        <v>2727</v>
      </c>
      <c r="K497" s="183" t="s">
        <v>2728</v>
      </c>
      <c r="L497" s="184">
        <v>3</v>
      </c>
      <c r="M497" s="184">
        <v>3</v>
      </c>
    </row>
    <row r="498" spans="1:13" ht="17.25" hidden="1" customHeight="1" x14ac:dyDescent="0.25">
      <c r="A498" s="183" t="s">
        <v>2729</v>
      </c>
      <c r="B498" s="184">
        <v>617</v>
      </c>
      <c r="C498" s="184">
        <v>2012</v>
      </c>
      <c r="D498" s="183" t="s">
        <v>2730</v>
      </c>
      <c r="E498" s="183" t="s">
        <v>773</v>
      </c>
      <c r="F498" s="185">
        <v>150000</v>
      </c>
      <c r="G498" s="183" t="s">
        <v>741</v>
      </c>
      <c r="H498" s="183" t="s">
        <v>2731</v>
      </c>
      <c r="I498" s="183" t="s">
        <v>2732</v>
      </c>
      <c r="J498" s="183" t="s">
        <v>2733</v>
      </c>
      <c r="K498" s="183" t="s">
        <v>2734</v>
      </c>
      <c r="L498" s="184">
        <v>2</v>
      </c>
      <c r="M498" s="184">
        <v>756</v>
      </c>
    </row>
    <row r="499" spans="1:13" ht="17.25" hidden="1" customHeight="1" x14ac:dyDescent="0.25">
      <c r="A499" s="183" t="s">
        <v>2729</v>
      </c>
      <c r="B499" s="184">
        <v>615</v>
      </c>
      <c r="C499" s="184">
        <v>2012</v>
      </c>
      <c r="D499" s="183" t="s">
        <v>2735</v>
      </c>
      <c r="E499" s="183" t="s">
        <v>773</v>
      </c>
      <c r="F499" s="185">
        <v>505170</v>
      </c>
      <c r="G499" s="183" t="s">
        <v>741</v>
      </c>
      <c r="H499" s="183" t="s">
        <v>2736</v>
      </c>
      <c r="I499" s="183" t="s">
        <v>2737</v>
      </c>
      <c r="J499" s="183" t="s">
        <v>2735</v>
      </c>
      <c r="K499" s="183" t="s">
        <v>1920</v>
      </c>
      <c r="L499" s="184">
        <v>3</v>
      </c>
      <c r="M499" s="184">
        <v>690.7</v>
      </c>
    </row>
    <row r="500" spans="1:13" ht="17.25" hidden="1" customHeight="1" x14ac:dyDescent="0.25">
      <c r="A500" s="183" t="s">
        <v>2729</v>
      </c>
      <c r="B500" s="184">
        <v>616</v>
      </c>
      <c r="C500" s="184">
        <v>2012</v>
      </c>
      <c r="D500" s="183" t="s">
        <v>2738</v>
      </c>
      <c r="E500" s="183" t="s">
        <v>773</v>
      </c>
      <c r="F500" s="185">
        <v>50000</v>
      </c>
      <c r="G500" s="183" t="s">
        <v>741</v>
      </c>
      <c r="H500" s="183" t="s">
        <v>2739</v>
      </c>
      <c r="I500" s="183" t="s">
        <v>2740</v>
      </c>
      <c r="J500" s="183" t="s">
        <v>2741</v>
      </c>
      <c r="K500" s="183" t="s">
        <v>2742</v>
      </c>
      <c r="L500" s="184">
        <v>2</v>
      </c>
      <c r="M500" s="184">
        <v>30</v>
      </c>
    </row>
    <row r="501" spans="1:13" ht="17.25" hidden="1" customHeight="1" x14ac:dyDescent="0.25">
      <c r="A501" s="183" t="s">
        <v>2729</v>
      </c>
      <c r="B501" s="184">
        <v>619</v>
      </c>
      <c r="C501" s="184">
        <v>2013</v>
      </c>
      <c r="D501" s="183" t="s">
        <v>2743</v>
      </c>
      <c r="E501" s="183" t="s">
        <v>773</v>
      </c>
      <c r="F501" s="189">
        <v>137500</v>
      </c>
      <c r="G501" s="183" t="s">
        <v>741</v>
      </c>
      <c r="H501" s="183" t="s">
        <v>2744</v>
      </c>
      <c r="I501" s="183" t="s">
        <v>2745</v>
      </c>
      <c r="J501" s="183" t="s">
        <v>2746</v>
      </c>
      <c r="K501" s="183" t="s">
        <v>2747</v>
      </c>
      <c r="L501" s="184">
        <v>0</v>
      </c>
      <c r="M501" s="185">
        <v>1701</v>
      </c>
    </row>
    <row r="502" spans="1:13" ht="17.25" hidden="1" customHeight="1" x14ac:dyDescent="0.25">
      <c r="A502" s="183" t="s">
        <v>2729</v>
      </c>
      <c r="B502" s="184">
        <v>620</v>
      </c>
      <c r="C502" s="184">
        <v>2013</v>
      </c>
      <c r="D502" s="183" t="s">
        <v>2748</v>
      </c>
      <c r="E502" s="183" t="s">
        <v>740</v>
      </c>
      <c r="F502" s="189">
        <v>230000</v>
      </c>
      <c r="G502" s="183" t="s">
        <v>741</v>
      </c>
      <c r="H502" s="183" t="s">
        <v>2744</v>
      </c>
      <c r="I502" s="183" t="s">
        <v>2749</v>
      </c>
      <c r="J502" s="183" t="s">
        <v>2750</v>
      </c>
      <c r="K502" s="183" t="s">
        <v>2751</v>
      </c>
      <c r="L502" s="184">
        <v>0</v>
      </c>
      <c r="M502" s="184">
        <v>398</v>
      </c>
    </row>
    <row r="503" spans="1:13" ht="17.25" hidden="1" customHeight="1" x14ac:dyDescent="0.25">
      <c r="A503" s="183" t="s">
        <v>2729</v>
      </c>
      <c r="B503" s="184">
        <v>624</v>
      </c>
      <c r="C503" s="184">
        <v>2014</v>
      </c>
      <c r="D503" s="183" t="s">
        <v>2752</v>
      </c>
      <c r="E503" s="183" t="s">
        <v>740</v>
      </c>
      <c r="F503" s="184">
        <v>0</v>
      </c>
      <c r="G503" s="183" t="s">
        <v>741</v>
      </c>
      <c r="H503" s="183" t="s">
        <v>2753</v>
      </c>
      <c r="I503" s="183" t="s">
        <v>2754</v>
      </c>
      <c r="J503" s="183" t="s">
        <v>2755</v>
      </c>
      <c r="K503" s="183" t="s">
        <v>162</v>
      </c>
      <c r="L503" s="184">
        <v>2</v>
      </c>
      <c r="M503" s="184">
        <v>39</v>
      </c>
    </row>
    <row r="504" spans="1:13" ht="17.25" hidden="1" customHeight="1" x14ac:dyDescent="0.25">
      <c r="A504" s="183" t="s">
        <v>2729</v>
      </c>
      <c r="B504" s="184">
        <v>625</v>
      </c>
      <c r="C504" s="184">
        <v>2014</v>
      </c>
      <c r="D504" s="183" t="s">
        <v>2756</v>
      </c>
      <c r="E504" s="183" t="s">
        <v>740</v>
      </c>
      <c r="F504" s="184">
        <v>0</v>
      </c>
      <c r="G504" s="183" t="s">
        <v>741</v>
      </c>
      <c r="H504" s="183" t="s">
        <v>2757</v>
      </c>
      <c r="I504" s="183" t="s">
        <v>2758</v>
      </c>
      <c r="J504" s="183" t="s">
        <v>2759</v>
      </c>
      <c r="K504" s="183" t="s">
        <v>2760</v>
      </c>
      <c r="L504" s="184">
        <v>3</v>
      </c>
      <c r="M504" s="184">
        <v>17</v>
      </c>
    </row>
    <row r="505" spans="1:13" ht="17.25" hidden="1" customHeight="1" x14ac:dyDescent="0.25">
      <c r="A505" s="183" t="s">
        <v>2729</v>
      </c>
      <c r="B505" s="184">
        <v>628</v>
      </c>
      <c r="C505" s="184">
        <v>2014</v>
      </c>
      <c r="D505" s="183" t="s">
        <v>2761</v>
      </c>
      <c r="E505" s="183" t="s">
        <v>740</v>
      </c>
      <c r="F505" s="184">
        <v>0</v>
      </c>
      <c r="G505" s="183" t="s">
        <v>741</v>
      </c>
      <c r="H505" s="183" t="s">
        <v>2762</v>
      </c>
      <c r="I505" s="183" t="s">
        <v>2763</v>
      </c>
      <c r="J505" s="183" t="s">
        <v>2764</v>
      </c>
      <c r="K505" s="183" t="s">
        <v>1870</v>
      </c>
      <c r="L505" s="184">
        <v>2</v>
      </c>
      <c r="M505" s="184">
        <v>9.1999999999999993</v>
      </c>
    </row>
    <row r="506" spans="1:13" ht="17.25" hidden="1" customHeight="1" x14ac:dyDescent="0.25">
      <c r="A506" s="183" t="s">
        <v>2729</v>
      </c>
      <c r="B506" s="184">
        <v>631</v>
      </c>
      <c r="C506" s="184">
        <v>2014</v>
      </c>
      <c r="D506" s="183" t="s">
        <v>2765</v>
      </c>
      <c r="E506" s="183" t="s">
        <v>740</v>
      </c>
      <c r="F506" s="184">
        <v>0</v>
      </c>
      <c r="G506" s="183" t="s">
        <v>741</v>
      </c>
      <c r="H506" s="183" t="s">
        <v>2766</v>
      </c>
      <c r="I506" s="183" t="s">
        <v>2767</v>
      </c>
      <c r="J506" s="183" t="s">
        <v>2768</v>
      </c>
      <c r="K506" s="183" t="s">
        <v>2769</v>
      </c>
      <c r="L506" s="184">
        <v>3</v>
      </c>
      <c r="M506" s="184">
        <v>8.6</v>
      </c>
    </row>
    <row r="507" spans="1:13" ht="17.25" hidden="1" customHeight="1" x14ac:dyDescent="0.25">
      <c r="A507" s="183" t="s">
        <v>2729</v>
      </c>
      <c r="B507" s="184">
        <v>621</v>
      </c>
      <c r="C507" s="184">
        <v>2014</v>
      </c>
      <c r="D507" s="183" t="s">
        <v>2770</v>
      </c>
      <c r="E507" s="183" t="s">
        <v>740</v>
      </c>
      <c r="F507" s="184">
        <v>0</v>
      </c>
      <c r="G507" s="183" t="s">
        <v>741</v>
      </c>
      <c r="H507" s="183" t="s">
        <v>2771</v>
      </c>
      <c r="I507" s="183" t="s">
        <v>2772</v>
      </c>
      <c r="J507" s="183" t="s">
        <v>2773</v>
      </c>
      <c r="K507" s="183" t="s">
        <v>2742</v>
      </c>
      <c r="L507" s="184">
        <v>2</v>
      </c>
      <c r="M507" s="184">
        <v>5.8</v>
      </c>
    </row>
    <row r="508" spans="1:13" ht="17.25" hidden="1" customHeight="1" x14ac:dyDescent="0.25">
      <c r="A508" s="183" t="s">
        <v>2729</v>
      </c>
      <c r="B508" s="184">
        <v>630</v>
      </c>
      <c r="C508" s="184">
        <v>2014</v>
      </c>
      <c r="D508" s="183" t="s">
        <v>2774</v>
      </c>
      <c r="E508" s="183" t="s">
        <v>740</v>
      </c>
      <c r="F508" s="184">
        <v>0</v>
      </c>
      <c r="G508" s="183" t="s">
        <v>741</v>
      </c>
      <c r="H508" s="183" t="s">
        <v>2775</v>
      </c>
      <c r="I508" s="183" t="s">
        <v>2776</v>
      </c>
      <c r="J508" s="183" t="s">
        <v>2777</v>
      </c>
      <c r="K508" s="183" t="s">
        <v>2778</v>
      </c>
      <c r="L508" s="184">
        <v>3</v>
      </c>
      <c r="M508" s="184">
        <v>4</v>
      </c>
    </row>
    <row r="509" spans="1:13" ht="17.25" hidden="1" customHeight="1" x14ac:dyDescent="0.25">
      <c r="A509" s="183" t="s">
        <v>2729</v>
      </c>
      <c r="B509" s="184">
        <v>627</v>
      </c>
      <c r="C509" s="184">
        <v>2014</v>
      </c>
      <c r="D509" s="183" t="s">
        <v>2779</v>
      </c>
      <c r="E509" s="183" t="s">
        <v>740</v>
      </c>
      <c r="F509" s="184">
        <v>0</v>
      </c>
      <c r="G509" s="183" t="s">
        <v>741</v>
      </c>
      <c r="H509" s="183" t="s">
        <v>2780</v>
      </c>
      <c r="I509" s="183" t="s">
        <v>2781</v>
      </c>
      <c r="J509" s="183" t="s">
        <v>2782</v>
      </c>
      <c r="K509" s="183" t="s">
        <v>2769</v>
      </c>
      <c r="L509" s="184">
        <v>4</v>
      </c>
      <c r="M509" s="184">
        <v>3</v>
      </c>
    </row>
    <row r="510" spans="1:13" ht="17.25" hidden="1" customHeight="1" x14ac:dyDescent="0.25">
      <c r="A510" s="183" t="s">
        <v>2729</v>
      </c>
      <c r="B510" s="184">
        <v>629</v>
      </c>
      <c r="C510" s="184">
        <v>2014</v>
      </c>
      <c r="D510" s="183" t="s">
        <v>2783</v>
      </c>
      <c r="E510" s="183" t="s">
        <v>740</v>
      </c>
      <c r="F510" s="184">
        <v>0</v>
      </c>
      <c r="G510" s="183" t="s">
        <v>741</v>
      </c>
      <c r="H510" s="183" t="s">
        <v>2784</v>
      </c>
      <c r="I510" s="183" t="s">
        <v>2785</v>
      </c>
      <c r="J510" s="183" t="s">
        <v>2783</v>
      </c>
      <c r="K510" s="183" t="s">
        <v>2786</v>
      </c>
      <c r="L510" s="184">
        <v>2</v>
      </c>
      <c r="M510" s="184">
        <v>2.6</v>
      </c>
    </row>
    <row r="511" spans="1:13" ht="17.25" hidden="1" customHeight="1" x14ac:dyDescent="0.25">
      <c r="A511" s="183" t="s">
        <v>2729</v>
      </c>
      <c r="B511" s="184">
        <v>626</v>
      </c>
      <c r="C511" s="184">
        <v>2014</v>
      </c>
      <c r="D511" s="183" t="s">
        <v>2787</v>
      </c>
      <c r="E511" s="183" t="s">
        <v>740</v>
      </c>
      <c r="F511" s="184">
        <v>0</v>
      </c>
      <c r="G511" s="183" t="s">
        <v>741</v>
      </c>
      <c r="H511" s="183" t="s">
        <v>2788</v>
      </c>
      <c r="I511" s="183" t="s">
        <v>2789</v>
      </c>
      <c r="J511" s="183" t="s">
        <v>2790</v>
      </c>
      <c r="K511" s="183" t="s">
        <v>2791</v>
      </c>
      <c r="L511" s="184">
        <v>3</v>
      </c>
      <c r="M511" s="184">
        <v>1.2</v>
      </c>
    </row>
    <row r="512" spans="1:13" ht="17.25" hidden="1" customHeight="1" x14ac:dyDescent="0.25">
      <c r="A512" s="183" t="s">
        <v>2729</v>
      </c>
      <c r="B512" s="184">
        <v>626</v>
      </c>
      <c r="C512" s="184">
        <v>2014</v>
      </c>
      <c r="D512" s="183" t="s">
        <v>2787</v>
      </c>
      <c r="E512" s="183" t="s">
        <v>740</v>
      </c>
      <c r="F512" s="184">
        <v>0</v>
      </c>
      <c r="G512" s="183" t="s">
        <v>741</v>
      </c>
      <c r="H512" s="183" t="s">
        <v>2788</v>
      </c>
      <c r="I512" s="183" t="s">
        <v>2789</v>
      </c>
      <c r="J512" s="183" t="s">
        <v>2792</v>
      </c>
      <c r="K512" s="183" t="s">
        <v>2760</v>
      </c>
      <c r="L512" s="184">
        <v>3</v>
      </c>
      <c r="M512" s="184">
        <v>1.2</v>
      </c>
    </row>
    <row r="513" spans="1:13" ht="17.25" hidden="1" customHeight="1" x14ac:dyDescent="0.25">
      <c r="A513" s="183" t="s">
        <v>2729</v>
      </c>
      <c r="B513" s="184">
        <v>622</v>
      </c>
      <c r="C513" s="184">
        <v>2014</v>
      </c>
      <c r="D513" s="183" t="s">
        <v>2793</v>
      </c>
      <c r="E513" s="183" t="s">
        <v>740</v>
      </c>
      <c r="F513" s="184">
        <v>0</v>
      </c>
      <c r="G513" s="183" t="s">
        <v>741</v>
      </c>
      <c r="H513" s="183" t="s">
        <v>2794</v>
      </c>
      <c r="I513" s="183" t="s">
        <v>2795</v>
      </c>
      <c r="J513" s="183" t="s">
        <v>2796</v>
      </c>
      <c r="K513" s="183" t="s">
        <v>1920</v>
      </c>
      <c r="L513" s="184">
        <v>3</v>
      </c>
      <c r="M513" s="184">
        <v>1</v>
      </c>
    </row>
    <row r="514" spans="1:13" ht="17.25" hidden="1" customHeight="1" x14ac:dyDescent="0.25">
      <c r="A514" s="183" t="s">
        <v>2729</v>
      </c>
      <c r="B514" s="184">
        <v>623</v>
      </c>
      <c r="C514" s="184">
        <v>2014</v>
      </c>
      <c r="D514" s="183" t="s">
        <v>2797</v>
      </c>
      <c r="E514" s="183" t="s">
        <v>740</v>
      </c>
      <c r="F514" s="184">
        <v>0</v>
      </c>
      <c r="G514" s="183" t="s">
        <v>741</v>
      </c>
      <c r="H514" s="183" t="s">
        <v>2798</v>
      </c>
      <c r="I514" s="183" t="s">
        <v>2799</v>
      </c>
      <c r="J514" s="183" t="s">
        <v>2797</v>
      </c>
      <c r="K514" s="183" t="s">
        <v>2800</v>
      </c>
      <c r="L514" s="184">
        <v>2</v>
      </c>
      <c r="M514" s="184">
        <v>1</v>
      </c>
    </row>
    <row r="515" spans="1:13" ht="17.25" hidden="1" customHeight="1" x14ac:dyDescent="0.25">
      <c r="A515" s="183" t="s">
        <v>2729</v>
      </c>
      <c r="B515" s="184">
        <v>632</v>
      </c>
      <c r="C515" s="184">
        <v>2014</v>
      </c>
      <c r="D515" s="183" t="s">
        <v>2801</v>
      </c>
      <c r="E515" s="183" t="s">
        <v>740</v>
      </c>
      <c r="F515" s="184">
        <v>0</v>
      </c>
      <c r="G515" s="183" t="s">
        <v>741</v>
      </c>
      <c r="H515" s="183" t="s">
        <v>2802</v>
      </c>
      <c r="I515" s="183" t="s">
        <v>2803</v>
      </c>
      <c r="J515" s="183" t="s">
        <v>2804</v>
      </c>
      <c r="K515" s="183" t="s">
        <v>2805</v>
      </c>
      <c r="L515" s="184">
        <v>0</v>
      </c>
      <c r="M515" s="184">
        <v>0.2</v>
      </c>
    </row>
    <row r="516" spans="1:13" ht="17.25" hidden="1" customHeight="1" x14ac:dyDescent="0.25">
      <c r="A516" s="183" t="s">
        <v>2729</v>
      </c>
      <c r="B516" s="184">
        <v>632</v>
      </c>
      <c r="C516" s="184">
        <v>2014</v>
      </c>
      <c r="D516" s="183" t="s">
        <v>2801</v>
      </c>
      <c r="E516" s="183" t="s">
        <v>740</v>
      </c>
      <c r="F516" s="184">
        <v>0</v>
      </c>
      <c r="G516" s="183" t="s">
        <v>741</v>
      </c>
      <c r="H516" s="183" t="s">
        <v>2802</v>
      </c>
      <c r="I516" s="183" t="s">
        <v>2803</v>
      </c>
      <c r="J516" s="183" t="s">
        <v>2804</v>
      </c>
      <c r="K516" s="183" t="s">
        <v>1821</v>
      </c>
      <c r="L516" s="184">
        <v>1</v>
      </c>
      <c r="M516" s="184">
        <v>0.2</v>
      </c>
    </row>
    <row r="517" spans="1:13" ht="17.25" hidden="1" customHeight="1" x14ac:dyDescent="0.25">
      <c r="A517" s="183" t="s">
        <v>36</v>
      </c>
      <c r="B517" s="184">
        <v>718</v>
      </c>
      <c r="C517" s="184">
        <v>2011</v>
      </c>
      <c r="D517" s="183" t="s">
        <v>2806</v>
      </c>
      <c r="E517" s="183" t="s">
        <v>773</v>
      </c>
      <c r="F517" s="185">
        <v>81637.5</v>
      </c>
      <c r="G517" s="183" t="s">
        <v>741</v>
      </c>
      <c r="H517" s="183" t="s">
        <v>2807</v>
      </c>
      <c r="I517" s="183" t="s">
        <v>2808</v>
      </c>
      <c r="J517" s="183" t="s">
        <v>2809</v>
      </c>
      <c r="K517" s="183" t="s">
        <v>2810</v>
      </c>
      <c r="L517" s="184">
        <v>0</v>
      </c>
      <c r="M517" s="184">
        <v>2.4</v>
      </c>
    </row>
    <row r="518" spans="1:13" ht="17.25" hidden="1" customHeight="1" x14ac:dyDescent="0.25">
      <c r="A518" s="183" t="s">
        <v>36</v>
      </c>
      <c r="B518" s="184">
        <v>717</v>
      </c>
      <c r="C518" s="184">
        <v>2011</v>
      </c>
      <c r="D518" s="183" t="s">
        <v>2811</v>
      </c>
      <c r="E518" s="183" t="s">
        <v>773</v>
      </c>
      <c r="F518" s="185">
        <v>81637.5</v>
      </c>
      <c r="G518" s="183" t="s">
        <v>741</v>
      </c>
      <c r="H518" s="183" t="s">
        <v>2812</v>
      </c>
      <c r="I518" s="183" t="s">
        <v>2813</v>
      </c>
      <c r="J518" s="183" t="s">
        <v>2814</v>
      </c>
      <c r="K518" s="183" t="s">
        <v>2815</v>
      </c>
      <c r="L518" s="184">
        <v>0</v>
      </c>
      <c r="M518" s="184">
        <v>0.5</v>
      </c>
    </row>
    <row r="519" spans="1:13" ht="17.25" hidden="1" customHeight="1" x14ac:dyDescent="0.25">
      <c r="A519" s="183" t="s">
        <v>36</v>
      </c>
      <c r="B519" s="184">
        <v>719</v>
      </c>
      <c r="C519" s="184">
        <v>2011</v>
      </c>
      <c r="D519" s="183" t="s">
        <v>2816</v>
      </c>
      <c r="E519" s="183" t="s">
        <v>773</v>
      </c>
      <c r="F519" s="185">
        <v>130003</v>
      </c>
      <c r="G519" s="183" t="s">
        <v>749</v>
      </c>
      <c r="H519" s="183" t="s">
        <v>2817</v>
      </c>
      <c r="I519" s="183" t="s">
        <v>2818</v>
      </c>
      <c r="J519" s="183" t="s">
        <v>2819</v>
      </c>
      <c r="K519" s="183" t="s">
        <v>835</v>
      </c>
      <c r="L519" s="184">
        <v>0</v>
      </c>
      <c r="M519" s="185">
        <v>2920</v>
      </c>
    </row>
    <row r="520" spans="1:13" ht="17.25" hidden="1" customHeight="1" x14ac:dyDescent="0.25">
      <c r="A520" s="183" t="s">
        <v>36</v>
      </c>
      <c r="B520" s="184">
        <v>723</v>
      </c>
      <c r="C520" s="184">
        <v>2012</v>
      </c>
      <c r="D520" s="183" t="s">
        <v>2820</v>
      </c>
      <c r="E520" s="183" t="s">
        <v>773</v>
      </c>
      <c r="F520" s="185">
        <v>86137.5</v>
      </c>
      <c r="G520" s="183" t="s">
        <v>740</v>
      </c>
      <c r="H520" s="183" t="s">
        <v>2821</v>
      </c>
      <c r="I520" s="183" t="s">
        <v>2822</v>
      </c>
      <c r="J520" s="183" t="s">
        <v>2823</v>
      </c>
      <c r="K520" s="183" t="s">
        <v>2824</v>
      </c>
      <c r="L520" s="184">
        <v>0</v>
      </c>
      <c r="M520" s="184">
        <v>20.399999999999999</v>
      </c>
    </row>
    <row r="521" spans="1:13" ht="17.25" hidden="1" customHeight="1" x14ac:dyDescent="0.25">
      <c r="A521" s="183" t="s">
        <v>36</v>
      </c>
      <c r="B521" s="184">
        <v>722</v>
      </c>
      <c r="C521" s="184">
        <v>2012</v>
      </c>
      <c r="D521" s="183" t="s">
        <v>2825</v>
      </c>
      <c r="E521" s="183" t="s">
        <v>773</v>
      </c>
      <c r="F521" s="185">
        <v>91200</v>
      </c>
      <c r="G521" s="183" t="s">
        <v>741</v>
      </c>
      <c r="H521" s="183" t="s">
        <v>2826</v>
      </c>
      <c r="I521" s="183" t="s">
        <v>2827</v>
      </c>
      <c r="J521" s="183" t="s">
        <v>2828</v>
      </c>
      <c r="K521" s="183" t="s">
        <v>835</v>
      </c>
      <c r="L521" s="184">
        <v>0</v>
      </c>
      <c r="M521" s="184">
        <v>1</v>
      </c>
    </row>
    <row r="522" spans="1:13" ht="17.25" hidden="1" customHeight="1" x14ac:dyDescent="0.25">
      <c r="A522" s="183" t="s">
        <v>36</v>
      </c>
      <c r="B522" s="184">
        <v>724</v>
      </c>
      <c r="C522" s="184">
        <v>2012</v>
      </c>
      <c r="D522" s="183" t="s">
        <v>2829</v>
      </c>
      <c r="E522" s="183" t="s">
        <v>740</v>
      </c>
      <c r="F522" s="185">
        <v>13376</v>
      </c>
      <c r="G522" s="183" t="s">
        <v>741</v>
      </c>
      <c r="H522" s="183" t="s">
        <v>2830</v>
      </c>
      <c r="I522" s="183" t="s">
        <v>2831</v>
      </c>
      <c r="J522" s="183" t="s">
        <v>2832</v>
      </c>
      <c r="K522" s="183" t="s">
        <v>978</v>
      </c>
      <c r="L522" s="184">
        <v>0</v>
      </c>
      <c r="M522" s="184">
        <v>1</v>
      </c>
    </row>
    <row r="523" spans="1:13" ht="17.25" hidden="1" customHeight="1" x14ac:dyDescent="0.25">
      <c r="A523" s="183" t="s">
        <v>36</v>
      </c>
      <c r="B523" s="184">
        <v>725</v>
      </c>
      <c r="C523" s="184">
        <v>2012</v>
      </c>
      <c r="D523" s="183" t="s">
        <v>2833</v>
      </c>
      <c r="E523" s="183" t="s">
        <v>740</v>
      </c>
      <c r="F523" s="185">
        <v>16011</v>
      </c>
      <c r="G523" s="183" t="s">
        <v>741</v>
      </c>
      <c r="H523" s="183" t="s">
        <v>2834</v>
      </c>
      <c r="I523" s="183" t="s">
        <v>2835</v>
      </c>
      <c r="J523" s="183" t="s">
        <v>2836</v>
      </c>
      <c r="K523" s="183" t="s">
        <v>978</v>
      </c>
      <c r="L523" s="184">
        <v>0</v>
      </c>
      <c r="M523" s="184">
        <v>1</v>
      </c>
    </row>
    <row r="524" spans="1:13" ht="17.25" hidden="1" customHeight="1" x14ac:dyDescent="0.25">
      <c r="A524" s="183" t="s">
        <v>36</v>
      </c>
      <c r="B524" s="184">
        <v>721</v>
      </c>
      <c r="C524" s="184">
        <v>2012</v>
      </c>
      <c r="D524" s="183" t="s">
        <v>2837</v>
      </c>
      <c r="E524" s="183" t="s">
        <v>740</v>
      </c>
      <c r="F524" s="185">
        <v>91200</v>
      </c>
      <c r="G524" s="183" t="s">
        <v>749</v>
      </c>
      <c r="H524" s="183" t="s">
        <v>2838</v>
      </c>
      <c r="I524" s="183" t="s">
        <v>2839</v>
      </c>
      <c r="J524" s="183" t="s">
        <v>2840</v>
      </c>
      <c r="K524" s="183" t="s">
        <v>2841</v>
      </c>
      <c r="L524" s="184">
        <v>0</v>
      </c>
      <c r="M524" s="184">
        <v>2</v>
      </c>
    </row>
    <row r="525" spans="1:13" ht="17.25" hidden="1" customHeight="1" x14ac:dyDescent="0.25">
      <c r="A525" s="183" t="s">
        <v>36</v>
      </c>
      <c r="B525" s="184">
        <v>726</v>
      </c>
      <c r="C525" s="184">
        <v>2014</v>
      </c>
      <c r="D525" s="183" t="s">
        <v>2842</v>
      </c>
      <c r="E525" s="183" t="s">
        <v>740</v>
      </c>
      <c r="F525" s="185">
        <v>505000</v>
      </c>
      <c r="G525" s="183" t="s">
        <v>740</v>
      </c>
      <c r="H525" s="183" t="s">
        <v>2817</v>
      </c>
      <c r="I525" s="183" t="s">
        <v>2843</v>
      </c>
      <c r="J525" s="183" t="s">
        <v>2844</v>
      </c>
      <c r="K525" s="183" t="s">
        <v>2845</v>
      </c>
      <c r="L525" s="184">
        <v>0</v>
      </c>
      <c r="M525" s="184">
        <v>65</v>
      </c>
    </row>
    <row r="526" spans="1:13" ht="17.25" hidden="1" customHeight="1" x14ac:dyDescent="0.25">
      <c r="A526" s="183" t="s">
        <v>36</v>
      </c>
      <c r="B526" s="184">
        <v>727</v>
      </c>
      <c r="C526" s="184">
        <v>2014</v>
      </c>
      <c r="D526" s="183" t="s">
        <v>2846</v>
      </c>
      <c r="E526" s="183" t="s">
        <v>740</v>
      </c>
      <c r="F526" s="185">
        <v>22725</v>
      </c>
      <c r="G526" s="183" t="s">
        <v>741</v>
      </c>
      <c r="H526" s="183" t="s">
        <v>2817</v>
      </c>
      <c r="I526" s="183" t="s">
        <v>2847</v>
      </c>
      <c r="J526" s="183" t="s">
        <v>2848</v>
      </c>
      <c r="K526" s="183" t="s">
        <v>2849</v>
      </c>
      <c r="L526" s="184">
        <v>0</v>
      </c>
      <c r="M526" s="184">
        <v>261</v>
      </c>
    </row>
    <row r="527" spans="1:13" ht="17.25" hidden="1" customHeight="1" x14ac:dyDescent="0.25">
      <c r="A527" s="183" t="s">
        <v>36</v>
      </c>
      <c r="B527" s="184">
        <v>728</v>
      </c>
      <c r="C527" s="184">
        <v>2014</v>
      </c>
      <c r="D527" s="183" t="s">
        <v>2850</v>
      </c>
      <c r="E527" s="183" t="s">
        <v>740</v>
      </c>
      <c r="F527" s="185">
        <v>65850</v>
      </c>
      <c r="G527" s="183" t="s">
        <v>741</v>
      </c>
      <c r="H527" s="183" t="s">
        <v>2851</v>
      </c>
      <c r="I527" s="183" t="s">
        <v>2852</v>
      </c>
      <c r="J527" s="183" t="s">
        <v>2853</v>
      </c>
      <c r="K527" s="183" t="s">
        <v>2854</v>
      </c>
      <c r="L527" s="184">
        <v>0</v>
      </c>
      <c r="M527" s="184">
        <v>100</v>
      </c>
    </row>
    <row r="528" spans="1:13" ht="17.25" hidden="1" customHeight="1" x14ac:dyDescent="0.25">
      <c r="A528" s="183" t="s">
        <v>36</v>
      </c>
      <c r="B528" s="184">
        <v>732</v>
      </c>
      <c r="C528" s="184">
        <v>2014</v>
      </c>
      <c r="D528" s="183" t="s">
        <v>2855</v>
      </c>
      <c r="E528" s="183" t="s">
        <v>740</v>
      </c>
      <c r="F528" s="185">
        <v>75000</v>
      </c>
      <c r="G528" s="183" t="s">
        <v>741</v>
      </c>
      <c r="H528" s="183" t="s">
        <v>2856</v>
      </c>
      <c r="I528" s="183" t="s">
        <v>2857</v>
      </c>
      <c r="J528" s="183" t="s">
        <v>2858</v>
      </c>
      <c r="K528" s="183" t="s">
        <v>2815</v>
      </c>
      <c r="L528" s="184">
        <v>0</v>
      </c>
      <c r="M528" s="184">
        <v>2.2999999999999998</v>
      </c>
    </row>
    <row r="529" spans="1:13" ht="17.25" hidden="1" customHeight="1" x14ac:dyDescent="0.25">
      <c r="A529" s="183" t="s">
        <v>36</v>
      </c>
      <c r="B529" s="184">
        <v>733</v>
      </c>
      <c r="C529" s="184">
        <v>2014</v>
      </c>
      <c r="D529" s="183" t="s">
        <v>2859</v>
      </c>
      <c r="E529" s="183" t="s">
        <v>740</v>
      </c>
      <c r="F529" s="185">
        <v>75000</v>
      </c>
      <c r="G529" s="183" t="s">
        <v>749</v>
      </c>
      <c r="H529" s="183" t="s">
        <v>2860</v>
      </c>
      <c r="I529" s="183" t="s">
        <v>2861</v>
      </c>
      <c r="J529" s="183" t="s">
        <v>2862</v>
      </c>
      <c r="K529" s="183" t="s">
        <v>2863</v>
      </c>
      <c r="L529" s="184">
        <v>0</v>
      </c>
      <c r="M529" s="184">
        <v>16.5</v>
      </c>
    </row>
    <row r="530" spans="1:13" ht="17.25" hidden="1" customHeight="1" x14ac:dyDescent="0.25">
      <c r="A530" s="183" t="s">
        <v>36</v>
      </c>
      <c r="B530" s="184">
        <v>731</v>
      </c>
      <c r="C530" s="184">
        <v>2014</v>
      </c>
      <c r="D530" s="183" t="s">
        <v>2864</v>
      </c>
      <c r="E530" s="183" t="s">
        <v>740</v>
      </c>
      <c r="F530" s="185">
        <v>75000</v>
      </c>
      <c r="G530" s="183" t="s">
        <v>749</v>
      </c>
      <c r="H530" s="183" t="s">
        <v>2865</v>
      </c>
      <c r="I530" s="183" t="s">
        <v>2866</v>
      </c>
      <c r="J530" s="183" t="s">
        <v>2867</v>
      </c>
      <c r="K530" s="183" t="s">
        <v>2868</v>
      </c>
      <c r="L530" s="184">
        <v>0</v>
      </c>
      <c r="M530" s="184">
        <v>7</v>
      </c>
    </row>
    <row r="531" spans="1:13" ht="17.25" hidden="1" customHeight="1" x14ac:dyDescent="0.25">
      <c r="A531" s="183" t="s">
        <v>36</v>
      </c>
      <c r="B531" s="184">
        <v>730</v>
      </c>
      <c r="C531" s="184">
        <v>2014</v>
      </c>
      <c r="D531" s="183" t="s">
        <v>2869</v>
      </c>
      <c r="E531" s="183" t="s">
        <v>740</v>
      </c>
      <c r="F531" s="185">
        <v>42414</v>
      </c>
      <c r="G531" s="183" t="s">
        <v>749</v>
      </c>
      <c r="H531" s="183" t="s">
        <v>2821</v>
      </c>
      <c r="I531" s="183" t="s">
        <v>2870</v>
      </c>
      <c r="J531" s="183" t="s">
        <v>2871</v>
      </c>
      <c r="K531" s="183" t="s">
        <v>2824</v>
      </c>
      <c r="L531" s="184">
        <v>0</v>
      </c>
      <c r="M531" s="184">
        <v>5.0999999999999996</v>
      </c>
    </row>
    <row r="532" spans="1:13" ht="17.25" hidden="1" customHeight="1" x14ac:dyDescent="0.25">
      <c r="A532" s="183" t="s">
        <v>36</v>
      </c>
      <c r="B532" s="184">
        <v>730</v>
      </c>
      <c r="C532" s="184">
        <v>2014</v>
      </c>
      <c r="D532" s="183" t="s">
        <v>2869</v>
      </c>
      <c r="E532" s="183" t="s">
        <v>740</v>
      </c>
      <c r="F532" s="185">
        <v>42414</v>
      </c>
      <c r="G532" s="183" t="s">
        <v>749</v>
      </c>
      <c r="H532" s="183" t="s">
        <v>2821</v>
      </c>
      <c r="I532" s="183" t="s">
        <v>2870</v>
      </c>
      <c r="J532" s="183" t="s">
        <v>2872</v>
      </c>
      <c r="K532" s="183" t="s">
        <v>2824</v>
      </c>
      <c r="L532" s="184">
        <v>0</v>
      </c>
      <c r="M532" s="184">
        <v>2.5</v>
      </c>
    </row>
    <row r="533" spans="1:13" ht="17.25" hidden="1" customHeight="1" x14ac:dyDescent="0.25">
      <c r="A533" s="183" t="s">
        <v>36</v>
      </c>
      <c r="B533" s="184">
        <v>729</v>
      </c>
      <c r="C533" s="184">
        <v>2014</v>
      </c>
      <c r="D533" s="183" t="s">
        <v>2873</v>
      </c>
      <c r="E533" s="183" t="s">
        <v>740</v>
      </c>
      <c r="F533" s="185">
        <v>32600</v>
      </c>
      <c r="G533" s="183" t="s">
        <v>749</v>
      </c>
      <c r="H533" s="183" t="s">
        <v>2874</v>
      </c>
      <c r="I533" s="183" t="s">
        <v>2875</v>
      </c>
      <c r="J533" s="183" t="s">
        <v>2876</v>
      </c>
      <c r="K533" s="183" t="s">
        <v>2877</v>
      </c>
      <c r="L533" s="184">
        <v>0</v>
      </c>
      <c r="M533" s="184">
        <v>2</v>
      </c>
    </row>
    <row r="534" spans="1:13" ht="17.25" hidden="1" customHeight="1" x14ac:dyDescent="0.25">
      <c r="A534" s="183" t="s">
        <v>34</v>
      </c>
      <c r="B534" s="190">
        <v>1033</v>
      </c>
      <c r="C534" s="184">
        <v>2011</v>
      </c>
      <c r="D534" s="183" t="s">
        <v>2878</v>
      </c>
      <c r="E534" s="183" t="s">
        <v>740</v>
      </c>
      <c r="F534" s="185">
        <v>872763</v>
      </c>
      <c r="G534" s="183" t="s">
        <v>740</v>
      </c>
      <c r="H534" s="183" t="s">
        <v>2879</v>
      </c>
      <c r="I534" s="183" t="s">
        <v>2880</v>
      </c>
      <c r="J534" s="183" t="s">
        <v>2878</v>
      </c>
      <c r="K534" s="183" t="s">
        <v>2881</v>
      </c>
      <c r="L534" s="184">
        <v>10</v>
      </c>
      <c r="M534" s="184">
        <v>556.70000000000005</v>
      </c>
    </row>
    <row r="535" spans="1:13" ht="17.25" hidden="1" customHeight="1" x14ac:dyDescent="0.25">
      <c r="A535" s="183" t="s">
        <v>34</v>
      </c>
      <c r="B535" s="190">
        <v>1034</v>
      </c>
      <c r="C535" s="184">
        <v>2012</v>
      </c>
      <c r="D535" s="183" t="s">
        <v>2882</v>
      </c>
      <c r="E535" s="183" t="s">
        <v>740</v>
      </c>
      <c r="F535" s="185">
        <v>317926</v>
      </c>
      <c r="G535" s="183" t="s">
        <v>740</v>
      </c>
      <c r="H535" s="183" t="s">
        <v>2883</v>
      </c>
      <c r="I535" s="183" t="s">
        <v>2884</v>
      </c>
      <c r="J535" s="183" t="s">
        <v>2885</v>
      </c>
      <c r="K535" s="183" t="s">
        <v>2886</v>
      </c>
      <c r="L535" s="184">
        <v>5</v>
      </c>
      <c r="M535" s="185">
        <v>3847.7</v>
      </c>
    </row>
    <row r="536" spans="1:13" ht="17.25" hidden="1" customHeight="1" x14ac:dyDescent="0.25">
      <c r="A536" s="183" t="s">
        <v>34</v>
      </c>
      <c r="B536" s="190">
        <v>1035</v>
      </c>
      <c r="C536" s="184">
        <v>2013</v>
      </c>
      <c r="D536" s="183" t="s">
        <v>2887</v>
      </c>
      <c r="E536" s="183" t="s">
        <v>740</v>
      </c>
      <c r="F536" s="189">
        <v>200000</v>
      </c>
      <c r="G536" s="183" t="s">
        <v>741</v>
      </c>
      <c r="H536" s="183" t="s">
        <v>2888</v>
      </c>
      <c r="I536" s="183" t="s">
        <v>2889</v>
      </c>
      <c r="J536" s="183" t="s">
        <v>2887</v>
      </c>
      <c r="K536" s="183" t="s">
        <v>2890</v>
      </c>
      <c r="L536" s="184">
        <v>0</v>
      </c>
      <c r="M536" s="184">
        <v>25</v>
      </c>
    </row>
    <row r="537" spans="1:13" ht="17.25" hidden="1" customHeight="1" x14ac:dyDescent="0.25">
      <c r="A537" s="183" t="s">
        <v>34</v>
      </c>
      <c r="B537" s="190">
        <v>1036</v>
      </c>
      <c r="C537" s="184">
        <v>2013</v>
      </c>
      <c r="D537" s="183" t="s">
        <v>2891</v>
      </c>
      <c r="E537" s="183" t="s">
        <v>740</v>
      </c>
      <c r="F537" s="189">
        <v>200000</v>
      </c>
      <c r="G537" s="183" t="s">
        <v>741</v>
      </c>
      <c r="H537" s="183" t="s">
        <v>2892</v>
      </c>
      <c r="I537" s="183" t="s">
        <v>2893</v>
      </c>
      <c r="J537" s="183" t="s">
        <v>2891</v>
      </c>
      <c r="K537" s="183" t="s">
        <v>2894</v>
      </c>
      <c r="L537" s="184">
        <v>0</v>
      </c>
      <c r="M537" s="184">
        <v>15</v>
      </c>
    </row>
    <row r="538" spans="1:13" ht="17.25" hidden="1" customHeight="1" x14ac:dyDescent="0.25">
      <c r="A538" s="183" t="s">
        <v>34</v>
      </c>
      <c r="B538" s="190">
        <v>1037</v>
      </c>
      <c r="C538" s="184">
        <v>2013</v>
      </c>
      <c r="D538" s="183" t="s">
        <v>2895</v>
      </c>
      <c r="E538" s="183" t="s">
        <v>740</v>
      </c>
      <c r="F538" s="189">
        <v>68199</v>
      </c>
      <c r="G538" s="183" t="s">
        <v>741</v>
      </c>
      <c r="H538" s="183" t="s">
        <v>2896</v>
      </c>
      <c r="I538" s="183" t="s">
        <v>2897</v>
      </c>
      <c r="J538" s="183" t="s">
        <v>2898</v>
      </c>
      <c r="K538" s="183" t="s">
        <v>2899</v>
      </c>
      <c r="L538" s="184">
        <v>0</v>
      </c>
      <c r="M538" s="184">
        <v>8.9</v>
      </c>
    </row>
    <row r="539" spans="1:13" ht="17.25" hidden="1" customHeight="1" x14ac:dyDescent="0.25">
      <c r="A539" s="183" t="s">
        <v>34</v>
      </c>
      <c r="B539" s="190">
        <v>1038</v>
      </c>
      <c r="C539" s="184">
        <v>2014</v>
      </c>
      <c r="D539" s="183" t="s">
        <v>2900</v>
      </c>
      <c r="E539" s="183" t="s">
        <v>740</v>
      </c>
      <c r="F539" s="184">
        <v>0</v>
      </c>
      <c r="G539" s="183" t="s">
        <v>740</v>
      </c>
      <c r="H539" s="183" t="s">
        <v>2901</v>
      </c>
      <c r="I539" s="183" t="s">
        <v>2902</v>
      </c>
      <c r="J539" s="183" t="s">
        <v>2903</v>
      </c>
      <c r="K539" s="183" t="s">
        <v>2904</v>
      </c>
      <c r="L539" s="184">
        <v>10</v>
      </c>
      <c r="M539" s="185">
        <v>1485.7</v>
      </c>
    </row>
    <row r="540" spans="1:13" ht="17.25" hidden="1" customHeight="1" x14ac:dyDescent="0.25">
      <c r="A540" s="183" t="s">
        <v>34</v>
      </c>
      <c r="B540" s="190">
        <v>1039</v>
      </c>
      <c r="C540" s="184">
        <v>2014</v>
      </c>
      <c r="D540" s="183" t="s">
        <v>2905</v>
      </c>
      <c r="E540" s="183" t="s">
        <v>740</v>
      </c>
      <c r="F540" s="184">
        <v>0</v>
      </c>
      <c r="G540" s="183" t="s">
        <v>740</v>
      </c>
      <c r="H540" s="183" t="s">
        <v>2901</v>
      </c>
      <c r="I540" s="183" t="s">
        <v>2906</v>
      </c>
      <c r="J540" s="183" t="s">
        <v>2905</v>
      </c>
      <c r="K540" s="183" t="s">
        <v>2907</v>
      </c>
      <c r="L540" s="184">
        <v>10</v>
      </c>
      <c r="M540" s="184">
        <v>257.5</v>
      </c>
    </row>
    <row r="541" spans="1:13" ht="17.25" hidden="1" customHeight="1" x14ac:dyDescent="0.25">
      <c r="A541" s="183" t="s">
        <v>116</v>
      </c>
      <c r="B541" s="190">
        <v>1289</v>
      </c>
      <c r="C541" s="184">
        <v>2011</v>
      </c>
      <c r="D541" s="183" t="s">
        <v>2908</v>
      </c>
      <c r="E541" s="183" t="s">
        <v>773</v>
      </c>
      <c r="F541" s="185">
        <v>40241</v>
      </c>
      <c r="G541" s="183" t="s">
        <v>741</v>
      </c>
      <c r="H541" s="183" t="s">
        <v>2909</v>
      </c>
      <c r="I541" s="183" t="s">
        <v>2910</v>
      </c>
      <c r="J541" s="183" t="s">
        <v>2911</v>
      </c>
      <c r="K541" s="183" t="s">
        <v>2912</v>
      </c>
      <c r="L541" s="184">
        <v>0</v>
      </c>
      <c r="M541" s="184">
        <v>114.9</v>
      </c>
    </row>
    <row r="542" spans="1:13" ht="17.25" hidden="1" customHeight="1" x14ac:dyDescent="0.25">
      <c r="A542" s="183" t="s">
        <v>116</v>
      </c>
      <c r="B542" s="190">
        <v>1290</v>
      </c>
      <c r="C542" s="184">
        <v>2011</v>
      </c>
      <c r="D542" s="183" t="s">
        <v>2913</v>
      </c>
      <c r="E542" s="183" t="s">
        <v>773</v>
      </c>
      <c r="F542" s="185">
        <v>22900</v>
      </c>
      <c r="G542" s="183" t="s">
        <v>749</v>
      </c>
      <c r="H542" s="183" t="s">
        <v>2914</v>
      </c>
      <c r="I542" s="183" t="s">
        <v>2915</v>
      </c>
      <c r="J542" s="183" t="s">
        <v>2916</v>
      </c>
      <c r="K542" s="183" t="s">
        <v>2917</v>
      </c>
      <c r="L542" s="184">
        <v>0</v>
      </c>
      <c r="M542" s="184">
        <v>7.6</v>
      </c>
    </row>
    <row r="543" spans="1:13" ht="17.25" hidden="1" customHeight="1" x14ac:dyDescent="0.25">
      <c r="A543" s="183" t="s">
        <v>116</v>
      </c>
      <c r="B543" s="190">
        <v>1288</v>
      </c>
      <c r="C543" s="184">
        <v>2011</v>
      </c>
      <c r="D543" s="183" t="s">
        <v>2918</v>
      </c>
      <c r="E543" s="183" t="s">
        <v>773</v>
      </c>
      <c r="F543" s="185">
        <v>45112.59</v>
      </c>
      <c r="G543" s="183" t="s">
        <v>749</v>
      </c>
      <c r="H543" s="183" t="s">
        <v>2919</v>
      </c>
      <c r="I543" s="183" t="s">
        <v>2920</v>
      </c>
      <c r="J543" s="183" t="s">
        <v>2921</v>
      </c>
      <c r="K543" s="183" t="s">
        <v>2922</v>
      </c>
      <c r="L543" s="184">
        <v>0</v>
      </c>
      <c r="M543" s="184">
        <v>6</v>
      </c>
    </row>
    <row r="544" spans="1:13" ht="17.25" hidden="1" customHeight="1" x14ac:dyDescent="0.25">
      <c r="A544" s="183" t="s">
        <v>116</v>
      </c>
      <c r="B544" s="190">
        <v>1297</v>
      </c>
      <c r="C544" s="184">
        <v>2012</v>
      </c>
      <c r="D544" s="183" t="s">
        <v>2923</v>
      </c>
      <c r="E544" s="183" t="s">
        <v>773</v>
      </c>
      <c r="F544" s="185">
        <v>316680</v>
      </c>
      <c r="G544" s="183" t="s">
        <v>741</v>
      </c>
      <c r="H544" s="183" t="s">
        <v>2924</v>
      </c>
      <c r="I544" s="183" t="s">
        <v>2925</v>
      </c>
      <c r="J544" s="183" t="s">
        <v>2926</v>
      </c>
      <c r="K544" s="183" t="s">
        <v>2927</v>
      </c>
      <c r="L544" s="184">
        <v>0</v>
      </c>
      <c r="M544" s="185">
        <v>1122</v>
      </c>
    </row>
    <row r="545" spans="1:13" ht="17.25" hidden="1" customHeight="1" x14ac:dyDescent="0.25">
      <c r="A545" s="183" t="s">
        <v>116</v>
      </c>
      <c r="B545" s="190">
        <v>1296</v>
      </c>
      <c r="C545" s="184">
        <v>2012</v>
      </c>
      <c r="D545" s="183" t="s">
        <v>2928</v>
      </c>
      <c r="E545" s="183" t="s">
        <v>773</v>
      </c>
      <c r="F545" s="185">
        <v>21375</v>
      </c>
      <c r="G545" s="183" t="s">
        <v>749</v>
      </c>
      <c r="H545" s="183" t="s">
        <v>2929</v>
      </c>
      <c r="I545" s="183" t="s">
        <v>2930</v>
      </c>
      <c r="J545" s="183" t="s">
        <v>1934</v>
      </c>
      <c r="K545" s="183" t="s">
        <v>2931</v>
      </c>
      <c r="L545" s="184">
        <v>0</v>
      </c>
      <c r="M545" s="184">
        <v>50</v>
      </c>
    </row>
    <row r="546" spans="1:13" ht="17.25" hidden="1" customHeight="1" x14ac:dyDescent="0.25">
      <c r="A546" s="183" t="s">
        <v>116</v>
      </c>
      <c r="B546" s="190">
        <v>1295</v>
      </c>
      <c r="C546" s="184">
        <v>2012</v>
      </c>
      <c r="D546" s="183" t="s">
        <v>2932</v>
      </c>
      <c r="E546" s="183" t="s">
        <v>740</v>
      </c>
      <c r="F546" s="185">
        <v>35362</v>
      </c>
      <c r="G546" s="183" t="s">
        <v>749</v>
      </c>
      <c r="H546" s="183" t="s">
        <v>2933</v>
      </c>
      <c r="I546" s="183" t="s">
        <v>2934</v>
      </c>
      <c r="J546" s="183" t="s">
        <v>1214</v>
      </c>
      <c r="K546" s="183" t="s">
        <v>2935</v>
      </c>
      <c r="L546" s="184">
        <v>0</v>
      </c>
      <c r="M546" s="184">
        <v>30.5</v>
      </c>
    </row>
    <row r="547" spans="1:13" ht="17.25" hidden="1" customHeight="1" x14ac:dyDescent="0.25">
      <c r="A547" s="183" t="s">
        <v>116</v>
      </c>
      <c r="B547" s="190">
        <v>1292</v>
      </c>
      <c r="C547" s="184">
        <v>2012</v>
      </c>
      <c r="D547" s="183" t="s">
        <v>2936</v>
      </c>
      <c r="E547" s="183" t="s">
        <v>773</v>
      </c>
      <c r="F547" s="185">
        <v>29029</v>
      </c>
      <c r="G547" s="183" t="s">
        <v>749</v>
      </c>
      <c r="H547" s="183" t="s">
        <v>2937</v>
      </c>
      <c r="I547" s="183" t="s">
        <v>2938</v>
      </c>
      <c r="J547" s="183" t="s">
        <v>2939</v>
      </c>
      <c r="K547" s="183" t="s">
        <v>2877</v>
      </c>
      <c r="L547" s="184">
        <v>0</v>
      </c>
      <c r="M547" s="184">
        <v>12</v>
      </c>
    </row>
    <row r="548" spans="1:13" ht="17.25" hidden="1" customHeight="1" x14ac:dyDescent="0.25">
      <c r="A548" s="183" t="s">
        <v>116</v>
      </c>
      <c r="B548" s="190">
        <v>1291</v>
      </c>
      <c r="C548" s="184">
        <v>2012</v>
      </c>
      <c r="D548" s="183" t="s">
        <v>2940</v>
      </c>
      <c r="E548" s="183" t="s">
        <v>773</v>
      </c>
      <c r="F548" s="185">
        <v>26310</v>
      </c>
      <c r="G548" s="183" t="s">
        <v>749</v>
      </c>
      <c r="H548" s="183" t="s">
        <v>2941</v>
      </c>
      <c r="I548" s="183" t="s">
        <v>2942</v>
      </c>
      <c r="J548" s="183" t="s">
        <v>2943</v>
      </c>
      <c r="K548" s="183" t="s">
        <v>2944</v>
      </c>
      <c r="L548" s="184">
        <v>0</v>
      </c>
      <c r="M548" s="184">
        <v>5</v>
      </c>
    </row>
    <row r="549" spans="1:13" ht="17.25" hidden="1" customHeight="1" x14ac:dyDescent="0.25">
      <c r="A549" s="183" t="s">
        <v>116</v>
      </c>
      <c r="B549" s="190">
        <v>1294</v>
      </c>
      <c r="C549" s="184">
        <v>2012</v>
      </c>
      <c r="D549" s="183" t="s">
        <v>2945</v>
      </c>
      <c r="E549" s="183" t="s">
        <v>773</v>
      </c>
      <c r="F549" s="185">
        <v>26444.52</v>
      </c>
      <c r="G549" s="183" t="s">
        <v>749</v>
      </c>
      <c r="H549" s="183" t="s">
        <v>2946</v>
      </c>
      <c r="I549" s="183" t="s">
        <v>2947</v>
      </c>
      <c r="J549" s="183" t="s">
        <v>2509</v>
      </c>
      <c r="K549" s="183" t="s">
        <v>2948</v>
      </c>
      <c r="L549" s="184">
        <v>0</v>
      </c>
      <c r="M549" s="184">
        <v>1</v>
      </c>
    </row>
    <row r="550" spans="1:13" ht="17.25" hidden="1" customHeight="1" x14ac:dyDescent="0.25">
      <c r="A550" s="183" t="s">
        <v>116</v>
      </c>
      <c r="B550" s="190">
        <v>1299</v>
      </c>
      <c r="C550" s="184">
        <v>2013</v>
      </c>
      <c r="D550" s="183" t="s">
        <v>2949</v>
      </c>
      <c r="E550" s="183" t="s">
        <v>740</v>
      </c>
      <c r="F550" s="185">
        <v>31668</v>
      </c>
      <c r="G550" s="183" t="s">
        <v>741</v>
      </c>
      <c r="H550" s="183" t="s">
        <v>2950</v>
      </c>
      <c r="I550" s="183" t="s">
        <v>2951</v>
      </c>
      <c r="J550" s="183" t="s">
        <v>2949</v>
      </c>
      <c r="K550" s="183" t="s">
        <v>2952</v>
      </c>
      <c r="L550" s="184">
        <v>0</v>
      </c>
      <c r="M550" s="184">
        <v>23</v>
      </c>
    </row>
    <row r="551" spans="1:13" ht="17.25" hidden="1" customHeight="1" x14ac:dyDescent="0.25">
      <c r="A551" s="183" t="s">
        <v>116</v>
      </c>
      <c r="B551" s="190">
        <v>1300</v>
      </c>
      <c r="C551" s="184">
        <v>2013</v>
      </c>
      <c r="D551" s="183" t="s">
        <v>2953</v>
      </c>
      <c r="E551" s="183" t="s">
        <v>773</v>
      </c>
      <c r="F551" s="185">
        <v>47502</v>
      </c>
      <c r="G551" s="183" t="s">
        <v>749</v>
      </c>
      <c r="H551" s="183" t="s">
        <v>2954</v>
      </c>
      <c r="I551" s="183" t="s">
        <v>2955</v>
      </c>
      <c r="J551" s="183" t="s">
        <v>2911</v>
      </c>
      <c r="K551" s="183" t="s">
        <v>2912</v>
      </c>
      <c r="L551" s="184">
        <v>0</v>
      </c>
      <c r="M551" s="184">
        <v>114.9</v>
      </c>
    </row>
    <row r="552" spans="1:13" ht="17.25" hidden="1" customHeight="1" x14ac:dyDescent="0.25">
      <c r="A552" s="183" t="s">
        <v>116</v>
      </c>
      <c r="B552" s="190">
        <v>1300</v>
      </c>
      <c r="C552" s="184">
        <v>2013</v>
      </c>
      <c r="D552" s="183" t="s">
        <v>2953</v>
      </c>
      <c r="E552" s="183" t="s">
        <v>773</v>
      </c>
      <c r="F552" s="185">
        <v>47502</v>
      </c>
      <c r="G552" s="183" t="s">
        <v>749</v>
      </c>
      <c r="H552" s="183" t="s">
        <v>2954</v>
      </c>
      <c r="I552" s="183" t="s">
        <v>2955</v>
      </c>
      <c r="J552" s="183" t="s">
        <v>2956</v>
      </c>
      <c r="K552" s="183" t="s">
        <v>2912</v>
      </c>
      <c r="L552" s="184">
        <v>0</v>
      </c>
      <c r="M552" s="184">
        <v>20</v>
      </c>
    </row>
    <row r="553" spans="1:13" ht="17.25" hidden="1" customHeight="1" x14ac:dyDescent="0.25">
      <c r="A553" s="183" t="s">
        <v>116</v>
      </c>
      <c r="B553" s="190">
        <v>1302</v>
      </c>
      <c r="C553" s="184">
        <v>2013</v>
      </c>
      <c r="D553" s="183" t="s">
        <v>2957</v>
      </c>
      <c r="E553" s="183" t="s">
        <v>773</v>
      </c>
      <c r="F553" s="185">
        <v>23593</v>
      </c>
      <c r="G553" s="183" t="s">
        <v>749</v>
      </c>
      <c r="H553" s="183" t="s">
        <v>2958</v>
      </c>
      <c r="I553" s="183" t="s">
        <v>2959</v>
      </c>
      <c r="J553" s="183" t="s">
        <v>2960</v>
      </c>
      <c r="K553" s="183" t="s">
        <v>2961</v>
      </c>
      <c r="L553" s="184">
        <v>0</v>
      </c>
      <c r="M553" s="184">
        <v>11.8</v>
      </c>
    </row>
    <row r="554" spans="1:13" ht="17.25" hidden="1" customHeight="1" x14ac:dyDescent="0.25">
      <c r="A554" s="183" t="s">
        <v>116</v>
      </c>
      <c r="B554" s="190">
        <v>1301</v>
      </c>
      <c r="C554" s="184">
        <v>2013</v>
      </c>
      <c r="D554" s="183" t="s">
        <v>2962</v>
      </c>
      <c r="E554" s="183" t="s">
        <v>773</v>
      </c>
      <c r="F554" s="185">
        <v>21112</v>
      </c>
      <c r="G554" s="183" t="s">
        <v>749</v>
      </c>
      <c r="H554" s="183" t="s">
        <v>2963</v>
      </c>
      <c r="I554" s="183" t="s">
        <v>2964</v>
      </c>
      <c r="J554" s="183" t="s">
        <v>2962</v>
      </c>
      <c r="K554" s="183" t="s">
        <v>2965</v>
      </c>
      <c r="L554" s="184">
        <v>0</v>
      </c>
      <c r="M554" s="184">
        <v>1</v>
      </c>
    </row>
    <row r="555" spans="1:13" ht="17.25" hidden="1" customHeight="1" x14ac:dyDescent="0.25">
      <c r="A555" s="183" t="s">
        <v>116</v>
      </c>
      <c r="B555" s="190">
        <v>1298</v>
      </c>
      <c r="C555" s="184">
        <v>2014</v>
      </c>
      <c r="D555" s="183" t="s">
        <v>2966</v>
      </c>
      <c r="E555" s="183" t="s">
        <v>773</v>
      </c>
      <c r="F555" s="185">
        <v>179452</v>
      </c>
      <c r="G555" s="183" t="s">
        <v>773</v>
      </c>
      <c r="H555" s="183" t="s">
        <v>2967</v>
      </c>
      <c r="I555" s="183" t="s">
        <v>2968</v>
      </c>
      <c r="J555" s="183" t="s">
        <v>2966</v>
      </c>
      <c r="K555" s="183" t="s">
        <v>1947</v>
      </c>
      <c r="L555" s="184">
        <v>0</v>
      </c>
      <c r="M555" s="184">
        <v>260</v>
      </c>
    </row>
    <row r="556" spans="1:13" ht="17.25" hidden="1" customHeight="1" x14ac:dyDescent="0.25">
      <c r="A556" s="183" t="s">
        <v>116</v>
      </c>
      <c r="B556" s="190">
        <v>1306</v>
      </c>
      <c r="C556" s="184">
        <v>2014</v>
      </c>
      <c r="D556" s="183" t="s">
        <v>2969</v>
      </c>
      <c r="E556" s="183" t="s">
        <v>740</v>
      </c>
      <c r="F556" s="185">
        <v>16500</v>
      </c>
      <c r="G556" s="183" t="s">
        <v>741</v>
      </c>
      <c r="H556" s="183" t="s">
        <v>2970</v>
      </c>
      <c r="I556" s="183" t="s">
        <v>2971</v>
      </c>
      <c r="J556" s="183" t="s">
        <v>2972</v>
      </c>
      <c r="K556" s="183" t="s">
        <v>2973</v>
      </c>
      <c r="L556" s="184">
        <v>0</v>
      </c>
      <c r="M556" s="184">
        <v>40</v>
      </c>
    </row>
    <row r="557" spans="1:13" ht="17.25" hidden="1" customHeight="1" x14ac:dyDescent="0.25">
      <c r="A557" s="183" t="s">
        <v>116</v>
      </c>
      <c r="B557" s="190">
        <v>1305</v>
      </c>
      <c r="C557" s="184">
        <v>2014</v>
      </c>
      <c r="D557" s="183" t="s">
        <v>2974</v>
      </c>
      <c r="E557" s="183" t="s">
        <v>740</v>
      </c>
      <c r="F557" s="185">
        <v>19000</v>
      </c>
      <c r="G557" s="183" t="s">
        <v>749</v>
      </c>
      <c r="H557" s="183" t="s">
        <v>2909</v>
      </c>
      <c r="I557" s="183" t="s">
        <v>2975</v>
      </c>
      <c r="J557" s="183" t="s">
        <v>2911</v>
      </c>
      <c r="K557" s="183" t="s">
        <v>2912</v>
      </c>
      <c r="L557" s="184">
        <v>0</v>
      </c>
      <c r="M557" s="184">
        <v>114.9</v>
      </c>
    </row>
    <row r="558" spans="1:13" ht="17.25" hidden="1" customHeight="1" x14ac:dyDescent="0.25">
      <c r="A558" s="183" t="s">
        <v>116</v>
      </c>
      <c r="B558" s="190">
        <v>1303</v>
      </c>
      <c r="C558" s="184">
        <v>2014</v>
      </c>
      <c r="D558" s="183" t="s">
        <v>2976</v>
      </c>
      <c r="E558" s="183" t="s">
        <v>740</v>
      </c>
      <c r="F558" s="185">
        <v>150000</v>
      </c>
      <c r="G558" s="183" t="s">
        <v>749</v>
      </c>
      <c r="H558" s="183" t="s">
        <v>2958</v>
      </c>
      <c r="I558" s="183" t="s">
        <v>2977</v>
      </c>
      <c r="J558" s="183" t="s">
        <v>1214</v>
      </c>
      <c r="K558" s="183" t="s">
        <v>2935</v>
      </c>
      <c r="L558" s="184">
        <v>0</v>
      </c>
      <c r="M558" s="184">
        <v>30.5</v>
      </c>
    </row>
    <row r="559" spans="1:13" ht="17.25" hidden="1" customHeight="1" x14ac:dyDescent="0.25">
      <c r="A559" s="183" t="s">
        <v>116</v>
      </c>
      <c r="B559" s="190">
        <v>1304</v>
      </c>
      <c r="C559" s="184">
        <v>2014</v>
      </c>
      <c r="D559" s="183" t="s">
        <v>2978</v>
      </c>
      <c r="E559" s="183" t="s">
        <v>740</v>
      </c>
      <c r="F559" s="185">
        <v>20576</v>
      </c>
      <c r="G559" s="183" t="s">
        <v>749</v>
      </c>
      <c r="H559" s="183" t="s">
        <v>2979</v>
      </c>
      <c r="I559" s="183" t="s">
        <v>2980</v>
      </c>
      <c r="J559" s="183" t="s">
        <v>2981</v>
      </c>
      <c r="K559" s="183" t="s">
        <v>2982</v>
      </c>
      <c r="L559" s="184">
        <v>0</v>
      </c>
      <c r="M559" s="184">
        <v>29.2</v>
      </c>
    </row>
    <row r="560" spans="1:13" ht="17.25" hidden="1" customHeight="1" x14ac:dyDescent="0.25">
      <c r="A560" s="183" t="s">
        <v>116</v>
      </c>
      <c r="B560" s="190">
        <v>1307</v>
      </c>
      <c r="C560" s="184">
        <v>2014</v>
      </c>
      <c r="D560" s="183" t="s">
        <v>2983</v>
      </c>
      <c r="E560" s="183" t="s">
        <v>740</v>
      </c>
      <c r="F560" s="185">
        <v>150000</v>
      </c>
      <c r="G560" s="183" t="s">
        <v>749</v>
      </c>
      <c r="H560" s="183" t="s">
        <v>2984</v>
      </c>
      <c r="I560" s="183" t="s">
        <v>2985</v>
      </c>
      <c r="J560" s="183" t="s">
        <v>1934</v>
      </c>
      <c r="K560" s="183" t="s">
        <v>2952</v>
      </c>
      <c r="L560" s="184">
        <v>0</v>
      </c>
      <c r="M560" s="184">
        <v>6</v>
      </c>
    </row>
    <row r="561" spans="1:13" ht="17.25" hidden="1" customHeight="1" x14ac:dyDescent="0.25">
      <c r="A561" s="183" t="s">
        <v>117</v>
      </c>
      <c r="B561" s="190">
        <v>1000</v>
      </c>
      <c r="C561" s="184">
        <v>2011</v>
      </c>
      <c r="D561" s="183" t="s">
        <v>2986</v>
      </c>
      <c r="E561" s="183" t="s">
        <v>773</v>
      </c>
      <c r="F561" s="185">
        <v>137935.5</v>
      </c>
      <c r="G561" s="183" t="s">
        <v>740</v>
      </c>
      <c r="H561" s="183" t="s">
        <v>2987</v>
      </c>
      <c r="I561" s="183" t="s">
        <v>2988</v>
      </c>
      <c r="J561" s="183" t="s">
        <v>2989</v>
      </c>
      <c r="K561" s="183" t="s">
        <v>1678</v>
      </c>
      <c r="L561" s="184">
        <v>1</v>
      </c>
      <c r="M561" s="184">
        <v>553.79999999999995</v>
      </c>
    </row>
    <row r="562" spans="1:13" ht="17.25" hidden="1" customHeight="1" x14ac:dyDescent="0.25">
      <c r="A562" s="183" t="s">
        <v>117</v>
      </c>
      <c r="B562" s="190">
        <v>1003</v>
      </c>
      <c r="C562" s="184">
        <v>2011</v>
      </c>
      <c r="D562" s="183" t="s">
        <v>2990</v>
      </c>
      <c r="E562" s="183" t="s">
        <v>740</v>
      </c>
      <c r="F562" s="185">
        <v>75000</v>
      </c>
      <c r="G562" s="183" t="s">
        <v>749</v>
      </c>
      <c r="H562" s="183" t="s">
        <v>2987</v>
      </c>
      <c r="I562" s="183" t="s">
        <v>2991</v>
      </c>
      <c r="J562" s="183" t="s">
        <v>2992</v>
      </c>
      <c r="K562" s="183" t="s">
        <v>2993</v>
      </c>
      <c r="L562" s="184">
        <v>1</v>
      </c>
      <c r="M562" s="185">
        <v>2166</v>
      </c>
    </row>
    <row r="563" spans="1:13" ht="17.25" hidden="1" customHeight="1" x14ac:dyDescent="0.25">
      <c r="A563" s="183" t="s">
        <v>117</v>
      </c>
      <c r="B563" s="190">
        <v>1002</v>
      </c>
      <c r="C563" s="184">
        <v>2011</v>
      </c>
      <c r="D563" s="183" t="s">
        <v>2994</v>
      </c>
      <c r="E563" s="183" t="s">
        <v>740</v>
      </c>
      <c r="F563" s="185">
        <v>75000</v>
      </c>
      <c r="G563" s="183" t="s">
        <v>749</v>
      </c>
      <c r="H563" s="183" t="s">
        <v>2987</v>
      </c>
      <c r="I563" s="183" t="s">
        <v>2995</v>
      </c>
      <c r="J563" s="183" t="s">
        <v>2996</v>
      </c>
      <c r="K563" s="183" t="s">
        <v>2997</v>
      </c>
      <c r="L563" s="184">
        <v>3</v>
      </c>
      <c r="M563" s="184">
        <v>186.2</v>
      </c>
    </row>
    <row r="564" spans="1:13" ht="17.25" hidden="1" customHeight="1" x14ac:dyDescent="0.25">
      <c r="A564" s="183" t="s">
        <v>117</v>
      </c>
      <c r="B564" s="190">
        <v>1008</v>
      </c>
      <c r="C564" s="184">
        <v>2011</v>
      </c>
      <c r="D564" s="183" t="s">
        <v>2998</v>
      </c>
      <c r="E564" s="183" t="s">
        <v>740</v>
      </c>
      <c r="F564" s="185">
        <v>25000</v>
      </c>
      <c r="G564" s="183" t="s">
        <v>749</v>
      </c>
      <c r="H564" s="183" t="s">
        <v>2999</v>
      </c>
      <c r="I564" s="183" t="s">
        <v>3000</v>
      </c>
      <c r="J564" s="183" t="s">
        <v>3001</v>
      </c>
      <c r="K564" s="183" t="s">
        <v>864</v>
      </c>
      <c r="L564" s="184">
        <v>3</v>
      </c>
      <c r="M564" s="184">
        <v>2.5</v>
      </c>
    </row>
    <row r="565" spans="1:13" ht="17.25" hidden="1" customHeight="1" x14ac:dyDescent="0.25">
      <c r="A565" s="183" t="s">
        <v>117</v>
      </c>
      <c r="B565" s="190">
        <v>1007</v>
      </c>
      <c r="C565" s="184">
        <v>2011</v>
      </c>
      <c r="D565" s="183" t="s">
        <v>3002</v>
      </c>
      <c r="E565" s="183" t="s">
        <v>773</v>
      </c>
      <c r="F565" s="185">
        <v>75000</v>
      </c>
      <c r="G565" s="183" t="s">
        <v>749</v>
      </c>
      <c r="H565" s="183" t="s">
        <v>3003</v>
      </c>
      <c r="I565" s="183" t="s">
        <v>3004</v>
      </c>
      <c r="J565" s="183" t="s">
        <v>3005</v>
      </c>
      <c r="K565" s="183" t="s">
        <v>3006</v>
      </c>
      <c r="L565" s="184">
        <v>2</v>
      </c>
      <c r="M565" s="184">
        <v>2.2000000000000002</v>
      </c>
    </row>
    <row r="566" spans="1:13" ht="17.25" hidden="1" customHeight="1" x14ac:dyDescent="0.25">
      <c r="A566" s="183" t="s">
        <v>117</v>
      </c>
      <c r="B566" s="190">
        <v>1004</v>
      </c>
      <c r="C566" s="184">
        <v>2012</v>
      </c>
      <c r="D566" s="183" t="s">
        <v>3007</v>
      </c>
      <c r="E566" s="183" t="s">
        <v>740</v>
      </c>
      <c r="F566" s="185">
        <v>75000</v>
      </c>
      <c r="G566" s="183" t="s">
        <v>741</v>
      </c>
      <c r="H566" s="183" t="s">
        <v>2987</v>
      </c>
      <c r="I566" s="183" t="s">
        <v>3008</v>
      </c>
      <c r="J566" s="183" t="s">
        <v>3009</v>
      </c>
      <c r="K566" s="183" t="s">
        <v>3010</v>
      </c>
      <c r="L566" s="184">
        <v>3</v>
      </c>
      <c r="M566" s="185">
        <v>11370</v>
      </c>
    </row>
    <row r="567" spans="1:13" ht="17.25" hidden="1" customHeight="1" x14ac:dyDescent="0.25">
      <c r="A567" s="183" t="s">
        <v>117</v>
      </c>
      <c r="B567" s="190">
        <v>1009</v>
      </c>
      <c r="C567" s="184">
        <v>2012</v>
      </c>
      <c r="D567" s="183" t="s">
        <v>3011</v>
      </c>
      <c r="E567" s="183" t="s">
        <v>773</v>
      </c>
      <c r="F567" s="185">
        <v>125000</v>
      </c>
      <c r="G567" s="183" t="s">
        <v>741</v>
      </c>
      <c r="H567" s="183" t="s">
        <v>2987</v>
      </c>
      <c r="I567" s="183" t="s">
        <v>3012</v>
      </c>
      <c r="J567" s="183" t="s">
        <v>3013</v>
      </c>
      <c r="K567" s="183" t="s">
        <v>3014</v>
      </c>
      <c r="L567" s="184">
        <v>1</v>
      </c>
      <c r="M567" s="185">
        <v>2980.4</v>
      </c>
    </row>
    <row r="568" spans="1:13" ht="17.25" hidden="1" customHeight="1" x14ac:dyDescent="0.25">
      <c r="A568" s="183" t="s">
        <v>117</v>
      </c>
      <c r="B568" s="190">
        <v>1009</v>
      </c>
      <c r="C568" s="184">
        <v>2012</v>
      </c>
      <c r="D568" s="183" t="s">
        <v>3011</v>
      </c>
      <c r="E568" s="183" t="s">
        <v>773</v>
      </c>
      <c r="F568" s="185">
        <v>125000</v>
      </c>
      <c r="G568" s="183" t="s">
        <v>741</v>
      </c>
      <c r="H568" s="183" t="s">
        <v>2987</v>
      </c>
      <c r="I568" s="183" t="s">
        <v>3012</v>
      </c>
      <c r="J568" s="183" t="s">
        <v>3015</v>
      </c>
      <c r="K568" s="183" t="s">
        <v>3016</v>
      </c>
      <c r="L568" s="184">
        <v>1</v>
      </c>
      <c r="M568" s="184">
        <v>667.4</v>
      </c>
    </row>
    <row r="569" spans="1:13" ht="17.25" hidden="1" customHeight="1" x14ac:dyDescent="0.25">
      <c r="A569" s="183" t="s">
        <v>117</v>
      </c>
      <c r="B569" s="190">
        <v>1009</v>
      </c>
      <c r="C569" s="184">
        <v>2012</v>
      </c>
      <c r="D569" s="183" t="s">
        <v>3011</v>
      </c>
      <c r="E569" s="183" t="s">
        <v>773</v>
      </c>
      <c r="F569" s="185">
        <v>125000</v>
      </c>
      <c r="G569" s="183" t="s">
        <v>741</v>
      </c>
      <c r="H569" s="183" t="s">
        <v>2987</v>
      </c>
      <c r="I569" s="183" t="s">
        <v>3012</v>
      </c>
      <c r="J569" s="183" t="s">
        <v>3017</v>
      </c>
      <c r="K569" s="183" t="s">
        <v>3018</v>
      </c>
      <c r="L569" s="184">
        <v>3</v>
      </c>
      <c r="M569" s="184">
        <v>559</v>
      </c>
    </row>
    <row r="570" spans="1:13" ht="17.25" hidden="1" customHeight="1" x14ac:dyDescent="0.25">
      <c r="A570" s="183" t="s">
        <v>117</v>
      </c>
      <c r="B570" s="190">
        <v>1009</v>
      </c>
      <c r="C570" s="184">
        <v>2012</v>
      </c>
      <c r="D570" s="183" t="s">
        <v>3011</v>
      </c>
      <c r="E570" s="183" t="s">
        <v>773</v>
      </c>
      <c r="F570" s="185">
        <v>125000</v>
      </c>
      <c r="G570" s="183" t="s">
        <v>741</v>
      </c>
      <c r="H570" s="183" t="s">
        <v>2987</v>
      </c>
      <c r="I570" s="183" t="s">
        <v>3012</v>
      </c>
      <c r="J570" s="183" t="s">
        <v>3019</v>
      </c>
      <c r="K570" s="183" t="s">
        <v>1678</v>
      </c>
      <c r="L570" s="184">
        <v>1</v>
      </c>
      <c r="M570" s="184">
        <v>192.4</v>
      </c>
    </row>
    <row r="571" spans="1:13" ht="17.25" hidden="1" customHeight="1" x14ac:dyDescent="0.25">
      <c r="A571" s="183" t="s">
        <v>117</v>
      </c>
      <c r="B571" s="190">
        <v>1016</v>
      </c>
      <c r="C571" s="184">
        <v>2012</v>
      </c>
      <c r="D571" s="183" t="s">
        <v>3020</v>
      </c>
      <c r="E571" s="183" t="s">
        <v>773</v>
      </c>
      <c r="F571" s="185">
        <v>81072.47</v>
      </c>
      <c r="G571" s="183" t="s">
        <v>749</v>
      </c>
      <c r="H571" s="183" t="s">
        <v>2987</v>
      </c>
      <c r="I571" s="183" t="s">
        <v>3021</v>
      </c>
      <c r="J571" s="183" t="s">
        <v>3013</v>
      </c>
      <c r="K571" s="183" t="s">
        <v>3014</v>
      </c>
      <c r="L571" s="184">
        <v>1</v>
      </c>
      <c r="M571" s="185">
        <v>2980.4</v>
      </c>
    </row>
    <row r="572" spans="1:13" ht="17.25" hidden="1" customHeight="1" x14ac:dyDescent="0.25">
      <c r="A572" s="183" t="s">
        <v>117</v>
      </c>
      <c r="B572" s="190">
        <v>1016</v>
      </c>
      <c r="C572" s="184">
        <v>2012</v>
      </c>
      <c r="D572" s="183" t="s">
        <v>3020</v>
      </c>
      <c r="E572" s="183" t="s">
        <v>773</v>
      </c>
      <c r="F572" s="185">
        <v>81072.47</v>
      </c>
      <c r="G572" s="183" t="s">
        <v>749</v>
      </c>
      <c r="H572" s="183" t="s">
        <v>2987</v>
      </c>
      <c r="I572" s="183" t="s">
        <v>3021</v>
      </c>
      <c r="J572" s="183" t="s">
        <v>3022</v>
      </c>
      <c r="K572" s="183" t="s">
        <v>1275</v>
      </c>
      <c r="L572" s="184">
        <v>2</v>
      </c>
      <c r="M572" s="184">
        <v>621.9</v>
      </c>
    </row>
    <row r="573" spans="1:13" ht="17.25" hidden="1" customHeight="1" x14ac:dyDescent="0.25">
      <c r="A573" s="183" t="s">
        <v>117</v>
      </c>
      <c r="B573" s="190">
        <v>1016</v>
      </c>
      <c r="C573" s="184">
        <v>2012</v>
      </c>
      <c r="D573" s="183" t="s">
        <v>3020</v>
      </c>
      <c r="E573" s="183" t="s">
        <v>773</v>
      </c>
      <c r="F573" s="185">
        <v>81072.47</v>
      </c>
      <c r="G573" s="183" t="s">
        <v>749</v>
      </c>
      <c r="H573" s="183" t="s">
        <v>2987</v>
      </c>
      <c r="I573" s="183" t="s">
        <v>3021</v>
      </c>
      <c r="J573" s="183" t="s">
        <v>3017</v>
      </c>
      <c r="K573" s="183" t="s">
        <v>3018</v>
      </c>
      <c r="L573" s="184">
        <v>3</v>
      </c>
      <c r="M573" s="184">
        <v>559</v>
      </c>
    </row>
    <row r="574" spans="1:13" ht="17.25" hidden="1" customHeight="1" x14ac:dyDescent="0.25">
      <c r="A574" s="183" t="s">
        <v>117</v>
      </c>
      <c r="B574" s="190">
        <v>1012</v>
      </c>
      <c r="C574" s="184">
        <v>2012</v>
      </c>
      <c r="D574" s="183" t="s">
        <v>3023</v>
      </c>
      <c r="E574" s="183" t="s">
        <v>773</v>
      </c>
      <c r="F574" s="185">
        <v>45588.24</v>
      </c>
      <c r="G574" s="183" t="s">
        <v>749</v>
      </c>
      <c r="H574" s="183" t="s">
        <v>3024</v>
      </c>
      <c r="I574" s="183" t="s">
        <v>3025</v>
      </c>
      <c r="J574" s="183" t="s">
        <v>1934</v>
      </c>
      <c r="K574" s="183" t="s">
        <v>3026</v>
      </c>
      <c r="L574" s="184">
        <v>1</v>
      </c>
      <c r="M574" s="184">
        <v>32</v>
      </c>
    </row>
    <row r="575" spans="1:13" ht="17.25" hidden="1" customHeight="1" x14ac:dyDescent="0.25">
      <c r="A575" s="183" t="s">
        <v>117</v>
      </c>
      <c r="B575" s="190">
        <v>1013</v>
      </c>
      <c r="C575" s="184">
        <v>2012</v>
      </c>
      <c r="D575" s="183" t="s">
        <v>3027</v>
      </c>
      <c r="E575" s="183" t="s">
        <v>773</v>
      </c>
      <c r="F575" s="185">
        <v>66394.66</v>
      </c>
      <c r="G575" s="183" t="s">
        <v>749</v>
      </c>
      <c r="H575" s="183" t="s">
        <v>3028</v>
      </c>
      <c r="I575" s="183" t="s">
        <v>3029</v>
      </c>
      <c r="J575" s="183" t="s">
        <v>3030</v>
      </c>
      <c r="K575" s="183" t="s">
        <v>3031</v>
      </c>
      <c r="L575" s="184">
        <v>3</v>
      </c>
      <c r="M575" s="184">
        <v>17.7</v>
      </c>
    </row>
    <row r="576" spans="1:13" ht="17.25" hidden="1" customHeight="1" x14ac:dyDescent="0.25">
      <c r="A576" s="183" t="s">
        <v>117</v>
      </c>
      <c r="B576" s="190">
        <v>1014</v>
      </c>
      <c r="C576" s="184">
        <v>2012</v>
      </c>
      <c r="D576" s="183" t="s">
        <v>3032</v>
      </c>
      <c r="E576" s="183" t="s">
        <v>773</v>
      </c>
      <c r="F576" s="185">
        <v>112004</v>
      </c>
      <c r="G576" s="183" t="s">
        <v>749</v>
      </c>
      <c r="H576" s="183" t="s">
        <v>3033</v>
      </c>
      <c r="I576" s="183" t="s">
        <v>3034</v>
      </c>
      <c r="J576" s="183" t="s">
        <v>3035</v>
      </c>
      <c r="K576" s="183" t="s">
        <v>3036</v>
      </c>
      <c r="L576" s="184">
        <v>1</v>
      </c>
      <c r="M576" s="184">
        <v>12.6</v>
      </c>
    </row>
    <row r="577" spans="1:13" ht="17.25" hidden="1" customHeight="1" x14ac:dyDescent="0.25">
      <c r="A577" s="183" t="s">
        <v>117</v>
      </c>
      <c r="B577" s="190">
        <v>1010</v>
      </c>
      <c r="C577" s="184">
        <v>2012</v>
      </c>
      <c r="D577" s="183" t="s">
        <v>3037</v>
      </c>
      <c r="E577" s="183" t="s">
        <v>773</v>
      </c>
      <c r="F577" s="185">
        <v>94134</v>
      </c>
      <c r="G577" s="183" t="s">
        <v>749</v>
      </c>
      <c r="H577" s="183" t="s">
        <v>3038</v>
      </c>
      <c r="I577" s="183" t="s">
        <v>3039</v>
      </c>
      <c r="J577" s="183" t="s">
        <v>3040</v>
      </c>
      <c r="K577" s="183" t="s">
        <v>3016</v>
      </c>
      <c r="L577" s="184">
        <v>1</v>
      </c>
      <c r="M577" s="184">
        <v>10</v>
      </c>
    </row>
    <row r="578" spans="1:13" ht="17.25" hidden="1" customHeight="1" x14ac:dyDescent="0.25">
      <c r="A578" s="183" t="s">
        <v>117</v>
      </c>
      <c r="B578" s="190">
        <v>1015</v>
      </c>
      <c r="C578" s="184">
        <v>2012</v>
      </c>
      <c r="D578" s="183" t="s">
        <v>3041</v>
      </c>
      <c r="E578" s="183" t="s">
        <v>740</v>
      </c>
      <c r="F578" s="185">
        <v>127675</v>
      </c>
      <c r="G578" s="183" t="s">
        <v>749</v>
      </c>
      <c r="H578" s="183" t="s">
        <v>3042</v>
      </c>
      <c r="I578" s="183" t="s">
        <v>3043</v>
      </c>
      <c r="J578" s="183" t="s">
        <v>2862</v>
      </c>
      <c r="K578" s="183" t="s">
        <v>3044</v>
      </c>
      <c r="L578" s="184">
        <v>3</v>
      </c>
      <c r="M578" s="184">
        <v>8.3000000000000007</v>
      </c>
    </row>
    <row r="579" spans="1:13" ht="17.25" hidden="1" customHeight="1" x14ac:dyDescent="0.25">
      <c r="A579" s="183" t="s">
        <v>117</v>
      </c>
      <c r="B579" s="190">
        <v>1011</v>
      </c>
      <c r="C579" s="184">
        <v>2012</v>
      </c>
      <c r="D579" s="183" t="s">
        <v>3045</v>
      </c>
      <c r="E579" s="183" t="s">
        <v>740</v>
      </c>
      <c r="F579" s="185">
        <v>10000</v>
      </c>
      <c r="G579" s="183" t="s">
        <v>749</v>
      </c>
      <c r="H579" s="183" t="s">
        <v>3046</v>
      </c>
      <c r="I579" s="183" t="s">
        <v>3047</v>
      </c>
      <c r="J579" s="183" t="s">
        <v>3048</v>
      </c>
      <c r="K579" s="183" t="s">
        <v>1678</v>
      </c>
      <c r="L579" s="184">
        <v>1</v>
      </c>
      <c r="M579" s="184">
        <v>3.6</v>
      </c>
    </row>
    <row r="580" spans="1:13" ht="17.25" hidden="1" customHeight="1" x14ac:dyDescent="0.25">
      <c r="A580" s="183" t="s">
        <v>117</v>
      </c>
      <c r="B580" s="190">
        <v>1017</v>
      </c>
      <c r="C580" s="184">
        <v>2014</v>
      </c>
      <c r="D580" s="183" t="s">
        <v>3049</v>
      </c>
      <c r="E580" s="183" t="s">
        <v>740</v>
      </c>
      <c r="F580" s="185">
        <v>150000</v>
      </c>
      <c r="G580" s="183" t="s">
        <v>741</v>
      </c>
      <c r="H580" s="183" t="s">
        <v>3050</v>
      </c>
      <c r="I580" s="183" t="s">
        <v>3051</v>
      </c>
      <c r="J580" s="183" t="s">
        <v>3052</v>
      </c>
      <c r="K580" s="183" t="s">
        <v>3014</v>
      </c>
      <c r="L580" s="184">
        <v>1</v>
      </c>
      <c r="M580" s="184">
        <v>26.5</v>
      </c>
    </row>
    <row r="581" spans="1:13" ht="17.25" hidden="1" customHeight="1" x14ac:dyDescent="0.25">
      <c r="A581" s="183" t="s">
        <v>117</v>
      </c>
      <c r="B581" s="190">
        <v>1021</v>
      </c>
      <c r="C581" s="184">
        <v>2014</v>
      </c>
      <c r="D581" s="183" t="s">
        <v>3053</v>
      </c>
      <c r="E581" s="183" t="s">
        <v>740</v>
      </c>
      <c r="F581" s="185">
        <v>375000</v>
      </c>
      <c r="G581" s="183" t="s">
        <v>749</v>
      </c>
      <c r="H581" s="183" t="s">
        <v>2987</v>
      </c>
      <c r="I581" s="183" t="s">
        <v>3054</v>
      </c>
      <c r="J581" s="183" t="s">
        <v>2992</v>
      </c>
      <c r="K581" s="183" t="s">
        <v>2993</v>
      </c>
      <c r="L581" s="184">
        <v>1</v>
      </c>
      <c r="M581" s="185">
        <v>2166</v>
      </c>
    </row>
    <row r="582" spans="1:13" ht="17.25" hidden="1" customHeight="1" x14ac:dyDescent="0.25">
      <c r="A582" s="183" t="s">
        <v>117</v>
      </c>
      <c r="B582" s="190">
        <v>1019</v>
      </c>
      <c r="C582" s="184">
        <v>2014</v>
      </c>
      <c r="D582" s="183" t="s">
        <v>3055</v>
      </c>
      <c r="E582" s="183" t="s">
        <v>740</v>
      </c>
      <c r="F582" s="185">
        <v>60000</v>
      </c>
      <c r="G582" s="183" t="s">
        <v>749</v>
      </c>
      <c r="H582" s="183" t="s">
        <v>3056</v>
      </c>
      <c r="I582" s="183" t="s">
        <v>3057</v>
      </c>
      <c r="J582" s="183" t="s">
        <v>3058</v>
      </c>
      <c r="K582" s="183" t="s">
        <v>2479</v>
      </c>
      <c r="L582" s="184">
        <v>3</v>
      </c>
      <c r="M582" s="184">
        <v>47</v>
      </c>
    </row>
    <row r="583" spans="1:13" ht="17.25" hidden="1" customHeight="1" x14ac:dyDescent="0.25">
      <c r="A583" s="183" t="s">
        <v>117</v>
      </c>
      <c r="B583" s="190">
        <v>1020</v>
      </c>
      <c r="C583" s="184">
        <v>2014</v>
      </c>
      <c r="D583" s="183" t="s">
        <v>3059</v>
      </c>
      <c r="E583" s="183" t="s">
        <v>740</v>
      </c>
      <c r="F583" s="185">
        <v>29500</v>
      </c>
      <c r="G583" s="183" t="s">
        <v>749</v>
      </c>
      <c r="H583" s="183" t="s">
        <v>3060</v>
      </c>
      <c r="I583" s="183" t="s">
        <v>3061</v>
      </c>
      <c r="J583" s="183" t="s">
        <v>3062</v>
      </c>
      <c r="K583" s="183" t="s">
        <v>3063</v>
      </c>
      <c r="L583" s="184">
        <v>1</v>
      </c>
      <c r="M583" s="184">
        <v>22.6</v>
      </c>
    </row>
    <row r="584" spans="1:13" ht="17.25" hidden="1" customHeight="1" x14ac:dyDescent="0.25">
      <c r="A584" s="183" t="s">
        <v>117</v>
      </c>
      <c r="B584" s="190">
        <v>1018</v>
      </c>
      <c r="C584" s="184">
        <v>2014</v>
      </c>
      <c r="D584" s="183" t="s">
        <v>3064</v>
      </c>
      <c r="E584" s="183" t="s">
        <v>740</v>
      </c>
      <c r="F584" s="185">
        <v>75900</v>
      </c>
      <c r="G584" s="183" t="s">
        <v>749</v>
      </c>
      <c r="H584" s="183" t="s">
        <v>3065</v>
      </c>
      <c r="I584" s="183" t="s">
        <v>3066</v>
      </c>
      <c r="J584" s="183" t="s">
        <v>3067</v>
      </c>
      <c r="K584" s="183" t="s">
        <v>3068</v>
      </c>
      <c r="L584" s="184">
        <v>3</v>
      </c>
      <c r="M584" s="184">
        <v>9.8000000000000007</v>
      </c>
    </row>
    <row r="585" spans="1:13" ht="17.25" hidden="1" customHeight="1" x14ac:dyDescent="0.25">
      <c r="A585" s="183" t="s">
        <v>276</v>
      </c>
      <c r="B585" s="184">
        <v>683</v>
      </c>
      <c r="C585" s="184">
        <v>2011</v>
      </c>
      <c r="D585" s="183" t="s">
        <v>3069</v>
      </c>
      <c r="E585" s="183" t="s">
        <v>740</v>
      </c>
      <c r="F585" s="185">
        <v>130917.4</v>
      </c>
      <c r="G585" s="183" t="s">
        <v>749</v>
      </c>
      <c r="H585" s="183" t="s">
        <v>3070</v>
      </c>
      <c r="I585" s="183" t="s">
        <v>3071</v>
      </c>
      <c r="J585" s="183" t="s">
        <v>3072</v>
      </c>
      <c r="K585" s="183" t="s">
        <v>3073</v>
      </c>
      <c r="L585" s="184">
        <v>2</v>
      </c>
      <c r="M585" s="185">
        <v>7500</v>
      </c>
    </row>
    <row r="586" spans="1:13" ht="17.25" hidden="1" customHeight="1" x14ac:dyDescent="0.25">
      <c r="A586" s="183" t="s">
        <v>276</v>
      </c>
      <c r="B586" s="184">
        <v>688</v>
      </c>
      <c r="C586" s="184">
        <v>2012</v>
      </c>
      <c r="D586" s="183" t="s">
        <v>3074</v>
      </c>
      <c r="E586" s="183" t="s">
        <v>740</v>
      </c>
      <c r="F586" s="185">
        <v>99943.5</v>
      </c>
      <c r="G586" s="183" t="s">
        <v>773</v>
      </c>
      <c r="H586" s="183" t="s">
        <v>3075</v>
      </c>
      <c r="I586" s="183" t="s">
        <v>3076</v>
      </c>
      <c r="J586" s="183" t="s">
        <v>3077</v>
      </c>
      <c r="K586" s="183" t="s">
        <v>3078</v>
      </c>
      <c r="L586" s="184">
        <v>1</v>
      </c>
      <c r="M586" s="184">
        <v>26.2</v>
      </c>
    </row>
    <row r="587" spans="1:13" ht="17.25" hidden="1" customHeight="1" x14ac:dyDescent="0.25">
      <c r="A587" s="183" t="s">
        <v>276</v>
      </c>
      <c r="B587" s="184">
        <v>685</v>
      </c>
      <c r="C587" s="184">
        <v>2012</v>
      </c>
      <c r="D587" s="183" t="s">
        <v>3079</v>
      </c>
      <c r="E587" s="183" t="s">
        <v>740</v>
      </c>
      <c r="F587" s="185">
        <v>110590</v>
      </c>
      <c r="G587" s="183" t="s">
        <v>741</v>
      </c>
      <c r="H587" s="183" t="s">
        <v>3080</v>
      </c>
      <c r="I587" s="183" t="s">
        <v>3081</v>
      </c>
      <c r="J587" s="183" t="s">
        <v>3082</v>
      </c>
      <c r="K587" s="183" t="s">
        <v>3083</v>
      </c>
      <c r="L587" s="184">
        <v>2</v>
      </c>
      <c r="M587" s="184">
        <v>50</v>
      </c>
    </row>
    <row r="588" spans="1:13" ht="17.25" hidden="1" customHeight="1" x14ac:dyDescent="0.25">
      <c r="A588" s="183" t="s">
        <v>276</v>
      </c>
      <c r="B588" s="184">
        <v>687</v>
      </c>
      <c r="C588" s="184">
        <v>2012</v>
      </c>
      <c r="D588" s="183" t="s">
        <v>3084</v>
      </c>
      <c r="E588" s="183" t="s">
        <v>740</v>
      </c>
      <c r="F588" s="185">
        <v>24432</v>
      </c>
      <c r="G588" s="183" t="s">
        <v>741</v>
      </c>
      <c r="H588" s="183" t="s">
        <v>3085</v>
      </c>
      <c r="I588" s="183" t="s">
        <v>3086</v>
      </c>
      <c r="J588" s="183" t="s">
        <v>3087</v>
      </c>
      <c r="K588" s="183" t="s">
        <v>3088</v>
      </c>
      <c r="L588" s="184">
        <v>2</v>
      </c>
      <c r="M588" s="184">
        <v>12</v>
      </c>
    </row>
    <row r="589" spans="1:13" ht="17.25" hidden="1" customHeight="1" x14ac:dyDescent="0.25">
      <c r="A589" s="183" t="s">
        <v>276</v>
      </c>
      <c r="B589" s="184">
        <v>686</v>
      </c>
      <c r="C589" s="184">
        <v>2012</v>
      </c>
      <c r="D589" s="183" t="s">
        <v>3089</v>
      </c>
      <c r="E589" s="183" t="s">
        <v>740</v>
      </c>
      <c r="F589" s="185">
        <v>69692</v>
      </c>
      <c r="G589" s="183" t="s">
        <v>741</v>
      </c>
      <c r="H589" s="183" t="s">
        <v>3090</v>
      </c>
      <c r="I589" s="183" t="s">
        <v>3091</v>
      </c>
      <c r="J589" s="183" t="s">
        <v>3089</v>
      </c>
      <c r="K589" s="183" t="s">
        <v>3092</v>
      </c>
      <c r="L589" s="184">
        <v>1</v>
      </c>
      <c r="M589" s="184">
        <v>2.2000000000000002</v>
      </c>
    </row>
    <row r="590" spans="1:13" ht="17.25" hidden="1" customHeight="1" x14ac:dyDescent="0.25">
      <c r="A590" s="183" t="s">
        <v>276</v>
      </c>
      <c r="B590" s="184">
        <v>690</v>
      </c>
      <c r="C590" s="184">
        <v>2012</v>
      </c>
      <c r="D590" s="183" t="s">
        <v>3093</v>
      </c>
      <c r="E590" s="183" t="s">
        <v>740</v>
      </c>
      <c r="F590" s="185">
        <v>112070</v>
      </c>
      <c r="G590" s="183" t="s">
        <v>741</v>
      </c>
      <c r="H590" s="183" t="s">
        <v>3094</v>
      </c>
      <c r="I590" s="183" t="s">
        <v>3095</v>
      </c>
      <c r="J590" s="183" t="s">
        <v>3093</v>
      </c>
      <c r="K590" s="183" t="s">
        <v>3096</v>
      </c>
      <c r="L590" s="184">
        <v>2</v>
      </c>
      <c r="M590" s="184">
        <v>0.8</v>
      </c>
    </row>
    <row r="591" spans="1:13" ht="17.25" hidden="1" customHeight="1" x14ac:dyDescent="0.25">
      <c r="A591" s="183" t="s">
        <v>276</v>
      </c>
      <c r="B591" s="184">
        <v>684</v>
      </c>
      <c r="C591" s="184">
        <v>2012</v>
      </c>
      <c r="D591" s="183" t="s">
        <v>3097</v>
      </c>
      <c r="E591" s="183" t="s">
        <v>740</v>
      </c>
      <c r="F591" s="185">
        <v>43760</v>
      </c>
      <c r="G591" s="183" t="s">
        <v>749</v>
      </c>
      <c r="H591" s="183" t="s">
        <v>3098</v>
      </c>
      <c r="I591" s="183" t="s">
        <v>3099</v>
      </c>
      <c r="J591" s="183" t="s">
        <v>3100</v>
      </c>
      <c r="K591" s="183" t="s">
        <v>3101</v>
      </c>
      <c r="L591" s="184">
        <v>1</v>
      </c>
      <c r="M591" s="184">
        <v>11.9</v>
      </c>
    </row>
    <row r="592" spans="1:13" ht="17.25" hidden="1" customHeight="1" x14ac:dyDescent="0.25">
      <c r="A592" s="183" t="s">
        <v>276</v>
      </c>
      <c r="B592" s="184">
        <v>689</v>
      </c>
      <c r="C592" s="184">
        <v>2012</v>
      </c>
      <c r="D592" s="183" t="s">
        <v>3102</v>
      </c>
      <c r="E592" s="183" t="s">
        <v>740</v>
      </c>
      <c r="F592" s="185">
        <v>179312</v>
      </c>
      <c r="G592" s="183" t="s">
        <v>749</v>
      </c>
      <c r="H592" s="183" t="s">
        <v>3103</v>
      </c>
      <c r="I592" s="183" t="s">
        <v>3104</v>
      </c>
      <c r="J592" s="183" t="s">
        <v>3105</v>
      </c>
      <c r="K592" s="183" t="s">
        <v>3092</v>
      </c>
      <c r="L592" s="184">
        <v>1</v>
      </c>
      <c r="M592" s="184">
        <v>0</v>
      </c>
    </row>
    <row r="593" spans="1:13" ht="17.25" hidden="1" customHeight="1" x14ac:dyDescent="0.25">
      <c r="A593" s="183" t="s">
        <v>276</v>
      </c>
      <c r="B593" s="184">
        <v>691</v>
      </c>
      <c r="C593" s="184">
        <v>2014</v>
      </c>
      <c r="D593" s="183" t="s">
        <v>3106</v>
      </c>
      <c r="E593" s="183" t="s">
        <v>740</v>
      </c>
      <c r="F593" s="184">
        <v>0</v>
      </c>
      <c r="G593" s="183" t="s">
        <v>741</v>
      </c>
      <c r="H593" s="183" t="s">
        <v>3107</v>
      </c>
      <c r="I593" s="183" t="s">
        <v>3108</v>
      </c>
      <c r="J593" s="183" t="s">
        <v>3072</v>
      </c>
      <c r="K593" s="183" t="s">
        <v>3073</v>
      </c>
      <c r="L593" s="184">
        <v>2</v>
      </c>
      <c r="M593" s="185">
        <v>7500</v>
      </c>
    </row>
    <row r="594" spans="1:13" ht="17.25" hidden="1" customHeight="1" x14ac:dyDescent="0.25">
      <c r="A594" s="183" t="s">
        <v>276</v>
      </c>
      <c r="B594" s="184">
        <v>692</v>
      </c>
      <c r="C594" s="184">
        <v>2014</v>
      </c>
      <c r="D594" s="183" t="s">
        <v>3109</v>
      </c>
      <c r="E594" s="183" t="s">
        <v>740</v>
      </c>
      <c r="F594" s="184">
        <v>0</v>
      </c>
      <c r="G594" s="183" t="s">
        <v>741</v>
      </c>
      <c r="H594" s="183" t="s">
        <v>3080</v>
      </c>
      <c r="I594" s="183" t="s">
        <v>3110</v>
      </c>
      <c r="J594" s="183" t="s">
        <v>3082</v>
      </c>
      <c r="K594" s="183" t="s">
        <v>3083</v>
      </c>
      <c r="L594" s="184">
        <v>2</v>
      </c>
      <c r="M594" s="184">
        <v>50</v>
      </c>
    </row>
    <row r="595" spans="1:13" ht="17.25" hidden="1" customHeight="1" x14ac:dyDescent="0.25">
      <c r="A595" s="183" t="s">
        <v>276</v>
      </c>
      <c r="B595" s="184">
        <v>693</v>
      </c>
      <c r="C595" s="184">
        <v>2014</v>
      </c>
      <c r="D595" s="183" t="s">
        <v>3111</v>
      </c>
      <c r="E595" s="183" t="s">
        <v>740</v>
      </c>
      <c r="F595" s="184">
        <v>0</v>
      </c>
      <c r="G595" s="183" t="s">
        <v>741</v>
      </c>
      <c r="H595" s="183" t="s">
        <v>3112</v>
      </c>
      <c r="I595" s="183" t="s">
        <v>3113</v>
      </c>
      <c r="J595" s="183" t="s">
        <v>3114</v>
      </c>
      <c r="K595" s="183" t="s">
        <v>3078</v>
      </c>
      <c r="L595" s="184">
        <v>1</v>
      </c>
      <c r="M595" s="184">
        <v>22</v>
      </c>
    </row>
    <row r="596" spans="1:13" ht="17.25" hidden="1" customHeight="1" x14ac:dyDescent="0.25">
      <c r="A596" s="183" t="s">
        <v>122</v>
      </c>
      <c r="B596" s="184">
        <v>385</v>
      </c>
      <c r="C596" s="184">
        <v>2011</v>
      </c>
      <c r="D596" s="183" t="s">
        <v>3115</v>
      </c>
      <c r="E596" s="183" t="s">
        <v>740</v>
      </c>
      <c r="F596" s="185">
        <v>360000</v>
      </c>
      <c r="G596" s="183" t="s">
        <v>740</v>
      </c>
      <c r="H596" s="183" t="s">
        <v>3116</v>
      </c>
      <c r="I596" s="183" t="s">
        <v>3117</v>
      </c>
      <c r="J596" s="183" t="s">
        <v>3118</v>
      </c>
      <c r="K596" s="183" t="s">
        <v>3119</v>
      </c>
      <c r="L596" s="184">
        <v>4</v>
      </c>
      <c r="M596" s="184">
        <v>180</v>
      </c>
    </row>
    <row r="597" spans="1:13" ht="17.25" hidden="1" customHeight="1" x14ac:dyDescent="0.25">
      <c r="A597" s="183" t="s">
        <v>122</v>
      </c>
      <c r="B597" s="184">
        <v>387</v>
      </c>
      <c r="C597" s="184">
        <v>2013</v>
      </c>
      <c r="D597" s="183" t="s">
        <v>3120</v>
      </c>
      <c r="E597" s="183" t="s">
        <v>740</v>
      </c>
      <c r="F597" s="189">
        <v>1038000</v>
      </c>
      <c r="G597" s="183" t="s">
        <v>740</v>
      </c>
      <c r="H597" s="183" t="s">
        <v>3121</v>
      </c>
      <c r="I597" s="183" t="s">
        <v>3122</v>
      </c>
      <c r="J597" s="183" t="s">
        <v>3123</v>
      </c>
      <c r="K597" s="183" t="s">
        <v>3119</v>
      </c>
      <c r="L597" s="184">
        <v>0</v>
      </c>
      <c r="M597" s="184">
        <v>0.5</v>
      </c>
    </row>
    <row r="598" spans="1:13" ht="17.25" hidden="1" customHeight="1" x14ac:dyDescent="0.25">
      <c r="A598" s="183" t="s">
        <v>64</v>
      </c>
      <c r="B598" s="190">
        <v>1202</v>
      </c>
      <c r="C598" s="184">
        <v>2012</v>
      </c>
      <c r="D598" s="183" t="s">
        <v>3124</v>
      </c>
      <c r="E598" s="183" t="s">
        <v>740</v>
      </c>
      <c r="F598" s="185">
        <v>907500</v>
      </c>
      <c r="G598" s="183" t="s">
        <v>741</v>
      </c>
      <c r="H598" s="183" t="s">
        <v>3125</v>
      </c>
      <c r="I598" s="183" t="s">
        <v>3126</v>
      </c>
      <c r="J598" s="183" t="s">
        <v>3127</v>
      </c>
      <c r="K598" s="183" t="s">
        <v>3128</v>
      </c>
      <c r="L598" s="184">
        <v>2</v>
      </c>
      <c r="M598" s="185">
        <v>3000</v>
      </c>
    </row>
    <row r="599" spans="1:13" ht="17.25" hidden="1" customHeight="1" x14ac:dyDescent="0.25">
      <c r="A599" s="183" t="s">
        <v>64</v>
      </c>
      <c r="B599" s="190">
        <v>1201</v>
      </c>
      <c r="C599" s="184">
        <v>2012</v>
      </c>
      <c r="D599" s="183" t="s">
        <v>3129</v>
      </c>
      <c r="E599" s="183" t="s">
        <v>740</v>
      </c>
      <c r="F599" s="185">
        <v>537000</v>
      </c>
      <c r="G599" s="183" t="s">
        <v>741</v>
      </c>
      <c r="H599" s="183" t="s">
        <v>3125</v>
      </c>
      <c r="I599" s="183" t="s">
        <v>3130</v>
      </c>
      <c r="J599" s="183" t="s">
        <v>3131</v>
      </c>
      <c r="K599" s="183" t="s">
        <v>3132</v>
      </c>
      <c r="L599" s="184">
        <v>2</v>
      </c>
      <c r="M599" s="184">
        <v>825</v>
      </c>
    </row>
    <row r="600" spans="1:13" ht="17.25" hidden="1" customHeight="1" x14ac:dyDescent="0.25">
      <c r="A600" s="183" t="s">
        <v>64</v>
      </c>
      <c r="B600" s="190">
        <v>1204</v>
      </c>
      <c r="C600" s="184">
        <v>2012</v>
      </c>
      <c r="D600" s="183" t="s">
        <v>3133</v>
      </c>
      <c r="E600" s="183" t="s">
        <v>740</v>
      </c>
      <c r="F600" s="185">
        <v>442000</v>
      </c>
      <c r="G600" s="183" t="s">
        <v>741</v>
      </c>
      <c r="H600" s="183" t="s">
        <v>3125</v>
      </c>
      <c r="I600" s="183" t="s">
        <v>3134</v>
      </c>
      <c r="J600" s="183" t="s">
        <v>3135</v>
      </c>
      <c r="K600" s="183" t="s">
        <v>3136</v>
      </c>
      <c r="L600" s="184">
        <v>1</v>
      </c>
      <c r="M600" s="184">
        <v>160</v>
      </c>
    </row>
    <row r="601" spans="1:13" ht="17.25" hidden="1" customHeight="1" x14ac:dyDescent="0.25">
      <c r="A601" s="183" t="s">
        <v>64</v>
      </c>
      <c r="B601" s="190">
        <v>1203</v>
      </c>
      <c r="C601" s="184">
        <v>2012</v>
      </c>
      <c r="D601" s="183" t="s">
        <v>3137</v>
      </c>
      <c r="E601" s="183" t="s">
        <v>740</v>
      </c>
      <c r="F601" s="185">
        <v>175000</v>
      </c>
      <c r="G601" s="183" t="s">
        <v>741</v>
      </c>
      <c r="H601" s="183" t="s">
        <v>3125</v>
      </c>
      <c r="I601" s="183" t="s">
        <v>3138</v>
      </c>
      <c r="J601" s="183" t="s">
        <v>3139</v>
      </c>
      <c r="K601" s="183" t="s">
        <v>3132</v>
      </c>
      <c r="L601" s="184">
        <v>2</v>
      </c>
      <c r="M601" s="184">
        <v>61</v>
      </c>
    </row>
    <row r="602" spans="1:13" ht="17.25" hidden="1" customHeight="1" x14ac:dyDescent="0.25">
      <c r="A602" s="183" t="s">
        <v>125</v>
      </c>
      <c r="B602" s="184">
        <v>318</v>
      </c>
      <c r="C602" s="184">
        <v>2011</v>
      </c>
      <c r="D602" s="183" t="s">
        <v>3140</v>
      </c>
      <c r="E602" s="183" t="s">
        <v>740</v>
      </c>
      <c r="F602" s="185">
        <v>73287</v>
      </c>
      <c r="G602" s="183" t="s">
        <v>749</v>
      </c>
      <c r="H602" s="183" t="s">
        <v>3141</v>
      </c>
      <c r="I602" s="183" t="s">
        <v>3142</v>
      </c>
      <c r="J602" s="183" t="s">
        <v>3143</v>
      </c>
      <c r="K602" s="183" t="s">
        <v>180</v>
      </c>
      <c r="L602" s="184">
        <v>0</v>
      </c>
      <c r="M602" s="185">
        <v>42059.5</v>
      </c>
    </row>
    <row r="603" spans="1:13" ht="17.25" hidden="1" customHeight="1" x14ac:dyDescent="0.25">
      <c r="A603" s="183" t="s">
        <v>125</v>
      </c>
      <c r="B603" s="184">
        <v>319</v>
      </c>
      <c r="C603" s="184">
        <v>2011</v>
      </c>
      <c r="D603" s="183" t="s">
        <v>3144</v>
      </c>
      <c r="E603" s="183" t="s">
        <v>740</v>
      </c>
      <c r="F603" s="185">
        <v>103959</v>
      </c>
      <c r="G603" s="183" t="s">
        <v>749</v>
      </c>
      <c r="H603" s="183" t="s">
        <v>3141</v>
      </c>
      <c r="I603" s="183" t="s">
        <v>3145</v>
      </c>
      <c r="J603" s="183" t="s">
        <v>3146</v>
      </c>
      <c r="K603" s="183" t="s">
        <v>3147</v>
      </c>
      <c r="L603" s="184">
        <v>2</v>
      </c>
      <c r="M603" s="184">
        <v>490</v>
      </c>
    </row>
    <row r="604" spans="1:13" ht="17.25" hidden="1" customHeight="1" x14ac:dyDescent="0.25">
      <c r="A604" s="183" t="s">
        <v>125</v>
      </c>
      <c r="B604" s="184">
        <v>324</v>
      </c>
      <c r="C604" s="184">
        <v>2012</v>
      </c>
      <c r="D604" s="183" t="s">
        <v>3148</v>
      </c>
      <c r="E604" s="183" t="s">
        <v>740</v>
      </c>
      <c r="F604" s="185">
        <v>150000</v>
      </c>
      <c r="G604" s="183" t="s">
        <v>741</v>
      </c>
      <c r="H604" s="183" t="s">
        <v>3141</v>
      </c>
      <c r="I604" s="183" t="s">
        <v>3149</v>
      </c>
      <c r="J604" s="183" t="s">
        <v>3150</v>
      </c>
      <c r="K604" s="183" t="s">
        <v>3151</v>
      </c>
      <c r="L604" s="184">
        <v>2</v>
      </c>
      <c r="M604" s="184">
        <v>80</v>
      </c>
    </row>
    <row r="605" spans="1:13" ht="17.25" hidden="1" customHeight="1" x14ac:dyDescent="0.25">
      <c r="A605" s="183" t="s">
        <v>125</v>
      </c>
      <c r="B605" s="184">
        <v>321</v>
      </c>
      <c r="C605" s="184">
        <v>2012</v>
      </c>
      <c r="D605" s="183" t="s">
        <v>3152</v>
      </c>
      <c r="E605" s="183" t="s">
        <v>773</v>
      </c>
      <c r="F605" s="185">
        <v>63993.79</v>
      </c>
      <c r="G605" s="183" t="s">
        <v>749</v>
      </c>
      <c r="H605" s="183" t="s">
        <v>3153</v>
      </c>
      <c r="I605" s="183" t="s">
        <v>3154</v>
      </c>
      <c r="J605" s="183" t="s">
        <v>3155</v>
      </c>
      <c r="K605" s="183" t="s">
        <v>3156</v>
      </c>
      <c r="L605" s="184">
        <v>2</v>
      </c>
      <c r="M605" s="184">
        <v>49.5</v>
      </c>
    </row>
    <row r="606" spans="1:13" ht="17.25" hidden="1" customHeight="1" x14ac:dyDescent="0.25">
      <c r="A606" s="183" t="s">
        <v>125</v>
      </c>
      <c r="B606" s="184">
        <v>321</v>
      </c>
      <c r="C606" s="184">
        <v>2012</v>
      </c>
      <c r="D606" s="183" t="s">
        <v>3152</v>
      </c>
      <c r="E606" s="183" t="s">
        <v>773</v>
      </c>
      <c r="F606" s="185">
        <v>63993.79</v>
      </c>
      <c r="G606" s="183" t="s">
        <v>749</v>
      </c>
      <c r="H606" s="183" t="s">
        <v>3153</v>
      </c>
      <c r="I606" s="183" t="s">
        <v>3154</v>
      </c>
      <c r="J606" s="183" t="s">
        <v>3157</v>
      </c>
      <c r="K606" s="183" t="s">
        <v>3156</v>
      </c>
      <c r="L606" s="184">
        <v>2</v>
      </c>
      <c r="M606" s="184">
        <v>14.5</v>
      </c>
    </row>
    <row r="607" spans="1:13" ht="17.25" hidden="1" customHeight="1" x14ac:dyDescent="0.25">
      <c r="A607" s="183" t="s">
        <v>125</v>
      </c>
      <c r="B607" s="184">
        <v>321</v>
      </c>
      <c r="C607" s="184">
        <v>2012</v>
      </c>
      <c r="D607" s="183" t="s">
        <v>3152</v>
      </c>
      <c r="E607" s="183" t="s">
        <v>773</v>
      </c>
      <c r="F607" s="185">
        <v>63993.79</v>
      </c>
      <c r="G607" s="183" t="s">
        <v>749</v>
      </c>
      <c r="H607" s="183" t="s">
        <v>3153</v>
      </c>
      <c r="I607" s="183" t="s">
        <v>3154</v>
      </c>
      <c r="J607" s="183" t="s">
        <v>3158</v>
      </c>
      <c r="K607" s="183" t="s">
        <v>3156</v>
      </c>
      <c r="L607" s="184">
        <v>2</v>
      </c>
      <c r="M607" s="184">
        <v>13.5</v>
      </c>
    </row>
    <row r="608" spans="1:13" ht="17.25" hidden="1" customHeight="1" x14ac:dyDescent="0.25">
      <c r="A608" s="183" t="s">
        <v>125</v>
      </c>
      <c r="B608" s="184">
        <v>320</v>
      </c>
      <c r="C608" s="184">
        <v>2012</v>
      </c>
      <c r="D608" s="183" t="s">
        <v>3159</v>
      </c>
      <c r="E608" s="183" t="s">
        <v>740</v>
      </c>
      <c r="F608" s="185">
        <v>86750</v>
      </c>
      <c r="G608" s="183" t="s">
        <v>749</v>
      </c>
      <c r="H608" s="183" t="s">
        <v>3153</v>
      </c>
      <c r="I608" s="183" t="s">
        <v>3160</v>
      </c>
      <c r="J608" s="183" t="s">
        <v>3161</v>
      </c>
      <c r="K608" s="183" t="s">
        <v>3156</v>
      </c>
      <c r="L608" s="184">
        <v>2</v>
      </c>
      <c r="M608" s="184">
        <v>13.1</v>
      </c>
    </row>
    <row r="609" spans="1:13" ht="17.25" hidden="1" customHeight="1" x14ac:dyDescent="0.25">
      <c r="A609" s="183" t="s">
        <v>125</v>
      </c>
      <c r="B609" s="184">
        <v>321</v>
      </c>
      <c r="C609" s="184">
        <v>2012</v>
      </c>
      <c r="D609" s="183" t="s">
        <v>3152</v>
      </c>
      <c r="E609" s="183" t="s">
        <v>773</v>
      </c>
      <c r="F609" s="185">
        <v>63993.79</v>
      </c>
      <c r="G609" s="183" t="s">
        <v>749</v>
      </c>
      <c r="H609" s="183" t="s">
        <v>3153</v>
      </c>
      <c r="I609" s="183" t="s">
        <v>3154</v>
      </c>
      <c r="J609" s="183" t="s">
        <v>3162</v>
      </c>
      <c r="K609" s="183" t="s">
        <v>3156</v>
      </c>
      <c r="L609" s="184">
        <v>2</v>
      </c>
      <c r="M609" s="184">
        <v>4.9000000000000004</v>
      </c>
    </row>
    <row r="610" spans="1:13" ht="17.25" hidden="1" customHeight="1" x14ac:dyDescent="0.25">
      <c r="A610" s="183" t="s">
        <v>125</v>
      </c>
      <c r="B610" s="184">
        <v>323</v>
      </c>
      <c r="C610" s="184">
        <v>2012</v>
      </c>
      <c r="D610" s="183" t="s">
        <v>3163</v>
      </c>
      <c r="E610" s="183" t="s">
        <v>773</v>
      </c>
      <c r="F610" s="185">
        <v>42450</v>
      </c>
      <c r="G610" s="183" t="s">
        <v>749</v>
      </c>
      <c r="H610" s="183" t="s">
        <v>3164</v>
      </c>
      <c r="I610" s="183" t="s">
        <v>3165</v>
      </c>
      <c r="J610" s="183" t="s">
        <v>3166</v>
      </c>
      <c r="K610" s="183" t="s">
        <v>3167</v>
      </c>
      <c r="L610" s="184">
        <v>2</v>
      </c>
      <c r="M610" s="184">
        <v>4.0999999999999996</v>
      </c>
    </row>
    <row r="611" spans="1:13" ht="17.25" hidden="1" customHeight="1" x14ac:dyDescent="0.25">
      <c r="A611" s="183" t="s">
        <v>125</v>
      </c>
      <c r="B611" s="184">
        <v>325</v>
      </c>
      <c r="C611" s="184">
        <v>2013</v>
      </c>
      <c r="D611" s="183" t="s">
        <v>3168</v>
      </c>
      <c r="E611" s="183" t="s">
        <v>773</v>
      </c>
      <c r="F611" s="189">
        <v>49303</v>
      </c>
      <c r="G611" s="183" t="s">
        <v>741</v>
      </c>
      <c r="H611" s="183" t="s">
        <v>3169</v>
      </c>
      <c r="I611" s="183" t="s">
        <v>3170</v>
      </c>
      <c r="J611" s="183" t="s">
        <v>3171</v>
      </c>
      <c r="K611" s="183" t="s">
        <v>3172</v>
      </c>
      <c r="L611" s="184">
        <v>0</v>
      </c>
      <c r="M611" s="184">
        <v>10.8</v>
      </c>
    </row>
    <row r="612" spans="1:13" ht="17.25" hidden="1" customHeight="1" x14ac:dyDescent="0.25">
      <c r="A612" s="183" t="s">
        <v>125</v>
      </c>
      <c r="B612" s="184">
        <v>326</v>
      </c>
      <c r="C612" s="184">
        <v>2013</v>
      </c>
      <c r="D612" s="183" t="s">
        <v>3173</v>
      </c>
      <c r="E612" s="183" t="s">
        <v>740</v>
      </c>
      <c r="F612" s="189">
        <v>53654</v>
      </c>
      <c r="G612" s="183" t="s">
        <v>741</v>
      </c>
      <c r="H612" s="183" t="s">
        <v>3174</v>
      </c>
      <c r="I612" s="183" t="s">
        <v>3175</v>
      </c>
      <c r="J612" s="183" t="s">
        <v>3176</v>
      </c>
      <c r="K612" s="183" t="s">
        <v>1275</v>
      </c>
      <c r="L612" s="184">
        <v>0</v>
      </c>
      <c r="M612" s="184">
        <v>10.199999999999999</v>
      </c>
    </row>
    <row r="613" spans="1:13" ht="17.25" hidden="1" customHeight="1" x14ac:dyDescent="0.25">
      <c r="A613" s="183" t="s">
        <v>125</v>
      </c>
      <c r="B613" s="184">
        <v>329</v>
      </c>
      <c r="C613" s="184">
        <v>2013</v>
      </c>
      <c r="D613" s="183" t="s">
        <v>3177</v>
      </c>
      <c r="E613" s="183" t="s">
        <v>740</v>
      </c>
      <c r="F613" s="189">
        <v>30988</v>
      </c>
      <c r="G613" s="183" t="s">
        <v>741</v>
      </c>
      <c r="H613" s="183" t="s">
        <v>3164</v>
      </c>
      <c r="I613" s="183" t="s">
        <v>3178</v>
      </c>
      <c r="J613" s="183" t="s">
        <v>3179</v>
      </c>
      <c r="K613" s="183" t="s">
        <v>3180</v>
      </c>
      <c r="L613" s="184">
        <v>0</v>
      </c>
      <c r="M613" s="184">
        <v>4.9000000000000004</v>
      </c>
    </row>
    <row r="614" spans="1:13" ht="17.25" hidden="1" customHeight="1" x14ac:dyDescent="0.25">
      <c r="A614" s="183" t="s">
        <v>125</v>
      </c>
      <c r="B614" s="184">
        <v>327</v>
      </c>
      <c r="C614" s="184">
        <v>2013</v>
      </c>
      <c r="D614" s="183" t="s">
        <v>3181</v>
      </c>
      <c r="E614" s="183" t="s">
        <v>740</v>
      </c>
      <c r="F614" s="189">
        <v>61285</v>
      </c>
      <c r="G614" s="183" t="s">
        <v>741</v>
      </c>
      <c r="H614" s="183" t="s">
        <v>3182</v>
      </c>
      <c r="I614" s="183" t="s">
        <v>3183</v>
      </c>
      <c r="J614" s="183" t="s">
        <v>3184</v>
      </c>
      <c r="K614" s="183" t="s">
        <v>3185</v>
      </c>
      <c r="L614" s="184">
        <v>0</v>
      </c>
      <c r="M614" s="184">
        <v>0.9</v>
      </c>
    </row>
    <row r="615" spans="1:13" ht="17.25" hidden="1" customHeight="1" x14ac:dyDescent="0.25">
      <c r="A615" s="183" t="s">
        <v>125</v>
      </c>
      <c r="B615" s="184">
        <v>330</v>
      </c>
      <c r="C615" s="184">
        <v>2013</v>
      </c>
      <c r="D615" s="183" t="s">
        <v>3186</v>
      </c>
      <c r="E615" s="183" t="s">
        <v>740</v>
      </c>
      <c r="F615" s="189">
        <v>201853.2</v>
      </c>
      <c r="G615" s="183" t="s">
        <v>749</v>
      </c>
      <c r="H615" s="183" t="s">
        <v>3141</v>
      </c>
      <c r="I615" s="183" t="s">
        <v>3187</v>
      </c>
      <c r="J615" s="183" t="s">
        <v>3143</v>
      </c>
      <c r="K615" s="183" t="s">
        <v>180</v>
      </c>
      <c r="L615" s="184">
        <v>0</v>
      </c>
      <c r="M615" s="185">
        <v>42059.5</v>
      </c>
    </row>
    <row r="616" spans="1:13" ht="17.25" hidden="1" customHeight="1" x14ac:dyDescent="0.25">
      <c r="A616" s="183" t="s">
        <v>125</v>
      </c>
      <c r="B616" s="184">
        <v>328</v>
      </c>
      <c r="C616" s="184">
        <v>2013</v>
      </c>
      <c r="D616" s="183" t="s">
        <v>3188</v>
      </c>
      <c r="E616" s="183" t="s">
        <v>740</v>
      </c>
      <c r="F616" s="189">
        <v>75750</v>
      </c>
      <c r="G616" s="183" t="s">
        <v>749</v>
      </c>
      <c r="H616" s="183" t="s">
        <v>3189</v>
      </c>
      <c r="I616" s="183" t="s">
        <v>3190</v>
      </c>
      <c r="J616" s="183" t="s">
        <v>3191</v>
      </c>
      <c r="K616" s="183" t="s">
        <v>3192</v>
      </c>
      <c r="L616" s="184">
        <v>0</v>
      </c>
      <c r="M616" s="184">
        <v>600</v>
      </c>
    </row>
    <row r="617" spans="1:13" ht="17.25" hidden="1" customHeight="1" x14ac:dyDescent="0.25">
      <c r="A617" s="183" t="s">
        <v>125</v>
      </c>
      <c r="B617" s="184">
        <v>335</v>
      </c>
      <c r="C617" s="184">
        <v>2014</v>
      </c>
      <c r="D617" s="183" t="s">
        <v>3193</v>
      </c>
      <c r="E617" s="183" t="s">
        <v>740</v>
      </c>
      <c r="F617" s="184">
        <v>0</v>
      </c>
      <c r="G617" s="183" t="s">
        <v>741</v>
      </c>
      <c r="H617" s="183" t="s">
        <v>3194</v>
      </c>
      <c r="I617" s="183"/>
      <c r="J617" s="183" t="s">
        <v>3195</v>
      </c>
      <c r="K617" s="183" t="s">
        <v>2253</v>
      </c>
      <c r="L617" s="184">
        <v>2</v>
      </c>
      <c r="M617" s="184">
        <v>264</v>
      </c>
    </row>
    <row r="618" spans="1:13" ht="17.25" hidden="1" customHeight="1" x14ac:dyDescent="0.25">
      <c r="A618" s="183" t="s">
        <v>125</v>
      </c>
      <c r="B618" s="184">
        <v>332</v>
      </c>
      <c r="C618" s="184">
        <v>2014</v>
      </c>
      <c r="D618" s="183" t="s">
        <v>3196</v>
      </c>
      <c r="E618" s="183" t="s">
        <v>740</v>
      </c>
      <c r="F618" s="184">
        <v>0</v>
      </c>
      <c r="G618" s="183" t="s">
        <v>741</v>
      </c>
      <c r="H618" s="183" t="s">
        <v>3197</v>
      </c>
      <c r="I618" s="183" t="s">
        <v>3198</v>
      </c>
      <c r="J618" s="183" t="s">
        <v>3199</v>
      </c>
      <c r="K618" s="183" t="s">
        <v>1275</v>
      </c>
      <c r="L618" s="184">
        <v>2</v>
      </c>
      <c r="M618" s="184">
        <v>8.3000000000000007</v>
      </c>
    </row>
    <row r="619" spans="1:13" ht="17.25" hidden="1" customHeight="1" x14ac:dyDescent="0.25">
      <c r="A619" s="183" t="s">
        <v>125</v>
      </c>
      <c r="B619" s="184">
        <v>336</v>
      </c>
      <c r="C619" s="184">
        <v>2014</v>
      </c>
      <c r="D619" s="183" t="s">
        <v>3200</v>
      </c>
      <c r="E619" s="183" t="s">
        <v>740</v>
      </c>
      <c r="F619" s="184">
        <v>0</v>
      </c>
      <c r="G619" s="183" t="s">
        <v>749</v>
      </c>
      <c r="H619" s="183" t="s">
        <v>3194</v>
      </c>
      <c r="I619" s="183"/>
      <c r="J619" s="183" t="s">
        <v>3201</v>
      </c>
      <c r="K619" s="183" t="s">
        <v>2253</v>
      </c>
      <c r="L619" s="184">
        <v>2</v>
      </c>
      <c r="M619" s="185">
        <v>5268.6</v>
      </c>
    </row>
    <row r="620" spans="1:13" ht="17.25" hidden="1" customHeight="1" x14ac:dyDescent="0.25">
      <c r="A620" s="183" t="s">
        <v>125</v>
      </c>
      <c r="B620" s="184">
        <v>333</v>
      </c>
      <c r="C620" s="184">
        <v>2014</v>
      </c>
      <c r="D620" s="183" t="s">
        <v>3202</v>
      </c>
      <c r="E620" s="183" t="s">
        <v>740</v>
      </c>
      <c r="F620" s="184">
        <v>0</v>
      </c>
      <c r="G620" s="183" t="s">
        <v>749</v>
      </c>
      <c r="H620" s="183" t="s">
        <v>3153</v>
      </c>
      <c r="I620" s="183" t="s">
        <v>3203</v>
      </c>
      <c r="J620" s="183" t="s">
        <v>3204</v>
      </c>
      <c r="K620" s="183" t="s">
        <v>3156</v>
      </c>
      <c r="L620" s="184">
        <v>2</v>
      </c>
      <c r="M620" s="184">
        <v>74.599999999999994</v>
      </c>
    </row>
    <row r="621" spans="1:13" ht="17.25" hidden="1" customHeight="1" x14ac:dyDescent="0.25">
      <c r="A621" s="183" t="s">
        <v>125</v>
      </c>
      <c r="B621" s="184">
        <v>334</v>
      </c>
      <c r="C621" s="184">
        <v>2014</v>
      </c>
      <c r="D621" s="183" t="s">
        <v>3205</v>
      </c>
      <c r="E621" s="183" t="s">
        <v>740</v>
      </c>
      <c r="F621" s="184">
        <v>0</v>
      </c>
      <c r="G621" s="183" t="s">
        <v>749</v>
      </c>
      <c r="H621" s="183" t="s">
        <v>3206</v>
      </c>
      <c r="I621" s="183"/>
      <c r="J621" s="183" t="s">
        <v>1214</v>
      </c>
      <c r="K621" s="183" t="s">
        <v>3207</v>
      </c>
      <c r="L621" s="184">
        <v>4</v>
      </c>
      <c r="M621" s="184">
        <v>10.9</v>
      </c>
    </row>
    <row r="622" spans="1:13" ht="17.25" hidden="1" customHeight="1" x14ac:dyDescent="0.25">
      <c r="A622" s="183" t="s">
        <v>365</v>
      </c>
      <c r="B622" s="190">
        <v>1307</v>
      </c>
      <c r="C622" s="184">
        <v>2011</v>
      </c>
      <c r="D622" s="183" t="s">
        <v>3208</v>
      </c>
      <c r="E622" s="183" t="s">
        <v>740</v>
      </c>
      <c r="F622" s="185">
        <v>525000</v>
      </c>
      <c r="G622" s="183" t="s">
        <v>749</v>
      </c>
      <c r="H622" s="183" t="s">
        <v>3209</v>
      </c>
      <c r="I622" s="183" t="s">
        <v>3210</v>
      </c>
      <c r="J622" s="183" t="s">
        <v>3211</v>
      </c>
      <c r="K622" s="183" t="s">
        <v>3212</v>
      </c>
      <c r="L622" s="184">
        <v>24</v>
      </c>
      <c r="M622" s="185">
        <v>1136.5999999999999</v>
      </c>
    </row>
    <row r="623" spans="1:13" ht="17.25" hidden="1" customHeight="1" x14ac:dyDescent="0.25">
      <c r="A623" s="183" t="s">
        <v>365</v>
      </c>
      <c r="B623" s="190">
        <v>1306</v>
      </c>
      <c r="C623" s="184">
        <v>2011</v>
      </c>
      <c r="D623" s="183" t="s">
        <v>3213</v>
      </c>
      <c r="E623" s="183" t="s">
        <v>740</v>
      </c>
      <c r="F623" s="185">
        <v>237500</v>
      </c>
      <c r="G623" s="183" t="s">
        <v>749</v>
      </c>
      <c r="H623" s="183" t="s">
        <v>3214</v>
      </c>
      <c r="I623" s="183" t="s">
        <v>3215</v>
      </c>
      <c r="J623" s="183" t="s">
        <v>3216</v>
      </c>
      <c r="K623" s="183" t="s">
        <v>3217</v>
      </c>
      <c r="L623" s="184">
        <v>23</v>
      </c>
      <c r="M623" s="185">
        <v>1115</v>
      </c>
    </row>
    <row r="624" spans="1:13" ht="17.25" hidden="1" customHeight="1" x14ac:dyDescent="0.25">
      <c r="A624" s="183" t="s">
        <v>365</v>
      </c>
      <c r="B624" s="190">
        <v>1304</v>
      </c>
      <c r="C624" s="184">
        <v>2011</v>
      </c>
      <c r="D624" s="183" t="s">
        <v>3218</v>
      </c>
      <c r="E624" s="183" t="s">
        <v>740</v>
      </c>
      <c r="F624" s="185">
        <v>750000</v>
      </c>
      <c r="G624" s="183" t="s">
        <v>749</v>
      </c>
      <c r="H624" s="183" t="s">
        <v>3219</v>
      </c>
      <c r="I624" s="183"/>
      <c r="J624" s="183" t="s">
        <v>3220</v>
      </c>
      <c r="K624" s="183" t="s">
        <v>3221</v>
      </c>
      <c r="L624" s="184">
        <v>1</v>
      </c>
      <c r="M624" s="184">
        <v>600</v>
      </c>
    </row>
    <row r="625" spans="1:13" ht="17.25" hidden="1" customHeight="1" x14ac:dyDescent="0.25">
      <c r="A625" s="183" t="s">
        <v>365</v>
      </c>
      <c r="B625" s="190">
        <v>1305</v>
      </c>
      <c r="C625" s="184">
        <v>2011</v>
      </c>
      <c r="D625" s="183" t="s">
        <v>3222</v>
      </c>
      <c r="E625" s="183" t="s">
        <v>740</v>
      </c>
      <c r="F625" s="185">
        <v>115663.42</v>
      </c>
      <c r="G625" s="183" t="s">
        <v>749</v>
      </c>
      <c r="H625" s="183" t="s">
        <v>3214</v>
      </c>
      <c r="I625" s="183" t="s">
        <v>3223</v>
      </c>
      <c r="J625" s="183" t="s">
        <v>3224</v>
      </c>
      <c r="K625" s="183" t="s">
        <v>835</v>
      </c>
      <c r="L625" s="184">
        <v>23</v>
      </c>
      <c r="M625" s="184">
        <v>241.1</v>
      </c>
    </row>
    <row r="626" spans="1:13" ht="17.25" hidden="1" customHeight="1" x14ac:dyDescent="0.25">
      <c r="A626" s="183" t="s">
        <v>365</v>
      </c>
      <c r="B626" s="190">
        <v>1303</v>
      </c>
      <c r="C626" s="184">
        <v>2011</v>
      </c>
      <c r="D626" s="183" t="s">
        <v>3225</v>
      </c>
      <c r="E626" s="183" t="s">
        <v>740</v>
      </c>
      <c r="F626" s="185">
        <v>500000</v>
      </c>
      <c r="G626" s="183" t="s">
        <v>749</v>
      </c>
      <c r="H626" s="183" t="s">
        <v>3226</v>
      </c>
      <c r="I626" s="183"/>
      <c r="J626" s="183" t="s">
        <v>3227</v>
      </c>
      <c r="K626" s="183" t="s">
        <v>222</v>
      </c>
      <c r="L626" s="184">
        <v>15</v>
      </c>
      <c r="M626" s="184">
        <v>28</v>
      </c>
    </row>
    <row r="627" spans="1:13" ht="17.25" hidden="1" customHeight="1" x14ac:dyDescent="0.25">
      <c r="A627" s="183" t="s">
        <v>365</v>
      </c>
      <c r="B627" s="190">
        <v>1308</v>
      </c>
      <c r="C627" s="184">
        <v>2012</v>
      </c>
      <c r="D627" s="183" t="s">
        <v>3228</v>
      </c>
      <c r="E627" s="183" t="s">
        <v>740</v>
      </c>
      <c r="F627" s="185">
        <v>60000</v>
      </c>
      <c r="G627" s="183" t="s">
        <v>741</v>
      </c>
      <c r="H627" s="183" t="s">
        <v>3229</v>
      </c>
      <c r="I627" s="183" t="s">
        <v>3230</v>
      </c>
      <c r="J627" s="183" t="s">
        <v>3231</v>
      </c>
      <c r="K627" s="183" t="s">
        <v>3232</v>
      </c>
      <c r="L627" s="184">
        <v>20</v>
      </c>
      <c r="M627" s="185">
        <v>2357</v>
      </c>
    </row>
    <row r="628" spans="1:13" ht="17.25" hidden="1" customHeight="1" x14ac:dyDescent="0.25">
      <c r="A628" s="183" t="s">
        <v>365</v>
      </c>
      <c r="B628" s="190">
        <v>1308</v>
      </c>
      <c r="C628" s="184">
        <v>2012</v>
      </c>
      <c r="D628" s="183" t="s">
        <v>3228</v>
      </c>
      <c r="E628" s="183" t="s">
        <v>740</v>
      </c>
      <c r="F628" s="185">
        <v>60000</v>
      </c>
      <c r="G628" s="183" t="s">
        <v>741</v>
      </c>
      <c r="H628" s="183" t="s">
        <v>3229</v>
      </c>
      <c r="I628" s="183" t="s">
        <v>3230</v>
      </c>
      <c r="J628" s="183" t="s">
        <v>3233</v>
      </c>
      <c r="K628" s="183" t="s">
        <v>3234</v>
      </c>
      <c r="L628" s="184">
        <v>20</v>
      </c>
      <c r="M628" s="185">
        <v>2033</v>
      </c>
    </row>
    <row r="629" spans="1:13" ht="17.25" hidden="1" customHeight="1" x14ac:dyDescent="0.25">
      <c r="A629" s="183" t="s">
        <v>365</v>
      </c>
      <c r="B629" s="190">
        <v>1308</v>
      </c>
      <c r="C629" s="184">
        <v>2012</v>
      </c>
      <c r="D629" s="183" t="s">
        <v>3228</v>
      </c>
      <c r="E629" s="183" t="s">
        <v>740</v>
      </c>
      <c r="F629" s="185">
        <v>60000</v>
      </c>
      <c r="G629" s="183" t="s">
        <v>741</v>
      </c>
      <c r="H629" s="183" t="s">
        <v>3229</v>
      </c>
      <c r="I629" s="183" t="s">
        <v>3230</v>
      </c>
      <c r="J629" s="183" t="s">
        <v>3235</v>
      </c>
      <c r="K629" s="183" t="s">
        <v>3236</v>
      </c>
      <c r="L629" s="184">
        <v>21</v>
      </c>
      <c r="M629" s="185">
        <v>1973.5</v>
      </c>
    </row>
    <row r="630" spans="1:13" ht="17.25" hidden="1" customHeight="1" x14ac:dyDescent="0.25">
      <c r="A630" s="183" t="s">
        <v>365</v>
      </c>
      <c r="B630" s="190">
        <v>1310</v>
      </c>
      <c r="C630" s="184">
        <v>2012</v>
      </c>
      <c r="D630" s="183" t="s">
        <v>3237</v>
      </c>
      <c r="E630" s="183" t="s">
        <v>740</v>
      </c>
      <c r="F630" s="185">
        <v>750000</v>
      </c>
      <c r="G630" s="183" t="s">
        <v>741</v>
      </c>
      <c r="H630" s="183" t="s">
        <v>3238</v>
      </c>
      <c r="I630" s="183" t="s">
        <v>3239</v>
      </c>
      <c r="J630" s="183" t="s">
        <v>3240</v>
      </c>
      <c r="K630" s="183" t="s">
        <v>3241</v>
      </c>
      <c r="L630" s="184">
        <v>20</v>
      </c>
      <c r="M630" s="184">
        <v>660</v>
      </c>
    </row>
    <row r="631" spans="1:13" ht="17.25" hidden="1" customHeight="1" x14ac:dyDescent="0.25">
      <c r="A631" s="183" t="s">
        <v>365</v>
      </c>
      <c r="B631" s="190">
        <v>1311</v>
      </c>
      <c r="C631" s="184">
        <v>2012</v>
      </c>
      <c r="D631" s="183" t="s">
        <v>3242</v>
      </c>
      <c r="E631" s="183" t="s">
        <v>740</v>
      </c>
      <c r="F631" s="185">
        <v>500000</v>
      </c>
      <c r="G631" s="183" t="s">
        <v>749</v>
      </c>
      <c r="H631" s="183" t="s">
        <v>3229</v>
      </c>
      <c r="I631" s="183" t="s">
        <v>3243</v>
      </c>
      <c r="J631" s="183" t="s">
        <v>3244</v>
      </c>
      <c r="K631" s="183" t="s">
        <v>3245</v>
      </c>
      <c r="L631" s="184">
        <v>20</v>
      </c>
      <c r="M631" s="185">
        <v>5067</v>
      </c>
    </row>
    <row r="632" spans="1:13" ht="17.25" hidden="1" customHeight="1" x14ac:dyDescent="0.25">
      <c r="A632" s="183" t="s">
        <v>365</v>
      </c>
      <c r="B632" s="190">
        <v>1313</v>
      </c>
      <c r="C632" s="184">
        <v>2012</v>
      </c>
      <c r="D632" s="183" t="s">
        <v>3246</v>
      </c>
      <c r="E632" s="183" t="s">
        <v>740</v>
      </c>
      <c r="F632" s="185">
        <v>1200000</v>
      </c>
      <c r="G632" s="183" t="s">
        <v>749</v>
      </c>
      <c r="H632" s="183" t="s">
        <v>3229</v>
      </c>
      <c r="I632" s="183" t="s">
        <v>3247</v>
      </c>
      <c r="J632" s="183" t="s">
        <v>3248</v>
      </c>
      <c r="K632" s="183" t="s">
        <v>3249</v>
      </c>
      <c r="L632" s="184">
        <v>0</v>
      </c>
      <c r="M632" s="185">
        <v>1287.7</v>
      </c>
    </row>
    <row r="633" spans="1:13" ht="17.25" hidden="1" customHeight="1" x14ac:dyDescent="0.25">
      <c r="A633" s="183" t="s">
        <v>365</v>
      </c>
      <c r="B633" s="190">
        <v>1314</v>
      </c>
      <c r="C633" s="184">
        <v>2013</v>
      </c>
      <c r="D633" s="183" t="s">
        <v>3250</v>
      </c>
      <c r="E633" s="183" t="s">
        <v>740</v>
      </c>
      <c r="F633" s="189">
        <v>1350000</v>
      </c>
      <c r="G633" s="183" t="s">
        <v>749</v>
      </c>
      <c r="H633" s="183" t="s">
        <v>3251</v>
      </c>
      <c r="I633" s="183" t="s">
        <v>3252</v>
      </c>
      <c r="J633" s="183" t="s">
        <v>3248</v>
      </c>
      <c r="K633" s="183" t="s">
        <v>3249</v>
      </c>
      <c r="L633" s="184">
        <v>0</v>
      </c>
      <c r="M633" s="185">
        <v>1287.7</v>
      </c>
    </row>
    <row r="634" spans="1:13" ht="17.25" hidden="1" customHeight="1" x14ac:dyDescent="0.25">
      <c r="A634" s="183" t="s">
        <v>65</v>
      </c>
      <c r="B634" s="190">
        <v>1363</v>
      </c>
      <c r="C634" s="184">
        <v>2011</v>
      </c>
      <c r="D634" s="183" t="s">
        <v>3253</v>
      </c>
      <c r="E634" s="183" t="s">
        <v>773</v>
      </c>
      <c r="F634" s="185">
        <v>12562</v>
      </c>
      <c r="G634" s="183" t="s">
        <v>740</v>
      </c>
      <c r="H634" s="183" t="s">
        <v>3254</v>
      </c>
      <c r="I634" s="183" t="s">
        <v>3255</v>
      </c>
      <c r="J634" s="183" t="s">
        <v>3256</v>
      </c>
      <c r="K634" s="183" t="s">
        <v>2012</v>
      </c>
      <c r="L634" s="184">
        <v>18</v>
      </c>
      <c r="M634" s="184">
        <v>45.2</v>
      </c>
    </row>
    <row r="635" spans="1:13" ht="17.25" hidden="1" customHeight="1" x14ac:dyDescent="0.25">
      <c r="A635" s="183" t="s">
        <v>65</v>
      </c>
      <c r="B635" s="190">
        <v>1362</v>
      </c>
      <c r="C635" s="184">
        <v>2011</v>
      </c>
      <c r="D635" s="183" t="s">
        <v>3257</v>
      </c>
      <c r="E635" s="183" t="s">
        <v>773</v>
      </c>
      <c r="F635" s="185">
        <v>70343</v>
      </c>
      <c r="G635" s="183" t="s">
        <v>740</v>
      </c>
      <c r="H635" s="183" t="s">
        <v>3258</v>
      </c>
      <c r="I635" s="183" t="s">
        <v>3259</v>
      </c>
      <c r="J635" s="183" t="s">
        <v>3260</v>
      </c>
      <c r="K635" s="183" t="s">
        <v>3261</v>
      </c>
      <c r="L635" s="184">
        <v>18</v>
      </c>
      <c r="M635" s="184">
        <v>1.5</v>
      </c>
    </row>
    <row r="636" spans="1:13" ht="17.25" hidden="1" customHeight="1" x14ac:dyDescent="0.25">
      <c r="A636" s="183" t="s">
        <v>65</v>
      </c>
      <c r="B636" s="190">
        <v>1371</v>
      </c>
      <c r="C636" s="184">
        <v>2011</v>
      </c>
      <c r="D636" s="183" t="s">
        <v>3262</v>
      </c>
      <c r="E636" s="183" t="s">
        <v>773</v>
      </c>
      <c r="F636" s="185">
        <v>70343</v>
      </c>
      <c r="G636" s="183" t="s">
        <v>741</v>
      </c>
      <c r="H636" s="183" t="s">
        <v>3263</v>
      </c>
      <c r="I636" s="183" t="s">
        <v>3264</v>
      </c>
      <c r="J636" s="183" t="s">
        <v>3265</v>
      </c>
      <c r="K636" s="183" t="s">
        <v>1592</v>
      </c>
      <c r="L636" s="184">
        <v>5</v>
      </c>
      <c r="M636" s="184">
        <v>64.8</v>
      </c>
    </row>
    <row r="637" spans="1:13" ht="17.25" hidden="1" customHeight="1" x14ac:dyDescent="0.25">
      <c r="A637" s="183" t="s">
        <v>65</v>
      </c>
      <c r="B637" s="190">
        <v>1367</v>
      </c>
      <c r="C637" s="184">
        <v>2011</v>
      </c>
      <c r="D637" s="183" t="s">
        <v>3266</v>
      </c>
      <c r="E637" s="183" t="s">
        <v>740</v>
      </c>
      <c r="F637" s="185">
        <v>40196</v>
      </c>
      <c r="G637" s="183" t="s">
        <v>741</v>
      </c>
      <c r="H637" s="183" t="s">
        <v>3267</v>
      </c>
      <c r="I637" s="183" t="s">
        <v>3268</v>
      </c>
      <c r="J637" s="183" t="s">
        <v>3269</v>
      </c>
      <c r="K637" s="183" t="s">
        <v>197</v>
      </c>
      <c r="L637" s="184">
        <v>12</v>
      </c>
      <c r="M637" s="184">
        <v>22.1</v>
      </c>
    </row>
    <row r="638" spans="1:13" ht="17.25" hidden="1" customHeight="1" x14ac:dyDescent="0.25">
      <c r="A638" s="183" t="s">
        <v>65</v>
      </c>
      <c r="B638" s="190">
        <v>1370</v>
      </c>
      <c r="C638" s="184">
        <v>2011</v>
      </c>
      <c r="D638" s="183" t="s">
        <v>3270</v>
      </c>
      <c r="E638" s="183" t="s">
        <v>773</v>
      </c>
      <c r="F638" s="185">
        <v>70343</v>
      </c>
      <c r="G638" s="183" t="s">
        <v>741</v>
      </c>
      <c r="H638" s="183" t="s">
        <v>3271</v>
      </c>
      <c r="I638" s="183" t="s">
        <v>3272</v>
      </c>
      <c r="J638" s="183" t="s">
        <v>2509</v>
      </c>
      <c r="K638" s="183" t="s">
        <v>3273</v>
      </c>
      <c r="L638" s="184">
        <v>18</v>
      </c>
      <c r="M638" s="184">
        <v>15</v>
      </c>
    </row>
    <row r="639" spans="1:13" ht="17.25" hidden="1" customHeight="1" x14ac:dyDescent="0.25">
      <c r="A639" s="183" t="s">
        <v>65</v>
      </c>
      <c r="B639" s="190">
        <v>1361</v>
      </c>
      <c r="C639" s="184">
        <v>2011</v>
      </c>
      <c r="D639" s="183" t="s">
        <v>3274</v>
      </c>
      <c r="E639" s="183" t="s">
        <v>773</v>
      </c>
      <c r="F639" s="185">
        <v>23349</v>
      </c>
      <c r="G639" s="183" t="s">
        <v>741</v>
      </c>
      <c r="H639" s="183" t="s">
        <v>3275</v>
      </c>
      <c r="I639" s="183" t="s">
        <v>3276</v>
      </c>
      <c r="J639" s="183" t="s">
        <v>3277</v>
      </c>
      <c r="K639" s="183" t="s">
        <v>3278</v>
      </c>
      <c r="L639" s="184">
        <v>13</v>
      </c>
      <c r="M639" s="184">
        <v>13.5</v>
      </c>
    </row>
    <row r="640" spans="1:13" ht="17.25" hidden="1" customHeight="1" x14ac:dyDescent="0.25">
      <c r="A640" s="183" t="s">
        <v>65</v>
      </c>
      <c r="B640" s="190">
        <v>1368</v>
      </c>
      <c r="C640" s="184">
        <v>2011</v>
      </c>
      <c r="D640" s="183" t="s">
        <v>3279</v>
      </c>
      <c r="E640" s="183" t="s">
        <v>773</v>
      </c>
      <c r="F640" s="185">
        <v>70343</v>
      </c>
      <c r="G640" s="183" t="s">
        <v>741</v>
      </c>
      <c r="H640" s="183" t="s">
        <v>3280</v>
      </c>
      <c r="I640" s="183" t="s">
        <v>3281</v>
      </c>
      <c r="J640" s="183" t="s">
        <v>1214</v>
      </c>
      <c r="K640" s="183" t="s">
        <v>3261</v>
      </c>
      <c r="L640" s="184">
        <v>9</v>
      </c>
      <c r="M640" s="184">
        <v>13.3</v>
      </c>
    </row>
    <row r="641" spans="1:13" ht="17.25" hidden="1" customHeight="1" x14ac:dyDescent="0.25">
      <c r="A641" s="183" t="s">
        <v>65</v>
      </c>
      <c r="B641" s="190">
        <v>1359</v>
      </c>
      <c r="C641" s="184">
        <v>2011</v>
      </c>
      <c r="D641" s="183" t="s">
        <v>3282</v>
      </c>
      <c r="E641" s="183" t="s">
        <v>740</v>
      </c>
      <c r="F641" s="185">
        <v>15034</v>
      </c>
      <c r="G641" s="183" t="s">
        <v>741</v>
      </c>
      <c r="H641" s="183" t="s">
        <v>3283</v>
      </c>
      <c r="I641" s="183" t="s">
        <v>3284</v>
      </c>
      <c r="J641" s="183" t="s">
        <v>3282</v>
      </c>
      <c r="K641" s="183" t="s">
        <v>3285</v>
      </c>
      <c r="L641" s="184">
        <v>6</v>
      </c>
      <c r="M641" s="184">
        <v>7.4</v>
      </c>
    </row>
    <row r="642" spans="1:13" ht="17.25" hidden="1" customHeight="1" x14ac:dyDescent="0.25">
      <c r="A642" s="183" t="s">
        <v>65</v>
      </c>
      <c r="B642" s="190">
        <v>1366</v>
      </c>
      <c r="C642" s="184">
        <v>2011</v>
      </c>
      <c r="D642" s="183" t="s">
        <v>3286</v>
      </c>
      <c r="E642" s="183" t="s">
        <v>773</v>
      </c>
      <c r="F642" s="185">
        <v>33423</v>
      </c>
      <c r="G642" s="183" t="s">
        <v>741</v>
      </c>
      <c r="H642" s="183" t="s">
        <v>3287</v>
      </c>
      <c r="I642" s="183" t="s">
        <v>3288</v>
      </c>
      <c r="J642" s="183" t="s">
        <v>3289</v>
      </c>
      <c r="K642" s="183" t="s">
        <v>3290</v>
      </c>
      <c r="L642" s="184">
        <v>12</v>
      </c>
      <c r="M642" s="184">
        <v>5.6</v>
      </c>
    </row>
    <row r="643" spans="1:13" ht="17.25" hidden="1" customHeight="1" x14ac:dyDescent="0.25">
      <c r="A643" s="183" t="s">
        <v>65</v>
      </c>
      <c r="B643" s="190">
        <v>1372</v>
      </c>
      <c r="C643" s="184">
        <v>2011</v>
      </c>
      <c r="D643" s="183" t="s">
        <v>3291</v>
      </c>
      <c r="E643" s="183" t="s">
        <v>740</v>
      </c>
      <c r="F643" s="185">
        <v>597920</v>
      </c>
      <c r="G643" s="183" t="s">
        <v>749</v>
      </c>
      <c r="H643" s="183" t="s">
        <v>1672</v>
      </c>
      <c r="I643" s="183" t="s">
        <v>3292</v>
      </c>
      <c r="J643" s="183" t="s">
        <v>3293</v>
      </c>
      <c r="K643" s="183" t="s">
        <v>3294</v>
      </c>
      <c r="L643" s="184">
        <v>14</v>
      </c>
      <c r="M643" s="185">
        <v>4918.7</v>
      </c>
    </row>
    <row r="644" spans="1:13" ht="17.25" hidden="1" customHeight="1" x14ac:dyDescent="0.25">
      <c r="A644" s="183" t="s">
        <v>65</v>
      </c>
      <c r="B644" s="190">
        <v>1372</v>
      </c>
      <c r="C644" s="184">
        <v>2011</v>
      </c>
      <c r="D644" s="183" t="s">
        <v>3291</v>
      </c>
      <c r="E644" s="183" t="s">
        <v>740</v>
      </c>
      <c r="F644" s="185">
        <v>597920</v>
      </c>
      <c r="G644" s="183" t="s">
        <v>749</v>
      </c>
      <c r="H644" s="183" t="s">
        <v>1672</v>
      </c>
      <c r="I644" s="183" t="s">
        <v>3292</v>
      </c>
      <c r="J644" s="183" t="s">
        <v>3295</v>
      </c>
      <c r="K644" s="183" t="s">
        <v>3296</v>
      </c>
      <c r="L644" s="184">
        <v>4</v>
      </c>
      <c r="M644" s="185">
        <v>1108.3</v>
      </c>
    </row>
    <row r="645" spans="1:13" ht="17.25" hidden="1" customHeight="1" x14ac:dyDescent="0.25">
      <c r="A645" s="183" t="s">
        <v>65</v>
      </c>
      <c r="B645" s="190">
        <v>1378</v>
      </c>
      <c r="C645" s="184">
        <v>2012</v>
      </c>
      <c r="D645" s="183" t="s">
        <v>3297</v>
      </c>
      <c r="E645" s="183" t="s">
        <v>740</v>
      </c>
      <c r="F645" s="185">
        <v>75250</v>
      </c>
      <c r="G645" s="183" t="s">
        <v>740</v>
      </c>
      <c r="H645" s="183" t="s">
        <v>3298</v>
      </c>
      <c r="I645" s="183" t="s">
        <v>3299</v>
      </c>
      <c r="J645" s="183" t="s">
        <v>3300</v>
      </c>
      <c r="K645" s="183" t="s">
        <v>3301</v>
      </c>
      <c r="L645" s="184">
        <v>10</v>
      </c>
      <c r="M645" s="184">
        <v>52</v>
      </c>
    </row>
    <row r="646" spans="1:13" ht="17.25" hidden="1" customHeight="1" x14ac:dyDescent="0.25">
      <c r="A646" s="183" t="s">
        <v>65</v>
      </c>
      <c r="B646" s="190">
        <v>1379</v>
      </c>
      <c r="C646" s="184">
        <v>2012</v>
      </c>
      <c r="D646" s="183" t="s">
        <v>3302</v>
      </c>
      <c r="E646" s="183" t="s">
        <v>740</v>
      </c>
      <c r="F646" s="185">
        <v>54319.5</v>
      </c>
      <c r="G646" s="183" t="s">
        <v>740</v>
      </c>
      <c r="H646" s="183" t="s">
        <v>3303</v>
      </c>
      <c r="I646" s="183" t="s">
        <v>3304</v>
      </c>
      <c r="J646" s="183" t="s">
        <v>3302</v>
      </c>
      <c r="K646" s="183" t="s">
        <v>3305</v>
      </c>
      <c r="L646" s="184">
        <v>18</v>
      </c>
      <c r="M646" s="184">
        <v>8.9</v>
      </c>
    </row>
    <row r="647" spans="1:13" ht="17.25" hidden="1" customHeight="1" x14ac:dyDescent="0.25">
      <c r="A647" s="183" t="s">
        <v>65</v>
      </c>
      <c r="B647" s="190">
        <v>1377</v>
      </c>
      <c r="C647" s="184">
        <v>2012</v>
      </c>
      <c r="D647" s="183" t="s">
        <v>3306</v>
      </c>
      <c r="E647" s="183" t="s">
        <v>740</v>
      </c>
      <c r="F647" s="185">
        <v>75250</v>
      </c>
      <c r="G647" s="183" t="s">
        <v>740</v>
      </c>
      <c r="H647" s="183" t="s">
        <v>3307</v>
      </c>
      <c r="I647" s="183" t="s">
        <v>3308</v>
      </c>
      <c r="J647" s="183" t="s">
        <v>3306</v>
      </c>
      <c r="K647" s="183" t="s">
        <v>3309</v>
      </c>
      <c r="L647" s="184">
        <v>17</v>
      </c>
      <c r="M647" s="184">
        <v>5.2</v>
      </c>
    </row>
    <row r="648" spans="1:13" ht="17.25" hidden="1" customHeight="1" x14ac:dyDescent="0.25">
      <c r="A648" s="183" t="s">
        <v>65</v>
      </c>
      <c r="B648" s="190">
        <v>1374</v>
      </c>
      <c r="C648" s="184">
        <v>2012</v>
      </c>
      <c r="D648" s="183" t="s">
        <v>3310</v>
      </c>
      <c r="E648" s="183" t="s">
        <v>773</v>
      </c>
      <c r="F648" s="185">
        <v>33134</v>
      </c>
      <c r="G648" s="183" t="s">
        <v>741</v>
      </c>
      <c r="H648" s="183" t="s">
        <v>3311</v>
      </c>
      <c r="I648" s="183" t="s">
        <v>3312</v>
      </c>
      <c r="J648" s="183" t="s">
        <v>3313</v>
      </c>
      <c r="K648" s="183" t="s">
        <v>3314</v>
      </c>
      <c r="L648" s="184">
        <v>16</v>
      </c>
      <c r="M648" s="184">
        <v>69</v>
      </c>
    </row>
    <row r="649" spans="1:13" ht="17.25" hidden="1" customHeight="1" x14ac:dyDescent="0.25">
      <c r="A649" s="183" t="s">
        <v>65</v>
      </c>
      <c r="B649" s="190">
        <v>1375</v>
      </c>
      <c r="C649" s="184">
        <v>2012</v>
      </c>
      <c r="D649" s="183" t="s">
        <v>3315</v>
      </c>
      <c r="E649" s="183" t="s">
        <v>740</v>
      </c>
      <c r="F649" s="185">
        <v>71696</v>
      </c>
      <c r="G649" s="183" t="s">
        <v>741</v>
      </c>
      <c r="H649" s="183" t="s">
        <v>3316</v>
      </c>
      <c r="I649" s="183" t="s">
        <v>3317</v>
      </c>
      <c r="J649" s="183" t="s">
        <v>3318</v>
      </c>
      <c r="K649" s="183" t="s">
        <v>3278</v>
      </c>
      <c r="L649" s="184">
        <v>13</v>
      </c>
      <c r="M649" s="184">
        <v>58.3</v>
      </c>
    </row>
    <row r="650" spans="1:13" ht="17.25" hidden="1" customHeight="1" x14ac:dyDescent="0.25">
      <c r="A650" s="183" t="s">
        <v>65</v>
      </c>
      <c r="B650" s="190">
        <v>1410</v>
      </c>
      <c r="C650" s="184">
        <v>2014</v>
      </c>
      <c r="D650" s="183" t="s">
        <v>3319</v>
      </c>
      <c r="E650" s="183" t="s">
        <v>740</v>
      </c>
      <c r="F650" s="185">
        <v>68750</v>
      </c>
      <c r="G650" s="183" t="s">
        <v>740</v>
      </c>
      <c r="H650" s="183" t="s">
        <v>1672</v>
      </c>
      <c r="I650" s="183" t="s">
        <v>3320</v>
      </c>
      <c r="J650" s="183" t="s">
        <v>3321</v>
      </c>
      <c r="K650" s="183" t="s">
        <v>3322</v>
      </c>
      <c r="L650" s="184">
        <v>13</v>
      </c>
      <c r="M650" s="184">
        <v>134</v>
      </c>
    </row>
    <row r="651" spans="1:13" ht="17.25" hidden="1" customHeight="1" x14ac:dyDescent="0.25">
      <c r="A651" s="183" t="s">
        <v>65</v>
      </c>
      <c r="B651" s="190">
        <v>1385</v>
      </c>
      <c r="C651" s="184">
        <v>2014</v>
      </c>
      <c r="D651" s="183" t="s">
        <v>3323</v>
      </c>
      <c r="E651" s="183" t="s">
        <v>740</v>
      </c>
      <c r="F651" s="185">
        <v>87500</v>
      </c>
      <c r="G651" s="183" t="s">
        <v>740</v>
      </c>
      <c r="H651" s="183" t="s">
        <v>3324</v>
      </c>
      <c r="I651" s="183" t="s">
        <v>3325</v>
      </c>
      <c r="J651" s="183" t="s">
        <v>3326</v>
      </c>
      <c r="K651" s="183" t="s">
        <v>3327</v>
      </c>
      <c r="L651" s="184">
        <v>5</v>
      </c>
      <c r="M651" s="184">
        <v>92.8</v>
      </c>
    </row>
    <row r="652" spans="1:13" ht="17.25" hidden="1" customHeight="1" x14ac:dyDescent="0.25">
      <c r="A652" s="183" t="s">
        <v>65</v>
      </c>
      <c r="B652" s="190">
        <v>1376</v>
      </c>
      <c r="C652" s="184">
        <v>2014</v>
      </c>
      <c r="D652" s="183" t="s">
        <v>3328</v>
      </c>
      <c r="E652" s="183" t="s">
        <v>740</v>
      </c>
      <c r="F652" s="185">
        <v>81109</v>
      </c>
      <c r="G652" s="183" t="s">
        <v>740</v>
      </c>
      <c r="H652" s="183" t="s">
        <v>3329</v>
      </c>
      <c r="I652" s="183" t="s">
        <v>3330</v>
      </c>
      <c r="J652" s="183" t="s">
        <v>3331</v>
      </c>
      <c r="K652" s="183" t="s">
        <v>3332</v>
      </c>
      <c r="L652" s="184">
        <v>14</v>
      </c>
      <c r="M652" s="184">
        <v>20</v>
      </c>
    </row>
    <row r="653" spans="1:13" ht="17.25" hidden="1" customHeight="1" x14ac:dyDescent="0.25">
      <c r="A653" s="183" t="s">
        <v>65</v>
      </c>
      <c r="B653" s="190">
        <v>1402</v>
      </c>
      <c r="C653" s="184">
        <v>2014</v>
      </c>
      <c r="D653" s="183" t="s">
        <v>3333</v>
      </c>
      <c r="E653" s="183" t="s">
        <v>740</v>
      </c>
      <c r="F653" s="185">
        <v>87500</v>
      </c>
      <c r="G653" s="183" t="s">
        <v>740</v>
      </c>
      <c r="H653" s="183" t="s">
        <v>3334</v>
      </c>
      <c r="I653" s="183" t="s">
        <v>3335</v>
      </c>
      <c r="J653" s="183" t="s">
        <v>3336</v>
      </c>
      <c r="K653" s="183" t="s">
        <v>3337</v>
      </c>
      <c r="L653" s="184">
        <v>6</v>
      </c>
      <c r="M653" s="184">
        <v>6.7</v>
      </c>
    </row>
    <row r="654" spans="1:13" ht="17.25" hidden="1" customHeight="1" x14ac:dyDescent="0.25">
      <c r="A654" s="183" t="s">
        <v>65</v>
      </c>
      <c r="B654" s="190">
        <v>1407</v>
      </c>
      <c r="C654" s="184">
        <v>2014</v>
      </c>
      <c r="D654" s="183" t="s">
        <v>3338</v>
      </c>
      <c r="E654" s="183" t="s">
        <v>740</v>
      </c>
      <c r="F654" s="185">
        <v>278125</v>
      </c>
      <c r="G654" s="183" t="s">
        <v>740</v>
      </c>
      <c r="H654" s="183" t="s">
        <v>1672</v>
      </c>
      <c r="I654" s="183" t="s">
        <v>3339</v>
      </c>
      <c r="J654" s="183" t="s">
        <v>3340</v>
      </c>
      <c r="K654" s="183" t="s">
        <v>3341</v>
      </c>
      <c r="L654" s="184">
        <v>15</v>
      </c>
      <c r="M654" s="184">
        <v>0.5</v>
      </c>
    </row>
    <row r="655" spans="1:13" ht="17.25" hidden="1" customHeight="1" x14ac:dyDescent="0.25">
      <c r="A655" s="183" t="s">
        <v>65</v>
      </c>
      <c r="B655" s="190">
        <v>1408</v>
      </c>
      <c r="C655" s="184">
        <v>2014</v>
      </c>
      <c r="D655" s="183" t="s">
        <v>3342</v>
      </c>
      <c r="E655" s="183" t="s">
        <v>740</v>
      </c>
      <c r="F655" s="185">
        <v>93750</v>
      </c>
      <c r="G655" s="183" t="s">
        <v>740</v>
      </c>
      <c r="H655" s="183" t="s">
        <v>1672</v>
      </c>
      <c r="I655" s="183" t="s">
        <v>3343</v>
      </c>
      <c r="J655" s="183" t="s">
        <v>3344</v>
      </c>
      <c r="K655" s="183" t="s">
        <v>3341</v>
      </c>
      <c r="L655" s="184">
        <v>15</v>
      </c>
      <c r="M655" s="184">
        <v>0</v>
      </c>
    </row>
    <row r="656" spans="1:13" ht="17.25" hidden="1" customHeight="1" x14ac:dyDescent="0.25">
      <c r="A656" s="183" t="s">
        <v>65</v>
      </c>
      <c r="B656" s="190">
        <v>1409</v>
      </c>
      <c r="C656" s="184">
        <v>2014</v>
      </c>
      <c r="D656" s="183" t="s">
        <v>3345</v>
      </c>
      <c r="E656" s="183" t="s">
        <v>740</v>
      </c>
      <c r="F656" s="185">
        <v>143025</v>
      </c>
      <c r="G656" s="183" t="s">
        <v>741</v>
      </c>
      <c r="H656" s="183" t="s">
        <v>1672</v>
      </c>
      <c r="I656" s="183" t="s">
        <v>3346</v>
      </c>
      <c r="J656" s="183" t="s">
        <v>3347</v>
      </c>
      <c r="K656" s="183" t="s">
        <v>3348</v>
      </c>
      <c r="L656" s="184">
        <v>15</v>
      </c>
      <c r="M656" s="185">
        <v>4370</v>
      </c>
    </row>
    <row r="657" spans="1:13" ht="17.25" hidden="1" customHeight="1" x14ac:dyDescent="0.25">
      <c r="A657" s="183" t="s">
        <v>65</v>
      </c>
      <c r="B657" s="190">
        <v>1373</v>
      </c>
      <c r="C657" s="184">
        <v>2014</v>
      </c>
      <c r="D657" s="183" t="s">
        <v>3349</v>
      </c>
      <c r="E657" s="183" t="s">
        <v>740</v>
      </c>
      <c r="F657" s="185">
        <v>52141</v>
      </c>
      <c r="G657" s="183" t="s">
        <v>741</v>
      </c>
      <c r="H657" s="183" t="s">
        <v>3350</v>
      </c>
      <c r="I657" s="183" t="s">
        <v>3351</v>
      </c>
      <c r="J657" s="183" t="s">
        <v>3352</v>
      </c>
      <c r="K657" s="183" t="s">
        <v>3353</v>
      </c>
      <c r="L657" s="184">
        <v>13</v>
      </c>
      <c r="M657" s="184">
        <v>60</v>
      </c>
    </row>
    <row r="658" spans="1:13" ht="17.25" hidden="1" customHeight="1" x14ac:dyDescent="0.25">
      <c r="A658" s="183" t="s">
        <v>65</v>
      </c>
      <c r="B658" s="190">
        <v>1401</v>
      </c>
      <c r="C658" s="184">
        <v>2014</v>
      </c>
      <c r="D658" s="183" t="s">
        <v>3354</v>
      </c>
      <c r="E658" s="183" t="s">
        <v>740</v>
      </c>
      <c r="F658" s="185">
        <v>31250</v>
      </c>
      <c r="G658" s="183" t="s">
        <v>741</v>
      </c>
      <c r="H658" s="183" t="s">
        <v>3355</v>
      </c>
      <c r="I658" s="183" t="s">
        <v>3356</v>
      </c>
      <c r="J658" s="183" t="s">
        <v>3357</v>
      </c>
      <c r="K658" s="183" t="s">
        <v>3358</v>
      </c>
      <c r="L658" s="184">
        <v>6</v>
      </c>
      <c r="M658" s="184">
        <v>56</v>
      </c>
    </row>
    <row r="659" spans="1:13" ht="17.25" hidden="1" customHeight="1" x14ac:dyDescent="0.25">
      <c r="A659" s="183" t="s">
        <v>65</v>
      </c>
      <c r="B659" s="190">
        <v>1400</v>
      </c>
      <c r="C659" s="184">
        <v>2014</v>
      </c>
      <c r="D659" s="183" t="s">
        <v>3359</v>
      </c>
      <c r="E659" s="183" t="s">
        <v>740</v>
      </c>
      <c r="F659" s="185">
        <v>88613</v>
      </c>
      <c r="G659" s="183" t="s">
        <v>741</v>
      </c>
      <c r="H659" s="183" t="s">
        <v>3360</v>
      </c>
      <c r="I659" s="183" t="s">
        <v>3361</v>
      </c>
      <c r="J659" s="183" t="s">
        <v>3362</v>
      </c>
      <c r="K659" s="183" t="s">
        <v>3363</v>
      </c>
      <c r="L659" s="184">
        <v>1</v>
      </c>
      <c r="M659" s="184">
        <v>23</v>
      </c>
    </row>
    <row r="660" spans="1:13" ht="17.25" hidden="1" customHeight="1" x14ac:dyDescent="0.25">
      <c r="A660" s="183" t="s">
        <v>65</v>
      </c>
      <c r="B660" s="190">
        <v>1382</v>
      </c>
      <c r="C660" s="184">
        <v>2014</v>
      </c>
      <c r="D660" s="183" t="s">
        <v>3364</v>
      </c>
      <c r="E660" s="183" t="s">
        <v>740</v>
      </c>
      <c r="F660" s="185">
        <v>53015.5</v>
      </c>
      <c r="G660" s="183" t="s">
        <v>741</v>
      </c>
      <c r="H660" s="183" t="s">
        <v>3365</v>
      </c>
      <c r="I660" s="183" t="s">
        <v>3366</v>
      </c>
      <c r="J660" s="183" t="s">
        <v>3364</v>
      </c>
      <c r="K660" s="183" t="s">
        <v>1883</v>
      </c>
      <c r="L660" s="184">
        <v>10</v>
      </c>
      <c r="M660" s="184">
        <v>21.2</v>
      </c>
    </row>
    <row r="661" spans="1:13" ht="17.25" hidden="1" customHeight="1" x14ac:dyDescent="0.25">
      <c r="A661" s="183" t="s">
        <v>65</v>
      </c>
      <c r="B661" s="190">
        <v>1397</v>
      </c>
      <c r="C661" s="184">
        <v>2014</v>
      </c>
      <c r="D661" s="183" t="s">
        <v>3367</v>
      </c>
      <c r="E661" s="183" t="s">
        <v>740</v>
      </c>
      <c r="F661" s="185">
        <v>37500</v>
      </c>
      <c r="G661" s="183" t="s">
        <v>741</v>
      </c>
      <c r="H661" s="183" t="s">
        <v>3368</v>
      </c>
      <c r="I661" s="183" t="s">
        <v>3369</v>
      </c>
      <c r="J661" s="183" t="s">
        <v>3370</v>
      </c>
      <c r="K661" s="183" t="s">
        <v>3301</v>
      </c>
      <c r="L661" s="184">
        <v>11</v>
      </c>
      <c r="M661" s="184">
        <v>14.5</v>
      </c>
    </row>
    <row r="662" spans="1:13" ht="17.25" hidden="1" customHeight="1" x14ac:dyDescent="0.25">
      <c r="A662" s="183" t="s">
        <v>65</v>
      </c>
      <c r="B662" s="190">
        <v>1396</v>
      </c>
      <c r="C662" s="184">
        <v>2014</v>
      </c>
      <c r="D662" s="183" t="s">
        <v>3371</v>
      </c>
      <c r="E662" s="183" t="s">
        <v>740</v>
      </c>
      <c r="F662" s="185">
        <v>41771</v>
      </c>
      <c r="G662" s="183" t="s">
        <v>741</v>
      </c>
      <c r="H662" s="183" t="s">
        <v>3372</v>
      </c>
      <c r="I662" s="183" t="s">
        <v>3373</v>
      </c>
      <c r="J662" s="183" t="s">
        <v>3374</v>
      </c>
      <c r="K662" s="183" t="s">
        <v>3375</v>
      </c>
      <c r="L662" s="184">
        <v>6</v>
      </c>
      <c r="M662" s="184">
        <v>14.1</v>
      </c>
    </row>
    <row r="663" spans="1:13" ht="17.25" hidden="1" customHeight="1" x14ac:dyDescent="0.25">
      <c r="A663" s="183" t="s">
        <v>65</v>
      </c>
      <c r="B663" s="190">
        <v>1381</v>
      </c>
      <c r="C663" s="184">
        <v>2014</v>
      </c>
      <c r="D663" s="183" t="s">
        <v>3376</v>
      </c>
      <c r="E663" s="183" t="s">
        <v>740</v>
      </c>
      <c r="F663" s="185">
        <v>29783</v>
      </c>
      <c r="G663" s="183" t="s">
        <v>741</v>
      </c>
      <c r="H663" s="183" t="s">
        <v>3377</v>
      </c>
      <c r="I663" s="183" t="s">
        <v>3378</v>
      </c>
      <c r="J663" s="183" t="s">
        <v>3379</v>
      </c>
      <c r="K663" s="183" t="s">
        <v>169</v>
      </c>
      <c r="L663" s="184">
        <v>2</v>
      </c>
      <c r="M663" s="184">
        <v>13.4</v>
      </c>
    </row>
    <row r="664" spans="1:13" ht="17.25" hidden="1" customHeight="1" x14ac:dyDescent="0.25">
      <c r="A664" s="183" t="s">
        <v>65</v>
      </c>
      <c r="B664" s="190">
        <v>1386</v>
      </c>
      <c r="C664" s="184">
        <v>2014</v>
      </c>
      <c r="D664" s="183" t="s">
        <v>3380</v>
      </c>
      <c r="E664" s="183" t="s">
        <v>740</v>
      </c>
      <c r="F664" s="185">
        <v>45755</v>
      </c>
      <c r="G664" s="183" t="s">
        <v>741</v>
      </c>
      <c r="H664" s="183" t="s">
        <v>3381</v>
      </c>
      <c r="I664" s="183" t="s">
        <v>3382</v>
      </c>
      <c r="J664" s="183" t="s">
        <v>3383</v>
      </c>
      <c r="K664" s="183" t="s">
        <v>3358</v>
      </c>
      <c r="L664" s="184">
        <v>6</v>
      </c>
      <c r="M664" s="184">
        <v>11.1</v>
      </c>
    </row>
    <row r="665" spans="1:13" ht="17.25" hidden="1" customHeight="1" x14ac:dyDescent="0.25">
      <c r="A665" s="183" t="s">
        <v>65</v>
      </c>
      <c r="B665" s="190">
        <v>1384</v>
      </c>
      <c r="C665" s="184">
        <v>2014</v>
      </c>
      <c r="D665" s="183" t="s">
        <v>3384</v>
      </c>
      <c r="E665" s="183" t="s">
        <v>740</v>
      </c>
      <c r="F665" s="185">
        <v>56965</v>
      </c>
      <c r="G665" s="183" t="s">
        <v>741</v>
      </c>
      <c r="H665" s="183" t="s">
        <v>3385</v>
      </c>
      <c r="I665" s="183" t="s">
        <v>3386</v>
      </c>
      <c r="J665" s="183" t="s">
        <v>3387</v>
      </c>
      <c r="K665" s="183" t="s">
        <v>3278</v>
      </c>
      <c r="L665" s="184">
        <v>4</v>
      </c>
      <c r="M665" s="184">
        <v>11</v>
      </c>
    </row>
    <row r="666" spans="1:13" ht="17.25" hidden="1" customHeight="1" x14ac:dyDescent="0.25">
      <c r="A666" s="183" t="s">
        <v>65</v>
      </c>
      <c r="B666" s="190">
        <v>1395</v>
      </c>
      <c r="C666" s="184">
        <v>2014</v>
      </c>
      <c r="D666" s="183" t="s">
        <v>3388</v>
      </c>
      <c r="E666" s="183" t="s">
        <v>740</v>
      </c>
      <c r="F666" s="185">
        <v>5697</v>
      </c>
      <c r="G666" s="183" t="s">
        <v>741</v>
      </c>
      <c r="H666" s="183" t="s">
        <v>3389</v>
      </c>
      <c r="I666" s="183" t="s">
        <v>3390</v>
      </c>
      <c r="J666" s="183" t="s">
        <v>3391</v>
      </c>
      <c r="K666" s="183" t="s">
        <v>3392</v>
      </c>
      <c r="L666" s="184">
        <v>8</v>
      </c>
      <c r="M666" s="184">
        <v>7</v>
      </c>
    </row>
    <row r="667" spans="1:13" ht="17.25" hidden="1" customHeight="1" x14ac:dyDescent="0.25">
      <c r="A667" s="183" t="s">
        <v>65</v>
      </c>
      <c r="B667" s="190">
        <v>1383</v>
      </c>
      <c r="C667" s="184">
        <v>2014</v>
      </c>
      <c r="D667" s="183" t="s">
        <v>3393</v>
      </c>
      <c r="E667" s="183" t="s">
        <v>740</v>
      </c>
      <c r="F667" s="185">
        <v>60175.5</v>
      </c>
      <c r="G667" s="183" t="s">
        <v>741</v>
      </c>
      <c r="H667" s="183" t="s">
        <v>3287</v>
      </c>
      <c r="I667" s="183" t="s">
        <v>3394</v>
      </c>
      <c r="J667" s="183" t="s">
        <v>3289</v>
      </c>
      <c r="K667" s="183" t="s">
        <v>3290</v>
      </c>
      <c r="L667" s="184">
        <v>12</v>
      </c>
      <c r="M667" s="184">
        <v>5.6</v>
      </c>
    </row>
    <row r="668" spans="1:13" ht="17.25" hidden="1" customHeight="1" x14ac:dyDescent="0.25">
      <c r="A668" s="183" t="s">
        <v>65</v>
      </c>
      <c r="B668" s="190">
        <v>1404</v>
      </c>
      <c r="C668" s="184">
        <v>2014</v>
      </c>
      <c r="D668" s="183" t="s">
        <v>3395</v>
      </c>
      <c r="E668" s="183" t="s">
        <v>740</v>
      </c>
      <c r="F668" s="185">
        <v>87500</v>
      </c>
      <c r="G668" s="183" t="s">
        <v>741</v>
      </c>
      <c r="H668" s="183" t="s">
        <v>3396</v>
      </c>
      <c r="I668" s="183" t="s">
        <v>3397</v>
      </c>
      <c r="J668" s="183" t="s">
        <v>3398</v>
      </c>
      <c r="K668" s="183" t="s">
        <v>3399</v>
      </c>
      <c r="L668" s="184">
        <v>7</v>
      </c>
      <c r="M668" s="184">
        <v>5</v>
      </c>
    </row>
    <row r="669" spans="1:13" ht="17.25" hidden="1" customHeight="1" x14ac:dyDescent="0.25">
      <c r="A669" s="183" t="s">
        <v>65</v>
      </c>
      <c r="B669" s="190">
        <v>1387</v>
      </c>
      <c r="C669" s="184">
        <v>2014</v>
      </c>
      <c r="D669" s="183" t="s">
        <v>3400</v>
      </c>
      <c r="E669" s="183" t="s">
        <v>740</v>
      </c>
      <c r="F669" s="185">
        <v>67500</v>
      </c>
      <c r="G669" s="183" t="s">
        <v>741</v>
      </c>
      <c r="H669" s="183" t="s">
        <v>2838</v>
      </c>
      <c r="I669" s="183" t="s">
        <v>3401</v>
      </c>
      <c r="J669" s="183" t="s">
        <v>2509</v>
      </c>
      <c r="K669" s="183" t="s">
        <v>2877</v>
      </c>
      <c r="L669" s="184">
        <v>7</v>
      </c>
      <c r="M669" s="184">
        <v>3.2</v>
      </c>
    </row>
    <row r="670" spans="1:13" ht="17.25" hidden="1" customHeight="1" x14ac:dyDescent="0.25">
      <c r="A670" s="183" t="s">
        <v>65</v>
      </c>
      <c r="B670" s="190">
        <v>1403</v>
      </c>
      <c r="C670" s="184">
        <v>2014</v>
      </c>
      <c r="D670" s="183" t="s">
        <v>3402</v>
      </c>
      <c r="E670" s="183" t="s">
        <v>740</v>
      </c>
      <c r="F670" s="185">
        <v>78563</v>
      </c>
      <c r="G670" s="183" t="s">
        <v>741</v>
      </c>
      <c r="H670" s="183" t="s">
        <v>3403</v>
      </c>
      <c r="I670" s="183" t="s">
        <v>3404</v>
      </c>
      <c r="J670" s="183" t="s">
        <v>3405</v>
      </c>
      <c r="K670" s="183" t="s">
        <v>2277</v>
      </c>
      <c r="L670" s="184">
        <v>5</v>
      </c>
      <c r="M670" s="184">
        <v>0.2</v>
      </c>
    </row>
    <row r="671" spans="1:13" ht="17.25" hidden="1" customHeight="1" x14ac:dyDescent="0.25">
      <c r="A671" s="183" t="s">
        <v>65</v>
      </c>
      <c r="B671" s="190">
        <v>1411</v>
      </c>
      <c r="C671" s="184">
        <v>2014</v>
      </c>
      <c r="D671" s="183" t="s">
        <v>3406</v>
      </c>
      <c r="E671" s="183" t="s">
        <v>740</v>
      </c>
      <c r="F671" s="185">
        <v>388262</v>
      </c>
      <c r="G671" s="183" t="s">
        <v>749</v>
      </c>
      <c r="H671" s="183" t="s">
        <v>1672</v>
      </c>
      <c r="I671" s="183" t="s">
        <v>3407</v>
      </c>
      <c r="J671" s="183" t="s">
        <v>3408</v>
      </c>
      <c r="K671" s="183" t="s">
        <v>2301</v>
      </c>
      <c r="L671" s="184">
        <v>15</v>
      </c>
      <c r="M671" s="184">
        <v>427</v>
      </c>
    </row>
    <row r="672" spans="1:13" ht="17.25" hidden="1" customHeight="1" x14ac:dyDescent="0.25">
      <c r="A672" s="183" t="s">
        <v>65</v>
      </c>
      <c r="B672" s="190">
        <v>1388</v>
      </c>
      <c r="C672" s="184">
        <v>2014</v>
      </c>
      <c r="D672" s="183" t="s">
        <v>3409</v>
      </c>
      <c r="E672" s="183" t="s">
        <v>773</v>
      </c>
      <c r="F672" s="185">
        <v>88613</v>
      </c>
      <c r="G672" s="183" t="s">
        <v>749</v>
      </c>
      <c r="H672" s="183" t="s">
        <v>3410</v>
      </c>
      <c r="I672" s="183" t="s">
        <v>3411</v>
      </c>
      <c r="J672" s="183" t="s">
        <v>3412</v>
      </c>
      <c r="K672" s="183" t="s">
        <v>3413</v>
      </c>
      <c r="L672" s="184">
        <v>4</v>
      </c>
      <c r="M672" s="184">
        <v>68</v>
      </c>
    </row>
    <row r="673" spans="1:13" ht="17.25" hidden="1" customHeight="1" x14ac:dyDescent="0.25">
      <c r="A673" s="183" t="s">
        <v>65</v>
      </c>
      <c r="B673" s="190">
        <v>1399</v>
      </c>
      <c r="C673" s="184">
        <v>2014</v>
      </c>
      <c r="D673" s="183" t="s">
        <v>3414</v>
      </c>
      <c r="E673" s="183" t="s">
        <v>740</v>
      </c>
      <c r="F673" s="185">
        <v>87500</v>
      </c>
      <c r="G673" s="183" t="s">
        <v>749</v>
      </c>
      <c r="H673" s="183" t="s">
        <v>3415</v>
      </c>
      <c r="I673" s="183" t="s">
        <v>3416</v>
      </c>
      <c r="J673" s="183" t="s">
        <v>3417</v>
      </c>
      <c r="K673" s="183" t="s">
        <v>864</v>
      </c>
      <c r="L673" s="184">
        <v>15</v>
      </c>
      <c r="M673" s="184">
        <v>14</v>
      </c>
    </row>
    <row r="674" spans="1:13" ht="17.25" hidden="1" customHeight="1" x14ac:dyDescent="0.25">
      <c r="A674" s="183" t="s">
        <v>66</v>
      </c>
      <c r="B674" s="190">
        <v>1191</v>
      </c>
      <c r="C674" s="184">
        <v>2011</v>
      </c>
      <c r="D674" s="183" t="s">
        <v>3418</v>
      </c>
      <c r="E674" s="183" t="s">
        <v>740</v>
      </c>
      <c r="F674" s="185">
        <v>147400</v>
      </c>
      <c r="G674" s="183" t="s">
        <v>741</v>
      </c>
      <c r="H674" s="183" t="s">
        <v>3419</v>
      </c>
      <c r="I674" s="183" t="s">
        <v>3420</v>
      </c>
      <c r="J674" s="183" t="s">
        <v>3421</v>
      </c>
      <c r="K674" s="183" t="s">
        <v>3422</v>
      </c>
      <c r="L674" s="184">
        <v>4</v>
      </c>
      <c r="M674" s="184">
        <v>40</v>
      </c>
    </row>
    <row r="675" spans="1:13" ht="17.25" hidden="1" customHeight="1" x14ac:dyDescent="0.25">
      <c r="A675" s="183" t="s">
        <v>66</v>
      </c>
      <c r="B675" s="190">
        <v>1194</v>
      </c>
      <c r="C675" s="184">
        <v>2012</v>
      </c>
      <c r="D675" s="183" t="s">
        <v>3423</v>
      </c>
      <c r="E675" s="183" t="s">
        <v>773</v>
      </c>
      <c r="F675" s="185">
        <v>126642.3</v>
      </c>
      <c r="G675" s="183" t="s">
        <v>741</v>
      </c>
      <c r="H675" s="183" t="s">
        <v>3424</v>
      </c>
      <c r="I675" s="183" t="s">
        <v>3425</v>
      </c>
      <c r="J675" s="183" t="s">
        <v>3426</v>
      </c>
      <c r="K675" s="183" t="s">
        <v>226</v>
      </c>
      <c r="L675" s="184">
        <v>5</v>
      </c>
      <c r="M675" s="184">
        <v>25</v>
      </c>
    </row>
    <row r="676" spans="1:13" ht="17.25" hidden="1" customHeight="1" x14ac:dyDescent="0.25">
      <c r="A676" s="183" t="s">
        <v>66</v>
      </c>
      <c r="B676" s="190">
        <v>1197</v>
      </c>
      <c r="C676" s="184">
        <v>2012</v>
      </c>
      <c r="D676" s="183" t="s">
        <v>3427</v>
      </c>
      <c r="E676" s="183" t="s">
        <v>773</v>
      </c>
      <c r="F676" s="185">
        <v>132303</v>
      </c>
      <c r="G676" s="183" t="s">
        <v>741</v>
      </c>
      <c r="H676" s="183" t="s">
        <v>3428</v>
      </c>
      <c r="I676" s="183" t="s">
        <v>3429</v>
      </c>
      <c r="J676" s="183" t="s">
        <v>3427</v>
      </c>
      <c r="K676" s="183" t="s">
        <v>3430</v>
      </c>
      <c r="L676" s="184">
        <v>1</v>
      </c>
      <c r="M676" s="184">
        <v>20</v>
      </c>
    </row>
    <row r="677" spans="1:13" ht="17.25" hidden="1" customHeight="1" x14ac:dyDescent="0.25">
      <c r="A677" s="183" t="s">
        <v>66</v>
      </c>
      <c r="B677" s="190">
        <v>1199</v>
      </c>
      <c r="C677" s="184">
        <v>2012</v>
      </c>
      <c r="D677" s="183" t="s">
        <v>3431</v>
      </c>
      <c r="E677" s="183" t="s">
        <v>773</v>
      </c>
      <c r="F677" s="185">
        <v>107200</v>
      </c>
      <c r="G677" s="183" t="s">
        <v>741</v>
      </c>
      <c r="H677" s="183" t="s">
        <v>3432</v>
      </c>
      <c r="I677" s="183" t="s">
        <v>3433</v>
      </c>
      <c r="J677" s="183" t="s">
        <v>3434</v>
      </c>
      <c r="K677" s="183" t="s">
        <v>3435</v>
      </c>
      <c r="L677" s="184">
        <v>3</v>
      </c>
      <c r="M677" s="184">
        <v>6.8</v>
      </c>
    </row>
    <row r="678" spans="1:13" ht="17.25" hidden="1" customHeight="1" x14ac:dyDescent="0.25">
      <c r="A678" s="183" t="s">
        <v>66</v>
      </c>
      <c r="B678" s="190">
        <v>1195</v>
      </c>
      <c r="C678" s="184">
        <v>2012</v>
      </c>
      <c r="D678" s="183" t="s">
        <v>3436</v>
      </c>
      <c r="E678" s="183" t="s">
        <v>740</v>
      </c>
      <c r="F678" s="185">
        <v>192954.64</v>
      </c>
      <c r="G678" s="183" t="s">
        <v>741</v>
      </c>
      <c r="H678" s="183" t="s">
        <v>3437</v>
      </c>
      <c r="I678" s="183" t="s">
        <v>3438</v>
      </c>
      <c r="J678" s="183" t="s">
        <v>3439</v>
      </c>
      <c r="K678" s="183" t="s">
        <v>3440</v>
      </c>
      <c r="L678" s="184">
        <v>2</v>
      </c>
      <c r="M678" s="184">
        <v>5</v>
      </c>
    </row>
    <row r="679" spans="1:13" ht="17.25" hidden="1" customHeight="1" x14ac:dyDescent="0.25">
      <c r="A679" s="183" t="s">
        <v>66</v>
      </c>
      <c r="B679" s="190">
        <v>1192</v>
      </c>
      <c r="C679" s="184">
        <v>2012</v>
      </c>
      <c r="D679" s="183" t="s">
        <v>3441</v>
      </c>
      <c r="E679" s="183" t="s">
        <v>773</v>
      </c>
      <c r="F679" s="185">
        <v>53600</v>
      </c>
      <c r="G679" s="183" t="s">
        <v>741</v>
      </c>
      <c r="H679" s="183" t="s">
        <v>3442</v>
      </c>
      <c r="I679" s="183" t="s">
        <v>3443</v>
      </c>
      <c r="J679" s="183" t="s">
        <v>1478</v>
      </c>
      <c r="K679" s="183" t="s">
        <v>3444</v>
      </c>
      <c r="L679" s="184">
        <v>4</v>
      </c>
      <c r="M679" s="184">
        <v>3</v>
      </c>
    </row>
    <row r="680" spans="1:13" ht="17.25" hidden="1" customHeight="1" x14ac:dyDescent="0.25">
      <c r="A680" s="183" t="s">
        <v>66</v>
      </c>
      <c r="B680" s="190">
        <v>1196</v>
      </c>
      <c r="C680" s="184">
        <v>2012</v>
      </c>
      <c r="D680" s="183" t="s">
        <v>3445</v>
      </c>
      <c r="E680" s="183" t="s">
        <v>740</v>
      </c>
      <c r="F680" s="185">
        <v>390709</v>
      </c>
      <c r="G680" s="183" t="s">
        <v>741</v>
      </c>
      <c r="H680" s="183" t="s">
        <v>3446</v>
      </c>
      <c r="I680" s="183" t="s">
        <v>3447</v>
      </c>
      <c r="J680" s="183" t="s">
        <v>3448</v>
      </c>
      <c r="K680" s="183" t="s">
        <v>3449</v>
      </c>
      <c r="L680" s="184">
        <v>3</v>
      </c>
      <c r="M680" s="184">
        <v>3</v>
      </c>
    </row>
    <row r="681" spans="1:13" ht="17.25" hidden="1" customHeight="1" x14ac:dyDescent="0.25">
      <c r="A681" s="183" t="s">
        <v>66</v>
      </c>
      <c r="B681" s="190">
        <v>1195</v>
      </c>
      <c r="C681" s="184">
        <v>2012</v>
      </c>
      <c r="D681" s="183" t="s">
        <v>3436</v>
      </c>
      <c r="E681" s="183" t="s">
        <v>740</v>
      </c>
      <c r="F681" s="185">
        <v>192954.64</v>
      </c>
      <c r="G681" s="183" t="s">
        <v>741</v>
      </c>
      <c r="H681" s="183" t="s">
        <v>3437</v>
      </c>
      <c r="I681" s="183" t="s">
        <v>3438</v>
      </c>
      <c r="J681" s="183" t="s">
        <v>3450</v>
      </c>
      <c r="K681" s="183" t="s">
        <v>3440</v>
      </c>
      <c r="L681" s="184">
        <v>2</v>
      </c>
      <c r="M681" s="184">
        <v>2.5</v>
      </c>
    </row>
    <row r="682" spans="1:13" ht="17.25" hidden="1" customHeight="1" x14ac:dyDescent="0.25">
      <c r="A682" s="183" t="s">
        <v>66</v>
      </c>
      <c r="B682" s="190">
        <v>1193</v>
      </c>
      <c r="C682" s="184">
        <v>2012</v>
      </c>
      <c r="D682" s="183" t="s">
        <v>3451</v>
      </c>
      <c r="E682" s="183" t="s">
        <v>740</v>
      </c>
      <c r="F682" s="185">
        <v>118054</v>
      </c>
      <c r="G682" s="183" t="s">
        <v>741</v>
      </c>
      <c r="H682" s="183" t="s">
        <v>3452</v>
      </c>
      <c r="I682" s="183" t="s">
        <v>3453</v>
      </c>
      <c r="J682" s="183" t="s">
        <v>3451</v>
      </c>
      <c r="K682" s="183" t="s">
        <v>3454</v>
      </c>
      <c r="L682" s="184">
        <v>4</v>
      </c>
      <c r="M682" s="184">
        <v>1.7</v>
      </c>
    </row>
    <row r="683" spans="1:13" ht="17.25" hidden="1" customHeight="1" x14ac:dyDescent="0.25">
      <c r="A683" s="183" t="s">
        <v>66</v>
      </c>
      <c r="B683" s="190">
        <v>1198</v>
      </c>
      <c r="C683" s="184">
        <v>2012</v>
      </c>
      <c r="D683" s="183" t="s">
        <v>3455</v>
      </c>
      <c r="E683" s="183" t="s">
        <v>773</v>
      </c>
      <c r="F683" s="185">
        <v>39712</v>
      </c>
      <c r="G683" s="183" t="s">
        <v>749</v>
      </c>
      <c r="H683" s="183" t="s">
        <v>3456</v>
      </c>
      <c r="I683" s="183" t="s">
        <v>3457</v>
      </c>
      <c r="J683" s="183" t="s">
        <v>3458</v>
      </c>
      <c r="K683" s="183" t="s">
        <v>3459</v>
      </c>
      <c r="L683" s="184">
        <v>3</v>
      </c>
      <c r="M683" s="184">
        <v>2.5</v>
      </c>
    </row>
    <row r="684" spans="1:13" ht="17.25" hidden="1" customHeight="1" x14ac:dyDescent="0.25">
      <c r="A684" s="183" t="s">
        <v>66</v>
      </c>
      <c r="B684" s="190">
        <v>1200</v>
      </c>
      <c r="C684" s="184">
        <v>2013</v>
      </c>
      <c r="D684" s="183" t="s">
        <v>3460</v>
      </c>
      <c r="E684" s="183" t="s">
        <v>773</v>
      </c>
      <c r="F684" s="185">
        <v>159739</v>
      </c>
      <c r="G684" s="183" t="s">
        <v>741</v>
      </c>
      <c r="H684" s="183" t="s">
        <v>3461</v>
      </c>
      <c r="I684" s="183"/>
      <c r="J684" s="183" t="s">
        <v>3462</v>
      </c>
      <c r="K684" s="183" t="s">
        <v>3463</v>
      </c>
      <c r="L684" s="184">
        <v>0</v>
      </c>
      <c r="M684" s="184">
        <v>3.8</v>
      </c>
    </row>
    <row r="685" spans="1:13" ht="17.25" hidden="1" customHeight="1" x14ac:dyDescent="0.25">
      <c r="A685" s="183" t="s">
        <v>66</v>
      </c>
      <c r="B685" s="190">
        <v>1205</v>
      </c>
      <c r="C685" s="184">
        <v>2014</v>
      </c>
      <c r="D685" s="183" t="s">
        <v>3464</v>
      </c>
      <c r="E685" s="183" t="s">
        <v>740</v>
      </c>
      <c r="F685" s="185">
        <v>75000</v>
      </c>
      <c r="G685" s="183" t="s">
        <v>740</v>
      </c>
      <c r="H685" s="183" t="s">
        <v>3461</v>
      </c>
      <c r="I685" s="183" t="s">
        <v>3465</v>
      </c>
      <c r="J685" s="183" t="s">
        <v>3466</v>
      </c>
      <c r="K685" s="183" t="s">
        <v>3467</v>
      </c>
      <c r="L685" s="184">
        <v>2</v>
      </c>
      <c r="M685" s="184">
        <v>149</v>
      </c>
    </row>
    <row r="686" spans="1:13" ht="17.25" hidden="1" customHeight="1" x14ac:dyDescent="0.25">
      <c r="A686" s="183" t="s">
        <v>66</v>
      </c>
      <c r="B686" s="190">
        <v>1203</v>
      </c>
      <c r="C686" s="184">
        <v>2014</v>
      </c>
      <c r="D686" s="183" t="s">
        <v>3468</v>
      </c>
      <c r="E686" s="183" t="s">
        <v>740</v>
      </c>
      <c r="F686" s="185">
        <v>166194.60999999999</v>
      </c>
      <c r="G686" s="183" t="s">
        <v>773</v>
      </c>
      <c r="H686" s="183" t="s">
        <v>3469</v>
      </c>
      <c r="I686" s="183" t="s">
        <v>3470</v>
      </c>
      <c r="J686" s="183" t="s">
        <v>3468</v>
      </c>
      <c r="K686" s="183" t="s">
        <v>3471</v>
      </c>
      <c r="L686" s="184">
        <v>2</v>
      </c>
      <c r="M686" s="184">
        <v>30</v>
      </c>
    </row>
    <row r="687" spans="1:13" ht="17.25" hidden="1" customHeight="1" x14ac:dyDescent="0.25">
      <c r="A687" s="183" t="s">
        <v>66</v>
      </c>
      <c r="B687" s="190">
        <v>1202</v>
      </c>
      <c r="C687" s="184">
        <v>2014</v>
      </c>
      <c r="D687" s="183" t="s">
        <v>3472</v>
      </c>
      <c r="E687" s="183" t="s">
        <v>740</v>
      </c>
      <c r="F687" s="185">
        <v>141000</v>
      </c>
      <c r="G687" s="183" t="s">
        <v>741</v>
      </c>
      <c r="H687" s="183" t="s">
        <v>3419</v>
      </c>
      <c r="I687" s="183" t="s">
        <v>3473</v>
      </c>
      <c r="J687" s="183" t="s">
        <v>3474</v>
      </c>
      <c r="K687" s="183" t="s">
        <v>3422</v>
      </c>
      <c r="L687" s="184">
        <v>4</v>
      </c>
      <c r="M687" s="184">
        <v>40</v>
      </c>
    </row>
    <row r="688" spans="1:13" ht="17.25" hidden="1" customHeight="1" x14ac:dyDescent="0.25">
      <c r="A688" s="183" t="s">
        <v>66</v>
      </c>
      <c r="B688" s="190">
        <v>1206</v>
      </c>
      <c r="C688" s="184">
        <v>2014</v>
      </c>
      <c r="D688" s="183" t="s">
        <v>3475</v>
      </c>
      <c r="E688" s="183" t="s">
        <v>740</v>
      </c>
      <c r="F688" s="185">
        <v>27271</v>
      </c>
      <c r="G688" s="183" t="s">
        <v>741</v>
      </c>
      <c r="H688" s="183" t="s">
        <v>3476</v>
      </c>
      <c r="I688" s="183" t="s">
        <v>3477</v>
      </c>
      <c r="J688" s="183" t="s">
        <v>3478</v>
      </c>
      <c r="K688" s="183" t="s">
        <v>3479</v>
      </c>
      <c r="L688" s="184">
        <v>3</v>
      </c>
      <c r="M688" s="184">
        <v>25.4</v>
      </c>
    </row>
    <row r="689" spans="1:13" ht="17.25" hidden="1" customHeight="1" x14ac:dyDescent="0.25">
      <c r="A689" s="183" t="s">
        <v>66</v>
      </c>
      <c r="B689" s="190">
        <v>1204</v>
      </c>
      <c r="C689" s="184">
        <v>2014</v>
      </c>
      <c r="D689" s="183" t="s">
        <v>3480</v>
      </c>
      <c r="E689" s="183" t="s">
        <v>740</v>
      </c>
      <c r="F689" s="185">
        <v>94467.5</v>
      </c>
      <c r="G689" s="183" t="s">
        <v>741</v>
      </c>
      <c r="H689" s="183" t="s">
        <v>3481</v>
      </c>
      <c r="I689" s="183" t="s">
        <v>3482</v>
      </c>
      <c r="J689" s="183" t="s">
        <v>3480</v>
      </c>
      <c r="K689" s="183" t="s">
        <v>3483</v>
      </c>
      <c r="L689" s="184">
        <v>4</v>
      </c>
      <c r="M689" s="184">
        <v>14.2</v>
      </c>
    </row>
    <row r="690" spans="1:13" ht="17.25" hidden="1" customHeight="1" x14ac:dyDescent="0.25">
      <c r="A690" s="183" t="s">
        <v>66</v>
      </c>
      <c r="B690" s="190">
        <v>1201</v>
      </c>
      <c r="C690" s="184">
        <v>2014</v>
      </c>
      <c r="D690" s="183" t="s">
        <v>3484</v>
      </c>
      <c r="E690" s="183" t="s">
        <v>740</v>
      </c>
      <c r="F690" s="185">
        <v>132500</v>
      </c>
      <c r="G690" s="183" t="s">
        <v>741</v>
      </c>
      <c r="H690" s="183" t="s">
        <v>3485</v>
      </c>
      <c r="I690" s="183" t="s">
        <v>3486</v>
      </c>
      <c r="J690" s="183" t="s">
        <v>3487</v>
      </c>
      <c r="K690" s="183" t="s">
        <v>3488</v>
      </c>
      <c r="L690" s="184">
        <v>2</v>
      </c>
      <c r="M690" s="184">
        <v>8.1</v>
      </c>
    </row>
    <row r="691" spans="1:13" ht="17.25" hidden="1" customHeight="1" x14ac:dyDescent="0.25">
      <c r="A691" s="183" t="s">
        <v>66</v>
      </c>
      <c r="B691" s="190">
        <v>1207</v>
      </c>
      <c r="C691" s="184">
        <v>2014</v>
      </c>
      <c r="D691" s="183" t="s">
        <v>3489</v>
      </c>
      <c r="E691" s="183" t="s">
        <v>740</v>
      </c>
      <c r="F691" s="185">
        <v>60199.5</v>
      </c>
      <c r="G691" s="183" t="s">
        <v>741</v>
      </c>
      <c r="H691" s="183" t="s">
        <v>3490</v>
      </c>
      <c r="I691" s="183" t="s">
        <v>3491</v>
      </c>
      <c r="J691" s="183" t="s">
        <v>2862</v>
      </c>
      <c r="K691" s="183" t="s">
        <v>3492</v>
      </c>
      <c r="L691" s="184">
        <v>2</v>
      </c>
      <c r="M691" s="184">
        <v>5.5</v>
      </c>
    </row>
    <row r="692" spans="1:13" ht="17.25" hidden="1" customHeight="1" x14ac:dyDescent="0.25">
      <c r="A692" s="183" t="s">
        <v>2</v>
      </c>
      <c r="B692" s="190">
        <v>1579</v>
      </c>
      <c r="C692" s="184">
        <v>2011</v>
      </c>
      <c r="D692" s="183" t="s">
        <v>3493</v>
      </c>
      <c r="E692" s="183" t="s">
        <v>740</v>
      </c>
      <c r="F692" s="185">
        <v>72516.33</v>
      </c>
      <c r="G692" s="183" t="s">
        <v>741</v>
      </c>
      <c r="H692" s="183" t="s">
        <v>3494</v>
      </c>
      <c r="I692" s="183" t="s">
        <v>3495</v>
      </c>
      <c r="J692" s="183" t="s">
        <v>3496</v>
      </c>
      <c r="K692" s="183" t="s">
        <v>3497</v>
      </c>
      <c r="L692" s="184">
        <v>2</v>
      </c>
      <c r="M692" s="184">
        <v>6</v>
      </c>
    </row>
    <row r="693" spans="1:13" ht="17.25" hidden="1" customHeight="1" x14ac:dyDescent="0.25">
      <c r="A693" s="183" t="s">
        <v>2</v>
      </c>
      <c r="B693" s="190">
        <v>1577</v>
      </c>
      <c r="C693" s="184">
        <v>2011</v>
      </c>
      <c r="D693" s="183" t="s">
        <v>3498</v>
      </c>
      <c r="E693" s="183" t="s">
        <v>773</v>
      </c>
      <c r="F693" s="185">
        <v>15616.8</v>
      </c>
      <c r="G693" s="183" t="s">
        <v>741</v>
      </c>
      <c r="H693" s="183" t="s">
        <v>3499</v>
      </c>
      <c r="I693" s="183" t="s">
        <v>3500</v>
      </c>
      <c r="J693" s="183" t="s">
        <v>3501</v>
      </c>
      <c r="K693" s="183" t="s">
        <v>152</v>
      </c>
      <c r="L693" s="184">
        <v>4</v>
      </c>
      <c r="M693" s="184">
        <v>2.2999999999999998</v>
      </c>
    </row>
    <row r="694" spans="1:13" ht="17.25" hidden="1" customHeight="1" x14ac:dyDescent="0.25">
      <c r="A694" s="183" t="s">
        <v>2</v>
      </c>
      <c r="B694" s="190">
        <v>1572</v>
      </c>
      <c r="C694" s="184">
        <v>2011</v>
      </c>
      <c r="D694" s="183" t="s">
        <v>3502</v>
      </c>
      <c r="E694" s="183" t="s">
        <v>773</v>
      </c>
      <c r="F694" s="185">
        <v>102207.84</v>
      </c>
      <c r="G694" s="183" t="s">
        <v>749</v>
      </c>
      <c r="H694" s="183" t="s">
        <v>3503</v>
      </c>
      <c r="I694" s="183" t="s">
        <v>3504</v>
      </c>
      <c r="J694" s="183" t="s">
        <v>3505</v>
      </c>
      <c r="K694" s="183" t="s">
        <v>239</v>
      </c>
      <c r="L694" s="184">
        <v>1</v>
      </c>
      <c r="M694" s="184">
        <v>11.4</v>
      </c>
    </row>
    <row r="695" spans="1:13" ht="17.25" hidden="1" customHeight="1" x14ac:dyDescent="0.25">
      <c r="A695" s="183" t="s">
        <v>2</v>
      </c>
      <c r="B695" s="190">
        <v>1573</v>
      </c>
      <c r="C695" s="184">
        <v>2011</v>
      </c>
      <c r="D695" s="183" t="s">
        <v>3506</v>
      </c>
      <c r="E695" s="183" t="s">
        <v>773</v>
      </c>
      <c r="F695" s="185">
        <v>80292.070000000007</v>
      </c>
      <c r="G695" s="183" t="s">
        <v>749</v>
      </c>
      <c r="H695" s="183" t="s">
        <v>3507</v>
      </c>
      <c r="I695" s="183" t="s">
        <v>3508</v>
      </c>
      <c r="J695" s="183" t="s">
        <v>3509</v>
      </c>
      <c r="K695" s="183" t="s">
        <v>3510</v>
      </c>
      <c r="L695" s="184">
        <v>5</v>
      </c>
      <c r="M695" s="184">
        <v>8.5</v>
      </c>
    </row>
    <row r="696" spans="1:13" ht="17.25" hidden="1" customHeight="1" x14ac:dyDescent="0.25">
      <c r="A696" s="183" t="s">
        <v>2</v>
      </c>
      <c r="B696" s="190">
        <v>1573</v>
      </c>
      <c r="C696" s="184">
        <v>2011</v>
      </c>
      <c r="D696" s="183" t="s">
        <v>3506</v>
      </c>
      <c r="E696" s="183" t="s">
        <v>773</v>
      </c>
      <c r="F696" s="185">
        <v>80292.070000000007</v>
      </c>
      <c r="G696" s="183" t="s">
        <v>749</v>
      </c>
      <c r="H696" s="183" t="s">
        <v>3507</v>
      </c>
      <c r="I696" s="183" t="s">
        <v>3508</v>
      </c>
      <c r="J696" s="183" t="s">
        <v>3511</v>
      </c>
      <c r="K696" s="183" t="s">
        <v>3510</v>
      </c>
      <c r="L696" s="184">
        <v>5</v>
      </c>
      <c r="M696" s="184">
        <v>7.8</v>
      </c>
    </row>
    <row r="697" spans="1:13" ht="17.25" hidden="1" customHeight="1" x14ac:dyDescent="0.25">
      <c r="A697" s="183" t="s">
        <v>2</v>
      </c>
      <c r="B697" s="190">
        <v>1574</v>
      </c>
      <c r="C697" s="184">
        <v>2011</v>
      </c>
      <c r="D697" s="183" t="s">
        <v>3512</v>
      </c>
      <c r="E697" s="183" t="s">
        <v>773</v>
      </c>
      <c r="F697" s="185">
        <v>64040</v>
      </c>
      <c r="G697" s="183" t="s">
        <v>749</v>
      </c>
      <c r="H697" s="183" t="s">
        <v>3513</v>
      </c>
      <c r="I697" s="183" t="s">
        <v>3514</v>
      </c>
      <c r="J697" s="183" t="s">
        <v>2509</v>
      </c>
      <c r="K697" s="183" t="s">
        <v>935</v>
      </c>
      <c r="L697" s="184">
        <v>5</v>
      </c>
      <c r="M697" s="184">
        <v>4</v>
      </c>
    </row>
    <row r="698" spans="1:13" ht="17.25" hidden="1" customHeight="1" x14ac:dyDescent="0.25">
      <c r="A698" s="183" t="s">
        <v>2</v>
      </c>
      <c r="B698" s="190">
        <v>1571</v>
      </c>
      <c r="C698" s="184">
        <v>2011</v>
      </c>
      <c r="D698" s="183" t="s">
        <v>3515</v>
      </c>
      <c r="E698" s="183" t="s">
        <v>740</v>
      </c>
      <c r="F698" s="185">
        <v>190839.2</v>
      </c>
      <c r="G698" s="183" t="s">
        <v>749</v>
      </c>
      <c r="H698" s="183" t="s">
        <v>3516</v>
      </c>
      <c r="I698" s="183" t="s">
        <v>3517</v>
      </c>
      <c r="J698" s="183" t="s">
        <v>3518</v>
      </c>
      <c r="K698" s="183" t="s">
        <v>3519</v>
      </c>
      <c r="L698" s="184">
        <v>2</v>
      </c>
      <c r="M698" s="184">
        <v>2.8</v>
      </c>
    </row>
    <row r="699" spans="1:13" ht="17.25" hidden="1" customHeight="1" x14ac:dyDescent="0.25">
      <c r="A699" s="183" t="s">
        <v>2</v>
      </c>
      <c r="B699" s="190">
        <v>1578</v>
      </c>
      <c r="C699" s="184">
        <v>2012</v>
      </c>
      <c r="D699" s="183" t="s">
        <v>3520</v>
      </c>
      <c r="E699" s="183" t="s">
        <v>740</v>
      </c>
      <c r="F699" s="185">
        <v>140888</v>
      </c>
      <c r="G699" s="183" t="s">
        <v>741</v>
      </c>
      <c r="H699" s="183" t="s">
        <v>3521</v>
      </c>
      <c r="I699" s="183" t="s">
        <v>3522</v>
      </c>
      <c r="J699" s="183" t="s">
        <v>3523</v>
      </c>
      <c r="K699" s="183" t="s">
        <v>3510</v>
      </c>
      <c r="L699" s="184">
        <v>5</v>
      </c>
      <c r="M699" s="184">
        <v>2</v>
      </c>
    </row>
    <row r="700" spans="1:13" ht="17.25" hidden="1" customHeight="1" x14ac:dyDescent="0.25">
      <c r="A700" s="183" t="s">
        <v>2</v>
      </c>
      <c r="B700" s="190">
        <v>1580</v>
      </c>
      <c r="C700" s="184">
        <v>2012</v>
      </c>
      <c r="D700" s="183" t="s">
        <v>3524</v>
      </c>
      <c r="E700" s="183" t="s">
        <v>740</v>
      </c>
      <c r="F700" s="185">
        <v>414807.57</v>
      </c>
      <c r="G700" s="183" t="s">
        <v>749</v>
      </c>
      <c r="H700" s="183" t="s">
        <v>3525</v>
      </c>
      <c r="I700" s="183" t="s">
        <v>3526</v>
      </c>
      <c r="J700" s="183" t="s">
        <v>3527</v>
      </c>
      <c r="K700" s="183" t="s">
        <v>3528</v>
      </c>
      <c r="L700" s="184">
        <v>0</v>
      </c>
      <c r="M700" s="184">
        <v>330</v>
      </c>
    </row>
    <row r="701" spans="1:13" ht="17.25" hidden="1" customHeight="1" x14ac:dyDescent="0.25">
      <c r="A701" s="183" t="s">
        <v>2</v>
      </c>
      <c r="B701" s="190">
        <v>1580</v>
      </c>
      <c r="C701" s="184">
        <v>2012</v>
      </c>
      <c r="D701" s="183" t="s">
        <v>3524</v>
      </c>
      <c r="E701" s="183" t="s">
        <v>740</v>
      </c>
      <c r="F701" s="185">
        <v>414807.57</v>
      </c>
      <c r="G701" s="183" t="s">
        <v>749</v>
      </c>
      <c r="H701" s="183" t="s">
        <v>3525</v>
      </c>
      <c r="I701" s="183" t="s">
        <v>3526</v>
      </c>
      <c r="J701" s="183" t="s">
        <v>3529</v>
      </c>
      <c r="K701" s="183" t="s">
        <v>973</v>
      </c>
      <c r="L701" s="184">
        <v>2</v>
      </c>
      <c r="M701" s="184">
        <v>238</v>
      </c>
    </row>
    <row r="702" spans="1:13" ht="17.25" hidden="1" customHeight="1" x14ac:dyDescent="0.25">
      <c r="A702" s="183" t="s">
        <v>2</v>
      </c>
      <c r="B702" s="190">
        <v>1590</v>
      </c>
      <c r="C702" s="184">
        <v>2014</v>
      </c>
      <c r="D702" s="183" t="s">
        <v>3530</v>
      </c>
      <c r="E702" s="183" t="s">
        <v>740</v>
      </c>
      <c r="F702" s="184">
        <v>0</v>
      </c>
      <c r="G702" s="183" t="s">
        <v>740</v>
      </c>
      <c r="H702" s="183" t="s">
        <v>3531</v>
      </c>
      <c r="I702" s="183" t="s">
        <v>3532</v>
      </c>
      <c r="J702" s="183" t="s">
        <v>3533</v>
      </c>
      <c r="K702" s="183" t="s">
        <v>2464</v>
      </c>
      <c r="L702" s="184">
        <v>2</v>
      </c>
      <c r="M702" s="185">
        <v>1165.7</v>
      </c>
    </row>
    <row r="703" spans="1:13" ht="17.25" hidden="1" customHeight="1" x14ac:dyDescent="0.25">
      <c r="A703" s="183" t="s">
        <v>2</v>
      </c>
      <c r="B703" s="190">
        <v>1582</v>
      </c>
      <c r="C703" s="184">
        <v>2014</v>
      </c>
      <c r="D703" s="183" t="s">
        <v>3534</v>
      </c>
      <c r="E703" s="183" t="s">
        <v>740</v>
      </c>
      <c r="F703" s="184">
        <v>0</v>
      </c>
      <c r="G703" s="183" t="s">
        <v>741</v>
      </c>
      <c r="H703" s="183" t="s">
        <v>3535</v>
      </c>
      <c r="I703" s="183" t="s">
        <v>3536</v>
      </c>
      <c r="J703" s="183" t="s">
        <v>3537</v>
      </c>
      <c r="K703" s="183" t="s">
        <v>3538</v>
      </c>
      <c r="L703" s="184">
        <v>3</v>
      </c>
      <c r="M703" s="184">
        <v>852.3</v>
      </c>
    </row>
    <row r="704" spans="1:13" ht="17.25" hidden="1" customHeight="1" x14ac:dyDescent="0.25">
      <c r="A704" s="183" t="s">
        <v>2</v>
      </c>
      <c r="B704" s="190">
        <v>1585</v>
      </c>
      <c r="C704" s="184">
        <v>2014</v>
      </c>
      <c r="D704" s="183" t="s">
        <v>3539</v>
      </c>
      <c r="E704" s="183" t="s">
        <v>740</v>
      </c>
      <c r="F704" s="184">
        <v>0</v>
      </c>
      <c r="G704" s="183" t="s">
        <v>741</v>
      </c>
      <c r="H704" s="183" t="s">
        <v>3540</v>
      </c>
      <c r="I704" s="183" t="s">
        <v>3541</v>
      </c>
      <c r="J704" s="183" t="s">
        <v>3539</v>
      </c>
      <c r="K704" s="183" t="s">
        <v>3542</v>
      </c>
      <c r="L704" s="184">
        <v>2</v>
      </c>
      <c r="M704" s="184">
        <v>280</v>
      </c>
    </row>
    <row r="705" spans="1:13" ht="17.25" hidden="1" customHeight="1" x14ac:dyDescent="0.25">
      <c r="A705" s="183" t="s">
        <v>2</v>
      </c>
      <c r="B705" s="190">
        <v>1589</v>
      </c>
      <c r="C705" s="184">
        <v>2014</v>
      </c>
      <c r="D705" s="183" t="s">
        <v>3543</v>
      </c>
      <c r="E705" s="183" t="s">
        <v>740</v>
      </c>
      <c r="F705" s="184">
        <v>0</v>
      </c>
      <c r="G705" s="183" t="s">
        <v>749</v>
      </c>
      <c r="H705" s="183" t="s">
        <v>3525</v>
      </c>
      <c r="I705" s="183" t="s">
        <v>3544</v>
      </c>
      <c r="J705" s="183" t="s">
        <v>3527</v>
      </c>
      <c r="K705" s="183" t="s">
        <v>3528</v>
      </c>
      <c r="L705" s="184">
        <v>0</v>
      </c>
      <c r="M705" s="184">
        <v>330</v>
      </c>
    </row>
    <row r="706" spans="1:13" ht="17.25" hidden="1" customHeight="1" x14ac:dyDescent="0.25">
      <c r="A706" s="183" t="s">
        <v>2</v>
      </c>
      <c r="B706" s="190">
        <v>1587</v>
      </c>
      <c r="C706" s="184">
        <v>2014</v>
      </c>
      <c r="D706" s="183" t="s">
        <v>3545</v>
      </c>
      <c r="E706" s="183" t="s">
        <v>740</v>
      </c>
      <c r="F706" s="184">
        <v>0</v>
      </c>
      <c r="G706" s="183" t="s">
        <v>749</v>
      </c>
      <c r="H706" s="183" t="s">
        <v>3546</v>
      </c>
      <c r="I706" s="183" t="s">
        <v>3547</v>
      </c>
      <c r="J706" s="183" t="s">
        <v>3548</v>
      </c>
      <c r="K706" s="183" t="s">
        <v>3549</v>
      </c>
      <c r="L706" s="184">
        <v>5</v>
      </c>
      <c r="M706" s="184">
        <v>40</v>
      </c>
    </row>
    <row r="707" spans="1:13" ht="17.25" hidden="1" customHeight="1" x14ac:dyDescent="0.25">
      <c r="A707" s="183" t="s">
        <v>2</v>
      </c>
      <c r="B707" s="190">
        <v>1584</v>
      </c>
      <c r="C707" s="184">
        <v>2014</v>
      </c>
      <c r="D707" s="183" t="s">
        <v>3550</v>
      </c>
      <c r="E707" s="183" t="s">
        <v>740</v>
      </c>
      <c r="F707" s="184">
        <v>0</v>
      </c>
      <c r="G707" s="183" t="s">
        <v>749</v>
      </c>
      <c r="H707" s="183" t="s">
        <v>3551</v>
      </c>
      <c r="I707" s="183" t="s">
        <v>3552</v>
      </c>
      <c r="J707" s="183" t="s">
        <v>3523</v>
      </c>
      <c r="K707" s="183" t="s">
        <v>2899</v>
      </c>
      <c r="L707" s="184">
        <v>2</v>
      </c>
      <c r="M707" s="184">
        <v>30</v>
      </c>
    </row>
    <row r="708" spans="1:13" ht="17.25" hidden="1" customHeight="1" x14ac:dyDescent="0.25">
      <c r="A708" s="183" t="s">
        <v>2</v>
      </c>
      <c r="B708" s="190">
        <v>1586</v>
      </c>
      <c r="C708" s="184">
        <v>2014</v>
      </c>
      <c r="D708" s="183" t="s">
        <v>3553</v>
      </c>
      <c r="E708" s="183" t="s">
        <v>740</v>
      </c>
      <c r="F708" s="184">
        <v>0</v>
      </c>
      <c r="G708" s="183" t="s">
        <v>749</v>
      </c>
      <c r="H708" s="183" t="s">
        <v>3554</v>
      </c>
      <c r="I708" s="183" t="s">
        <v>3555</v>
      </c>
      <c r="J708" s="183" t="s">
        <v>3556</v>
      </c>
      <c r="K708" s="183" t="s">
        <v>3557</v>
      </c>
      <c r="L708" s="184">
        <v>1</v>
      </c>
      <c r="M708" s="184">
        <v>13</v>
      </c>
    </row>
    <row r="709" spans="1:13" ht="17.25" hidden="1" customHeight="1" x14ac:dyDescent="0.25">
      <c r="A709" s="183" t="s">
        <v>2</v>
      </c>
      <c r="B709" s="190">
        <v>1588</v>
      </c>
      <c r="C709" s="184">
        <v>2014</v>
      </c>
      <c r="D709" s="183" t="s">
        <v>3558</v>
      </c>
      <c r="E709" s="183" t="s">
        <v>740</v>
      </c>
      <c r="F709" s="184">
        <v>0</v>
      </c>
      <c r="G709" s="183" t="s">
        <v>749</v>
      </c>
      <c r="H709" s="183" t="s">
        <v>3559</v>
      </c>
      <c r="I709" s="183"/>
      <c r="J709" s="183" t="s">
        <v>3560</v>
      </c>
      <c r="K709" s="183" t="s">
        <v>3561</v>
      </c>
      <c r="L709" s="184">
        <v>1</v>
      </c>
      <c r="M709" s="184">
        <v>12.5</v>
      </c>
    </row>
    <row r="710" spans="1:13" ht="17.25" hidden="1" customHeight="1" x14ac:dyDescent="0.25">
      <c r="A710" s="183" t="s">
        <v>2</v>
      </c>
      <c r="B710" s="190">
        <v>1588</v>
      </c>
      <c r="C710" s="184">
        <v>2014</v>
      </c>
      <c r="D710" s="183" t="s">
        <v>3558</v>
      </c>
      <c r="E710" s="183" t="s">
        <v>740</v>
      </c>
      <c r="F710" s="184">
        <v>0</v>
      </c>
      <c r="G710" s="183" t="s">
        <v>749</v>
      </c>
      <c r="H710" s="183" t="s">
        <v>3559</v>
      </c>
      <c r="I710" s="183"/>
      <c r="J710" s="183" t="s">
        <v>3562</v>
      </c>
      <c r="K710" s="183" t="s">
        <v>3563</v>
      </c>
      <c r="L710" s="184">
        <v>5</v>
      </c>
      <c r="M710" s="184">
        <v>12.3</v>
      </c>
    </row>
    <row r="711" spans="1:13" ht="17.25" hidden="1" customHeight="1" x14ac:dyDescent="0.25">
      <c r="A711" s="183" t="s">
        <v>2</v>
      </c>
      <c r="B711" s="190">
        <v>1583</v>
      </c>
      <c r="C711" s="184">
        <v>2014</v>
      </c>
      <c r="D711" s="183" t="s">
        <v>3564</v>
      </c>
      <c r="E711" s="183" t="s">
        <v>740</v>
      </c>
      <c r="F711" s="184">
        <v>0</v>
      </c>
      <c r="G711" s="183" t="s">
        <v>749</v>
      </c>
      <c r="H711" s="183" t="s">
        <v>3565</v>
      </c>
      <c r="I711" s="183" t="s">
        <v>3566</v>
      </c>
      <c r="J711" s="183" t="s">
        <v>3567</v>
      </c>
      <c r="K711" s="183" t="s">
        <v>3568</v>
      </c>
      <c r="L711" s="184">
        <v>3</v>
      </c>
      <c r="M711" s="184">
        <v>1.3</v>
      </c>
    </row>
    <row r="712" spans="1:13" ht="17.25" hidden="1" customHeight="1" x14ac:dyDescent="0.25">
      <c r="A712" s="183" t="s">
        <v>129</v>
      </c>
      <c r="B712" s="190">
        <v>1568</v>
      </c>
      <c r="C712" s="184">
        <v>2011</v>
      </c>
      <c r="D712" s="183" t="s">
        <v>3569</v>
      </c>
      <c r="E712" s="183" t="s">
        <v>740</v>
      </c>
      <c r="F712" s="185">
        <v>610000</v>
      </c>
      <c r="G712" s="183" t="s">
        <v>740</v>
      </c>
      <c r="H712" s="183" t="s">
        <v>3570</v>
      </c>
      <c r="I712" s="183" t="s">
        <v>3571</v>
      </c>
      <c r="J712" s="183" t="s">
        <v>3572</v>
      </c>
      <c r="K712" s="183" t="s">
        <v>3573</v>
      </c>
      <c r="L712" s="184">
        <v>6</v>
      </c>
      <c r="M712" s="184">
        <v>82.5</v>
      </c>
    </row>
    <row r="713" spans="1:13" ht="17.25" hidden="1" customHeight="1" x14ac:dyDescent="0.25">
      <c r="A713" s="183" t="s">
        <v>129</v>
      </c>
      <c r="B713" s="190">
        <v>1569</v>
      </c>
      <c r="C713" s="184">
        <v>2011</v>
      </c>
      <c r="D713" s="183" t="s">
        <v>3574</v>
      </c>
      <c r="E713" s="183" t="s">
        <v>740</v>
      </c>
      <c r="F713" s="185">
        <v>195000</v>
      </c>
      <c r="G713" s="183" t="s">
        <v>740</v>
      </c>
      <c r="H713" s="183" t="s">
        <v>3575</v>
      </c>
      <c r="I713" s="183" t="s">
        <v>3576</v>
      </c>
      <c r="J713" s="183" t="s">
        <v>3577</v>
      </c>
      <c r="K713" s="183" t="s">
        <v>3261</v>
      </c>
      <c r="L713" s="184">
        <v>3</v>
      </c>
      <c r="M713" s="184">
        <v>73.099999999999994</v>
      </c>
    </row>
    <row r="714" spans="1:13" ht="17.25" hidden="1" customHeight="1" x14ac:dyDescent="0.25">
      <c r="A714" s="183" t="s">
        <v>129</v>
      </c>
      <c r="B714" s="190">
        <v>1566</v>
      </c>
      <c r="C714" s="184">
        <v>2011</v>
      </c>
      <c r="D714" s="183" t="s">
        <v>3578</v>
      </c>
      <c r="E714" s="183" t="s">
        <v>740</v>
      </c>
      <c r="F714" s="185">
        <v>372500</v>
      </c>
      <c r="G714" s="183" t="s">
        <v>740</v>
      </c>
      <c r="H714" s="183" t="s">
        <v>3579</v>
      </c>
      <c r="I714" s="183" t="s">
        <v>3580</v>
      </c>
      <c r="J714" s="183" t="s">
        <v>3581</v>
      </c>
      <c r="K714" s="183" t="s">
        <v>3573</v>
      </c>
      <c r="L714" s="184">
        <v>6</v>
      </c>
      <c r="M714" s="184">
        <v>32.1</v>
      </c>
    </row>
    <row r="715" spans="1:13" ht="17.25" hidden="1" customHeight="1" x14ac:dyDescent="0.25">
      <c r="A715" s="183" t="s">
        <v>129</v>
      </c>
      <c r="B715" s="190">
        <v>1564</v>
      </c>
      <c r="C715" s="184">
        <v>2011</v>
      </c>
      <c r="D715" s="183" t="s">
        <v>3582</v>
      </c>
      <c r="E715" s="183" t="s">
        <v>773</v>
      </c>
      <c r="F715" s="185">
        <v>248000</v>
      </c>
      <c r="G715" s="183" t="s">
        <v>740</v>
      </c>
      <c r="H715" s="183" t="s">
        <v>3583</v>
      </c>
      <c r="I715" s="183" t="s">
        <v>3584</v>
      </c>
      <c r="J715" s="183" t="s">
        <v>3585</v>
      </c>
      <c r="K715" s="183" t="s">
        <v>3573</v>
      </c>
      <c r="L715" s="184">
        <v>6</v>
      </c>
      <c r="M715" s="184">
        <v>23.1</v>
      </c>
    </row>
    <row r="716" spans="1:13" ht="17.25" hidden="1" customHeight="1" x14ac:dyDescent="0.25">
      <c r="A716" s="183" t="s">
        <v>129</v>
      </c>
      <c r="B716" s="190">
        <v>1567</v>
      </c>
      <c r="C716" s="184">
        <v>2011</v>
      </c>
      <c r="D716" s="183" t="s">
        <v>3586</v>
      </c>
      <c r="E716" s="183" t="s">
        <v>740</v>
      </c>
      <c r="F716" s="185">
        <v>250000</v>
      </c>
      <c r="G716" s="183" t="s">
        <v>749</v>
      </c>
      <c r="H716" s="183" t="s">
        <v>3587</v>
      </c>
      <c r="I716" s="183"/>
      <c r="J716" s="183" t="s">
        <v>3588</v>
      </c>
      <c r="K716" s="183" t="s">
        <v>1883</v>
      </c>
      <c r="L716" s="184">
        <v>5</v>
      </c>
      <c r="M716" s="184">
        <v>58</v>
      </c>
    </row>
    <row r="717" spans="1:13" ht="17.25" hidden="1" customHeight="1" x14ac:dyDescent="0.25">
      <c r="A717" s="183" t="s">
        <v>129</v>
      </c>
      <c r="B717" s="190">
        <v>1565</v>
      </c>
      <c r="C717" s="184">
        <v>2011</v>
      </c>
      <c r="D717" s="183" t="s">
        <v>3589</v>
      </c>
      <c r="E717" s="183" t="s">
        <v>740</v>
      </c>
      <c r="F717" s="185">
        <v>838000</v>
      </c>
      <c r="G717" s="183" t="s">
        <v>749</v>
      </c>
      <c r="H717" s="183" t="s">
        <v>3590</v>
      </c>
      <c r="I717" s="183" t="s">
        <v>3591</v>
      </c>
      <c r="J717" s="183" t="s">
        <v>3592</v>
      </c>
      <c r="K717" s="183" t="s">
        <v>3593</v>
      </c>
      <c r="L717" s="184">
        <v>14</v>
      </c>
      <c r="M717" s="184">
        <v>30</v>
      </c>
    </row>
    <row r="718" spans="1:13" ht="17.25" hidden="1" customHeight="1" x14ac:dyDescent="0.25">
      <c r="A718" s="183" t="s">
        <v>129</v>
      </c>
      <c r="B718" s="190">
        <v>1570</v>
      </c>
      <c r="C718" s="184">
        <v>2012</v>
      </c>
      <c r="D718" s="183" t="s">
        <v>3594</v>
      </c>
      <c r="E718" s="183" t="s">
        <v>740</v>
      </c>
      <c r="F718" s="185">
        <v>265000</v>
      </c>
      <c r="G718" s="183" t="s">
        <v>749</v>
      </c>
      <c r="H718" s="183" t="s">
        <v>3595</v>
      </c>
      <c r="I718" s="183" t="s">
        <v>3596</v>
      </c>
      <c r="J718" s="183" t="s">
        <v>3597</v>
      </c>
      <c r="K718" s="183" t="s">
        <v>2234</v>
      </c>
      <c r="L718" s="184">
        <v>19</v>
      </c>
      <c r="M718" s="184">
        <v>15</v>
      </c>
    </row>
    <row r="719" spans="1:13" ht="17.25" hidden="1" customHeight="1" x14ac:dyDescent="0.25">
      <c r="A719" s="183" t="s">
        <v>129</v>
      </c>
      <c r="B719" s="190">
        <v>1571</v>
      </c>
      <c r="C719" s="184">
        <v>2012</v>
      </c>
      <c r="D719" s="183" t="s">
        <v>3598</v>
      </c>
      <c r="E719" s="183" t="s">
        <v>740</v>
      </c>
      <c r="F719" s="185">
        <v>318500</v>
      </c>
      <c r="G719" s="183" t="s">
        <v>749</v>
      </c>
      <c r="H719" s="183" t="s">
        <v>3599</v>
      </c>
      <c r="I719" s="183" t="s">
        <v>3600</v>
      </c>
      <c r="J719" s="183" t="s">
        <v>3601</v>
      </c>
      <c r="K719" s="183" t="s">
        <v>3602</v>
      </c>
      <c r="L719" s="184">
        <v>17</v>
      </c>
      <c r="M719" s="184">
        <v>5.7</v>
      </c>
    </row>
    <row r="720" spans="1:13" ht="17.25" hidden="1" customHeight="1" x14ac:dyDescent="0.25">
      <c r="A720" s="183" t="s">
        <v>129</v>
      </c>
      <c r="B720" s="190">
        <v>1574</v>
      </c>
      <c r="C720" s="184">
        <v>2013</v>
      </c>
      <c r="D720" s="183" t="s">
        <v>3603</v>
      </c>
      <c r="E720" s="183" t="s">
        <v>740</v>
      </c>
      <c r="F720" s="189">
        <v>395000</v>
      </c>
      <c r="G720" s="183" t="s">
        <v>740</v>
      </c>
      <c r="H720" s="183" t="s">
        <v>3604</v>
      </c>
      <c r="I720" s="183" t="s">
        <v>3605</v>
      </c>
      <c r="J720" s="183" t="s">
        <v>3606</v>
      </c>
      <c r="K720" s="183" t="s">
        <v>3607</v>
      </c>
      <c r="L720" s="184">
        <v>0</v>
      </c>
      <c r="M720" s="184">
        <v>80.900000000000006</v>
      </c>
    </row>
    <row r="721" spans="1:13" ht="17.25" hidden="1" customHeight="1" x14ac:dyDescent="0.25">
      <c r="A721" s="183" t="s">
        <v>129</v>
      </c>
      <c r="B721" s="190">
        <v>1579</v>
      </c>
      <c r="C721" s="184">
        <v>2014</v>
      </c>
      <c r="D721" s="183" t="s">
        <v>3608</v>
      </c>
      <c r="E721" s="183" t="s">
        <v>740</v>
      </c>
      <c r="F721" s="184">
        <v>0</v>
      </c>
      <c r="G721" s="183" t="s">
        <v>749</v>
      </c>
      <c r="H721" s="183" t="s">
        <v>3609</v>
      </c>
      <c r="I721" s="183" t="s">
        <v>3610</v>
      </c>
      <c r="J721" s="183" t="s">
        <v>3608</v>
      </c>
      <c r="K721" s="183" t="s">
        <v>826</v>
      </c>
      <c r="L721" s="184">
        <v>3</v>
      </c>
      <c r="M721" s="184">
        <v>7</v>
      </c>
    </row>
    <row r="722" spans="1:13" ht="17.25" hidden="1" customHeight="1" x14ac:dyDescent="0.25">
      <c r="A722" s="183" t="s">
        <v>130</v>
      </c>
      <c r="B722" s="184">
        <v>168</v>
      </c>
      <c r="C722" s="184">
        <v>2011</v>
      </c>
      <c r="D722" s="183" t="s">
        <v>3611</v>
      </c>
      <c r="E722" s="183" t="s">
        <v>773</v>
      </c>
      <c r="F722" s="185">
        <v>206147</v>
      </c>
      <c r="G722" s="183" t="s">
        <v>741</v>
      </c>
      <c r="H722" s="183" t="s">
        <v>3612</v>
      </c>
      <c r="I722" s="183" t="s">
        <v>3613</v>
      </c>
      <c r="J722" s="183" t="s">
        <v>3614</v>
      </c>
      <c r="K722" s="183" t="s">
        <v>3615</v>
      </c>
      <c r="L722" s="184">
        <v>99</v>
      </c>
      <c r="M722" s="184">
        <v>4.5</v>
      </c>
    </row>
    <row r="723" spans="1:13" ht="17.25" hidden="1" customHeight="1" x14ac:dyDescent="0.25">
      <c r="A723" s="183" t="s">
        <v>130</v>
      </c>
      <c r="B723" s="184">
        <v>169</v>
      </c>
      <c r="C723" s="184">
        <v>2012</v>
      </c>
      <c r="D723" s="183" t="s">
        <v>3616</v>
      </c>
      <c r="E723" s="183" t="s">
        <v>740</v>
      </c>
      <c r="F723" s="185">
        <v>575000</v>
      </c>
      <c r="G723" s="183" t="s">
        <v>749</v>
      </c>
      <c r="H723" s="183" t="s">
        <v>3617</v>
      </c>
      <c r="I723" s="183" t="s">
        <v>3618</v>
      </c>
      <c r="J723" s="183" t="s">
        <v>3619</v>
      </c>
      <c r="K723" s="183" t="s">
        <v>3615</v>
      </c>
      <c r="L723" s="184">
        <v>99</v>
      </c>
      <c r="M723" s="184">
        <v>12.5</v>
      </c>
    </row>
    <row r="724" spans="1:13" ht="17.25" hidden="1" customHeight="1" x14ac:dyDescent="0.25">
      <c r="A724" s="183" t="s">
        <v>130</v>
      </c>
      <c r="B724" s="184">
        <v>171</v>
      </c>
      <c r="C724" s="184">
        <v>2013</v>
      </c>
      <c r="D724" s="183" t="s">
        <v>3620</v>
      </c>
      <c r="E724" s="183" t="s">
        <v>740</v>
      </c>
      <c r="F724" s="189">
        <v>50000</v>
      </c>
      <c r="G724" s="183" t="s">
        <v>741</v>
      </c>
      <c r="H724" s="183" t="s">
        <v>3621</v>
      </c>
      <c r="I724" s="183" t="s">
        <v>3622</v>
      </c>
      <c r="J724" s="183" t="s">
        <v>3620</v>
      </c>
      <c r="K724" s="183" t="s">
        <v>3623</v>
      </c>
      <c r="L724" s="184">
        <v>0</v>
      </c>
      <c r="M724" s="184">
        <v>1.1000000000000001</v>
      </c>
    </row>
    <row r="725" spans="1:13" ht="17.25" hidden="1" customHeight="1" x14ac:dyDescent="0.25">
      <c r="A725" s="183" t="s">
        <v>130</v>
      </c>
      <c r="B725" s="184">
        <v>172</v>
      </c>
      <c r="C725" s="184">
        <v>2013</v>
      </c>
      <c r="D725" s="183" t="s">
        <v>3624</v>
      </c>
      <c r="E725" s="183" t="s">
        <v>740</v>
      </c>
      <c r="F725" s="189">
        <v>420000</v>
      </c>
      <c r="G725" s="183" t="s">
        <v>749</v>
      </c>
      <c r="H725" s="183" t="s">
        <v>3617</v>
      </c>
      <c r="I725" s="183" t="s">
        <v>3625</v>
      </c>
      <c r="J725" s="183" t="s">
        <v>3624</v>
      </c>
      <c r="K725" s="183" t="s">
        <v>2805</v>
      </c>
      <c r="L725" s="184">
        <v>0</v>
      </c>
      <c r="M725" s="184">
        <v>8.6</v>
      </c>
    </row>
    <row r="726" spans="1:13" ht="17.25" hidden="1" customHeight="1" x14ac:dyDescent="0.25">
      <c r="A726" s="183" t="s">
        <v>130</v>
      </c>
      <c r="B726" s="184">
        <v>176</v>
      </c>
      <c r="C726" s="184">
        <v>2014</v>
      </c>
      <c r="D726" s="183" t="s">
        <v>3626</v>
      </c>
      <c r="E726" s="183" t="s">
        <v>740</v>
      </c>
      <c r="F726" s="184">
        <v>0</v>
      </c>
      <c r="G726" s="183" t="s">
        <v>741</v>
      </c>
      <c r="H726" s="183" t="s">
        <v>3612</v>
      </c>
      <c r="I726" s="183" t="s">
        <v>3627</v>
      </c>
      <c r="J726" s="183" t="s">
        <v>3628</v>
      </c>
      <c r="K726" s="183" t="s">
        <v>2805</v>
      </c>
      <c r="L726" s="184">
        <v>0</v>
      </c>
      <c r="M726" s="184">
        <v>209.8</v>
      </c>
    </row>
    <row r="727" spans="1:13" ht="17.25" hidden="1" customHeight="1" x14ac:dyDescent="0.25">
      <c r="A727" s="183" t="s">
        <v>130</v>
      </c>
      <c r="B727" s="184">
        <v>175</v>
      </c>
      <c r="C727" s="184">
        <v>2014</v>
      </c>
      <c r="D727" s="183" t="s">
        <v>3629</v>
      </c>
      <c r="E727" s="183" t="s">
        <v>740</v>
      </c>
      <c r="F727" s="184">
        <v>0</v>
      </c>
      <c r="G727" s="183" t="s">
        <v>741</v>
      </c>
      <c r="H727" s="183" t="s">
        <v>3630</v>
      </c>
      <c r="I727" s="183" t="s">
        <v>3631</v>
      </c>
      <c r="J727" s="183" t="s">
        <v>3632</v>
      </c>
      <c r="K727" s="183" t="s">
        <v>2805</v>
      </c>
      <c r="L727" s="184">
        <v>0</v>
      </c>
      <c r="M727" s="184">
        <v>38.299999999999997</v>
      </c>
    </row>
    <row r="728" spans="1:13" ht="17.25" hidden="1" customHeight="1" x14ac:dyDescent="0.25">
      <c r="A728" s="183" t="s">
        <v>130</v>
      </c>
      <c r="B728" s="184">
        <v>174</v>
      </c>
      <c r="C728" s="184">
        <v>2014</v>
      </c>
      <c r="D728" s="183" t="s">
        <v>3633</v>
      </c>
      <c r="E728" s="183" t="s">
        <v>740</v>
      </c>
      <c r="F728" s="184">
        <v>0</v>
      </c>
      <c r="G728" s="183" t="s">
        <v>741</v>
      </c>
      <c r="H728" s="183" t="s">
        <v>3634</v>
      </c>
      <c r="I728" s="183" t="s">
        <v>3635</v>
      </c>
      <c r="J728" s="183" t="s">
        <v>3636</v>
      </c>
      <c r="K728" s="183" t="s">
        <v>2805</v>
      </c>
      <c r="L728" s="184">
        <v>99</v>
      </c>
      <c r="M728" s="184">
        <v>2</v>
      </c>
    </row>
    <row r="729" spans="1:13" ht="17.25" hidden="1" customHeight="1" x14ac:dyDescent="0.25">
      <c r="A729" s="183" t="s">
        <v>130</v>
      </c>
      <c r="B729" s="184">
        <v>173</v>
      </c>
      <c r="C729" s="184">
        <v>2014</v>
      </c>
      <c r="D729" s="183" t="s">
        <v>3637</v>
      </c>
      <c r="E729" s="183" t="s">
        <v>740</v>
      </c>
      <c r="F729" s="184">
        <v>0</v>
      </c>
      <c r="G729" s="183" t="s">
        <v>741</v>
      </c>
      <c r="H729" s="183" t="s">
        <v>3638</v>
      </c>
      <c r="I729" s="183" t="s">
        <v>3639</v>
      </c>
      <c r="J729" s="183" t="s">
        <v>3637</v>
      </c>
      <c r="K729" s="183" t="s">
        <v>2805</v>
      </c>
      <c r="L729" s="184">
        <v>0</v>
      </c>
      <c r="M729" s="184">
        <v>1.4</v>
      </c>
    </row>
    <row r="730" spans="1:13" ht="17.25" hidden="1" customHeight="1" x14ac:dyDescent="0.25">
      <c r="A730" s="183" t="s">
        <v>3640</v>
      </c>
      <c r="B730" s="184">
        <v>393</v>
      </c>
      <c r="C730" s="184">
        <v>2011</v>
      </c>
      <c r="D730" s="183" t="s">
        <v>3641</v>
      </c>
      <c r="E730" s="183" t="s">
        <v>740</v>
      </c>
      <c r="F730" s="185">
        <v>727845</v>
      </c>
      <c r="G730" s="183" t="s">
        <v>749</v>
      </c>
      <c r="H730" s="183" t="s">
        <v>3642</v>
      </c>
      <c r="I730" s="183"/>
      <c r="J730" s="183" t="s">
        <v>3643</v>
      </c>
      <c r="K730" s="183" t="s">
        <v>239</v>
      </c>
      <c r="L730" s="184">
        <v>2</v>
      </c>
      <c r="M730" s="184">
        <v>31.5</v>
      </c>
    </row>
    <row r="731" spans="1:13" ht="17.25" hidden="1" customHeight="1" x14ac:dyDescent="0.25">
      <c r="A731" s="183" t="s">
        <v>131</v>
      </c>
      <c r="B731" s="190">
        <v>1094</v>
      </c>
      <c r="C731" s="184">
        <v>2012</v>
      </c>
      <c r="D731" s="183" t="s">
        <v>3644</v>
      </c>
      <c r="E731" s="183" t="s">
        <v>740</v>
      </c>
      <c r="F731" s="185">
        <v>125000</v>
      </c>
      <c r="G731" s="183" t="s">
        <v>741</v>
      </c>
      <c r="H731" s="183" t="s">
        <v>3645</v>
      </c>
      <c r="I731" s="183" t="s">
        <v>3646</v>
      </c>
      <c r="J731" s="183" t="s">
        <v>3644</v>
      </c>
      <c r="K731" s="183" t="s">
        <v>3647</v>
      </c>
      <c r="L731" s="184">
        <v>6</v>
      </c>
      <c r="M731" s="184">
        <v>148.30000000000001</v>
      </c>
    </row>
    <row r="732" spans="1:13" ht="17.25" hidden="1" customHeight="1" x14ac:dyDescent="0.25">
      <c r="A732" s="183" t="s">
        <v>131</v>
      </c>
      <c r="B732" s="190">
        <v>1095</v>
      </c>
      <c r="C732" s="184">
        <v>2012</v>
      </c>
      <c r="D732" s="183" t="s">
        <v>3648</v>
      </c>
      <c r="E732" s="183" t="s">
        <v>773</v>
      </c>
      <c r="F732" s="185">
        <v>100000</v>
      </c>
      <c r="G732" s="183" t="s">
        <v>741</v>
      </c>
      <c r="H732" s="183" t="s">
        <v>3649</v>
      </c>
      <c r="I732" s="183" t="s">
        <v>3650</v>
      </c>
      <c r="J732" s="183" t="s">
        <v>3651</v>
      </c>
      <c r="K732" s="183" t="s">
        <v>3652</v>
      </c>
      <c r="L732" s="184">
        <v>3</v>
      </c>
      <c r="M732" s="184">
        <v>125.2</v>
      </c>
    </row>
    <row r="733" spans="1:13" ht="17.25" hidden="1" customHeight="1" x14ac:dyDescent="0.25">
      <c r="A733" s="183" t="s">
        <v>131</v>
      </c>
      <c r="B733" s="190">
        <v>1093</v>
      </c>
      <c r="C733" s="184">
        <v>2012</v>
      </c>
      <c r="D733" s="183" t="s">
        <v>3653</v>
      </c>
      <c r="E733" s="183" t="s">
        <v>740</v>
      </c>
      <c r="F733" s="185">
        <v>150000</v>
      </c>
      <c r="G733" s="183" t="s">
        <v>741</v>
      </c>
      <c r="H733" s="183" t="s">
        <v>3654</v>
      </c>
      <c r="I733" s="183" t="s">
        <v>3655</v>
      </c>
      <c r="J733" s="183" t="s">
        <v>3656</v>
      </c>
      <c r="K733" s="183" t="s">
        <v>3657</v>
      </c>
      <c r="L733" s="184">
        <v>6</v>
      </c>
      <c r="M733" s="184">
        <v>40.1</v>
      </c>
    </row>
    <row r="734" spans="1:13" ht="17.25" hidden="1" customHeight="1" x14ac:dyDescent="0.25">
      <c r="A734" s="183" t="s">
        <v>131</v>
      </c>
      <c r="B734" s="190">
        <v>1097</v>
      </c>
      <c r="C734" s="184">
        <v>2013</v>
      </c>
      <c r="D734" s="183" t="s">
        <v>3658</v>
      </c>
      <c r="E734" s="183" t="s">
        <v>740</v>
      </c>
      <c r="F734" s="189">
        <v>250000</v>
      </c>
      <c r="G734" s="183" t="s">
        <v>741</v>
      </c>
      <c r="H734" s="183" t="s">
        <v>3659</v>
      </c>
      <c r="I734" s="183" t="s">
        <v>3660</v>
      </c>
      <c r="J734" s="183" t="s">
        <v>3658</v>
      </c>
      <c r="K734" s="183" t="s">
        <v>3661</v>
      </c>
      <c r="L734" s="184">
        <v>0</v>
      </c>
      <c r="M734" s="184">
        <v>101.8</v>
      </c>
    </row>
    <row r="735" spans="1:13" ht="17.25" hidden="1" customHeight="1" x14ac:dyDescent="0.25">
      <c r="A735" s="183" t="s">
        <v>131</v>
      </c>
      <c r="B735" s="190">
        <v>1098</v>
      </c>
      <c r="C735" s="184">
        <v>2013</v>
      </c>
      <c r="D735" s="183" t="s">
        <v>3662</v>
      </c>
      <c r="E735" s="183" t="s">
        <v>740</v>
      </c>
      <c r="F735" s="189">
        <v>250000</v>
      </c>
      <c r="G735" s="183" t="s">
        <v>741</v>
      </c>
      <c r="H735" s="183" t="s">
        <v>3663</v>
      </c>
      <c r="I735" s="183" t="s">
        <v>3664</v>
      </c>
      <c r="J735" s="183" t="s">
        <v>3662</v>
      </c>
      <c r="K735" s="183" t="s">
        <v>3665</v>
      </c>
      <c r="L735" s="184">
        <v>0</v>
      </c>
      <c r="M735" s="184">
        <v>14</v>
      </c>
    </row>
    <row r="736" spans="1:13" ht="17.25" hidden="1" customHeight="1" x14ac:dyDescent="0.25">
      <c r="A736" s="183" t="s">
        <v>131</v>
      </c>
      <c r="B736" s="190">
        <v>1096</v>
      </c>
      <c r="C736" s="184">
        <v>2013</v>
      </c>
      <c r="D736" s="183" t="s">
        <v>3666</v>
      </c>
      <c r="E736" s="183" t="s">
        <v>740</v>
      </c>
      <c r="F736" s="189">
        <v>250000</v>
      </c>
      <c r="G736" s="183" t="s">
        <v>741</v>
      </c>
      <c r="H736" s="183" t="s">
        <v>3667</v>
      </c>
      <c r="I736" s="183" t="s">
        <v>3668</v>
      </c>
      <c r="J736" s="183" t="s">
        <v>3669</v>
      </c>
      <c r="K736" s="183" t="s">
        <v>3647</v>
      </c>
      <c r="L736" s="184">
        <v>0</v>
      </c>
      <c r="M736" s="184">
        <v>11.6</v>
      </c>
    </row>
    <row r="737" spans="1:13" ht="17.25" hidden="1" customHeight="1" x14ac:dyDescent="0.25">
      <c r="A737" s="183" t="s">
        <v>387</v>
      </c>
      <c r="B737" s="190">
        <v>1444</v>
      </c>
      <c r="C737" s="184">
        <v>2011</v>
      </c>
      <c r="D737" s="183" t="s">
        <v>3670</v>
      </c>
      <c r="E737" s="183" t="s">
        <v>740</v>
      </c>
      <c r="F737" s="185">
        <v>584088.11</v>
      </c>
      <c r="G737" s="183" t="s">
        <v>773</v>
      </c>
      <c r="H737" s="183" t="s">
        <v>3671</v>
      </c>
      <c r="I737" s="183" t="s">
        <v>3672</v>
      </c>
      <c r="J737" s="183" t="s">
        <v>3673</v>
      </c>
      <c r="K737" s="183" t="s">
        <v>2253</v>
      </c>
      <c r="L737" s="184">
        <v>0</v>
      </c>
      <c r="M737" s="184">
        <v>106</v>
      </c>
    </row>
    <row r="738" spans="1:13" ht="17.25" hidden="1" customHeight="1" x14ac:dyDescent="0.25">
      <c r="A738" s="183" t="s">
        <v>387</v>
      </c>
      <c r="B738" s="190">
        <v>1428</v>
      </c>
      <c r="C738" s="184">
        <v>2011</v>
      </c>
      <c r="D738" s="183" t="s">
        <v>3674</v>
      </c>
      <c r="E738" s="183" t="s">
        <v>773</v>
      </c>
      <c r="F738" s="185">
        <v>11756.72</v>
      </c>
      <c r="G738" s="183" t="s">
        <v>741</v>
      </c>
      <c r="H738" s="183" t="s">
        <v>3671</v>
      </c>
      <c r="I738" s="183" t="s">
        <v>3675</v>
      </c>
      <c r="J738" s="183" t="s">
        <v>3676</v>
      </c>
      <c r="K738" s="183" t="s">
        <v>3677</v>
      </c>
      <c r="L738" s="184">
        <v>0</v>
      </c>
      <c r="M738" s="184">
        <v>330</v>
      </c>
    </row>
    <row r="739" spans="1:13" ht="17.25" hidden="1" customHeight="1" x14ac:dyDescent="0.25">
      <c r="A739" s="183" t="s">
        <v>387</v>
      </c>
      <c r="B739" s="190">
        <v>1427</v>
      </c>
      <c r="C739" s="184">
        <v>2011</v>
      </c>
      <c r="D739" s="183" t="s">
        <v>3678</v>
      </c>
      <c r="E739" s="183" t="s">
        <v>773</v>
      </c>
      <c r="F739" s="185">
        <v>3438.64</v>
      </c>
      <c r="G739" s="183" t="s">
        <v>741</v>
      </c>
      <c r="H739" s="183" t="s">
        <v>3671</v>
      </c>
      <c r="I739" s="183" t="s">
        <v>3679</v>
      </c>
      <c r="J739" s="183" t="s">
        <v>3680</v>
      </c>
      <c r="K739" s="183" t="s">
        <v>791</v>
      </c>
      <c r="L739" s="184">
        <v>0</v>
      </c>
      <c r="M739" s="184">
        <v>320</v>
      </c>
    </row>
    <row r="740" spans="1:13" ht="17.25" hidden="1" customHeight="1" x14ac:dyDescent="0.25">
      <c r="A740" s="183" t="s">
        <v>387</v>
      </c>
      <c r="B740" s="190">
        <v>1429</v>
      </c>
      <c r="C740" s="184">
        <v>2011</v>
      </c>
      <c r="D740" s="183" t="s">
        <v>3681</v>
      </c>
      <c r="E740" s="183" t="s">
        <v>773</v>
      </c>
      <c r="F740" s="185">
        <v>11622.15</v>
      </c>
      <c r="G740" s="183" t="s">
        <v>741</v>
      </c>
      <c r="H740" s="183" t="s">
        <v>3671</v>
      </c>
      <c r="I740" s="183" t="s">
        <v>3682</v>
      </c>
      <c r="J740" s="183" t="s">
        <v>3683</v>
      </c>
      <c r="K740" s="183" t="s">
        <v>3684</v>
      </c>
      <c r="L740" s="184">
        <v>0</v>
      </c>
      <c r="M740" s="184">
        <v>317</v>
      </c>
    </row>
    <row r="741" spans="1:13" ht="17.25" hidden="1" customHeight="1" x14ac:dyDescent="0.25">
      <c r="A741" s="183" t="s">
        <v>387</v>
      </c>
      <c r="B741" s="190">
        <v>1431</v>
      </c>
      <c r="C741" s="184">
        <v>2011</v>
      </c>
      <c r="D741" s="183" t="s">
        <v>3685</v>
      </c>
      <c r="E741" s="183" t="s">
        <v>773</v>
      </c>
      <c r="F741" s="185">
        <v>12661</v>
      </c>
      <c r="G741" s="183" t="s">
        <v>741</v>
      </c>
      <c r="H741" s="183" t="s">
        <v>3686</v>
      </c>
      <c r="I741" s="183" t="s">
        <v>3687</v>
      </c>
      <c r="J741" s="183" t="s">
        <v>3688</v>
      </c>
      <c r="K741" s="183" t="s">
        <v>3689</v>
      </c>
      <c r="L741" s="184">
        <v>0</v>
      </c>
      <c r="M741" s="184">
        <v>9</v>
      </c>
    </row>
    <row r="742" spans="1:13" ht="17.25" hidden="1" customHeight="1" x14ac:dyDescent="0.25">
      <c r="A742" s="183" t="s">
        <v>387</v>
      </c>
      <c r="B742" s="190">
        <v>1435</v>
      </c>
      <c r="C742" s="184">
        <v>2011</v>
      </c>
      <c r="D742" s="183" t="s">
        <v>3690</v>
      </c>
      <c r="E742" s="183" t="s">
        <v>773</v>
      </c>
      <c r="F742" s="185">
        <v>16331.85</v>
      </c>
      <c r="G742" s="183" t="s">
        <v>741</v>
      </c>
      <c r="H742" s="183" t="s">
        <v>3691</v>
      </c>
      <c r="I742" s="183" t="s">
        <v>3692</v>
      </c>
      <c r="J742" s="183" t="s">
        <v>3693</v>
      </c>
      <c r="K742" s="183" t="s">
        <v>1583</v>
      </c>
      <c r="L742" s="184">
        <v>0</v>
      </c>
      <c r="M742" s="184">
        <v>4.8</v>
      </c>
    </row>
    <row r="743" spans="1:13" ht="17.25" hidden="1" customHeight="1" x14ac:dyDescent="0.25">
      <c r="A743" s="183" t="s">
        <v>387</v>
      </c>
      <c r="B743" s="190">
        <v>1440</v>
      </c>
      <c r="C743" s="184">
        <v>2011</v>
      </c>
      <c r="D743" s="183" t="s">
        <v>3694</v>
      </c>
      <c r="E743" s="183" t="s">
        <v>773</v>
      </c>
      <c r="F743" s="185">
        <v>23205.599999999999</v>
      </c>
      <c r="G743" s="183" t="s">
        <v>741</v>
      </c>
      <c r="H743" s="183" t="s">
        <v>3695</v>
      </c>
      <c r="I743" s="183" t="s">
        <v>3696</v>
      </c>
      <c r="J743" s="183" t="s">
        <v>3697</v>
      </c>
      <c r="K743" s="183" t="s">
        <v>1583</v>
      </c>
      <c r="L743" s="184">
        <v>0</v>
      </c>
      <c r="M743" s="184">
        <v>2.4</v>
      </c>
    </row>
    <row r="744" spans="1:13" ht="17.25" hidden="1" customHeight="1" x14ac:dyDescent="0.25">
      <c r="A744" s="183" t="s">
        <v>387</v>
      </c>
      <c r="B744" s="190">
        <v>1430</v>
      </c>
      <c r="C744" s="184">
        <v>2011</v>
      </c>
      <c r="D744" s="183" t="s">
        <v>3698</v>
      </c>
      <c r="E744" s="183" t="s">
        <v>773</v>
      </c>
      <c r="F744" s="185">
        <v>26376</v>
      </c>
      <c r="G744" s="183" t="s">
        <v>741</v>
      </c>
      <c r="H744" s="183" t="s">
        <v>3699</v>
      </c>
      <c r="I744" s="183" t="s">
        <v>3700</v>
      </c>
      <c r="J744" s="183" t="s">
        <v>3701</v>
      </c>
      <c r="K744" s="183" t="s">
        <v>3702</v>
      </c>
      <c r="L744" s="184">
        <v>0</v>
      </c>
      <c r="M744" s="184">
        <v>1.4</v>
      </c>
    </row>
    <row r="745" spans="1:13" ht="17.25" hidden="1" customHeight="1" x14ac:dyDescent="0.25">
      <c r="A745" s="183" t="s">
        <v>387</v>
      </c>
      <c r="B745" s="190">
        <v>1432</v>
      </c>
      <c r="C745" s="184">
        <v>2011</v>
      </c>
      <c r="D745" s="183" t="s">
        <v>3703</v>
      </c>
      <c r="E745" s="183" t="s">
        <v>773</v>
      </c>
      <c r="F745" s="185">
        <v>23633</v>
      </c>
      <c r="G745" s="183" t="s">
        <v>749</v>
      </c>
      <c r="H745" s="183" t="s">
        <v>3704</v>
      </c>
      <c r="I745" s="183" t="s">
        <v>3705</v>
      </c>
      <c r="J745" s="183" t="s">
        <v>3706</v>
      </c>
      <c r="K745" s="183" t="s">
        <v>3707</v>
      </c>
      <c r="L745" s="184">
        <v>0</v>
      </c>
      <c r="M745" s="184">
        <v>74.400000000000006</v>
      </c>
    </row>
    <row r="746" spans="1:13" ht="17.25" hidden="1" customHeight="1" x14ac:dyDescent="0.25">
      <c r="A746" s="183" t="s">
        <v>387</v>
      </c>
      <c r="B746" s="190">
        <v>1439</v>
      </c>
      <c r="C746" s="184">
        <v>2011</v>
      </c>
      <c r="D746" s="183" t="s">
        <v>3708</v>
      </c>
      <c r="E746" s="183" t="s">
        <v>773</v>
      </c>
      <c r="F746" s="185">
        <v>17936</v>
      </c>
      <c r="G746" s="183" t="s">
        <v>749</v>
      </c>
      <c r="H746" s="183" t="s">
        <v>3709</v>
      </c>
      <c r="I746" s="183" t="s">
        <v>3710</v>
      </c>
      <c r="J746" s="183" t="s">
        <v>3711</v>
      </c>
      <c r="K746" s="183" t="s">
        <v>3712</v>
      </c>
      <c r="L746" s="184">
        <v>0</v>
      </c>
      <c r="M746" s="184">
        <v>33.6</v>
      </c>
    </row>
    <row r="747" spans="1:13" ht="17.25" hidden="1" customHeight="1" x14ac:dyDescent="0.25">
      <c r="A747" s="183" t="s">
        <v>387</v>
      </c>
      <c r="B747" s="190">
        <v>1443</v>
      </c>
      <c r="C747" s="184">
        <v>2011</v>
      </c>
      <c r="D747" s="183" t="s">
        <v>3713</v>
      </c>
      <c r="E747" s="183" t="s">
        <v>773</v>
      </c>
      <c r="F747" s="185">
        <v>41370</v>
      </c>
      <c r="G747" s="183" t="s">
        <v>749</v>
      </c>
      <c r="H747" s="183" t="s">
        <v>3714</v>
      </c>
      <c r="I747" s="183" t="s">
        <v>3715</v>
      </c>
      <c r="J747" s="183" t="s">
        <v>3716</v>
      </c>
      <c r="K747" s="183" t="s">
        <v>3717</v>
      </c>
      <c r="L747" s="184">
        <v>0</v>
      </c>
      <c r="M747" s="184">
        <v>27.3</v>
      </c>
    </row>
    <row r="748" spans="1:13" ht="17.25" hidden="1" customHeight="1" x14ac:dyDescent="0.25">
      <c r="A748" s="183" t="s">
        <v>387</v>
      </c>
      <c r="B748" s="190">
        <v>1434</v>
      </c>
      <c r="C748" s="184">
        <v>2011</v>
      </c>
      <c r="D748" s="183" t="s">
        <v>3718</v>
      </c>
      <c r="E748" s="183" t="s">
        <v>773</v>
      </c>
      <c r="F748" s="185">
        <v>26376</v>
      </c>
      <c r="G748" s="183" t="s">
        <v>749</v>
      </c>
      <c r="H748" s="183" t="s">
        <v>3719</v>
      </c>
      <c r="I748" s="183" t="s">
        <v>3720</v>
      </c>
      <c r="J748" s="183" t="s">
        <v>3721</v>
      </c>
      <c r="K748" s="183" t="s">
        <v>3722</v>
      </c>
      <c r="L748" s="184">
        <v>0</v>
      </c>
      <c r="M748" s="184">
        <v>20.7</v>
      </c>
    </row>
    <row r="749" spans="1:13" ht="17.25" hidden="1" customHeight="1" x14ac:dyDescent="0.25">
      <c r="A749" s="183" t="s">
        <v>387</v>
      </c>
      <c r="B749" s="190">
        <v>1441</v>
      </c>
      <c r="C749" s="184">
        <v>2011</v>
      </c>
      <c r="D749" s="183" t="s">
        <v>3723</v>
      </c>
      <c r="E749" s="183" t="s">
        <v>773</v>
      </c>
      <c r="F749" s="185">
        <v>31376</v>
      </c>
      <c r="G749" s="183" t="s">
        <v>749</v>
      </c>
      <c r="H749" s="183" t="s">
        <v>3724</v>
      </c>
      <c r="I749" s="183" t="s">
        <v>3725</v>
      </c>
      <c r="J749" s="183" t="s">
        <v>3726</v>
      </c>
      <c r="K749" s="183" t="s">
        <v>3727</v>
      </c>
      <c r="L749" s="184">
        <v>0</v>
      </c>
      <c r="M749" s="184">
        <v>17.2</v>
      </c>
    </row>
    <row r="750" spans="1:13" ht="17.25" hidden="1" customHeight="1" x14ac:dyDescent="0.25">
      <c r="A750" s="183" t="s">
        <v>387</v>
      </c>
      <c r="B750" s="190">
        <v>1436</v>
      </c>
      <c r="C750" s="184">
        <v>2011</v>
      </c>
      <c r="D750" s="183" t="s">
        <v>3728</v>
      </c>
      <c r="E750" s="183" t="s">
        <v>773</v>
      </c>
      <c r="F750" s="185">
        <v>46376</v>
      </c>
      <c r="G750" s="183" t="s">
        <v>749</v>
      </c>
      <c r="H750" s="183" t="s">
        <v>2762</v>
      </c>
      <c r="I750" s="183" t="s">
        <v>3729</v>
      </c>
      <c r="J750" s="183" t="s">
        <v>3730</v>
      </c>
      <c r="K750" s="183" t="s">
        <v>1354</v>
      </c>
      <c r="L750" s="184">
        <v>0</v>
      </c>
      <c r="M750" s="184">
        <v>9</v>
      </c>
    </row>
    <row r="751" spans="1:13" ht="17.25" hidden="1" customHeight="1" x14ac:dyDescent="0.25">
      <c r="A751" s="183" t="s">
        <v>387</v>
      </c>
      <c r="B751" s="190">
        <v>1433</v>
      </c>
      <c r="C751" s="184">
        <v>2011</v>
      </c>
      <c r="D751" s="183" t="s">
        <v>3731</v>
      </c>
      <c r="E751" s="183" t="s">
        <v>773</v>
      </c>
      <c r="F751" s="185">
        <v>25321</v>
      </c>
      <c r="G751" s="183" t="s">
        <v>749</v>
      </c>
      <c r="H751" s="183" t="s">
        <v>3732</v>
      </c>
      <c r="I751" s="183" t="s">
        <v>3733</v>
      </c>
      <c r="J751" s="183" t="s">
        <v>1214</v>
      </c>
      <c r="K751" s="183" t="s">
        <v>3734</v>
      </c>
      <c r="L751" s="184">
        <v>0</v>
      </c>
      <c r="M751" s="184">
        <v>2.4</v>
      </c>
    </row>
    <row r="752" spans="1:13" ht="17.25" hidden="1" customHeight="1" x14ac:dyDescent="0.25">
      <c r="A752" s="183" t="s">
        <v>387</v>
      </c>
      <c r="B752" s="190">
        <v>1442</v>
      </c>
      <c r="C752" s="184">
        <v>2011</v>
      </c>
      <c r="D752" s="183" t="s">
        <v>3735</v>
      </c>
      <c r="E752" s="183" t="s">
        <v>773</v>
      </c>
      <c r="F752" s="185">
        <v>10578</v>
      </c>
      <c r="G752" s="183" t="s">
        <v>749</v>
      </c>
      <c r="H752" s="183" t="s">
        <v>3736</v>
      </c>
      <c r="I752" s="183" t="s">
        <v>3737</v>
      </c>
      <c r="J752" s="183" t="s">
        <v>3738</v>
      </c>
      <c r="K752" s="183" t="s">
        <v>3739</v>
      </c>
      <c r="L752" s="184">
        <v>0</v>
      </c>
      <c r="M752" s="184">
        <v>2</v>
      </c>
    </row>
    <row r="753" spans="1:13" ht="17.25" hidden="1" customHeight="1" x14ac:dyDescent="0.25">
      <c r="A753" s="183" t="s">
        <v>387</v>
      </c>
      <c r="B753" s="190">
        <v>1438</v>
      </c>
      <c r="C753" s="184">
        <v>2011</v>
      </c>
      <c r="D753" s="183" t="s">
        <v>3740</v>
      </c>
      <c r="E753" s="183" t="s">
        <v>773</v>
      </c>
      <c r="F753" s="185">
        <v>20820</v>
      </c>
      <c r="G753" s="183" t="s">
        <v>749</v>
      </c>
      <c r="H753" s="183" t="s">
        <v>3741</v>
      </c>
      <c r="I753" s="183" t="s">
        <v>3742</v>
      </c>
      <c r="J753" s="183" t="s">
        <v>3743</v>
      </c>
      <c r="K753" s="183" t="s">
        <v>3744</v>
      </c>
      <c r="L753" s="184">
        <v>0</v>
      </c>
      <c r="M753" s="184">
        <v>1.8</v>
      </c>
    </row>
    <row r="754" spans="1:13" ht="17.25" hidden="1" customHeight="1" x14ac:dyDescent="0.25">
      <c r="A754" s="183" t="s">
        <v>387</v>
      </c>
      <c r="B754" s="190">
        <v>1437</v>
      </c>
      <c r="C754" s="184">
        <v>2011</v>
      </c>
      <c r="D754" s="183" t="s">
        <v>3745</v>
      </c>
      <c r="E754" s="183" t="s">
        <v>773</v>
      </c>
      <c r="F754" s="185">
        <v>10567</v>
      </c>
      <c r="G754" s="183" t="s">
        <v>749</v>
      </c>
      <c r="H754" s="183" t="s">
        <v>3746</v>
      </c>
      <c r="I754" s="183" t="s">
        <v>3747</v>
      </c>
      <c r="J754" s="183" t="s">
        <v>3748</v>
      </c>
      <c r="K754" s="183" t="s">
        <v>3707</v>
      </c>
      <c r="L754" s="184">
        <v>0</v>
      </c>
      <c r="M754" s="184">
        <v>1.3</v>
      </c>
    </row>
    <row r="755" spans="1:13" ht="17.25" hidden="1" customHeight="1" x14ac:dyDescent="0.25">
      <c r="A755" s="183" t="s">
        <v>387</v>
      </c>
      <c r="B755" s="190">
        <v>1445</v>
      </c>
      <c r="C755" s="184">
        <v>2012</v>
      </c>
      <c r="D755" s="183" t="s">
        <v>3749</v>
      </c>
      <c r="E755" s="183" t="s">
        <v>740</v>
      </c>
      <c r="F755" s="185">
        <v>560703.12</v>
      </c>
      <c r="G755" s="183" t="s">
        <v>741</v>
      </c>
      <c r="H755" s="183" t="s">
        <v>3671</v>
      </c>
      <c r="I755" s="183" t="s">
        <v>3750</v>
      </c>
      <c r="J755" s="183" t="s">
        <v>3673</v>
      </c>
      <c r="K755" s="183" t="s">
        <v>2253</v>
      </c>
      <c r="L755" s="184">
        <v>0</v>
      </c>
      <c r="M755" s="184">
        <v>106</v>
      </c>
    </row>
    <row r="756" spans="1:13" ht="17.25" hidden="1" customHeight="1" x14ac:dyDescent="0.25">
      <c r="A756" s="183" t="s">
        <v>387</v>
      </c>
      <c r="B756" s="190">
        <v>1448</v>
      </c>
      <c r="C756" s="184">
        <v>2013</v>
      </c>
      <c r="D756" s="183" t="s">
        <v>3751</v>
      </c>
      <c r="E756" s="183" t="s">
        <v>773</v>
      </c>
      <c r="F756" s="185">
        <v>51370</v>
      </c>
      <c r="G756" s="183" t="s">
        <v>740</v>
      </c>
      <c r="H756" s="183" t="s">
        <v>3704</v>
      </c>
      <c r="I756" s="183" t="s">
        <v>3752</v>
      </c>
      <c r="J756" s="183" t="s">
        <v>3753</v>
      </c>
      <c r="K756" s="183" t="s">
        <v>3754</v>
      </c>
      <c r="L756" s="184">
        <v>0</v>
      </c>
      <c r="M756" s="184">
        <v>78.2</v>
      </c>
    </row>
    <row r="757" spans="1:13" ht="17.25" hidden="1" customHeight="1" x14ac:dyDescent="0.25">
      <c r="A757" s="183" t="s">
        <v>387</v>
      </c>
      <c r="B757" s="190">
        <v>1455</v>
      </c>
      <c r="C757" s="184">
        <v>2013</v>
      </c>
      <c r="D757" s="183" t="s">
        <v>3755</v>
      </c>
      <c r="E757" s="183" t="s">
        <v>740</v>
      </c>
      <c r="F757" s="185">
        <v>25331</v>
      </c>
      <c r="G757" s="183" t="s">
        <v>741</v>
      </c>
      <c r="H757" s="183" t="s">
        <v>3709</v>
      </c>
      <c r="I757" s="183" t="s">
        <v>3756</v>
      </c>
      <c r="J757" s="183" t="s">
        <v>3757</v>
      </c>
      <c r="K757" s="183" t="s">
        <v>3712</v>
      </c>
      <c r="L757" s="184">
        <v>0</v>
      </c>
      <c r="M757" s="184">
        <v>17</v>
      </c>
    </row>
    <row r="758" spans="1:13" ht="17.25" hidden="1" customHeight="1" x14ac:dyDescent="0.25">
      <c r="A758" s="183" t="s">
        <v>387</v>
      </c>
      <c r="B758" s="190">
        <v>1449</v>
      </c>
      <c r="C758" s="184">
        <v>2013</v>
      </c>
      <c r="D758" s="183" t="s">
        <v>3758</v>
      </c>
      <c r="E758" s="183" t="s">
        <v>740</v>
      </c>
      <c r="F758" s="185">
        <v>46386</v>
      </c>
      <c r="G758" s="183" t="s">
        <v>741</v>
      </c>
      <c r="H758" s="183" t="s">
        <v>3732</v>
      </c>
      <c r="I758" s="183" t="s">
        <v>3759</v>
      </c>
      <c r="J758" s="183" t="s">
        <v>3760</v>
      </c>
      <c r="K758" s="183" t="s">
        <v>3734</v>
      </c>
      <c r="L758" s="184">
        <v>0</v>
      </c>
      <c r="M758" s="184">
        <v>1.5</v>
      </c>
    </row>
    <row r="759" spans="1:13" ht="17.25" hidden="1" customHeight="1" x14ac:dyDescent="0.25">
      <c r="A759" s="183" t="s">
        <v>387</v>
      </c>
      <c r="B759" s="190">
        <v>1456</v>
      </c>
      <c r="C759" s="184">
        <v>2013</v>
      </c>
      <c r="D759" s="183" t="s">
        <v>3761</v>
      </c>
      <c r="E759" s="183" t="s">
        <v>740</v>
      </c>
      <c r="F759" s="185">
        <v>29386</v>
      </c>
      <c r="G759" s="183" t="s">
        <v>741</v>
      </c>
      <c r="H759" s="183" t="s">
        <v>3762</v>
      </c>
      <c r="I759" s="183"/>
      <c r="J759" s="183" t="s">
        <v>3763</v>
      </c>
      <c r="K759" s="183" t="s">
        <v>3764</v>
      </c>
      <c r="L759" s="184">
        <v>0</v>
      </c>
      <c r="M759" s="184">
        <v>0.2</v>
      </c>
    </row>
    <row r="760" spans="1:13" ht="17.25" hidden="1" customHeight="1" x14ac:dyDescent="0.25">
      <c r="A760" s="183" t="s">
        <v>387</v>
      </c>
      <c r="B760" s="190">
        <v>1450</v>
      </c>
      <c r="C760" s="184">
        <v>2013</v>
      </c>
      <c r="D760" s="183" t="s">
        <v>3765</v>
      </c>
      <c r="E760" s="183" t="s">
        <v>773</v>
      </c>
      <c r="F760" s="185">
        <v>39386</v>
      </c>
      <c r="G760" s="183" t="s">
        <v>749</v>
      </c>
      <c r="H760" s="183" t="s">
        <v>3766</v>
      </c>
      <c r="I760" s="183"/>
      <c r="J760" s="183" t="s">
        <v>3767</v>
      </c>
      <c r="K760" s="183" t="s">
        <v>3754</v>
      </c>
      <c r="L760" s="184">
        <v>0</v>
      </c>
      <c r="M760" s="184">
        <v>40</v>
      </c>
    </row>
    <row r="761" spans="1:13" ht="17.25" hidden="1" customHeight="1" x14ac:dyDescent="0.25">
      <c r="A761" s="183" t="s">
        <v>387</v>
      </c>
      <c r="B761" s="190">
        <v>1452</v>
      </c>
      <c r="C761" s="184">
        <v>2013</v>
      </c>
      <c r="D761" s="183" t="s">
        <v>3768</v>
      </c>
      <c r="E761" s="183" t="s">
        <v>773</v>
      </c>
      <c r="F761" s="185">
        <v>28386</v>
      </c>
      <c r="G761" s="183" t="s">
        <v>749</v>
      </c>
      <c r="H761" s="183" t="s">
        <v>3769</v>
      </c>
      <c r="I761" s="183"/>
      <c r="J761" s="183" t="s">
        <v>3770</v>
      </c>
      <c r="K761" s="183" t="s">
        <v>3771</v>
      </c>
      <c r="L761" s="184">
        <v>0</v>
      </c>
      <c r="M761" s="184">
        <v>16</v>
      </c>
    </row>
    <row r="762" spans="1:13" ht="17.25" hidden="1" customHeight="1" x14ac:dyDescent="0.25">
      <c r="A762" s="183" t="s">
        <v>387</v>
      </c>
      <c r="B762" s="190">
        <v>1446</v>
      </c>
      <c r="C762" s="184">
        <v>2013</v>
      </c>
      <c r="D762" s="183" t="s">
        <v>3772</v>
      </c>
      <c r="E762" s="183" t="s">
        <v>740</v>
      </c>
      <c r="F762" s="185">
        <v>19324</v>
      </c>
      <c r="G762" s="183" t="s">
        <v>749</v>
      </c>
      <c r="H762" s="183" t="s">
        <v>3686</v>
      </c>
      <c r="I762" s="183"/>
      <c r="J762" s="183" t="s">
        <v>3773</v>
      </c>
      <c r="K762" s="183" t="s">
        <v>2899</v>
      </c>
      <c r="L762" s="184">
        <v>0</v>
      </c>
      <c r="M762" s="184">
        <v>15</v>
      </c>
    </row>
    <row r="763" spans="1:13" ht="17.25" hidden="1" customHeight="1" x14ac:dyDescent="0.25">
      <c r="A763" s="183" t="s">
        <v>387</v>
      </c>
      <c r="B763" s="190">
        <v>1454</v>
      </c>
      <c r="C763" s="184">
        <v>2013</v>
      </c>
      <c r="D763" s="183" t="s">
        <v>3774</v>
      </c>
      <c r="E763" s="183" t="s">
        <v>740</v>
      </c>
      <c r="F763" s="185">
        <v>47386</v>
      </c>
      <c r="G763" s="183" t="s">
        <v>749</v>
      </c>
      <c r="H763" s="183" t="s">
        <v>3775</v>
      </c>
      <c r="I763" s="183"/>
      <c r="J763" s="183" t="s">
        <v>3776</v>
      </c>
      <c r="K763" s="183" t="s">
        <v>1583</v>
      </c>
      <c r="L763" s="184">
        <v>0</v>
      </c>
      <c r="M763" s="184">
        <v>15</v>
      </c>
    </row>
    <row r="764" spans="1:13" ht="17.25" hidden="1" customHeight="1" x14ac:dyDescent="0.25">
      <c r="A764" s="183" t="s">
        <v>387</v>
      </c>
      <c r="B764" s="190">
        <v>1447</v>
      </c>
      <c r="C764" s="184">
        <v>2013</v>
      </c>
      <c r="D764" s="183" t="s">
        <v>3777</v>
      </c>
      <c r="E764" s="183" t="s">
        <v>740</v>
      </c>
      <c r="F764" s="185">
        <v>51386</v>
      </c>
      <c r="G764" s="183" t="s">
        <v>749</v>
      </c>
      <c r="H764" s="183" t="s">
        <v>3778</v>
      </c>
      <c r="I764" s="183"/>
      <c r="J764" s="183" t="s">
        <v>3779</v>
      </c>
      <c r="K764" s="183" t="s">
        <v>3780</v>
      </c>
      <c r="L764" s="184">
        <v>0</v>
      </c>
      <c r="M764" s="184">
        <v>3.3</v>
      </c>
    </row>
    <row r="765" spans="1:13" ht="17.25" hidden="1" customHeight="1" x14ac:dyDescent="0.25">
      <c r="A765" s="183" t="s">
        <v>387</v>
      </c>
      <c r="B765" s="190">
        <v>1453</v>
      </c>
      <c r="C765" s="184">
        <v>2013</v>
      </c>
      <c r="D765" s="183" t="s">
        <v>3781</v>
      </c>
      <c r="E765" s="183" t="s">
        <v>773</v>
      </c>
      <c r="F765" s="185">
        <v>12665</v>
      </c>
      <c r="G765" s="183" t="s">
        <v>749</v>
      </c>
      <c r="H765" s="183" t="s">
        <v>3782</v>
      </c>
      <c r="I765" s="183" t="s">
        <v>3783</v>
      </c>
      <c r="J765" s="183" t="s">
        <v>3784</v>
      </c>
      <c r="K765" s="183" t="s">
        <v>3785</v>
      </c>
      <c r="L765" s="184">
        <v>0</v>
      </c>
      <c r="M765" s="184">
        <v>2.1</v>
      </c>
    </row>
    <row r="766" spans="1:13" ht="17.25" hidden="1" customHeight="1" x14ac:dyDescent="0.25">
      <c r="A766" s="183" t="s">
        <v>387</v>
      </c>
      <c r="B766" s="190">
        <v>1451</v>
      </c>
      <c r="C766" s="184">
        <v>2013</v>
      </c>
      <c r="D766" s="183" t="s">
        <v>3786</v>
      </c>
      <c r="E766" s="183" t="s">
        <v>740</v>
      </c>
      <c r="F766" s="185">
        <v>21109</v>
      </c>
      <c r="G766" s="183" t="s">
        <v>749</v>
      </c>
      <c r="H766" s="183" t="s">
        <v>3787</v>
      </c>
      <c r="I766" s="183" t="s">
        <v>3788</v>
      </c>
      <c r="J766" s="183" t="s">
        <v>3789</v>
      </c>
      <c r="K766" s="183" t="s">
        <v>3790</v>
      </c>
      <c r="L766" s="184">
        <v>0</v>
      </c>
      <c r="M766" s="184">
        <v>1.2</v>
      </c>
    </row>
    <row r="767" spans="1:13" ht="17.25" hidden="1" customHeight="1" x14ac:dyDescent="0.25">
      <c r="A767" s="183" t="s">
        <v>14</v>
      </c>
      <c r="B767" s="184">
        <v>796</v>
      </c>
      <c r="C767" s="184">
        <v>2011</v>
      </c>
      <c r="D767" s="183" t="s">
        <v>3791</v>
      </c>
      <c r="E767" s="183" t="s">
        <v>773</v>
      </c>
      <c r="F767" s="185">
        <v>459031</v>
      </c>
      <c r="G767" s="183" t="s">
        <v>740</v>
      </c>
      <c r="H767" s="183" t="s">
        <v>3792</v>
      </c>
      <c r="I767" s="183" t="s">
        <v>3793</v>
      </c>
      <c r="J767" s="183" t="s">
        <v>3794</v>
      </c>
      <c r="K767" s="183" t="s">
        <v>3510</v>
      </c>
      <c r="L767" s="184">
        <v>4</v>
      </c>
      <c r="M767" s="185">
        <v>2902</v>
      </c>
    </row>
    <row r="768" spans="1:13" ht="17.25" hidden="1" customHeight="1" x14ac:dyDescent="0.25">
      <c r="A768" s="183" t="s">
        <v>14</v>
      </c>
      <c r="B768" s="184">
        <v>798</v>
      </c>
      <c r="C768" s="184">
        <v>2011</v>
      </c>
      <c r="D768" s="183" t="s">
        <v>3795</v>
      </c>
      <c r="E768" s="183" t="s">
        <v>740</v>
      </c>
      <c r="F768" s="185">
        <v>507348</v>
      </c>
      <c r="G768" s="183" t="s">
        <v>740</v>
      </c>
      <c r="H768" s="183" t="s">
        <v>3792</v>
      </c>
      <c r="I768" s="183" t="s">
        <v>3796</v>
      </c>
      <c r="J768" s="183" t="s">
        <v>3797</v>
      </c>
      <c r="K768" s="183" t="s">
        <v>973</v>
      </c>
      <c r="L768" s="184">
        <v>6</v>
      </c>
      <c r="M768" s="184">
        <v>211</v>
      </c>
    </row>
    <row r="769" spans="1:13" ht="17.25" hidden="1" customHeight="1" x14ac:dyDescent="0.25">
      <c r="A769" s="183" t="s">
        <v>14</v>
      </c>
      <c r="B769" s="184">
        <v>797</v>
      </c>
      <c r="C769" s="184">
        <v>2011</v>
      </c>
      <c r="D769" s="183" t="s">
        <v>3798</v>
      </c>
      <c r="E769" s="183" t="s">
        <v>740</v>
      </c>
      <c r="F769" s="185">
        <v>466527</v>
      </c>
      <c r="G769" s="183" t="s">
        <v>741</v>
      </c>
      <c r="H769" s="183" t="s">
        <v>3792</v>
      </c>
      <c r="I769" s="183" t="s">
        <v>3799</v>
      </c>
      <c r="J769" s="183" t="s">
        <v>3800</v>
      </c>
      <c r="K769" s="183" t="s">
        <v>3801</v>
      </c>
      <c r="L769" s="184">
        <v>9</v>
      </c>
      <c r="M769" s="185">
        <v>1459</v>
      </c>
    </row>
    <row r="770" spans="1:13" ht="17.25" hidden="1" customHeight="1" x14ac:dyDescent="0.25">
      <c r="A770" s="183" t="s">
        <v>14</v>
      </c>
      <c r="B770" s="184">
        <v>799</v>
      </c>
      <c r="C770" s="184">
        <v>2011</v>
      </c>
      <c r="D770" s="183" t="s">
        <v>3802</v>
      </c>
      <c r="E770" s="183" t="s">
        <v>740</v>
      </c>
      <c r="F770" s="185">
        <v>81642</v>
      </c>
      <c r="G770" s="183" t="s">
        <v>741</v>
      </c>
      <c r="H770" s="183" t="s">
        <v>3792</v>
      </c>
      <c r="I770" s="183" t="s">
        <v>3803</v>
      </c>
      <c r="J770" s="183" t="s">
        <v>3800</v>
      </c>
      <c r="K770" s="183" t="s">
        <v>3801</v>
      </c>
      <c r="L770" s="184">
        <v>9</v>
      </c>
      <c r="M770" s="185">
        <v>1459</v>
      </c>
    </row>
    <row r="771" spans="1:13" ht="17.25" hidden="1" customHeight="1" x14ac:dyDescent="0.25">
      <c r="A771" s="183" t="s">
        <v>14</v>
      </c>
      <c r="B771" s="184">
        <v>809</v>
      </c>
      <c r="C771" s="184">
        <v>2012</v>
      </c>
      <c r="D771" s="183" t="s">
        <v>3804</v>
      </c>
      <c r="E771" s="183" t="s">
        <v>740</v>
      </c>
      <c r="F771" s="185">
        <v>36610</v>
      </c>
      <c r="G771" s="183" t="s">
        <v>749</v>
      </c>
      <c r="H771" s="183" t="s">
        <v>3792</v>
      </c>
      <c r="I771" s="183" t="s">
        <v>3805</v>
      </c>
      <c r="J771" s="183" t="s">
        <v>3806</v>
      </c>
      <c r="K771" s="183" t="s">
        <v>874</v>
      </c>
      <c r="L771" s="184">
        <v>5</v>
      </c>
      <c r="M771" s="185">
        <v>19514</v>
      </c>
    </row>
    <row r="772" spans="1:13" ht="17.25" hidden="1" customHeight="1" x14ac:dyDescent="0.25">
      <c r="A772" s="183" t="s">
        <v>14</v>
      </c>
      <c r="B772" s="184">
        <v>801</v>
      </c>
      <c r="C772" s="184">
        <v>2012</v>
      </c>
      <c r="D772" s="183" t="s">
        <v>3807</v>
      </c>
      <c r="E772" s="183" t="s">
        <v>740</v>
      </c>
      <c r="F772" s="185">
        <v>36610</v>
      </c>
      <c r="G772" s="183" t="s">
        <v>749</v>
      </c>
      <c r="H772" s="183" t="s">
        <v>3792</v>
      </c>
      <c r="I772" s="183" t="s">
        <v>3808</v>
      </c>
      <c r="J772" s="183" t="s">
        <v>3809</v>
      </c>
      <c r="K772" s="183" t="s">
        <v>786</v>
      </c>
      <c r="L772" s="184">
        <v>7</v>
      </c>
      <c r="M772" s="185">
        <v>12617.5</v>
      </c>
    </row>
    <row r="773" spans="1:13" ht="17.25" hidden="1" customHeight="1" x14ac:dyDescent="0.25">
      <c r="A773" s="183" t="s">
        <v>14</v>
      </c>
      <c r="B773" s="184">
        <v>800</v>
      </c>
      <c r="C773" s="184">
        <v>2012</v>
      </c>
      <c r="D773" s="183" t="s">
        <v>3810</v>
      </c>
      <c r="E773" s="183" t="s">
        <v>740</v>
      </c>
      <c r="F773" s="185">
        <v>36610</v>
      </c>
      <c r="G773" s="183" t="s">
        <v>749</v>
      </c>
      <c r="H773" s="183" t="s">
        <v>3792</v>
      </c>
      <c r="I773" s="183" t="s">
        <v>3811</v>
      </c>
      <c r="J773" s="183" t="s">
        <v>3812</v>
      </c>
      <c r="K773" s="183" t="s">
        <v>2003</v>
      </c>
      <c r="L773" s="184">
        <v>7</v>
      </c>
      <c r="M773" s="185">
        <v>10154.5</v>
      </c>
    </row>
    <row r="774" spans="1:13" ht="17.25" hidden="1" customHeight="1" x14ac:dyDescent="0.25">
      <c r="A774" s="183" t="s">
        <v>14</v>
      </c>
      <c r="B774" s="184">
        <v>811</v>
      </c>
      <c r="C774" s="184">
        <v>2012</v>
      </c>
      <c r="D774" s="183" t="s">
        <v>3813</v>
      </c>
      <c r="E774" s="183" t="s">
        <v>740</v>
      </c>
      <c r="F774" s="185">
        <v>36610</v>
      </c>
      <c r="G774" s="183" t="s">
        <v>749</v>
      </c>
      <c r="H774" s="183" t="s">
        <v>3792</v>
      </c>
      <c r="I774" s="183" t="s">
        <v>3814</v>
      </c>
      <c r="J774" s="183" t="s">
        <v>3815</v>
      </c>
      <c r="K774" s="183" t="s">
        <v>3816</v>
      </c>
      <c r="L774" s="184">
        <v>6</v>
      </c>
      <c r="M774" s="185">
        <v>6237</v>
      </c>
    </row>
    <row r="775" spans="1:13" ht="17.25" hidden="1" customHeight="1" x14ac:dyDescent="0.25">
      <c r="A775" s="183" t="s">
        <v>14</v>
      </c>
      <c r="B775" s="184">
        <v>806</v>
      </c>
      <c r="C775" s="184">
        <v>2012</v>
      </c>
      <c r="D775" s="183" t="s">
        <v>3817</v>
      </c>
      <c r="E775" s="183" t="s">
        <v>740</v>
      </c>
      <c r="F775" s="185">
        <v>36610</v>
      </c>
      <c r="G775" s="183" t="s">
        <v>749</v>
      </c>
      <c r="H775" s="183" t="s">
        <v>3792</v>
      </c>
      <c r="I775" s="183" t="s">
        <v>3818</v>
      </c>
      <c r="J775" s="183" t="s">
        <v>3819</v>
      </c>
      <c r="K775" s="183" t="s">
        <v>935</v>
      </c>
      <c r="L775" s="184">
        <v>8</v>
      </c>
      <c r="M775" s="185">
        <v>2650.3</v>
      </c>
    </row>
    <row r="776" spans="1:13" ht="17.25" hidden="1" customHeight="1" x14ac:dyDescent="0.25">
      <c r="A776" s="183" t="s">
        <v>14</v>
      </c>
      <c r="B776" s="184">
        <v>807</v>
      </c>
      <c r="C776" s="184">
        <v>2012</v>
      </c>
      <c r="D776" s="183" t="s">
        <v>3820</v>
      </c>
      <c r="E776" s="183" t="s">
        <v>740</v>
      </c>
      <c r="F776" s="185">
        <v>36610</v>
      </c>
      <c r="G776" s="183" t="s">
        <v>749</v>
      </c>
      <c r="H776" s="183" t="s">
        <v>3792</v>
      </c>
      <c r="I776" s="183" t="s">
        <v>3821</v>
      </c>
      <c r="J776" s="183" t="s">
        <v>3822</v>
      </c>
      <c r="K776" s="183" t="s">
        <v>3823</v>
      </c>
      <c r="L776" s="184">
        <v>4</v>
      </c>
      <c r="M776" s="185">
        <v>2475.1999999999998</v>
      </c>
    </row>
    <row r="777" spans="1:13" ht="17.25" hidden="1" customHeight="1" x14ac:dyDescent="0.25">
      <c r="A777" s="183" t="s">
        <v>14</v>
      </c>
      <c r="B777" s="184">
        <v>803</v>
      </c>
      <c r="C777" s="184">
        <v>2012</v>
      </c>
      <c r="D777" s="183" t="s">
        <v>3824</v>
      </c>
      <c r="E777" s="183" t="s">
        <v>740</v>
      </c>
      <c r="F777" s="185">
        <v>36610</v>
      </c>
      <c r="G777" s="183" t="s">
        <v>749</v>
      </c>
      <c r="H777" s="183" t="s">
        <v>3792</v>
      </c>
      <c r="I777" s="183" t="s">
        <v>3825</v>
      </c>
      <c r="J777" s="183" t="s">
        <v>3826</v>
      </c>
      <c r="K777" s="183" t="s">
        <v>3827</v>
      </c>
      <c r="L777" s="184">
        <v>1</v>
      </c>
      <c r="M777" s="185">
        <v>1994.4</v>
      </c>
    </row>
    <row r="778" spans="1:13" ht="17.25" hidden="1" customHeight="1" x14ac:dyDescent="0.25">
      <c r="A778" s="183" t="s">
        <v>14</v>
      </c>
      <c r="B778" s="184">
        <v>813</v>
      </c>
      <c r="C778" s="184">
        <v>2012</v>
      </c>
      <c r="D778" s="183" t="s">
        <v>3828</v>
      </c>
      <c r="E778" s="183" t="s">
        <v>740</v>
      </c>
      <c r="F778" s="185">
        <v>36610</v>
      </c>
      <c r="G778" s="183" t="s">
        <v>749</v>
      </c>
      <c r="H778" s="183" t="s">
        <v>3792</v>
      </c>
      <c r="I778" s="183" t="s">
        <v>3829</v>
      </c>
      <c r="J778" s="183" t="s">
        <v>3830</v>
      </c>
      <c r="K778" s="183" t="s">
        <v>2221</v>
      </c>
      <c r="L778" s="184">
        <v>4</v>
      </c>
      <c r="M778" s="185">
        <v>1667</v>
      </c>
    </row>
    <row r="779" spans="1:13" ht="17.25" hidden="1" customHeight="1" x14ac:dyDescent="0.25">
      <c r="A779" s="183" t="s">
        <v>14</v>
      </c>
      <c r="B779" s="184">
        <v>808</v>
      </c>
      <c r="C779" s="184">
        <v>2012</v>
      </c>
      <c r="D779" s="183" t="s">
        <v>3831</v>
      </c>
      <c r="E779" s="183" t="s">
        <v>740</v>
      </c>
      <c r="F779" s="185">
        <v>36610</v>
      </c>
      <c r="G779" s="183" t="s">
        <v>749</v>
      </c>
      <c r="H779" s="183" t="s">
        <v>3792</v>
      </c>
      <c r="I779" s="183" t="s">
        <v>3832</v>
      </c>
      <c r="J779" s="183" t="s">
        <v>3833</v>
      </c>
      <c r="K779" s="183" t="s">
        <v>791</v>
      </c>
      <c r="L779" s="184">
        <v>6</v>
      </c>
      <c r="M779" s="185">
        <v>1537</v>
      </c>
    </row>
    <row r="780" spans="1:13" ht="17.25" hidden="1" customHeight="1" x14ac:dyDescent="0.25">
      <c r="A780" s="183" t="s">
        <v>14</v>
      </c>
      <c r="B780" s="184">
        <v>810</v>
      </c>
      <c r="C780" s="184">
        <v>2012</v>
      </c>
      <c r="D780" s="183" t="s">
        <v>3834</v>
      </c>
      <c r="E780" s="183" t="s">
        <v>740</v>
      </c>
      <c r="F780" s="185">
        <v>36610</v>
      </c>
      <c r="G780" s="183" t="s">
        <v>749</v>
      </c>
      <c r="H780" s="183" t="s">
        <v>3792</v>
      </c>
      <c r="I780" s="183" t="s">
        <v>3835</v>
      </c>
      <c r="J780" s="183" t="s">
        <v>3836</v>
      </c>
      <c r="K780" s="183" t="s">
        <v>3837</v>
      </c>
      <c r="L780" s="184">
        <v>7</v>
      </c>
      <c r="M780" s="185">
        <v>1491.4</v>
      </c>
    </row>
    <row r="781" spans="1:13" ht="17.25" hidden="1" customHeight="1" x14ac:dyDescent="0.25">
      <c r="A781" s="183" t="s">
        <v>14</v>
      </c>
      <c r="B781" s="184">
        <v>802</v>
      </c>
      <c r="C781" s="184">
        <v>2012</v>
      </c>
      <c r="D781" s="183" t="s">
        <v>3838</v>
      </c>
      <c r="E781" s="183" t="s">
        <v>740</v>
      </c>
      <c r="F781" s="185">
        <v>36610</v>
      </c>
      <c r="G781" s="183" t="s">
        <v>749</v>
      </c>
      <c r="H781" s="183" t="s">
        <v>3792</v>
      </c>
      <c r="I781" s="183" t="s">
        <v>3839</v>
      </c>
      <c r="J781" s="183" t="s">
        <v>3840</v>
      </c>
      <c r="K781" s="183" t="s">
        <v>3841</v>
      </c>
      <c r="L781" s="184">
        <v>6</v>
      </c>
      <c r="M781" s="185">
        <v>1042.5</v>
      </c>
    </row>
    <row r="782" spans="1:13" ht="17.25" hidden="1" customHeight="1" x14ac:dyDescent="0.25">
      <c r="A782" s="183" t="s">
        <v>14</v>
      </c>
      <c r="B782" s="184">
        <v>804</v>
      </c>
      <c r="C782" s="184">
        <v>2012</v>
      </c>
      <c r="D782" s="183" t="s">
        <v>3842</v>
      </c>
      <c r="E782" s="183" t="s">
        <v>740</v>
      </c>
      <c r="F782" s="185">
        <v>36610</v>
      </c>
      <c r="G782" s="183" t="s">
        <v>749</v>
      </c>
      <c r="H782" s="183" t="s">
        <v>3792</v>
      </c>
      <c r="I782" s="183" t="s">
        <v>3843</v>
      </c>
      <c r="J782" s="183" t="s">
        <v>3844</v>
      </c>
      <c r="K782" s="183" t="s">
        <v>1354</v>
      </c>
      <c r="L782" s="184">
        <v>8</v>
      </c>
      <c r="M782" s="185">
        <v>1032.7</v>
      </c>
    </row>
    <row r="783" spans="1:13" ht="17.25" hidden="1" customHeight="1" x14ac:dyDescent="0.25">
      <c r="A783" s="183" t="s">
        <v>14</v>
      </c>
      <c r="B783" s="184">
        <v>812</v>
      </c>
      <c r="C783" s="184">
        <v>2012</v>
      </c>
      <c r="D783" s="183" t="s">
        <v>3845</v>
      </c>
      <c r="E783" s="183" t="s">
        <v>740</v>
      </c>
      <c r="F783" s="185">
        <v>36610</v>
      </c>
      <c r="G783" s="183" t="s">
        <v>749</v>
      </c>
      <c r="H783" s="183" t="s">
        <v>3792</v>
      </c>
      <c r="I783" s="183" t="s">
        <v>3846</v>
      </c>
      <c r="J783" s="183" t="s">
        <v>3847</v>
      </c>
      <c r="K783" s="183" t="s">
        <v>826</v>
      </c>
      <c r="L783" s="184">
        <v>4</v>
      </c>
      <c r="M783" s="185">
        <v>1030.5999999999999</v>
      </c>
    </row>
    <row r="784" spans="1:13" ht="17.25" hidden="1" customHeight="1" x14ac:dyDescent="0.25">
      <c r="A784" s="183" t="s">
        <v>14</v>
      </c>
      <c r="B784" s="184">
        <v>814</v>
      </c>
      <c r="C784" s="184">
        <v>2012</v>
      </c>
      <c r="D784" s="183" t="s">
        <v>3848</v>
      </c>
      <c r="E784" s="183" t="s">
        <v>740</v>
      </c>
      <c r="F784" s="185">
        <v>36610</v>
      </c>
      <c r="G784" s="183" t="s">
        <v>749</v>
      </c>
      <c r="H784" s="183" t="s">
        <v>3792</v>
      </c>
      <c r="I784" s="183" t="s">
        <v>3849</v>
      </c>
      <c r="J784" s="183" t="s">
        <v>3850</v>
      </c>
      <c r="K784" s="183" t="s">
        <v>3851</v>
      </c>
      <c r="L784" s="184">
        <v>0</v>
      </c>
      <c r="M784" s="184">
        <v>883.8</v>
      </c>
    </row>
    <row r="785" spans="1:13" ht="17.25" hidden="1" customHeight="1" x14ac:dyDescent="0.25">
      <c r="A785" s="183" t="s">
        <v>14</v>
      </c>
      <c r="B785" s="184">
        <v>805</v>
      </c>
      <c r="C785" s="184">
        <v>2012</v>
      </c>
      <c r="D785" s="183" t="s">
        <v>3852</v>
      </c>
      <c r="E785" s="183" t="s">
        <v>740</v>
      </c>
      <c r="F785" s="185">
        <v>36610</v>
      </c>
      <c r="G785" s="183" t="s">
        <v>749</v>
      </c>
      <c r="H785" s="183" t="s">
        <v>3792</v>
      </c>
      <c r="I785" s="183" t="s">
        <v>3853</v>
      </c>
      <c r="J785" s="183" t="s">
        <v>3854</v>
      </c>
      <c r="K785" s="183" t="s">
        <v>3855</v>
      </c>
      <c r="L785" s="184">
        <v>6</v>
      </c>
      <c r="M785" s="184">
        <v>359</v>
      </c>
    </row>
    <row r="786" spans="1:13" ht="17.25" hidden="1" customHeight="1" x14ac:dyDescent="0.25">
      <c r="A786" s="183" t="s">
        <v>14</v>
      </c>
      <c r="B786" s="184">
        <v>828</v>
      </c>
      <c r="C786" s="184">
        <v>2013</v>
      </c>
      <c r="D786" s="183" t="s">
        <v>3856</v>
      </c>
      <c r="E786" s="183" t="s">
        <v>740</v>
      </c>
      <c r="F786" s="189">
        <v>71839</v>
      </c>
      <c r="G786" s="183" t="s">
        <v>740</v>
      </c>
      <c r="H786" s="183" t="s">
        <v>3857</v>
      </c>
      <c r="I786" s="183" t="s">
        <v>3858</v>
      </c>
      <c r="J786" s="183" t="s">
        <v>3850</v>
      </c>
      <c r="K786" s="183" t="s">
        <v>3851</v>
      </c>
      <c r="L786" s="184">
        <v>0</v>
      </c>
      <c r="M786" s="184">
        <v>883.8</v>
      </c>
    </row>
    <row r="787" spans="1:13" ht="17.25" hidden="1" customHeight="1" x14ac:dyDescent="0.25">
      <c r="A787" s="183" t="s">
        <v>14</v>
      </c>
      <c r="B787" s="184">
        <v>823</v>
      </c>
      <c r="C787" s="184">
        <v>2013</v>
      </c>
      <c r="D787" s="183" t="s">
        <v>3859</v>
      </c>
      <c r="E787" s="183" t="s">
        <v>740</v>
      </c>
      <c r="F787" s="189">
        <v>179598</v>
      </c>
      <c r="G787" s="183" t="s">
        <v>740</v>
      </c>
      <c r="H787" s="183" t="s">
        <v>3857</v>
      </c>
      <c r="I787" s="183" t="s">
        <v>3860</v>
      </c>
      <c r="J787" s="183" t="s">
        <v>3861</v>
      </c>
      <c r="K787" s="183" t="s">
        <v>163</v>
      </c>
      <c r="L787" s="184">
        <v>3</v>
      </c>
      <c r="M787" s="184">
        <v>124.5</v>
      </c>
    </row>
    <row r="788" spans="1:13" ht="17.25" hidden="1" customHeight="1" x14ac:dyDescent="0.25">
      <c r="A788" s="183" t="s">
        <v>14</v>
      </c>
      <c r="B788" s="184">
        <v>826</v>
      </c>
      <c r="C788" s="184">
        <v>2013</v>
      </c>
      <c r="D788" s="183" t="s">
        <v>3862</v>
      </c>
      <c r="E788" s="183" t="s">
        <v>740</v>
      </c>
      <c r="F788" s="189">
        <v>59866</v>
      </c>
      <c r="G788" s="183" t="s">
        <v>749</v>
      </c>
      <c r="H788" s="183" t="s">
        <v>3857</v>
      </c>
      <c r="I788" s="183" t="s">
        <v>3863</v>
      </c>
      <c r="J788" s="183" t="s">
        <v>3864</v>
      </c>
      <c r="K788" s="183" t="s">
        <v>3865</v>
      </c>
      <c r="L788" s="184">
        <v>0</v>
      </c>
      <c r="M788" s="184">
        <v>127</v>
      </c>
    </row>
    <row r="789" spans="1:13" ht="17.25" hidden="1" customHeight="1" x14ac:dyDescent="0.25">
      <c r="A789" s="183" t="s">
        <v>14</v>
      </c>
      <c r="B789" s="184">
        <v>827</v>
      </c>
      <c r="C789" s="184">
        <v>2014</v>
      </c>
      <c r="D789" s="183" t="s">
        <v>3866</v>
      </c>
      <c r="E789" s="183" t="s">
        <v>740</v>
      </c>
      <c r="F789" s="184">
        <v>0</v>
      </c>
      <c r="G789" s="183" t="s">
        <v>740</v>
      </c>
      <c r="H789" s="183" t="s">
        <v>3867</v>
      </c>
      <c r="I789" s="183" t="s">
        <v>3868</v>
      </c>
      <c r="J789" s="183" t="s">
        <v>3866</v>
      </c>
      <c r="K789" s="183" t="s">
        <v>3869</v>
      </c>
      <c r="L789" s="184">
        <v>4</v>
      </c>
      <c r="M789" s="185">
        <v>3710.2</v>
      </c>
    </row>
    <row r="790" spans="1:13" ht="17.25" hidden="1" customHeight="1" x14ac:dyDescent="0.25">
      <c r="A790" s="183" t="s">
        <v>14</v>
      </c>
      <c r="B790" s="184">
        <v>817</v>
      </c>
      <c r="C790" s="184">
        <v>2014</v>
      </c>
      <c r="D790" s="183" t="s">
        <v>3870</v>
      </c>
      <c r="E790" s="183" t="s">
        <v>740</v>
      </c>
      <c r="F790" s="184">
        <v>0</v>
      </c>
      <c r="G790" s="183" t="s">
        <v>740</v>
      </c>
      <c r="H790" s="183" t="s">
        <v>3867</v>
      </c>
      <c r="I790" s="183" t="s">
        <v>3871</v>
      </c>
      <c r="J790" s="183" t="s">
        <v>3870</v>
      </c>
      <c r="K790" s="183" t="s">
        <v>2221</v>
      </c>
      <c r="L790" s="184">
        <v>6</v>
      </c>
      <c r="M790" s="185">
        <v>2750</v>
      </c>
    </row>
    <row r="791" spans="1:13" ht="17.25" hidden="1" customHeight="1" x14ac:dyDescent="0.25">
      <c r="A791" s="183" t="s">
        <v>14</v>
      </c>
      <c r="B791" s="184">
        <v>822</v>
      </c>
      <c r="C791" s="184">
        <v>2014</v>
      </c>
      <c r="D791" s="183" t="s">
        <v>3872</v>
      </c>
      <c r="E791" s="183" t="s">
        <v>740</v>
      </c>
      <c r="F791" s="184">
        <v>0</v>
      </c>
      <c r="G791" s="183" t="s">
        <v>740</v>
      </c>
      <c r="H791" s="183" t="s">
        <v>3873</v>
      </c>
      <c r="I791" s="183" t="s">
        <v>3874</v>
      </c>
      <c r="J791" s="183" t="s">
        <v>3875</v>
      </c>
      <c r="K791" s="183" t="s">
        <v>1883</v>
      </c>
      <c r="L791" s="184">
        <v>7</v>
      </c>
      <c r="M791" s="184">
        <v>135.6</v>
      </c>
    </row>
    <row r="792" spans="1:13" ht="17.25" hidden="1" customHeight="1" x14ac:dyDescent="0.25">
      <c r="A792" s="183" t="s">
        <v>14</v>
      </c>
      <c r="B792" s="184">
        <v>829</v>
      </c>
      <c r="C792" s="184">
        <v>2014</v>
      </c>
      <c r="D792" s="183" t="s">
        <v>3876</v>
      </c>
      <c r="E792" s="183" t="s">
        <v>740</v>
      </c>
      <c r="F792" s="184">
        <v>0</v>
      </c>
      <c r="G792" s="183" t="s">
        <v>773</v>
      </c>
      <c r="H792" s="183" t="s">
        <v>3857</v>
      </c>
      <c r="I792" s="183" t="s">
        <v>3877</v>
      </c>
      <c r="J792" s="183" t="s">
        <v>3861</v>
      </c>
      <c r="K792" s="183" t="s">
        <v>163</v>
      </c>
      <c r="L792" s="184">
        <v>3</v>
      </c>
      <c r="M792" s="184">
        <v>124.5</v>
      </c>
    </row>
    <row r="793" spans="1:13" ht="17.25" hidden="1" customHeight="1" x14ac:dyDescent="0.25">
      <c r="A793" s="183" t="s">
        <v>14</v>
      </c>
      <c r="B793" s="184">
        <v>815</v>
      </c>
      <c r="C793" s="184">
        <v>2014</v>
      </c>
      <c r="D793" s="183" t="s">
        <v>3878</v>
      </c>
      <c r="E793" s="183" t="s">
        <v>740</v>
      </c>
      <c r="F793" s="184">
        <v>0</v>
      </c>
      <c r="G793" s="183" t="s">
        <v>749</v>
      </c>
      <c r="H793" s="183" t="s">
        <v>3792</v>
      </c>
      <c r="I793" s="183" t="s">
        <v>3879</v>
      </c>
      <c r="J793" s="183" t="s">
        <v>3880</v>
      </c>
      <c r="K793" s="183" t="s">
        <v>3881</v>
      </c>
      <c r="L793" s="184">
        <v>4</v>
      </c>
      <c r="M793" s="185">
        <v>22423</v>
      </c>
    </row>
    <row r="794" spans="1:13" ht="17.25" hidden="1" customHeight="1" x14ac:dyDescent="0.25">
      <c r="A794" s="183" t="s">
        <v>14</v>
      </c>
      <c r="B794" s="184">
        <v>821</v>
      </c>
      <c r="C794" s="184">
        <v>2014</v>
      </c>
      <c r="D794" s="183" t="s">
        <v>3882</v>
      </c>
      <c r="E794" s="183" t="s">
        <v>740</v>
      </c>
      <c r="F794" s="184">
        <v>0</v>
      </c>
      <c r="G794" s="183" t="s">
        <v>749</v>
      </c>
      <c r="H794" s="183" t="s">
        <v>3792</v>
      </c>
      <c r="I794" s="183" t="s">
        <v>3883</v>
      </c>
      <c r="J794" s="183" t="s">
        <v>3882</v>
      </c>
      <c r="K794" s="183" t="s">
        <v>3884</v>
      </c>
      <c r="L794" s="184">
        <v>8</v>
      </c>
      <c r="M794" s="185">
        <v>3737.1</v>
      </c>
    </row>
    <row r="795" spans="1:13" ht="17.25" hidden="1" customHeight="1" x14ac:dyDescent="0.25">
      <c r="A795" s="183" t="s">
        <v>14</v>
      </c>
      <c r="B795" s="184">
        <v>825</v>
      </c>
      <c r="C795" s="184">
        <v>2014</v>
      </c>
      <c r="D795" s="183" t="s">
        <v>3885</v>
      </c>
      <c r="E795" s="183" t="s">
        <v>740</v>
      </c>
      <c r="F795" s="184">
        <v>0</v>
      </c>
      <c r="G795" s="183" t="s">
        <v>749</v>
      </c>
      <c r="H795" s="183" t="s">
        <v>3792</v>
      </c>
      <c r="I795" s="183" t="s">
        <v>3886</v>
      </c>
      <c r="J795" s="183" t="s">
        <v>3822</v>
      </c>
      <c r="K795" s="183" t="s">
        <v>3823</v>
      </c>
      <c r="L795" s="184">
        <v>4</v>
      </c>
      <c r="M795" s="185">
        <v>2475.1999999999998</v>
      </c>
    </row>
    <row r="796" spans="1:13" ht="17.25" hidden="1" customHeight="1" x14ac:dyDescent="0.25">
      <c r="A796" s="183" t="s">
        <v>14</v>
      </c>
      <c r="B796" s="184">
        <v>820</v>
      </c>
      <c r="C796" s="184">
        <v>2014</v>
      </c>
      <c r="D796" s="183" t="s">
        <v>3887</v>
      </c>
      <c r="E796" s="183" t="s">
        <v>740</v>
      </c>
      <c r="F796" s="184">
        <v>0</v>
      </c>
      <c r="G796" s="183" t="s">
        <v>749</v>
      </c>
      <c r="H796" s="183" t="s">
        <v>3792</v>
      </c>
      <c r="I796" s="183" t="s">
        <v>3888</v>
      </c>
      <c r="J796" s="183" t="s">
        <v>3800</v>
      </c>
      <c r="K796" s="183" t="s">
        <v>3801</v>
      </c>
      <c r="L796" s="184">
        <v>9</v>
      </c>
      <c r="M796" s="185">
        <v>1459</v>
      </c>
    </row>
    <row r="797" spans="1:13" ht="17.25" hidden="1" customHeight="1" x14ac:dyDescent="0.25">
      <c r="A797" s="183" t="s">
        <v>14</v>
      </c>
      <c r="B797" s="184">
        <v>818</v>
      </c>
      <c r="C797" s="184">
        <v>2014</v>
      </c>
      <c r="D797" s="183" t="s">
        <v>3889</v>
      </c>
      <c r="E797" s="183" t="s">
        <v>740</v>
      </c>
      <c r="F797" s="184">
        <v>0</v>
      </c>
      <c r="G797" s="183" t="s">
        <v>749</v>
      </c>
      <c r="H797" s="183" t="s">
        <v>3792</v>
      </c>
      <c r="I797" s="183" t="s">
        <v>3890</v>
      </c>
      <c r="J797" s="183" t="s">
        <v>3891</v>
      </c>
      <c r="K797" s="183" t="s">
        <v>3892</v>
      </c>
      <c r="L797" s="184">
        <v>7</v>
      </c>
      <c r="M797" s="185">
        <v>1437</v>
      </c>
    </row>
    <row r="798" spans="1:13" ht="17.25" hidden="1" customHeight="1" x14ac:dyDescent="0.25">
      <c r="A798" s="183" t="s">
        <v>14</v>
      </c>
      <c r="B798" s="184">
        <v>819</v>
      </c>
      <c r="C798" s="184">
        <v>2014</v>
      </c>
      <c r="D798" s="183" t="s">
        <v>3893</v>
      </c>
      <c r="E798" s="183" t="s">
        <v>740</v>
      </c>
      <c r="F798" s="184">
        <v>0</v>
      </c>
      <c r="G798" s="183" t="s">
        <v>749</v>
      </c>
      <c r="H798" s="183" t="s">
        <v>3792</v>
      </c>
      <c r="I798" s="183" t="s">
        <v>3894</v>
      </c>
      <c r="J798" s="183" t="s">
        <v>3895</v>
      </c>
      <c r="K798" s="183" t="s">
        <v>2713</v>
      </c>
      <c r="L798" s="184">
        <v>7</v>
      </c>
      <c r="M798" s="185">
        <v>1403</v>
      </c>
    </row>
    <row r="799" spans="1:13" ht="17.25" hidden="1" customHeight="1" x14ac:dyDescent="0.25">
      <c r="A799" s="183" t="s">
        <v>14</v>
      </c>
      <c r="B799" s="184">
        <v>824</v>
      </c>
      <c r="C799" s="184">
        <v>2014</v>
      </c>
      <c r="D799" s="183" t="s">
        <v>3896</v>
      </c>
      <c r="E799" s="183" t="s">
        <v>740</v>
      </c>
      <c r="F799" s="184">
        <v>0</v>
      </c>
      <c r="G799" s="183" t="s">
        <v>749</v>
      </c>
      <c r="H799" s="183" t="s">
        <v>3792</v>
      </c>
      <c r="I799" s="183" t="s">
        <v>3897</v>
      </c>
      <c r="J799" s="183" t="s">
        <v>3898</v>
      </c>
      <c r="K799" s="183" t="s">
        <v>1629</v>
      </c>
      <c r="L799" s="184">
        <v>4</v>
      </c>
      <c r="M799" s="184">
        <v>844.2</v>
      </c>
    </row>
    <row r="800" spans="1:13" ht="17.25" hidden="1" customHeight="1" x14ac:dyDescent="0.25">
      <c r="A800" s="183" t="s">
        <v>6</v>
      </c>
      <c r="B800" s="190">
        <v>1106</v>
      </c>
      <c r="C800" s="184">
        <v>2011</v>
      </c>
      <c r="D800" s="183" t="s">
        <v>3899</v>
      </c>
      <c r="E800" s="183" t="s">
        <v>773</v>
      </c>
      <c r="F800" s="185">
        <v>305000</v>
      </c>
      <c r="G800" s="183" t="s">
        <v>740</v>
      </c>
      <c r="H800" s="183" t="s">
        <v>3900</v>
      </c>
      <c r="I800" s="183" t="s">
        <v>3901</v>
      </c>
      <c r="J800" s="183" t="s">
        <v>3902</v>
      </c>
      <c r="K800" s="183" t="s">
        <v>3903</v>
      </c>
      <c r="L800" s="184">
        <v>23</v>
      </c>
      <c r="M800" s="185">
        <v>1773.7</v>
      </c>
    </row>
    <row r="801" spans="1:13" ht="17.25" hidden="1" customHeight="1" x14ac:dyDescent="0.25">
      <c r="A801" s="183" t="s">
        <v>6</v>
      </c>
      <c r="B801" s="190">
        <v>1107</v>
      </c>
      <c r="C801" s="184">
        <v>2011</v>
      </c>
      <c r="D801" s="183" t="s">
        <v>3904</v>
      </c>
      <c r="E801" s="183" t="s">
        <v>773</v>
      </c>
      <c r="F801" s="185">
        <v>1337738.0900000001</v>
      </c>
      <c r="G801" s="183" t="s">
        <v>740</v>
      </c>
      <c r="H801" s="183" t="s">
        <v>3900</v>
      </c>
      <c r="I801" s="183" t="s">
        <v>3905</v>
      </c>
      <c r="J801" s="183" t="s">
        <v>3906</v>
      </c>
      <c r="K801" s="183" t="s">
        <v>3907</v>
      </c>
      <c r="L801" s="184">
        <v>23</v>
      </c>
      <c r="M801" s="185">
        <v>1697.8</v>
      </c>
    </row>
    <row r="802" spans="1:13" ht="17.25" hidden="1" customHeight="1" x14ac:dyDescent="0.25">
      <c r="A802" s="183" t="s">
        <v>6</v>
      </c>
      <c r="B802" s="190">
        <v>1115</v>
      </c>
      <c r="C802" s="184">
        <v>2011</v>
      </c>
      <c r="D802" s="183" t="s">
        <v>3908</v>
      </c>
      <c r="E802" s="183" t="s">
        <v>773</v>
      </c>
      <c r="F802" s="185">
        <v>552265.94999999995</v>
      </c>
      <c r="G802" s="183" t="s">
        <v>740</v>
      </c>
      <c r="H802" s="183" t="s">
        <v>3900</v>
      </c>
      <c r="I802" s="183" t="s">
        <v>3909</v>
      </c>
      <c r="J802" s="183" t="s">
        <v>3910</v>
      </c>
      <c r="K802" s="183" t="s">
        <v>2464</v>
      </c>
      <c r="L802" s="184">
        <v>99</v>
      </c>
      <c r="M802" s="185">
        <v>1359</v>
      </c>
    </row>
    <row r="803" spans="1:13" ht="17.25" hidden="1" customHeight="1" x14ac:dyDescent="0.25">
      <c r="A803" s="183" t="s">
        <v>6</v>
      </c>
      <c r="B803" s="190">
        <v>1108</v>
      </c>
      <c r="C803" s="184">
        <v>2011</v>
      </c>
      <c r="D803" s="183" t="s">
        <v>3911</v>
      </c>
      <c r="E803" s="183" t="s">
        <v>740</v>
      </c>
      <c r="F803" s="185">
        <v>500000</v>
      </c>
      <c r="G803" s="183" t="s">
        <v>773</v>
      </c>
      <c r="H803" s="183" t="s">
        <v>3912</v>
      </c>
      <c r="I803" s="183" t="s">
        <v>3913</v>
      </c>
      <c r="J803" s="183" t="s">
        <v>3914</v>
      </c>
      <c r="K803" s="183" t="s">
        <v>3915</v>
      </c>
      <c r="L803" s="184">
        <v>27</v>
      </c>
      <c r="M803" s="184">
        <v>48.5</v>
      </c>
    </row>
    <row r="804" spans="1:13" ht="17.25" hidden="1" customHeight="1" x14ac:dyDescent="0.25">
      <c r="A804" s="183" t="s">
        <v>6</v>
      </c>
      <c r="B804" s="190">
        <v>1105</v>
      </c>
      <c r="C804" s="184">
        <v>2011</v>
      </c>
      <c r="D804" s="183" t="s">
        <v>3916</v>
      </c>
      <c r="E804" s="183" t="s">
        <v>740</v>
      </c>
      <c r="F804" s="185">
        <v>500000</v>
      </c>
      <c r="G804" s="183" t="s">
        <v>741</v>
      </c>
      <c r="H804" s="183" t="s">
        <v>3917</v>
      </c>
      <c r="I804" s="183" t="s">
        <v>3918</v>
      </c>
      <c r="J804" s="183" t="s">
        <v>3919</v>
      </c>
      <c r="K804" s="183" t="s">
        <v>3920</v>
      </c>
      <c r="L804" s="184">
        <v>21</v>
      </c>
      <c r="M804" s="184">
        <v>33</v>
      </c>
    </row>
    <row r="805" spans="1:13" ht="17.25" hidden="1" customHeight="1" x14ac:dyDescent="0.25">
      <c r="A805" s="183" t="s">
        <v>6</v>
      </c>
      <c r="B805" s="190">
        <v>1104</v>
      </c>
      <c r="C805" s="184">
        <v>2011</v>
      </c>
      <c r="D805" s="183" t="s">
        <v>3921</v>
      </c>
      <c r="E805" s="183" t="s">
        <v>773</v>
      </c>
      <c r="F805" s="185">
        <v>249368</v>
      </c>
      <c r="G805" s="183" t="s">
        <v>749</v>
      </c>
      <c r="H805" s="183" t="s">
        <v>3922</v>
      </c>
      <c r="I805" s="183" t="s">
        <v>3923</v>
      </c>
      <c r="J805" s="183" t="s">
        <v>3256</v>
      </c>
      <c r="K805" s="183" t="s">
        <v>3924</v>
      </c>
      <c r="L805" s="184">
        <v>27</v>
      </c>
      <c r="M805" s="184">
        <v>4.2</v>
      </c>
    </row>
    <row r="806" spans="1:13" ht="17.25" hidden="1" customHeight="1" x14ac:dyDescent="0.25">
      <c r="A806" s="183" t="s">
        <v>6</v>
      </c>
      <c r="B806" s="190">
        <v>1109</v>
      </c>
      <c r="C806" s="184">
        <v>2012</v>
      </c>
      <c r="D806" s="183" t="s">
        <v>3925</v>
      </c>
      <c r="E806" s="183" t="s">
        <v>773</v>
      </c>
      <c r="F806" s="185">
        <v>500000</v>
      </c>
      <c r="G806" s="183" t="s">
        <v>773</v>
      </c>
      <c r="H806" s="183" t="s">
        <v>3926</v>
      </c>
      <c r="I806" s="183" t="s">
        <v>3927</v>
      </c>
      <c r="J806" s="183" t="s">
        <v>3928</v>
      </c>
      <c r="K806" s="183" t="s">
        <v>3929</v>
      </c>
      <c r="L806" s="184">
        <v>4</v>
      </c>
      <c r="M806" s="184">
        <v>71.8</v>
      </c>
    </row>
    <row r="807" spans="1:13" ht="17.25" hidden="1" customHeight="1" x14ac:dyDescent="0.25">
      <c r="A807" s="183" t="s">
        <v>6</v>
      </c>
      <c r="B807" s="190">
        <v>1110</v>
      </c>
      <c r="C807" s="184">
        <v>2012</v>
      </c>
      <c r="D807" s="183" t="s">
        <v>3930</v>
      </c>
      <c r="E807" s="183" t="s">
        <v>740</v>
      </c>
      <c r="F807" s="185">
        <v>75000</v>
      </c>
      <c r="G807" s="183" t="s">
        <v>741</v>
      </c>
      <c r="H807" s="183" t="s">
        <v>3931</v>
      </c>
      <c r="I807" s="183" t="s">
        <v>3932</v>
      </c>
      <c r="J807" s="183" t="s">
        <v>3933</v>
      </c>
      <c r="K807" s="183" t="s">
        <v>3934</v>
      </c>
      <c r="L807" s="184">
        <v>17</v>
      </c>
      <c r="M807" s="184">
        <v>2.8</v>
      </c>
    </row>
    <row r="808" spans="1:13" ht="17.25" hidden="1" customHeight="1" x14ac:dyDescent="0.25">
      <c r="A808" s="183" t="s">
        <v>6</v>
      </c>
      <c r="B808" s="190">
        <v>1111</v>
      </c>
      <c r="C808" s="184">
        <v>2012</v>
      </c>
      <c r="D808" s="183" t="s">
        <v>3935</v>
      </c>
      <c r="E808" s="183" t="s">
        <v>773</v>
      </c>
      <c r="F808" s="185">
        <v>75000</v>
      </c>
      <c r="G808" s="183" t="s">
        <v>741</v>
      </c>
      <c r="H808" s="183" t="s">
        <v>3719</v>
      </c>
      <c r="I808" s="183" t="s">
        <v>3936</v>
      </c>
      <c r="J808" s="183" t="s">
        <v>3937</v>
      </c>
      <c r="K808" s="183" t="s">
        <v>3938</v>
      </c>
      <c r="L808" s="184">
        <v>6</v>
      </c>
      <c r="M808" s="184">
        <v>0.6</v>
      </c>
    </row>
    <row r="809" spans="1:13" ht="17.25" hidden="1" customHeight="1" x14ac:dyDescent="0.25">
      <c r="A809" s="183" t="s">
        <v>6</v>
      </c>
      <c r="B809" s="190">
        <v>1113</v>
      </c>
      <c r="C809" s="184">
        <v>2012</v>
      </c>
      <c r="D809" s="183" t="s">
        <v>3939</v>
      </c>
      <c r="E809" s="183" t="s">
        <v>740</v>
      </c>
      <c r="F809" s="185">
        <v>75000</v>
      </c>
      <c r="G809" s="183" t="s">
        <v>749</v>
      </c>
      <c r="H809" s="183" t="s">
        <v>3940</v>
      </c>
      <c r="I809" s="183" t="s">
        <v>3941</v>
      </c>
      <c r="J809" s="183" t="s">
        <v>3942</v>
      </c>
      <c r="K809" s="183" t="s">
        <v>3943</v>
      </c>
      <c r="L809" s="184">
        <v>23</v>
      </c>
      <c r="M809" s="184">
        <v>21.5</v>
      </c>
    </row>
    <row r="810" spans="1:13" ht="17.25" hidden="1" customHeight="1" x14ac:dyDescent="0.25">
      <c r="A810" s="183" t="s">
        <v>6</v>
      </c>
      <c r="B810" s="190">
        <v>1112</v>
      </c>
      <c r="C810" s="184">
        <v>2012</v>
      </c>
      <c r="D810" s="183" t="s">
        <v>3944</v>
      </c>
      <c r="E810" s="183" t="s">
        <v>773</v>
      </c>
      <c r="F810" s="185">
        <v>75000</v>
      </c>
      <c r="G810" s="183" t="s">
        <v>749</v>
      </c>
      <c r="H810" s="183" t="s">
        <v>3945</v>
      </c>
      <c r="I810" s="183" t="s">
        <v>3946</v>
      </c>
      <c r="J810" s="183" t="s">
        <v>3947</v>
      </c>
      <c r="K810" s="183" t="s">
        <v>3948</v>
      </c>
      <c r="L810" s="184">
        <v>4</v>
      </c>
      <c r="M810" s="184">
        <v>10.5</v>
      </c>
    </row>
    <row r="811" spans="1:13" ht="17.25" hidden="1" customHeight="1" x14ac:dyDescent="0.25">
      <c r="A811" s="183" t="s">
        <v>6</v>
      </c>
      <c r="B811" s="190">
        <v>1117</v>
      </c>
      <c r="C811" s="184">
        <v>2013</v>
      </c>
      <c r="D811" s="183" t="s">
        <v>3949</v>
      </c>
      <c r="E811" s="183" t="s">
        <v>773</v>
      </c>
      <c r="F811" s="185">
        <v>150000</v>
      </c>
      <c r="G811" s="183" t="s">
        <v>740</v>
      </c>
      <c r="H811" s="183" t="s">
        <v>3900</v>
      </c>
      <c r="I811" s="183" t="s">
        <v>3950</v>
      </c>
      <c r="J811" s="183" t="s">
        <v>3951</v>
      </c>
      <c r="K811" s="183" t="s">
        <v>3952</v>
      </c>
      <c r="L811" s="184">
        <v>0</v>
      </c>
      <c r="M811" s="185">
        <v>6326</v>
      </c>
    </row>
    <row r="812" spans="1:13" ht="17.25" hidden="1" customHeight="1" x14ac:dyDescent="0.25">
      <c r="A812" s="183" t="s">
        <v>6</v>
      </c>
      <c r="B812" s="190">
        <v>1116</v>
      </c>
      <c r="C812" s="184">
        <v>2013</v>
      </c>
      <c r="D812" s="183" t="s">
        <v>3953</v>
      </c>
      <c r="E812" s="183" t="s">
        <v>773</v>
      </c>
      <c r="F812" s="185">
        <v>215125.98</v>
      </c>
      <c r="G812" s="183" t="s">
        <v>740</v>
      </c>
      <c r="H812" s="183" t="s">
        <v>3900</v>
      </c>
      <c r="I812" s="183" t="s">
        <v>3954</v>
      </c>
      <c r="J812" s="183" t="s">
        <v>3955</v>
      </c>
      <c r="K812" s="183" t="s">
        <v>2464</v>
      </c>
      <c r="L812" s="184">
        <v>0</v>
      </c>
      <c r="M812" s="185">
        <v>1958.9</v>
      </c>
    </row>
    <row r="813" spans="1:13" ht="17.25" hidden="1" customHeight="1" x14ac:dyDescent="0.25">
      <c r="A813" s="183" t="s">
        <v>6</v>
      </c>
      <c r="B813" s="190">
        <v>1130</v>
      </c>
      <c r="C813" s="184">
        <v>2013</v>
      </c>
      <c r="D813" s="183" t="s">
        <v>3956</v>
      </c>
      <c r="E813" s="183" t="s">
        <v>773</v>
      </c>
      <c r="F813" s="185">
        <v>322499.90999999997</v>
      </c>
      <c r="G813" s="183" t="s">
        <v>740</v>
      </c>
      <c r="H813" s="183" t="s">
        <v>3900</v>
      </c>
      <c r="I813" s="183" t="s">
        <v>3957</v>
      </c>
      <c r="J813" s="183" t="s">
        <v>3955</v>
      </c>
      <c r="K813" s="183" t="s">
        <v>2464</v>
      </c>
      <c r="L813" s="184">
        <v>0</v>
      </c>
      <c r="M813" s="185">
        <v>1958.9</v>
      </c>
    </row>
    <row r="814" spans="1:13" ht="17.25" hidden="1" customHeight="1" x14ac:dyDescent="0.25">
      <c r="A814" s="183" t="s">
        <v>6</v>
      </c>
      <c r="B814" s="190">
        <v>1121</v>
      </c>
      <c r="C814" s="184">
        <v>2013</v>
      </c>
      <c r="D814" s="183" t="s">
        <v>3958</v>
      </c>
      <c r="E814" s="183" t="s">
        <v>773</v>
      </c>
      <c r="F814" s="185">
        <v>100000</v>
      </c>
      <c r="G814" s="183" t="s">
        <v>773</v>
      </c>
      <c r="H814" s="183" t="s">
        <v>3959</v>
      </c>
      <c r="I814" s="183" t="s">
        <v>3960</v>
      </c>
      <c r="J814" s="183" t="s">
        <v>2382</v>
      </c>
      <c r="K814" s="183" t="s">
        <v>786</v>
      </c>
      <c r="L814" s="184">
        <v>0</v>
      </c>
      <c r="M814" s="184">
        <v>69.7</v>
      </c>
    </row>
    <row r="815" spans="1:13" ht="17.25" hidden="1" customHeight="1" x14ac:dyDescent="0.25">
      <c r="A815" s="183" t="s">
        <v>6</v>
      </c>
      <c r="B815" s="190">
        <v>1124</v>
      </c>
      <c r="C815" s="184">
        <v>2013</v>
      </c>
      <c r="D815" s="183" t="s">
        <v>3961</v>
      </c>
      <c r="E815" s="183" t="s">
        <v>740</v>
      </c>
      <c r="F815" s="185">
        <v>100000</v>
      </c>
      <c r="G815" s="183" t="s">
        <v>773</v>
      </c>
      <c r="H815" s="183" t="s">
        <v>3962</v>
      </c>
      <c r="I815" s="183" t="s">
        <v>3963</v>
      </c>
      <c r="J815" s="183" t="s">
        <v>3964</v>
      </c>
      <c r="K815" s="183" t="s">
        <v>3965</v>
      </c>
      <c r="L815" s="184">
        <v>0</v>
      </c>
      <c r="M815" s="184">
        <v>40.799999999999997</v>
      </c>
    </row>
    <row r="816" spans="1:13" ht="17.25" hidden="1" customHeight="1" x14ac:dyDescent="0.25">
      <c r="A816" s="183" t="s">
        <v>6</v>
      </c>
      <c r="B816" s="190">
        <v>1122</v>
      </c>
      <c r="C816" s="184">
        <v>2013</v>
      </c>
      <c r="D816" s="183" t="s">
        <v>3966</v>
      </c>
      <c r="E816" s="183" t="s">
        <v>740</v>
      </c>
      <c r="F816" s="185">
        <v>100000</v>
      </c>
      <c r="G816" s="183" t="s">
        <v>773</v>
      </c>
      <c r="H816" s="183" t="s">
        <v>3967</v>
      </c>
      <c r="I816" s="183" t="s">
        <v>3968</v>
      </c>
      <c r="J816" s="183" t="s">
        <v>3969</v>
      </c>
      <c r="K816" s="183" t="s">
        <v>3970</v>
      </c>
      <c r="L816" s="184">
        <v>0</v>
      </c>
      <c r="M816" s="184">
        <v>31.5</v>
      </c>
    </row>
    <row r="817" spans="1:13" ht="17.25" hidden="1" customHeight="1" x14ac:dyDescent="0.25">
      <c r="A817" s="183" t="s">
        <v>6</v>
      </c>
      <c r="B817" s="190">
        <v>1118</v>
      </c>
      <c r="C817" s="184">
        <v>2013</v>
      </c>
      <c r="D817" s="183" t="s">
        <v>3971</v>
      </c>
      <c r="E817" s="183" t="s">
        <v>740</v>
      </c>
      <c r="F817" s="185">
        <v>100000</v>
      </c>
      <c r="G817" s="183" t="s">
        <v>773</v>
      </c>
      <c r="H817" s="183" t="s">
        <v>2624</v>
      </c>
      <c r="I817" s="183" t="s">
        <v>3972</v>
      </c>
      <c r="J817" s="183" t="s">
        <v>3973</v>
      </c>
      <c r="K817" s="183" t="s">
        <v>3974</v>
      </c>
      <c r="L817" s="184">
        <v>0</v>
      </c>
      <c r="M817" s="184">
        <v>8.9</v>
      </c>
    </row>
    <row r="818" spans="1:13" ht="17.25" hidden="1" customHeight="1" x14ac:dyDescent="0.25">
      <c r="A818" s="183" t="s">
        <v>6</v>
      </c>
      <c r="B818" s="190">
        <v>1120</v>
      </c>
      <c r="C818" s="184">
        <v>2013</v>
      </c>
      <c r="D818" s="183" t="s">
        <v>3975</v>
      </c>
      <c r="E818" s="183" t="s">
        <v>740</v>
      </c>
      <c r="F818" s="185">
        <v>100000</v>
      </c>
      <c r="G818" s="183" t="s">
        <v>773</v>
      </c>
      <c r="H818" s="183" t="s">
        <v>3976</v>
      </c>
      <c r="I818" s="183" t="s">
        <v>3977</v>
      </c>
      <c r="J818" s="183" t="s">
        <v>3975</v>
      </c>
      <c r="K818" s="183" t="s">
        <v>3978</v>
      </c>
      <c r="L818" s="184">
        <v>0</v>
      </c>
      <c r="M818" s="184">
        <v>2.9</v>
      </c>
    </row>
    <row r="819" spans="1:13" ht="17.25" hidden="1" customHeight="1" x14ac:dyDescent="0.25">
      <c r="A819" s="183" t="s">
        <v>6</v>
      </c>
      <c r="B819" s="190">
        <v>1125</v>
      </c>
      <c r="C819" s="184">
        <v>2013</v>
      </c>
      <c r="D819" s="183" t="s">
        <v>3979</v>
      </c>
      <c r="E819" s="183" t="s">
        <v>740</v>
      </c>
      <c r="F819" s="185">
        <v>100000</v>
      </c>
      <c r="G819" s="183" t="s">
        <v>741</v>
      </c>
      <c r="H819" s="183" t="s">
        <v>3980</v>
      </c>
      <c r="I819" s="183" t="s">
        <v>3981</v>
      </c>
      <c r="J819" s="183" t="s">
        <v>3982</v>
      </c>
      <c r="K819" s="183" t="s">
        <v>3983</v>
      </c>
      <c r="L819" s="184">
        <v>0</v>
      </c>
      <c r="M819" s="184">
        <v>68</v>
      </c>
    </row>
    <row r="820" spans="1:13" ht="17.25" hidden="1" customHeight="1" x14ac:dyDescent="0.25">
      <c r="A820" s="183" t="s">
        <v>6</v>
      </c>
      <c r="B820" s="190">
        <v>1126</v>
      </c>
      <c r="C820" s="184">
        <v>2013</v>
      </c>
      <c r="D820" s="183" t="s">
        <v>3984</v>
      </c>
      <c r="E820" s="183" t="s">
        <v>740</v>
      </c>
      <c r="F820" s="185">
        <v>100000</v>
      </c>
      <c r="G820" s="183" t="s">
        <v>741</v>
      </c>
      <c r="H820" s="183" t="s">
        <v>3985</v>
      </c>
      <c r="I820" s="183" t="s">
        <v>3986</v>
      </c>
      <c r="J820" s="183" t="s">
        <v>3987</v>
      </c>
      <c r="K820" s="183" t="s">
        <v>3702</v>
      </c>
      <c r="L820" s="184">
        <v>0</v>
      </c>
      <c r="M820" s="184">
        <v>24</v>
      </c>
    </row>
    <row r="821" spans="1:13" ht="17.25" hidden="1" customHeight="1" x14ac:dyDescent="0.25">
      <c r="A821" s="183" t="s">
        <v>6</v>
      </c>
      <c r="B821" s="190">
        <v>1127</v>
      </c>
      <c r="C821" s="184">
        <v>2013</v>
      </c>
      <c r="D821" s="183" t="s">
        <v>3988</v>
      </c>
      <c r="E821" s="183" t="s">
        <v>740</v>
      </c>
      <c r="F821" s="185">
        <v>100000</v>
      </c>
      <c r="G821" s="183" t="s">
        <v>741</v>
      </c>
      <c r="H821" s="183" t="s">
        <v>3989</v>
      </c>
      <c r="I821" s="183" t="s">
        <v>3990</v>
      </c>
      <c r="J821" s="183" t="s">
        <v>3991</v>
      </c>
      <c r="K821" s="183" t="s">
        <v>3924</v>
      </c>
      <c r="L821" s="184">
        <v>0</v>
      </c>
      <c r="M821" s="184">
        <v>20.100000000000001</v>
      </c>
    </row>
    <row r="822" spans="1:13" ht="17.25" hidden="1" customHeight="1" x14ac:dyDescent="0.25">
      <c r="A822" s="183" t="s">
        <v>6</v>
      </c>
      <c r="B822" s="190">
        <v>1129</v>
      </c>
      <c r="C822" s="184">
        <v>2013</v>
      </c>
      <c r="D822" s="183" t="s">
        <v>3992</v>
      </c>
      <c r="E822" s="183" t="s">
        <v>773</v>
      </c>
      <c r="F822" s="185">
        <v>220000</v>
      </c>
      <c r="G822" s="183" t="s">
        <v>741</v>
      </c>
      <c r="H822" s="183" t="s">
        <v>2539</v>
      </c>
      <c r="I822" s="183" t="s">
        <v>3993</v>
      </c>
      <c r="J822" s="183" t="s">
        <v>3994</v>
      </c>
      <c r="K822" s="183" t="s">
        <v>1562</v>
      </c>
      <c r="L822" s="184">
        <v>0</v>
      </c>
      <c r="M822" s="184">
        <v>12.4</v>
      </c>
    </row>
    <row r="823" spans="1:13" ht="17.25" hidden="1" customHeight="1" x14ac:dyDescent="0.25">
      <c r="A823" s="183" t="s">
        <v>6</v>
      </c>
      <c r="B823" s="190">
        <v>1119</v>
      </c>
      <c r="C823" s="184">
        <v>2013</v>
      </c>
      <c r="D823" s="183" t="s">
        <v>3995</v>
      </c>
      <c r="E823" s="183" t="s">
        <v>740</v>
      </c>
      <c r="F823" s="185">
        <v>100000</v>
      </c>
      <c r="G823" s="183" t="s">
        <v>741</v>
      </c>
      <c r="H823" s="183" t="s">
        <v>3996</v>
      </c>
      <c r="I823" s="183" t="s">
        <v>3997</v>
      </c>
      <c r="J823" s="183" t="s">
        <v>3998</v>
      </c>
      <c r="K823" s="183" t="s">
        <v>3999</v>
      </c>
      <c r="L823" s="184">
        <v>0</v>
      </c>
      <c r="M823" s="184">
        <v>2</v>
      </c>
    </row>
    <row r="824" spans="1:13" ht="17.25" hidden="1" customHeight="1" x14ac:dyDescent="0.25">
      <c r="A824" s="183" t="s">
        <v>6</v>
      </c>
      <c r="B824" s="190">
        <v>1123</v>
      </c>
      <c r="C824" s="184">
        <v>2013</v>
      </c>
      <c r="D824" s="183" t="s">
        <v>4000</v>
      </c>
      <c r="E824" s="183" t="s">
        <v>740</v>
      </c>
      <c r="F824" s="185">
        <v>100000</v>
      </c>
      <c r="G824" s="183" t="s">
        <v>741</v>
      </c>
      <c r="H824" s="183" t="s">
        <v>4001</v>
      </c>
      <c r="I824" s="183" t="s">
        <v>4002</v>
      </c>
      <c r="J824" s="183" t="s">
        <v>4003</v>
      </c>
      <c r="K824" s="183" t="s">
        <v>3924</v>
      </c>
      <c r="L824" s="184">
        <v>0</v>
      </c>
      <c r="M824" s="184">
        <v>1.1000000000000001</v>
      </c>
    </row>
    <row r="825" spans="1:13" ht="17.25" hidden="1" customHeight="1" x14ac:dyDescent="0.25">
      <c r="A825" s="183" t="s">
        <v>6</v>
      </c>
      <c r="B825" s="190">
        <v>1128</v>
      </c>
      <c r="C825" s="184">
        <v>2013</v>
      </c>
      <c r="D825" s="183" t="s">
        <v>4004</v>
      </c>
      <c r="E825" s="183" t="s">
        <v>740</v>
      </c>
      <c r="F825" s="185">
        <v>110000</v>
      </c>
      <c r="G825" s="183" t="s">
        <v>741</v>
      </c>
      <c r="H825" s="183" t="s">
        <v>4005</v>
      </c>
      <c r="I825" s="183" t="s">
        <v>4006</v>
      </c>
      <c r="J825" s="183" t="s">
        <v>4007</v>
      </c>
      <c r="K825" s="183" t="s">
        <v>4008</v>
      </c>
      <c r="L825" s="184">
        <v>0</v>
      </c>
      <c r="M825" s="184">
        <v>1</v>
      </c>
    </row>
    <row r="826" spans="1:13" ht="17.25" hidden="1" customHeight="1" x14ac:dyDescent="0.25">
      <c r="A826" s="183" t="s">
        <v>6</v>
      </c>
      <c r="B826" s="190">
        <v>1131</v>
      </c>
      <c r="C826" s="184">
        <v>2014</v>
      </c>
      <c r="D826" s="183" t="s">
        <v>4009</v>
      </c>
      <c r="E826" s="183" t="s">
        <v>740</v>
      </c>
      <c r="F826" s="185">
        <v>457641.66</v>
      </c>
      <c r="G826" s="183" t="s">
        <v>740</v>
      </c>
      <c r="H826" s="183" t="s">
        <v>3900</v>
      </c>
      <c r="I826" s="183" t="s">
        <v>4010</v>
      </c>
      <c r="J826" s="183" t="s">
        <v>4009</v>
      </c>
      <c r="K826" s="183" t="s">
        <v>4011</v>
      </c>
      <c r="L826" s="184">
        <v>27</v>
      </c>
      <c r="M826" s="184">
        <v>398</v>
      </c>
    </row>
    <row r="827" spans="1:13" ht="17.25" hidden="1" customHeight="1" x14ac:dyDescent="0.25">
      <c r="A827" s="183" t="s">
        <v>71</v>
      </c>
      <c r="B827" s="184">
        <v>373</v>
      </c>
      <c r="C827" s="184">
        <v>2011</v>
      </c>
      <c r="D827" s="183" t="s">
        <v>4012</v>
      </c>
      <c r="E827" s="183" t="s">
        <v>740</v>
      </c>
      <c r="F827" s="185">
        <v>200379</v>
      </c>
      <c r="G827" s="183" t="s">
        <v>741</v>
      </c>
      <c r="H827" s="183" t="s">
        <v>4013</v>
      </c>
      <c r="I827" s="183" t="s">
        <v>4014</v>
      </c>
      <c r="J827" s="183" t="s">
        <v>4012</v>
      </c>
      <c r="K827" s="183" t="s">
        <v>4015</v>
      </c>
      <c r="L827" s="184">
        <v>2</v>
      </c>
      <c r="M827" s="184">
        <v>6</v>
      </c>
    </row>
    <row r="828" spans="1:13" ht="17.25" hidden="1" customHeight="1" x14ac:dyDescent="0.25">
      <c r="A828" s="183" t="s">
        <v>71</v>
      </c>
      <c r="B828" s="184">
        <v>375</v>
      </c>
      <c r="C828" s="184">
        <v>2012</v>
      </c>
      <c r="D828" s="183" t="s">
        <v>4016</v>
      </c>
      <c r="E828" s="183" t="s">
        <v>773</v>
      </c>
      <c r="F828" s="185">
        <v>68600</v>
      </c>
      <c r="G828" s="183" t="s">
        <v>741</v>
      </c>
      <c r="H828" s="183" t="s">
        <v>4017</v>
      </c>
      <c r="I828" s="183" t="s">
        <v>4018</v>
      </c>
      <c r="J828" s="183" t="s">
        <v>4016</v>
      </c>
      <c r="K828" s="183" t="s">
        <v>148</v>
      </c>
      <c r="L828" s="184">
        <v>0</v>
      </c>
      <c r="M828" s="184">
        <v>24.6</v>
      </c>
    </row>
    <row r="829" spans="1:13" ht="17.25" hidden="1" customHeight="1" x14ac:dyDescent="0.25">
      <c r="A829" s="183" t="s">
        <v>71</v>
      </c>
      <c r="B829" s="184">
        <v>376</v>
      </c>
      <c r="C829" s="184">
        <v>2012</v>
      </c>
      <c r="D829" s="183" t="s">
        <v>4019</v>
      </c>
      <c r="E829" s="183" t="s">
        <v>773</v>
      </c>
      <c r="F829" s="185">
        <v>150000</v>
      </c>
      <c r="G829" s="183" t="s">
        <v>741</v>
      </c>
      <c r="H829" s="183" t="s">
        <v>4020</v>
      </c>
      <c r="I829" s="183" t="s">
        <v>4021</v>
      </c>
      <c r="J829" s="183" t="s">
        <v>4019</v>
      </c>
      <c r="K829" s="183" t="s">
        <v>4022</v>
      </c>
      <c r="L829" s="184">
        <v>1</v>
      </c>
      <c r="M829" s="184">
        <v>6.5</v>
      </c>
    </row>
    <row r="830" spans="1:13" ht="17.25" hidden="1" customHeight="1" x14ac:dyDescent="0.25">
      <c r="A830" s="183" t="s">
        <v>71</v>
      </c>
      <c r="B830" s="184">
        <v>377</v>
      </c>
      <c r="C830" s="184">
        <v>2012</v>
      </c>
      <c r="D830" s="183" t="s">
        <v>4023</v>
      </c>
      <c r="E830" s="183" t="s">
        <v>773</v>
      </c>
      <c r="F830" s="185">
        <v>148117</v>
      </c>
      <c r="G830" s="183" t="s">
        <v>741</v>
      </c>
      <c r="H830" s="183" t="s">
        <v>4024</v>
      </c>
      <c r="I830" s="183" t="s">
        <v>4025</v>
      </c>
      <c r="J830" s="183" t="s">
        <v>4023</v>
      </c>
      <c r="K830" s="183" t="s">
        <v>239</v>
      </c>
      <c r="L830" s="184">
        <v>2</v>
      </c>
      <c r="M830" s="184">
        <v>1.9</v>
      </c>
    </row>
    <row r="831" spans="1:13" ht="17.25" hidden="1" customHeight="1" x14ac:dyDescent="0.25">
      <c r="A831" s="183" t="s">
        <v>71</v>
      </c>
      <c r="B831" s="184">
        <v>381</v>
      </c>
      <c r="C831" s="184">
        <v>2013</v>
      </c>
      <c r="D831" s="183" t="s">
        <v>4026</v>
      </c>
      <c r="E831" s="183" t="s">
        <v>740</v>
      </c>
      <c r="F831" s="185">
        <v>200000</v>
      </c>
      <c r="G831" s="183" t="s">
        <v>741</v>
      </c>
      <c r="H831" s="183" t="s">
        <v>4027</v>
      </c>
      <c r="I831" s="183" t="s">
        <v>4028</v>
      </c>
      <c r="J831" s="183" t="s">
        <v>4026</v>
      </c>
      <c r="K831" s="183" t="s">
        <v>235</v>
      </c>
      <c r="L831" s="184">
        <v>0</v>
      </c>
      <c r="M831" s="184">
        <v>13.6</v>
      </c>
    </row>
    <row r="832" spans="1:13" ht="17.25" hidden="1" customHeight="1" x14ac:dyDescent="0.25">
      <c r="A832" s="183" t="s">
        <v>71</v>
      </c>
      <c r="B832" s="184">
        <v>379</v>
      </c>
      <c r="C832" s="184">
        <v>2013</v>
      </c>
      <c r="D832" s="183" t="s">
        <v>4029</v>
      </c>
      <c r="E832" s="183" t="s">
        <v>740</v>
      </c>
      <c r="F832" s="185">
        <v>62882</v>
      </c>
      <c r="G832" s="183" t="s">
        <v>741</v>
      </c>
      <c r="H832" s="183" t="s">
        <v>4030</v>
      </c>
      <c r="I832" s="183" t="s">
        <v>4031</v>
      </c>
      <c r="J832" s="183" t="s">
        <v>4032</v>
      </c>
      <c r="K832" s="183" t="s">
        <v>4033</v>
      </c>
      <c r="L832" s="184">
        <v>0</v>
      </c>
      <c r="M832" s="184">
        <v>7.8</v>
      </c>
    </row>
    <row r="833" spans="1:13" ht="17.25" hidden="1" customHeight="1" x14ac:dyDescent="0.25">
      <c r="A833" s="183" t="s">
        <v>71</v>
      </c>
      <c r="B833" s="184">
        <v>380</v>
      </c>
      <c r="C833" s="184">
        <v>2013</v>
      </c>
      <c r="D833" s="183" t="s">
        <v>4034</v>
      </c>
      <c r="E833" s="183" t="s">
        <v>740</v>
      </c>
      <c r="F833" s="185">
        <v>150000</v>
      </c>
      <c r="G833" s="183" t="s">
        <v>741</v>
      </c>
      <c r="H833" s="183" t="s">
        <v>4035</v>
      </c>
      <c r="I833" s="183" t="s">
        <v>4036</v>
      </c>
      <c r="J833" s="183" t="s">
        <v>4037</v>
      </c>
      <c r="K833" s="183" t="s">
        <v>4038</v>
      </c>
      <c r="L833" s="184">
        <v>0</v>
      </c>
      <c r="M833" s="184">
        <v>6.6</v>
      </c>
    </row>
    <row r="834" spans="1:13" ht="17.25" hidden="1" customHeight="1" x14ac:dyDescent="0.25">
      <c r="A834" s="183" t="s">
        <v>71</v>
      </c>
      <c r="B834" s="184">
        <v>382</v>
      </c>
      <c r="C834" s="184">
        <v>2014</v>
      </c>
      <c r="D834" s="183" t="s">
        <v>4039</v>
      </c>
      <c r="E834" s="183" t="s">
        <v>740</v>
      </c>
      <c r="F834" s="185">
        <v>200000</v>
      </c>
      <c r="G834" s="183" t="s">
        <v>741</v>
      </c>
      <c r="H834" s="183" t="s">
        <v>4040</v>
      </c>
      <c r="I834" s="183" t="s">
        <v>4041</v>
      </c>
      <c r="J834" s="183" t="s">
        <v>4042</v>
      </c>
      <c r="K834" s="183" t="s">
        <v>4043</v>
      </c>
      <c r="L834" s="184">
        <v>1</v>
      </c>
      <c r="M834" s="184">
        <v>4.7</v>
      </c>
    </row>
    <row r="835" spans="1:13" ht="17.25" hidden="1" customHeight="1" x14ac:dyDescent="0.25">
      <c r="A835" s="183" t="s">
        <v>71</v>
      </c>
      <c r="B835" s="184">
        <v>383</v>
      </c>
      <c r="C835" s="184">
        <v>2014</v>
      </c>
      <c r="D835" s="183" t="s">
        <v>4044</v>
      </c>
      <c r="E835" s="183" t="s">
        <v>740</v>
      </c>
      <c r="F835" s="185">
        <v>450000</v>
      </c>
      <c r="G835" s="183" t="s">
        <v>749</v>
      </c>
      <c r="H835" s="183" t="s">
        <v>4045</v>
      </c>
      <c r="I835" s="183" t="s">
        <v>4046</v>
      </c>
      <c r="J835" s="183" t="s">
        <v>4047</v>
      </c>
      <c r="K835" s="183" t="s">
        <v>4048</v>
      </c>
      <c r="L835" s="184">
        <v>1</v>
      </c>
      <c r="M835" s="184">
        <v>64.400000000000006</v>
      </c>
    </row>
    <row r="836" spans="1:13" ht="17.25" hidden="1" customHeight="1" x14ac:dyDescent="0.25">
      <c r="A836" s="183" t="s">
        <v>20</v>
      </c>
      <c r="B836" s="184">
        <v>420</v>
      </c>
      <c r="C836" s="184">
        <v>2011</v>
      </c>
      <c r="D836" s="183" t="s">
        <v>4049</v>
      </c>
      <c r="E836" s="183" t="s">
        <v>740</v>
      </c>
      <c r="F836" s="185">
        <v>137325</v>
      </c>
      <c r="G836" s="183" t="s">
        <v>740</v>
      </c>
      <c r="H836" s="183" t="s">
        <v>4050</v>
      </c>
      <c r="I836" s="183"/>
      <c r="J836" s="183" t="s">
        <v>4051</v>
      </c>
      <c r="K836" s="183" t="s">
        <v>4052</v>
      </c>
      <c r="L836" s="184">
        <v>8</v>
      </c>
      <c r="M836" s="184">
        <v>6</v>
      </c>
    </row>
    <row r="837" spans="1:13" ht="17.25" hidden="1" customHeight="1" x14ac:dyDescent="0.25">
      <c r="A837" s="183" t="s">
        <v>20</v>
      </c>
      <c r="B837" s="184">
        <v>422</v>
      </c>
      <c r="C837" s="184">
        <v>2011</v>
      </c>
      <c r="D837" s="183" t="s">
        <v>4053</v>
      </c>
      <c r="E837" s="183" t="s">
        <v>740</v>
      </c>
      <c r="F837" s="185">
        <v>60566</v>
      </c>
      <c r="G837" s="183" t="s">
        <v>741</v>
      </c>
      <c r="H837" s="183" t="s">
        <v>4054</v>
      </c>
      <c r="I837" s="183" t="s">
        <v>4055</v>
      </c>
      <c r="J837" s="183" t="s">
        <v>4053</v>
      </c>
      <c r="K837" s="183" t="s">
        <v>4056</v>
      </c>
      <c r="L837" s="184">
        <v>10</v>
      </c>
      <c r="M837" s="184">
        <v>88.6</v>
      </c>
    </row>
    <row r="838" spans="1:13" ht="17.25" hidden="1" customHeight="1" x14ac:dyDescent="0.25">
      <c r="A838" s="183" t="s">
        <v>20</v>
      </c>
      <c r="B838" s="184">
        <v>421</v>
      </c>
      <c r="C838" s="184">
        <v>2011</v>
      </c>
      <c r="D838" s="183" t="s">
        <v>4057</v>
      </c>
      <c r="E838" s="183" t="s">
        <v>740</v>
      </c>
      <c r="F838" s="185">
        <v>54930</v>
      </c>
      <c r="G838" s="183" t="s">
        <v>741</v>
      </c>
      <c r="H838" s="183" t="s">
        <v>4058</v>
      </c>
      <c r="I838" s="183" t="s">
        <v>4059</v>
      </c>
      <c r="J838" s="183" t="s">
        <v>4060</v>
      </c>
      <c r="K838" s="183" t="s">
        <v>4061</v>
      </c>
      <c r="L838" s="184">
        <v>5</v>
      </c>
      <c r="M838" s="184">
        <v>21.2</v>
      </c>
    </row>
    <row r="839" spans="1:13" ht="17.25" hidden="1" customHeight="1" x14ac:dyDescent="0.25">
      <c r="A839" s="183" t="s">
        <v>20</v>
      </c>
      <c r="B839" s="184">
        <v>430</v>
      </c>
      <c r="C839" s="184">
        <v>2012</v>
      </c>
      <c r="D839" s="183" t="s">
        <v>4062</v>
      </c>
      <c r="E839" s="183" t="s">
        <v>740</v>
      </c>
      <c r="F839" s="185">
        <v>100000</v>
      </c>
      <c r="G839" s="183" t="s">
        <v>741</v>
      </c>
      <c r="H839" s="183" t="s">
        <v>4063</v>
      </c>
      <c r="I839" s="183" t="s">
        <v>4064</v>
      </c>
      <c r="J839" s="183" t="s">
        <v>4065</v>
      </c>
      <c r="K839" s="183" t="s">
        <v>864</v>
      </c>
      <c r="L839" s="184">
        <v>5</v>
      </c>
      <c r="M839" s="184">
        <v>219</v>
      </c>
    </row>
    <row r="840" spans="1:13" ht="17.25" hidden="1" customHeight="1" x14ac:dyDescent="0.25">
      <c r="A840" s="183" t="s">
        <v>20</v>
      </c>
      <c r="B840" s="184">
        <v>431</v>
      </c>
      <c r="C840" s="184">
        <v>2012</v>
      </c>
      <c r="D840" s="183" t="s">
        <v>4066</v>
      </c>
      <c r="E840" s="183" t="s">
        <v>740</v>
      </c>
      <c r="F840" s="185">
        <v>100000</v>
      </c>
      <c r="G840" s="183" t="s">
        <v>741</v>
      </c>
      <c r="H840" s="183" t="s">
        <v>4067</v>
      </c>
      <c r="I840" s="183" t="s">
        <v>4068</v>
      </c>
      <c r="J840" s="183" t="s">
        <v>4069</v>
      </c>
      <c r="K840" s="183" t="s">
        <v>4070</v>
      </c>
      <c r="L840" s="184">
        <v>4</v>
      </c>
      <c r="M840" s="184">
        <v>156.30000000000001</v>
      </c>
    </row>
    <row r="841" spans="1:13" ht="17.25" hidden="1" customHeight="1" x14ac:dyDescent="0.25">
      <c r="A841" s="183" t="s">
        <v>20</v>
      </c>
      <c r="B841" s="184">
        <v>428</v>
      </c>
      <c r="C841" s="184">
        <v>2012</v>
      </c>
      <c r="D841" s="183" t="s">
        <v>4071</v>
      </c>
      <c r="E841" s="183" t="s">
        <v>740</v>
      </c>
      <c r="F841" s="185">
        <v>125000</v>
      </c>
      <c r="G841" s="183" t="s">
        <v>741</v>
      </c>
      <c r="H841" s="183" t="s">
        <v>4072</v>
      </c>
      <c r="I841" s="183" t="s">
        <v>4073</v>
      </c>
      <c r="J841" s="183" t="s">
        <v>4074</v>
      </c>
      <c r="K841" s="183" t="s">
        <v>4075</v>
      </c>
      <c r="L841" s="184">
        <v>4</v>
      </c>
      <c r="M841" s="184">
        <v>72</v>
      </c>
    </row>
    <row r="842" spans="1:13" ht="17.25" hidden="1" customHeight="1" x14ac:dyDescent="0.25">
      <c r="A842" s="183" t="s">
        <v>20</v>
      </c>
      <c r="B842" s="184">
        <v>429</v>
      </c>
      <c r="C842" s="184">
        <v>2012</v>
      </c>
      <c r="D842" s="183" t="s">
        <v>4076</v>
      </c>
      <c r="E842" s="183" t="s">
        <v>740</v>
      </c>
      <c r="F842" s="185">
        <v>200000</v>
      </c>
      <c r="G842" s="183" t="s">
        <v>741</v>
      </c>
      <c r="H842" s="183" t="s">
        <v>4077</v>
      </c>
      <c r="I842" s="183" t="s">
        <v>4078</v>
      </c>
      <c r="J842" s="183" t="s">
        <v>4079</v>
      </c>
      <c r="K842" s="183" t="s">
        <v>4080</v>
      </c>
      <c r="L842" s="184">
        <v>6</v>
      </c>
      <c r="M842" s="184">
        <v>57.2</v>
      </c>
    </row>
    <row r="843" spans="1:13" ht="17.25" hidden="1" customHeight="1" x14ac:dyDescent="0.25">
      <c r="A843" s="183" t="s">
        <v>20</v>
      </c>
      <c r="B843" s="184">
        <v>427</v>
      </c>
      <c r="C843" s="184">
        <v>2012</v>
      </c>
      <c r="D843" s="183" t="s">
        <v>4081</v>
      </c>
      <c r="E843" s="183" t="s">
        <v>740</v>
      </c>
      <c r="F843" s="185">
        <v>200000</v>
      </c>
      <c r="G843" s="183" t="s">
        <v>741</v>
      </c>
      <c r="H843" s="183" t="s">
        <v>4082</v>
      </c>
      <c r="I843" s="183" t="s">
        <v>4083</v>
      </c>
      <c r="J843" s="183" t="s">
        <v>4084</v>
      </c>
      <c r="K843" s="183" t="s">
        <v>4085</v>
      </c>
      <c r="L843" s="184">
        <v>1</v>
      </c>
      <c r="M843" s="184">
        <v>43</v>
      </c>
    </row>
    <row r="844" spans="1:13" ht="17.25" hidden="1" customHeight="1" x14ac:dyDescent="0.25">
      <c r="A844" s="183" t="s">
        <v>20</v>
      </c>
      <c r="B844" s="184">
        <v>424</v>
      </c>
      <c r="C844" s="184">
        <v>2012</v>
      </c>
      <c r="D844" s="183" t="s">
        <v>4086</v>
      </c>
      <c r="E844" s="183" t="s">
        <v>740</v>
      </c>
      <c r="F844" s="185">
        <v>152049</v>
      </c>
      <c r="G844" s="183" t="s">
        <v>741</v>
      </c>
      <c r="H844" s="183" t="s">
        <v>4087</v>
      </c>
      <c r="I844" s="183" t="s">
        <v>4088</v>
      </c>
      <c r="J844" s="183" t="s">
        <v>4089</v>
      </c>
      <c r="K844" s="183" t="s">
        <v>4090</v>
      </c>
      <c r="L844" s="184">
        <v>1</v>
      </c>
      <c r="M844" s="184">
        <v>33.6</v>
      </c>
    </row>
    <row r="845" spans="1:13" ht="17.25" hidden="1" customHeight="1" x14ac:dyDescent="0.25">
      <c r="A845" s="183" t="s">
        <v>20</v>
      </c>
      <c r="B845" s="184">
        <v>425</v>
      </c>
      <c r="C845" s="184">
        <v>2012</v>
      </c>
      <c r="D845" s="183" t="s">
        <v>4091</v>
      </c>
      <c r="E845" s="183" t="s">
        <v>740</v>
      </c>
      <c r="F845" s="185">
        <v>200000</v>
      </c>
      <c r="G845" s="183" t="s">
        <v>741</v>
      </c>
      <c r="H845" s="183" t="s">
        <v>4092</v>
      </c>
      <c r="I845" s="183" t="s">
        <v>4093</v>
      </c>
      <c r="J845" s="183" t="s">
        <v>4094</v>
      </c>
      <c r="K845" s="183" t="s">
        <v>4052</v>
      </c>
      <c r="L845" s="184">
        <v>8</v>
      </c>
      <c r="M845" s="184">
        <v>2.9</v>
      </c>
    </row>
    <row r="846" spans="1:13" ht="17.25" hidden="1" customHeight="1" x14ac:dyDescent="0.25">
      <c r="A846" s="183" t="s">
        <v>20</v>
      </c>
      <c r="B846" s="184">
        <v>426</v>
      </c>
      <c r="C846" s="184">
        <v>2012</v>
      </c>
      <c r="D846" s="183" t="s">
        <v>4095</v>
      </c>
      <c r="E846" s="183" t="s">
        <v>740</v>
      </c>
      <c r="F846" s="185">
        <v>100000</v>
      </c>
      <c r="G846" s="183" t="s">
        <v>741</v>
      </c>
      <c r="H846" s="183" t="s">
        <v>4096</v>
      </c>
      <c r="I846" s="183" t="s">
        <v>4097</v>
      </c>
      <c r="J846" s="183" t="s">
        <v>4098</v>
      </c>
      <c r="K846" s="183" t="s">
        <v>4099</v>
      </c>
      <c r="L846" s="184">
        <v>1</v>
      </c>
      <c r="M846" s="184">
        <v>1.8</v>
      </c>
    </row>
    <row r="847" spans="1:13" ht="17.25" hidden="1" customHeight="1" x14ac:dyDescent="0.25">
      <c r="A847" s="183" t="s">
        <v>20</v>
      </c>
      <c r="B847" s="184">
        <v>434</v>
      </c>
      <c r="C847" s="184">
        <v>2013</v>
      </c>
      <c r="D847" s="183" t="s">
        <v>4100</v>
      </c>
      <c r="E847" s="183" t="s">
        <v>740</v>
      </c>
      <c r="F847" s="189">
        <v>75000</v>
      </c>
      <c r="G847" s="183" t="s">
        <v>741</v>
      </c>
      <c r="H847" s="183" t="s">
        <v>4101</v>
      </c>
      <c r="I847" s="183" t="s">
        <v>4102</v>
      </c>
      <c r="J847" s="183" t="s">
        <v>4103</v>
      </c>
      <c r="K847" s="183" t="s">
        <v>1920</v>
      </c>
      <c r="L847" s="184">
        <v>0</v>
      </c>
      <c r="M847" s="184">
        <v>99</v>
      </c>
    </row>
    <row r="848" spans="1:13" ht="17.25" hidden="1" customHeight="1" x14ac:dyDescent="0.25">
      <c r="A848" s="183" t="s">
        <v>20</v>
      </c>
      <c r="B848" s="184">
        <v>433</v>
      </c>
      <c r="C848" s="184">
        <v>2013</v>
      </c>
      <c r="D848" s="183" t="s">
        <v>4104</v>
      </c>
      <c r="E848" s="183" t="s">
        <v>740</v>
      </c>
      <c r="F848" s="189">
        <v>168550</v>
      </c>
      <c r="G848" s="183" t="s">
        <v>741</v>
      </c>
      <c r="H848" s="183" t="s">
        <v>4105</v>
      </c>
      <c r="I848" s="183" t="s">
        <v>4106</v>
      </c>
      <c r="J848" s="183" t="s">
        <v>4104</v>
      </c>
      <c r="K848" s="183" t="s">
        <v>4075</v>
      </c>
      <c r="L848" s="184">
        <v>0</v>
      </c>
      <c r="M848" s="184">
        <v>33.799999999999997</v>
      </c>
    </row>
    <row r="849" spans="1:13" ht="17.25" hidden="1" customHeight="1" x14ac:dyDescent="0.25">
      <c r="A849" s="183" t="s">
        <v>20</v>
      </c>
      <c r="B849" s="184">
        <v>434</v>
      </c>
      <c r="C849" s="184">
        <v>2013</v>
      </c>
      <c r="D849" s="183" t="s">
        <v>4100</v>
      </c>
      <c r="E849" s="183" t="s">
        <v>740</v>
      </c>
      <c r="F849" s="189">
        <v>75000</v>
      </c>
      <c r="G849" s="183" t="s">
        <v>741</v>
      </c>
      <c r="H849" s="183" t="s">
        <v>4101</v>
      </c>
      <c r="I849" s="183" t="s">
        <v>4102</v>
      </c>
      <c r="J849" s="183" t="s">
        <v>4107</v>
      </c>
      <c r="K849" s="183" t="s">
        <v>4108</v>
      </c>
      <c r="L849" s="184">
        <v>0</v>
      </c>
      <c r="M849" s="184">
        <v>3.7</v>
      </c>
    </row>
    <row r="850" spans="1:13" ht="17.25" hidden="1" customHeight="1" x14ac:dyDescent="0.25">
      <c r="A850" s="183" t="s">
        <v>304</v>
      </c>
      <c r="B850" s="184">
        <v>57</v>
      </c>
      <c r="C850" s="184">
        <v>2011</v>
      </c>
      <c r="D850" s="183" t="s">
        <v>4109</v>
      </c>
      <c r="E850" s="183" t="s">
        <v>773</v>
      </c>
      <c r="F850" s="185">
        <v>152969</v>
      </c>
      <c r="G850" s="183" t="s">
        <v>749</v>
      </c>
      <c r="H850" s="183" t="s">
        <v>4110</v>
      </c>
      <c r="I850" s="183" t="s">
        <v>4111</v>
      </c>
      <c r="J850" s="183" t="s">
        <v>4112</v>
      </c>
      <c r="K850" s="183" t="s">
        <v>4113</v>
      </c>
      <c r="L850" s="184">
        <v>0</v>
      </c>
      <c r="M850" s="184">
        <v>4.7</v>
      </c>
    </row>
    <row r="851" spans="1:13" ht="17.25" hidden="1" customHeight="1" x14ac:dyDescent="0.25">
      <c r="A851" s="183" t="s">
        <v>304</v>
      </c>
      <c r="B851" s="184">
        <v>58</v>
      </c>
      <c r="C851" s="184">
        <v>2014</v>
      </c>
      <c r="D851" s="183" t="s">
        <v>4114</v>
      </c>
      <c r="E851" s="183" t="s">
        <v>740</v>
      </c>
      <c r="F851" s="184">
        <v>0</v>
      </c>
      <c r="G851" s="183" t="s">
        <v>741</v>
      </c>
      <c r="H851" s="183" t="s">
        <v>4115</v>
      </c>
      <c r="I851" s="183" t="s">
        <v>4116</v>
      </c>
      <c r="J851" s="183" t="s">
        <v>4117</v>
      </c>
      <c r="K851" s="183" t="s">
        <v>2805</v>
      </c>
      <c r="L851" s="184">
        <v>0</v>
      </c>
      <c r="M851" s="184">
        <v>0.5</v>
      </c>
    </row>
    <row r="852" spans="1:13" ht="17.25" hidden="1" customHeight="1" x14ac:dyDescent="0.25">
      <c r="A852" s="183" t="s">
        <v>136</v>
      </c>
      <c r="B852" s="184">
        <v>624</v>
      </c>
      <c r="C852" s="184">
        <v>2011</v>
      </c>
      <c r="D852" s="183" t="s">
        <v>4118</v>
      </c>
      <c r="E852" s="183" t="s">
        <v>740</v>
      </c>
      <c r="F852" s="185">
        <v>11035</v>
      </c>
      <c r="G852" s="183" t="s">
        <v>740</v>
      </c>
      <c r="H852" s="183" t="s">
        <v>4119</v>
      </c>
      <c r="I852" s="183"/>
      <c r="J852" s="183" t="s">
        <v>4120</v>
      </c>
      <c r="K852" s="183" t="s">
        <v>1110</v>
      </c>
      <c r="L852" s="184">
        <v>0</v>
      </c>
      <c r="M852" s="184">
        <v>1.2</v>
      </c>
    </row>
    <row r="853" spans="1:13" ht="17.25" hidden="1" customHeight="1" x14ac:dyDescent="0.25">
      <c r="A853" s="183" t="s">
        <v>136</v>
      </c>
      <c r="B853" s="184">
        <v>629</v>
      </c>
      <c r="C853" s="184">
        <v>2011</v>
      </c>
      <c r="D853" s="183" t="s">
        <v>4121</v>
      </c>
      <c r="E853" s="183" t="s">
        <v>740</v>
      </c>
      <c r="F853" s="185">
        <v>153638</v>
      </c>
      <c r="G853" s="183" t="s">
        <v>741</v>
      </c>
      <c r="H853" s="183" t="s">
        <v>4122</v>
      </c>
      <c r="I853" s="183"/>
      <c r="J853" s="183" t="s">
        <v>4123</v>
      </c>
      <c r="K853" s="183" t="s">
        <v>4124</v>
      </c>
      <c r="L853" s="184">
        <v>0</v>
      </c>
      <c r="M853" s="184">
        <v>401.1</v>
      </c>
    </row>
    <row r="854" spans="1:13" ht="17.25" hidden="1" customHeight="1" x14ac:dyDescent="0.25">
      <c r="A854" s="183" t="s">
        <v>136</v>
      </c>
      <c r="B854" s="184">
        <v>629</v>
      </c>
      <c r="C854" s="184">
        <v>2011</v>
      </c>
      <c r="D854" s="183" t="s">
        <v>4121</v>
      </c>
      <c r="E854" s="183" t="s">
        <v>740</v>
      </c>
      <c r="F854" s="185">
        <v>153638</v>
      </c>
      <c r="G854" s="183" t="s">
        <v>741</v>
      </c>
      <c r="H854" s="183" t="s">
        <v>4122</v>
      </c>
      <c r="I854" s="183"/>
      <c r="J854" s="183" t="s">
        <v>4125</v>
      </c>
      <c r="K854" s="183" t="s">
        <v>4126</v>
      </c>
      <c r="L854" s="184">
        <v>0</v>
      </c>
      <c r="M854" s="184">
        <v>236.2</v>
      </c>
    </row>
    <row r="855" spans="1:13" ht="17.25" hidden="1" customHeight="1" x14ac:dyDescent="0.25">
      <c r="A855" s="183" t="s">
        <v>136</v>
      </c>
      <c r="B855" s="184">
        <v>629</v>
      </c>
      <c r="C855" s="184">
        <v>2011</v>
      </c>
      <c r="D855" s="183" t="s">
        <v>4121</v>
      </c>
      <c r="E855" s="183" t="s">
        <v>740</v>
      </c>
      <c r="F855" s="185">
        <v>153638</v>
      </c>
      <c r="G855" s="183" t="s">
        <v>741</v>
      </c>
      <c r="H855" s="183" t="s">
        <v>4122</v>
      </c>
      <c r="I855" s="183"/>
      <c r="J855" s="183" t="s">
        <v>4127</v>
      </c>
      <c r="K855" s="183" t="s">
        <v>4128</v>
      </c>
      <c r="L855" s="184">
        <v>0</v>
      </c>
      <c r="M855" s="184">
        <v>89.1</v>
      </c>
    </row>
    <row r="856" spans="1:13" ht="17.25" hidden="1" customHeight="1" x14ac:dyDescent="0.25">
      <c r="A856" s="183" t="s">
        <v>136</v>
      </c>
      <c r="B856" s="184">
        <v>627</v>
      </c>
      <c r="C856" s="184">
        <v>2011</v>
      </c>
      <c r="D856" s="183" t="s">
        <v>4129</v>
      </c>
      <c r="E856" s="183" t="s">
        <v>773</v>
      </c>
      <c r="F856" s="185">
        <v>17000</v>
      </c>
      <c r="G856" s="183" t="s">
        <v>741</v>
      </c>
      <c r="H856" s="183" t="s">
        <v>4130</v>
      </c>
      <c r="I856" s="183"/>
      <c r="J856" s="183" t="s">
        <v>4131</v>
      </c>
      <c r="K856" s="183" t="s">
        <v>4128</v>
      </c>
      <c r="L856" s="184">
        <v>0</v>
      </c>
      <c r="M856" s="184">
        <v>37</v>
      </c>
    </row>
    <row r="857" spans="1:13" ht="17.25" hidden="1" customHeight="1" x14ac:dyDescent="0.25">
      <c r="A857" s="183" t="s">
        <v>136</v>
      </c>
      <c r="B857" s="184">
        <v>625</v>
      </c>
      <c r="C857" s="184">
        <v>2011</v>
      </c>
      <c r="D857" s="183" t="s">
        <v>4132</v>
      </c>
      <c r="E857" s="183" t="s">
        <v>773</v>
      </c>
      <c r="F857" s="185">
        <v>13000</v>
      </c>
      <c r="G857" s="183" t="s">
        <v>741</v>
      </c>
      <c r="H857" s="183" t="s">
        <v>4133</v>
      </c>
      <c r="I857" s="183"/>
      <c r="J857" s="183" t="s">
        <v>4134</v>
      </c>
      <c r="K857" s="183" t="s">
        <v>4135</v>
      </c>
      <c r="L857" s="184">
        <v>0</v>
      </c>
      <c r="M857" s="184">
        <v>28</v>
      </c>
    </row>
    <row r="858" spans="1:13" ht="17.25" hidden="1" customHeight="1" x14ac:dyDescent="0.25">
      <c r="A858" s="183" t="s">
        <v>136</v>
      </c>
      <c r="B858" s="184">
        <v>623</v>
      </c>
      <c r="C858" s="184">
        <v>2011</v>
      </c>
      <c r="D858" s="183" t="s">
        <v>4136</v>
      </c>
      <c r="E858" s="183" t="s">
        <v>740</v>
      </c>
      <c r="F858" s="185">
        <v>39250</v>
      </c>
      <c r="G858" s="183" t="s">
        <v>741</v>
      </c>
      <c r="H858" s="183" t="s">
        <v>4137</v>
      </c>
      <c r="I858" s="183"/>
      <c r="J858" s="183" t="s">
        <v>4138</v>
      </c>
      <c r="K858" s="183" t="s">
        <v>864</v>
      </c>
      <c r="L858" s="184">
        <v>0</v>
      </c>
      <c r="M858" s="184">
        <v>6</v>
      </c>
    </row>
    <row r="859" spans="1:13" ht="17.25" hidden="1" customHeight="1" x14ac:dyDescent="0.25">
      <c r="A859" s="183" t="s">
        <v>136</v>
      </c>
      <c r="B859" s="184">
        <v>622</v>
      </c>
      <c r="C859" s="184">
        <v>2011</v>
      </c>
      <c r="D859" s="183" t="s">
        <v>4139</v>
      </c>
      <c r="E859" s="183" t="s">
        <v>773</v>
      </c>
      <c r="F859" s="185">
        <v>20000</v>
      </c>
      <c r="G859" s="183" t="s">
        <v>741</v>
      </c>
      <c r="H859" s="183" t="s">
        <v>4140</v>
      </c>
      <c r="I859" s="183"/>
      <c r="J859" s="183" t="s">
        <v>4139</v>
      </c>
      <c r="K859" s="183" t="s">
        <v>4141</v>
      </c>
      <c r="L859" s="184">
        <v>0</v>
      </c>
      <c r="M859" s="184">
        <v>5.6</v>
      </c>
    </row>
    <row r="860" spans="1:13" ht="17.25" hidden="1" customHeight="1" x14ac:dyDescent="0.25">
      <c r="A860" s="183" t="s">
        <v>136</v>
      </c>
      <c r="B860" s="184">
        <v>626</v>
      </c>
      <c r="C860" s="184">
        <v>2011</v>
      </c>
      <c r="D860" s="183" t="s">
        <v>4142</v>
      </c>
      <c r="E860" s="183" t="s">
        <v>773</v>
      </c>
      <c r="F860" s="185">
        <v>34962</v>
      </c>
      <c r="G860" s="183" t="s">
        <v>741</v>
      </c>
      <c r="H860" s="183" t="s">
        <v>4143</v>
      </c>
      <c r="I860" s="183"/>
      <c r="J860" s="183" t="s">
        <v>4144</v>
      </c>
      <c r="K860" s="183" t="s">
        <v>4145</v>
      </c>
      <c r="L860" s="184">
        <v>0</v>
      </c>
      <c r="M860" s="184">
        <v>1</v>
      </c>
    </row>
    <row r="861" spans="1:13" ht="17.25" hidden="1" customHeight="1" x14ac:dyDescent="0.25">
      <c r="A861" s="183" t="s">
        <v>136</v>
      </c>
      <c r="B861" s="184">
        <v>628</v>
      </c>
      <c r="C861" s="184">
        <v>2011</v>
      </c>
      <c r="D861" s="183" t="s">
        <v>4146</v>
      </c>
      <c r="E861" s="183" t="s">
        <v>773</v>
      </c>
      <c r="F861" s="185">
        <v>32220</v>
      </c>
      <c r="G861" s="183" t="s">
        <v>741</v>
      </c>
      <c r="H861" s="183" t="s">
        <v>4147</v>
      </c>
      <c r="I861" s="183"/>
      <c r="J861" s="183" t="s">
        <v>4146</v>
      </c>
      <c r="K861" s="183" t="s">
        <v>4141</v>
      </c>
      <c r="L861" s="184">
        <v>0</v>
      </c>
      <c r="M861" s="184">
        <v>1</v>
      </c>
    </row>
    <row r="862" spans="1:13" ht="17.25" hidden="1" customHeight="1" x14ac:dyDescent="0.25">
      <c r="A862" s="183" t="s">
        <v>30</v>
      </c>
      <c r="B862" s="184">
        <v>698</v>
      </c>
      <c r="C862" s="184">
        <v>2011</v>
      </c>
      <c r="D862" s="183" t="s">
        <v>4148</v>
      </c>
      <c r="E862" s="183" t="s">
        <v>740</v>
      </c>
      <c r="F862" s="185">
        <v>662042.48</v>
      </c>
      <c r="G862" s="183" t="s">
        <v>773</v>
      </c>
      <c r="H862" s="183" t="s">
        <v>4149</v>
      </c>
      <c r="I862" s="183" t="s">
        <v>4150</v>
      </c>
      <c r="J862" s="183" t="s">
        <v>4151</v>
      </c>
      <c r="K862" s="183" t="s">
        <v>4152</v>
      </c>
      <c r="L862" s="184">
        <v>3</v>
      </c>
      <c r="M862" s="184">
        <v>30</v>
      </c>
    </row>
    <row r="863" spans="1:13" ht="17.25" hidden="1" customHeight="1" x14ac:dyDescent="0.25">
      <c r="A863" s="183" t="s">
        <v>30</v>
      </c>
      <c r="B863" s="184">
        <v>697</v>
      </c>
      <c r="C863" s="184">
        <v>2011</v>
      </c>
      <c r="D863" s="183" t="s">
        <v>4153</v>
      </c>
      <c r="E863" s="183" t="s">
        <v>773</v>
      </c>
      <c r="F863" s="185">
        <v>509900</v>
      </c>
      <c r="G863" s="183" t="s">
        <v>741</v>
      </c>
      <c r="H863" s="183" t="s">
        <v>4154</v>
      </c>
      <c r="I863" s="183" t="s">
        <v>4155</v>
      </c>
      <c r="J863" s="183" t="s">
        <v>4156</v>
      </c>
      <c r="K863" s="183" t="s">
        <v>4157</v>
      </c>
      <c r="L863" s="184">
        <v>6</v>
      </c>
      <c r="M863" s="184">
        <v>10.4</v>
      </c>
    </row>
    <row r="864" spans="1:13" ht="17.25" hidden="1" customHeight="1" x14ac:dyDescent="0.25">
      <c r="A864" s="183" t="s">
        <v>30</v>
      </c>
      <c r="B864" s="184">
        <v>702</v>
      </c>
      <c r="C864" s="184">
        <v>2012</v>
      </c>
      <c r="D864" s="183" t="s">
        <v>4158</v>
      </c>
      <c r="E864" s="183" t="s">
        <v>773</v>
      </c>
      <c r="F864" s="185">
        <v>112433.5</v>
      </c>
      <c r="G864" s="183" t="s">
        <v>740</v>
      </c>
      <c r="H864" s="183" t="s">
        <v>4159</v>
      </c>
      <c r="I864" s="183" t="s">
        <v>4160</v>
      </c>
      <c r="J864" s="183" t="s">
        <v>4161</v>
      </c>
      <c r="K864" s="183" t="s">
        <v>4162</v>
      </c>
      <c r="L864" s="184">
        <v>1</v>
      </c>
      <c r="M864" s="184">
        <v>27.7</v>
      </c>
    </row>
    <row r="865" spans="1:13" ht="17.25" hidden="1" customHeight="1" x14ac:dyDescent="0.25">
      <c r="A865" s="183" t="s">
        <v>30</v>
      </c>
      <c r="B865" s="184">
        <v>701</v>
      </c>
      <c r="C865" s="184">
        <v>2012</v>
      </c>
      <c r="D865" s="183" t="s">
        <v>4163</v>
      </c>
      <c r="E865" s="183" t="s">
        <v>773</v>
      </c>
      <c r="F865" s="185">
        <v>202646.1</v>
      </c>
      <c r="G865" s="183" t="s">
        <v>773</v>
      </c>
      <c r="H865" s="183" t="s">
        <v>4164</v>
      </c>
      <c r="I865" s="183" t="s">
        <v>4165</v>
      </c>
      <c r="J865" s="183" t="s">
        <v>4166</v>
      </c>
      <c r="K865" s="183" t="s">
        <v>2039</v>
      </c>
      <c r="L865" s="184">
        <v>6</v>
      </c>
      <c r="M865" s="184">
        <v>36.5</v>
      </c>
    </row>
    <row r="866" spans="1:13" ht="17.25" hidden="1" customHeight="1" x14ac:dyDescent="0.25">
      <c r="A866" s="183" t="s">
        <v>30</v>
      </c>
      <c r="B866" s="184">
        <v>704</v>
      </c>
      <c r="C866" s="184">
        <v>2012</v>
      </c>
      <c r="D866" s="183" t="s">
        <v>4167</v>
      </c>
      <c r="E866" s="183" t="s">
        <v>773</v>
      </c>
      <c r="F866" s="185">
        <v>399230.67</v>
      </c>
      <c r="G866" s="183" t="s">
        <v>741</v>
      </c>
      <c r="H866" s="183" t="s">
        <v>4168</v>
      </c>
      <c r="I866" s="183" t="s">
        <v>4169</v>
      </c>
      <c r="J866" s="183" t="s">
        <v>4170</v>
      </c>
      <c r="K866" s="183" t="s">
        <v>935</v>
      </c>
      <c r="L866" s="184">
        <v>4</v>
      </c>
      <c r="M866" s="184">
        <v>28.7</v>
      </c>
    </row>
    <row r="867" spans="1:13" ht="17.25" hidden="1" customHeight="1" x14ac:dyDescent="0.25">
      <c r="A867" s="183" t="s">
        <v>30</v>
      </c>
      <c r="B867" s="184">
        <v>703</v>
      </c>
      <c r="C867" s="184">
        <v>2012</v>
      </c>
      <c r="D867" s="183" t="s">
        <v>4171</v>
      </c>
      <c r="E867" s="183" t="s">
        <v>773</v>
      </c>
      <c r="F867" s="185">
        <v>40875.120000000003</v>
      </c>
      <c r="G867" s="183" t="s">
        <v>749</v>
      </c>
      <c r="H867" s="183" t="s">
        <v>4172</v>
      </c>
      <c r="I867" s="183" t="s">
        <v>4173</v>
      </c>
      <c r="J867" s="183" t="s">
        <v>4174</v>
      </c>
      <c r="K867" s="183" t="s">
        <v>4175</v>
      </c>
      <c r="L867" s="184">
        <v>6</v>
      </c>
      <c r="M867" s="184">
        <v>16.3</v>
      </c>
    </row>
    <row r="868" spans="1:13" ht="17.25" hidden="1" customHeight="1" x14ac:dyDescent="0.25">
      <c r="A868" s="183" t="s">
        <v>30</v>
      </c>
      <c r="B868" s="184">
        <v>708</v>
      </c>
      <c r="C868" s="184">
        <v>2014</v>
      </c>
      <c r="D868" s="183" t="s">
        <v>4176</v>
      </c>
      <c r="E868" s="183" t="s">
        <v>740</v>
      </c>
      <c r="F868" s="184">
        <v>0</v>
      </c>
      <c r="G868" s="183" t="s">
        <v>740</v>
      </c>
      <c r="H868" s="183" t="s">
        <v>4159</v>
      </c>
      <c r="I868" s="183" t="s">
        <v>4177</v>
      </c>
      <c r="J868" s="183" t="s">
        <v>4161</v>
      </c>
      <c r="K868" s="183" t="s">
        <v>4162</v>
      </c>
      <c r="L868" s="184">
        <v>1</v>
      </c>
      <c r="M868" s="184">
        <v>27.7</v>
      </c>
    </row>
    <row r="869" spans="1:13" ht="17.25" hidden="1" customHeight="1" x14ac:dyDescent="0.25">
      <c r="A869" s="183" t="s">
        <v>30</v>
      </c>
      <c r="B869" s="184">
        <v>707</v>
      </c>
      <c r="C869" s="184">
        <v>2014</v>
      </c>
      <c r="D869" s="183" t="s">
        <v>4178</v>
      </c>
      <c r="E869" s="183" t="s">
        <v>740</v>
      </c>
      <c r="F869" s="184">
        <v>0</v>
      </c>
      <c r="G869" s="183" t="s">
        <v>741</v>
      </c>
      <c r="H869" s="183" t="s">
        <v>4179</v>
      </c>
      <c r="I869" s="183" t="s">
        <v>4180</v>
      </c>
      <c r="J869" s="183" t="s">
        <v>4181</v>
      </c>
      <c r="K869" s="183" t="s">
        <v>4182</v>
      </c>
      <c r="L869" s="184">
        <v>6</v>
      </c>
      <c r="M869" s="184">
        <v>761.5</v>
      </c>
    </row>
    <row r="870" spans="1:13" ht="17.25" hidden="1" customHeight="1" x14ac:dyDescent="0.25">
      <c r="A870" s="183" t="s">
        <v>30</v>
      </c>
      <c r="B870" s="184">
        <v>706</v>
      </c>
      <c r="C870" s="184">
        <v>2014</v>
      </c>
      <c r="D870" s="183" t="s">
        <v>4183</v>
      </c>
      <c r="E870" s="183" t="s">
        <v>740</v>
      </c>
      <c r="F870" s="184">
        <v>0</v>
      </c>
      <c r="G870" s="183" t="s">
        <v>749</v>
      </c>
      <c r="H870" s="183" t="s">
        <v>4184</v>
      </c>
      <c r="I870" s="183" t="s">
        <v>4185</v>
      </c>
      <c r="J870" s="183" t="s">
        <v>4186</v>
      </c>
      <c r="K870" s="183" t="s">
        <v>4152</v>
      </c>
      <c r="L870" s="184">
        <v>3</v>
      </c>
      <c r="M870" s="184">
        <v>1.2</v>
      </c>
    </row>
    <row r="871" spans="1:13" ht="17.25" hidden="1" customHeight="1" x14ac:dyDescent="0.25">
      <c r="A871" s="183" t="s">
        <v>8</v>
      </c>
      <c r="B871" s="190">
        <v>1868</v>
      </c>
      <c r="C871" s="184">
        <v>2011</v>
      </c>
      <c r="D871" s="183" t="s">
        <v>4187</v>
      </c>
      <c r="E871" s="183" t="s">
        <v>740</v>
      </c>
      <c r="F871" s="185">
        <v>389976.61</v>
      </c>
      <c r="G871" s="183" t="s">
        <v>773</v>
      </c>
      <c r="H871" s="183" t="s">
        <v>4188</v>
      </c>
      <c r="I871" s="183" t="s">
        <v>4189</v>
      </c>
      <c r="J871" s="183" t="s">
        <v>4190</v>
      </c>
      <c r="K871" s="183" t="s">
        <v>4191</v>
      </c>
      <c r="L871" s="184">
        <v>8</v>
      </c>
      <c r="M871" s="184">
        <v>5.3</v>
      </c>
    </row>
    <row r="872" spans="1:13" ht="17.25" hidden="1" customHeight="1" x14ac:dyDescent="0.25">
      <c r="A872" s="183" t="s">
        <v>8</v>
      </c>
      <c r="B872" s="190">
        <v>1869</v>
      </c>
      <c r="C872" s="184">
        <v>2011</v>
      </c>
      <c r="D872" s="183" t="s">
        <v>4192</v>
      </c>
      <c r="E872" s="183" t="s">
        <v>740</v>
      </c>
      <c r="F872" s="185">
        <v>205838</v>
      </c>
      <c r="G872" s="183" t="s">
        <v>741</v>
      </c>
      <c r="H872" s="183" t="s">
        <v>1672</v>
      </c>
      <c r="I872" s="183" t="s">
        <v>4193</v>
      </c>
      <c r="J872" s="183" t="s">
        <v>4194</v>
      </c>
      <c r="K872" s="183" t="s">
        <v>4195</v>
      </c>
      <c r="L872" s="184">
        <v>6</v>
      </c>
      <c r="M872" s="185">
        <v>11146</v>
      </c>
    </row>
    <row r="873" spans="1:13" ht="17.25" hidden="1" customHeight="1" x14ac:dyDescent="0.25">
      <c r="A873" s="183" t="s">
        <v>8</v>
      </c>
      <c r="B873" s="190">
        <v>1867</v>
      </c>
      <c r="C873" s="184">
        <v>2011</v>
      </c>
      <c r="D873" s="183" t="s">
        <v>4196</v>
      </c>
      <c r="E873" s="183" t="s">
        <v>740</v>
      </c>
      <c r="F873" s="185">
        <v>179500</v>
      </c>
      <c r="G873" s="183" t="s">
        <v>741</v>
      </c>
      <c r="H873" s="183" t="s">
        <v>1672</v>
      </c>
      <c r="I873" s="183" t="s">
        <v>4197</v>
      </c>
      <c r="J873" s="183" t="s">
        <v>4198</v>
      </c>
      <c r="K873" s="183" t="s">
        <v>1670</v>
      </c>
      <c r="L873" s="184">
        <v>7</v>
      </c>
      <c r="M873" s="185">
        <v>1254.0999999999999</v>
      </c>
    </row>
    <row r="874" spans="1:13" ht="17.25" hidden="1" customHeight="1" x14ac:dyDescent="0.25">
      <c r="A874" s="183" t="s">
        <v>8</v>
      </c>
      <c r="B874" s="190">
        <v>1876</v>
      </c>
      <c r="C874" s="184">
        <v>2012</v>
      </c>
      <c r="D874" s="183" t="s">
        <v>4199</v>
      </c>
      <c r="E874" s="183" t="s">
        <v>740</v>
      </c>
      <c r="F874" s="185">
        <v>85000</v>
      </c>
      <c r="G874" s="183" t="s">
        <v>740</v>
      </c>
      <c r="H874" s="183" t="s">
        <v>4200</v>
      </c>
      <c r="I874" s="183" t="s">
        <v>4201</v>
      </c>
      <c r="J874" s="183" t="s">
        <v>4202</v>
      </c>
      <c r="K874" s="183" t="s">
        <v>3677</v>
      </c>
      <c r="L874" s="184">
        <v>1</v>
      </c>
      <c r="M874" s="184">
        <v>60.6</v>
      </c>
    </row>
    <row r="875" spans="1:13" ht="17.25" hidden="1" customHeight="1" x14ac:dyDescent="0.25">
      <c r="A875" s="183" t="s">
        <v>8</v>
      </c>
      <c r="B875" s="190">
        <v>1875</v>
      </c>
      <c r="C875" s="184">
        <v>2012</v>
      </c>
      <c r="D875" s="183" t="s">
        <v>4203</v>
      </c>
      <c r="E875" s="183" t="s">
        <v>740</v>
      </c>
      <c r="F875" s="185">
        <v>20500</v>
      </c>
      <c r="G875" s="183" t="s">
        <v>740</v>
      </c>
      <c r="H875" s="183" t="s">
        <v>4204</v>
      </c>
      <c r="I875" s="183" t="s">
        <v>4205</v>
      </c>
      <c r="J875" s="183" t="s">
        <v>4206</v>
      </c>
      <c r="K875" s="183" t="s">
        <v>4207</v>
      </c>
      <c r="L875" s="184">
        <v>1</v>
      </c>
      <c r="M875" s="184">
        <v>8.1999999999999993</v>
      </c>
    </row>
    <row r="876" spans="1:13" ht="17.25" hidden="1" customHeight="1" x14ac:dyDescent="0.25">
      <c r="A876" s="183" t="s">
        <v>8</v>
      </c>
      <c r="B876" s="190">
        <v>1872</v>
      </c>
      <c r="C876" s="184">
        <v>2012</v>
      </c>
      <c r="D876" s="183" t="s">
        <v>4208</v>
      </c>
      <c r="E876" s="183" t="s">
        <v>740</v>
      </c>
      <c r="F876" s="185">
        <v>295387</v>
      </c>
      <c r="G876" s="183" t="s">
        <v>741</v>
      </c>
      <c r="H876" s="183" t="s">
        <v>1672</v>
      </c>
      <c r="I876" s="183" t="s">
        <v>4209</v>
      </c>
      <c r="J876" s="183" t="s">
        <v>4210</v>
      </c>
      <c r="K876" s="183" t="s">
        <v>278</v>
      </c>
      <c r="L876" s="184">
        <v>3</v>
      </c>
      <c r="M876" s="185">
        <v>2628</v>
      </c>
    </row>
    <row r="877" spans="1:13" ht="17.25" hidden="1" customHeight="1" x14ac:dyDescent="0.25">
      <c r="A877" s="183" t="s">
        <v>8</v>
      </c>
      <c r="B877" s="190">
        <v>1871</v>
      </c>
      <c r="C877" s="184">
        <v>2012</v>
      </c>
      <c r="D877" s="183" t="s">
        <v>4211</v>
      </c>
      <c r="E877" s="183" t="s">
        <v>740</v>
      </c>
      <c r="F877" s="185">
        <v>271669.96000000002</v>
      </c>
      <c r="G877" s="183" t="s">
        <v>741</v>
      </c>
      <c r="H877" s="183" t="s">
        <v>1672</v>
      </c>
      <c r="I877" s="183" t="s">
        <v>4212</v>
      </c>
      <c r="J877" s="183" t="s">
        <v>4213</v>
      </c>
      <c r="K877" s="183" t="s">
        <v>3677</v>
      </c>
      <c r="L877" s="184">
        <v>1</v>
      </c>
      <c r="M877" s="184">
        <v>271.5</v>
      </c>
    </row>
    <row r="878" spans="1:13" ht="17.25" hidden="1" customHeight="1" x14ac:dyDescent="0.25">
      <c r="A878" s="183" t="s">
        <v>8</v>
      </c>
      <c r="B878" s="190">
        <v>1874</v>
      </c>
      <c r="C878" s="184">
        <v>2012</v>
      </c>
      <c r="D878" s="183" t="s">
        <v>4214</v>
      </c>
      <c r="E878" s="183" t="s">
        <v>773</v>
      </c>
      <c r="F878" s="185">
        <v>202965</v>
      </c>
      <c r="G878" s="183" t="s">
        <v>741</v>
      </c>
      <c r="H878" s="183" t="s">
        <v>4215</v>
      </c>
      <c r="I878" s="183" t="s">
        <v>4216</v>
      </c>
      <c r="J878" s="183" t="s">
        <v>4217</v>
      </c>
      <c r="K878" s="183" t="s">
        <v>4218</v>
      </c>
      <c r="L878" s="184">
        <v>1</v>
      </c>
      <c r="M878" s="184">
        <v>75</v>
      </c>
    </row>
    <row r="879" spans="1:13" ht="17.25" hidden="1" customHeight="1" x14ac:dyDescent="0.25">
      <c r="A879" s="183" t="s">
        <v>8</v>
      </c>
      <c r="B879" s="190">
        <v>1873</v>
      </c>
      <c r="C879" s="184">
        <v>2012</v>
      </c>
      <c r="D879" s="183" t="s">
        <v>4219</v>
      </c>
      <c r="E879" s="183" t="s">
        <v>740</v>
      </c>
      <c r="F879" s="185">
        <v>250026</v>
      </c>
      <c r="G879" s="183" t="s">
        <v>741</v>
      </c>
      <c r="H879" s="183" t="s">
        <v>4220</v>
      </c>
      <c r="I879" s="183" t="s">
        <v>4221</v>
      </c>
      <c r="J879" s="183" t="s">
        <v>4222</v>
      </c>
      <c r="K879" s="183" t="s">
        <v>4223</v>
      </c>
      <c r="L879" s="184">
        <v>1</v>
      </c>
      <c r="M879" s="184">
        <v>27.7</v>
      </c>
    </row>
    <row r="880" spans="1:13" ht="17.25" hidden="1" customHeight="1" x14ac:dyDescent="0.25">
      <c r="A880" s="183" t="s">
        <v>8</v>
      </c>
      <c r="B880" s="190">
        <v>1878</v>
      </c>
      <c r="C880" s="184">
        <v>2014</v>
      </c>
      <c r="D880" s="183" t="s">
        <v>4224</v>
      </c>
      <c r="E880" s="183" t="s">
        <v>740</v>
      </c>
      <c r="F880" s="185">
        <v>55000</v>
      </c>
      <c r="G880" s="183" t="s">
        <v>740</v>
      </c>
      <c r="H880" s="183" t="s">
        <v>4225</v>
      </c>
      <c r="I880" s="183" t="s">
        <v>4226</v>
      </c>
      <c r="J880" s="183" t="s">
        <v>4227</v>
      </c>
      <c r="K880" s="183" t="s">
        <v>3702</v>
      </c>
      <c r="L880" s="184">
        <v>8</v>
      </c>
      <c r="M880" s="184">
        <v>0.7</v>
      </c>
    </row>
    <row r="881" spans="1:13" ht="17.25" hidden="1" customHeight="1" x14ac:dyDescent="0.25">
      <c r="A881" s="183" t="s">
        <v>8</v>
      </c>
      <c r="B881" s="190">
        <v>1877</v>
      </c>
      <c r="C881" s="184">
        <v>2014</v>
      </c>
      <c r="D881" s="183" t="s">
        <v>4228</v>
      </c>
      <c r="E881" s="183" t="s">
        <v>740</v>
      </c>
      <c r="F881" s="185">
        <v>979900</v>
      </c>
      <c r="G881" s="183" t="s">
        <v>741</v>
      </c>
      <c r="H881" s="183" t="s">
        <v>1672</v>
      </c>
      <c r="I881" s="183" t="s">
        <v>4229</v>
      </c>
      <c r="J881" s="183" t="s">
        <v>4230</v>
      </c>
      <c r="K881" s="183" t="s">
        <v>4231</v>
      </c>
      <c r="L881" s="184">
        <v>2</v>
      </c>
      <c r="M881" s="185">
        <v>1153</v>
      </c>
    </row>
    <row r="882" spans="1:13" ht="17.25" hidden="1" customHeight="1" x14ac:dyDescent="0.25">
      <c r="A882" s="183" t="s">
        <v>8</v>
      </c>
      <c r="B882" s="190">
        <v>1879</v>
      </c>
      <c r="C882" s="184">
        <v>2014</v>
      </c>
      <c r="D882" s="183" t="s">
        <v>4232</v>
      </c>
      <c r="E882" s="183" t="s">
        <v>740</v>
      </c>
      <c r="F882" s="185">
        <v>126661.75</v>
      </c>
      <c r="G882" s="183" t="s">
        <v>741</v>
      </c>
      <c r="H882" s="183" t="s">
        <v>4233</v>
      </c>
      <c r="I882" s="183" t="s">
        <v>4234</v>
      </c>
      <c r="J882" s="183" t="s">
        <v>4235</v>
      </c>
      <c r="K882" s="183" t="s">
        <v>4236</v>
      </c>
      <c r="L882" s="184">
        <v>6</v>
      </c>
      <c r="M882" s="184">
        <v>1.8</v>
      </c>
    </row>
    <row r="883" spans="1:13" ht="17.25" hidden="1" customHeight="1" x14ac:dyDescent="0.25">
      <c r="A883" s="183" t="s">
        <v>8</v>
      </c>
      <c r="B883" s="190">
        <v>1880</v>
      </c>
      <c r="C883" s="184">
        <v>2014</v>
      </c>
      <c r="D883" s="183" t="s">
        <v>4237</v>
      </c>
      <c r="E883" s="183" t="s">
        <v>740</v>
      </c>
      <c r="F883" s="185">
        <v>216400</v>
      </c>
      <c r="G883" s="183" t="s">
        <v>741</v>
      </c>
      <c r="H883" s="183" t="s">
        <v>4238</v>
      </c>
      <c r="I883" s="183" t="s">
        <v>4239</v>
      </c>
      <c r="J883" s="183" t="s">
        <v>4240</v>
      </c>
      <c r="K883" s="183" t="s">
        <v>4236</v>
      </c>
      <c r="L883" s="184">
        <v>6</v>
      </c>
      <c r="M883" s="184">
        <v>1</v>
      </c>
    </row>
    <row r="884" spans="1:13" ht="17.25" hidden="1" customHeight="1" x14ac:dyDescent="0.25">
      <c r="A884" s="183" t="s">
        <v>8</v>
      </c>
      <c r="B884" s="190">
        <v>1881</v>
      </c>
      <c r="C884" s="184">
        <v>2014</v>
      </c>
      <c r="D884" s="183" t="s">
        <v>4241</v>
      </c>
      <c r="E884" s="183" t="s">
        <v>740</v>
      </c>
      <c r="F884" s="185">
        <v>463878.5</v>
      </c>
      <c r="G884" s="183" t="s">
        <v>741</v>
      </c>
      <c r="H884" s="183" t="s">
        <v>4233</v>
      </c>
      <c r="I884" s="183" t="s">
        <v>4242</v>
      </c>
      <c r="J884" s="183" t="s">
        <v>4243</v>
      </c>
      <c r="K884" s="183" t="s">
        <v>4236</v>
      </c>
      <c r="L884" s="184">
        <v>6</v>
      </c>
      <c r="M884" s="184">
        <v>0.3</v>
      </c>
    </row>
    <row r="885" spans="1:13" ht="17.25" hidden="1" customHeight="1" x14ac:dyDescent="0.25">
      <c r="A885" s="183" t="s">
        <v>144</v>
      </c>
      <c r="B885" s="184">
        <v>484</v>
      </c>
      <c r="C885" s="184">
        <v>2012</v>
      </c>
      <c r="D885" s="183" t="s">
        <v>4244</v>
      </c>
      <c r="E885" s="183" t="s">
        <v>740</v>
      </c>
      <c r="F885" s="185">
        <v>100000</v>
      </c>
      <c r="G885" s="183" t="s">
        <v>740</v>
      </c>
      <c r="H885" s="183" t="s">
        <v>4245</v>
      </c>
      <c r="I885" s="183" t="s">
        <v>4246</v>
      </c>
      <c r="J885" s="183" t="s">
        <v>4247</v>
      </c>
      <c r="K885" s="183" t="s">
        <v>4248</v>
      </c>
      <c r="L885" s="184">
        <v>1</v>
      </c>
      <c r="M885" s="184">
        <v>2.1</v>
      </c>
    </row>
    <row r="886" spans="1:13" ht="17.25" hidden="1" customHeight="1" x14ac:dyDescent="0.25">
      <c r="A886" s="183" t="s">
        <v>144</v>
      </c>
      <c r="B886" s="184">
        <v>482</v>
      </c>
      <c r="C886" s="184">
        <v>2012</v>
      </c>
      <c r="D886" s="183" t="s">
        <v>4249</v>
      </c>
      <c r="E886" s="183" t="s">
        <v>740</v>
      </c>
      <c r="F886" s="185">
        <v>99000</v>
      </c>
      <c r="G886" s="183" t="s">
        <v>741</v>
      </c>
      <c r="H886" s="183" t="s">
        <v>4250</v>
      </c>
      <c r="I886" s="183" t="s">
        <v>4251</v>
      </c>
      <c r="J886" s="183" t="s">
        <v>4252</v>
      </c>
      <c r="K886" s="183" t="s">
        <v>835</v>
      </c>
      <c r="L886" s="184">
        <v>2</v>
      </c>
      <c r="M886" s="184">
        <v>122.3</v>
      </c>
    </row>
    <row r="887" spans="1:13" ht="17.25" hidden="1" customHeight="1" x14ac:dyDescent="0.25">
      <c r="A887" s="183" t="s">
        <v>144</v>
      </c>
      <c r="B887" s="184">
        <v>480</v>
      </c>
      <c r="C887" s="184">
        <v>2012</v>
      </c>
      <c r="D887" s="183" t="s">
        <v>4253</v>
      </c>
      <c r="E887" s="183" t="s">
        <v>740</v>
      </c>
      <c r="F887" s="185">
        <v>12532</v>
      </c>
      <c r="G887" s="183" t="s">
        <v>741</v>
      </c>
      <c r="H887" s="183" t="s">
        <v>4254</v>
      </c>
      <c r="I887" s="183" t="s">
        <v>4255</v>
      </c>
      <c r="J887" s="183" t="s">
        <v>4256</v>
      </c>
      <c r="K887" s="183" t="s">
        <v>4257</v>
      </c>
      <c r="L887" s="184">
        <v>1</v>
      </c>
      <c r="M887" s="184">
        <v>16.600000000000001</v>
      </c>
    </row>
    <row r="888" spans="1:13" ht="17.25" hidden="1" customHeight="1" x14ac:dyDescent="0.25">
      <c r="A888" s="183" t="s">
        <v>144</v>
      </c>
      <c r="B888" s="184">
        <v>483</v>
      </c>
      <c r="C888" s="184">
        <v>2012</v>
      </c>
      <c r="D888" s="183" t="s">
        <v>4258</v>
      </c>
      <c r="E888" s="183" t="s">
        <v>740</v>
      </c>
      <c r="F888" s="185">
        <v>25000</v>
      </c>
      <c r="G888" s="183" t="s">
        <v>741</v>
      </c>
      <c r="H888" s="183" t="s">
        <v>4259</v>
      </c>
      <c r="I888" s="183" t="s">
        <v>4260</v>
      </c>
      <c r="J888" s="183" t="s">
        <v>4261</v>
      </c>
      <c r="K888" s="183" t="s">
        <v>4262</v>
      </c>
      <c r="L888" s="184">
        <v>1</v>
      </c>
      <c r="M888" s="184">
        <v>3.2</v>
      </c>
    </row>
    <row r="889" spans="1:13" ht="17.25" hidden="1" customHeight="1" x14ac:dyDescent="0.25">
      <c r="A889" s="183" t="s">
        <v>144</v>
      </c>
      <c r="B889" s="184">
        <v>477</v>
      </c>
      <c r="C889" s="184">
        <v>2012</v>
      </c>
      <c r="D889" s="183" t="s">
        <v>4263</v>
      </c>
      <c r="E889" s="183" t="s">
        <v>740</v>
      </c>
      <c r="F889" s="185">
        <v>40000</v>
      </c>
      <c r="G889" s="183" t="s">
        <v>741</v>
      </c>
      <c r="H889" s="183" t="s">
        <v>4264</v>
      </c>
      <c r="I889" s="183" t="s">
        <v>4265</v>
      </c>
      <c r="J889" s="183" t="s">
        <v>4266</v>
      </c>
      <c r="K889" s="183" t="s">
        <v>4267</v>
      </c>
      <c r="L889" s="184">
        <v>1</v>
      </c>
      <c r="M889" s="184">
        <v>1.6</v>
      </c>
    </row>
    <row r="890" spans="1:13" ht="17.25" hidden="1" customHeight="1" x14ac:dyDescent="0.25">
      <c r="A890" s="183" t="s">
        <v>144</v>
      </c>
      <c r="B890" s="184">
        <v>478</v>
      </c>
      <c r="C890" s="184">
        <v>2012</v>
      </c>
      <c r="D890" s="183" t="s">
        <v>4268</v>
      </c>
      <c r="E890" s="183" t="s">
        <v>740</v>
      </c>
      <c r="F890" s="185">
        <v>17384</v>
      </c>
      <c r="G890" s="183" t="s">
        <v>749</v>
      </c>
      <c r="H890" s="183" t="s">
        <v>4269</v>
      </c>
      <c r="I890" s="183" t="s">
        <v>4270</v>
      </c>
      <c r="J890" s="183" t="s">
        <v>4271</v>
      </c>
      <c r="K890" s="183" t="s">
        <v>4272</v>
      </c>
      <c r="L890" s="184">
        <v>1</v>
      </c>
      <c r="M890" s="184">
        <v>165.9</v>
      </c>
    </row>
    <row r="891" spans="1:13" ht="17.25" hidden="1" customHeight="1" x14ac:dyDescent="0.25">
      <c r="A891" s="183" t="s">
        <v>144</v>
      </c>
      <c r="B891" s="184">
        <v>481</v>
      </c>
      <c r="C891" s="184">
        <v>2012</v>
      </c>
      <c r="D891" s="183" t="s">
        <v>4273</v>
      </c>
      <c r="E891" s="183" t="s">
        <v>740</v>
      </c>
      <c r="F891" s="185">
        <v>60966</v>
      </c>
      <c r="G891" s="183" t="s">
        <v>749</v>
      </c>
      <c r="H891" s="183" t="s">
        <v>4274</v>
      </c>
      <c r="I891" s="183" t="s">
        <v>4275</v>
      </c>
      <c r="J891" s="183" t="s">
        <v>4276</v>
      </c>
      <c r="K891" s="183" t="s">
        <v>4277</v>
      </c>
      <c r="L891" s="184">
        <v>0</v>
      </c>
      <c r="M891" s="184">
        <v>70</v>
      </c>
    </row>
    <row r="892" spans="1:13" ht="17.25" hidden="1" customHeight="1" x14ac:dyDescent="0.25">
      <c r="A892" s="183" t="s">
        <v>144</v>
      </c>
      <c r="B892" s="184">
        <v>476</v>
      </c>
      <c r="C892" s="184">
        <v>2012</v>
      </c>
      <c r="D892" s="183" t="s">
        <v>4278</v>
      </c>
      <c r="E892" s="183" t="s">
        <v>740</v>
      </c>
      <c r="F892" s="185">
        <v>100000</v>
      </c>
      <c r="G892" s="183" t="s">
        <v>749</v>
      </c>
      <c r="H892" s="183" t="s">
        <v>4279</v>
      </c>
      <c r="I892" s="183" t="s">
        <v>4280</v>
      </c>
      <c r="J892" s="183" t="s">
        <v>4281</v>
      </c>
      <c r="K892" s="183" t="s">
        <v>4282</v>
      </c>
      <c r="L892" s="184">
        <v>0</v>
      </c>
      <c r="M892" s="184">
        <v>38.9</v>
      </c>
    </row>
    <row r="893" spans="1:13" ht="17.25" hidden="1" customHeight="1" x14ac:dyDescent="0.25">
      <c r="A893" s="183" t="s">
        <v>144</v>
      </c>
      <c r="B893" s="184">
        <v>479</v>
      </c>
      <c r="C893" s="184">
        <v>2012</v>
      </c>
      <c r="D893" s="183" t="s">
        <v>4283</v>
      </c>
      <c r="E893" s="183" t="s">
        <v>740</v>
      </c>
      <c r="F893" s="185">
        <v>40000</v>
      </c>
      <c r="G893" s="183" t="s">
        <v>749</v>
      </c>
      <c r="H893" s="183" t="s">
        <v>4284</v>
      </c>
      <c r="I893" s="183" t="s">
        <v>4285</v>
      </c>
      <c r="J893" s="183" t="s">
        <v>4286</v>
      </c>
      <c r="K893" s="183" t="s">
        <v>791</v>
      </c>
      <c r="L893" s="184">
        <v>1</v>
      </c>
      <c r="M893" s="184">
        <v>1.8</v>
      </c>
    </row>
    <row r="894" spans="1:13" ht="17.25" hidden="1" customHeight="1" x14ac:dyDescent="0.25">
      <c r="A894" s="183" t="s">
        <v>144</v>
      </c>
      <c r="B894" s="184">
        <v>490</v>
      </c>
      <c r="C894" s="184">
        <v>2013</v>
      </c>
      <c r="D894" s="183" t="s">
        <v>4287</v>
      </c>
      <c r="E894" s="183" t="s">
        <v>740</v>
      </c>
      <c r="F894" s="189">
        <v>40000</v>
      </c>
      <c r="G894" s="183" t="s">
        <v>741</v>
      </c>
      <c r="H894" s="183" t="s">
        <v>4250</v>
      </c>
      <c r="I894" s="183" t="s">
        <v>4288</v>
      </c>
      <c r="J894" s="183" t="s">
        <v>4289</v>
      </c>
      <c r="K894" s="183" t="s">
        <v>835</v>
      </c>
      <c r="L894" s="184">
        <v>0</v>
      </c>
      <c r="M894" s="184">
        <v>137.4</v>
      </c>
    </row>
    <row r="895" spans="1:13" ht="17.25" hidden="1" customHeight="1" x14ac:dyDescent="0.25">
      <c r="A895" s="183" t="s">
        <v>144</v>
      </c>
      <c r="B895" s="184">
        <v>486</v>
      </c>
      <c r="C895" s="184">
        <v>2013</v>
      </c>
      <c r="D895" s="183" t="s">
        <v>4290</v>
      </c>
      <c r="E895" s="183" t="s">
        <v>740</v>
      </c>
      <c r="F895" s="189">
        <v>100000</v>
      </c>
      <c r="G895" s="183" t="s">
        <v>741</v>
      </c>
      <c r="H895" s="183" t="s">
        <v>4279</v>
      </c>
      <c r="I895" s="183" t="s">
        <v>4291</v>
      </c>
      <c r="J895" s="183" t="s">
        <v>4281</v>
      </c>
      <c r="K895" s="183" t="s">
        <v>4282</v>
      </c>
      <c r="L895" s="184">
        <v>0</v>
      </c>
      <c r="M895" s="184">
        <v>38.9</v>
      </c>
    </row>
    <row r="896" spans="1:13" ht="17.25" hidden="1" customHeight="1" x14ac:dyDescent="0.25">
      <c r="A896" s="183" t="s">
        <v>144</v>
      </c>
      <c r="B896" s="184">
        <v>488</v>
      </c>
      <c r="C896" s="184">
        <v>2013</v>
      </c>
      <c r="D896" s="183" t="s">
        <v>4292</v>
      </c>
      <c r="E896" s="183" t="s">
        <v>740</v>
      </c>
      <c r="F896" s="189">
        <v>35000</v>
      </c>
      <c r="G896" s="183" t="s">
        <v>741</v>
      </c>
      <c r="H896" s="183" t="s">
        <v>4264</v>
      </c>
      <c r="I896" s="183" t="s">
        <v>4293</v>
      </c>
      <c r="J896" s="183" t="s">
        <v>4294</v>
      </c>
      <c r="K896" s="183" t="s">
        <v>4295</v>
      </c>
      <c r="L896" s="184">
        <v>0</v>
      </c>
      <c r="M896" s="184">
        <v>28.7</v>
      </c>
    </row>
    <row r="897" spans="1:13" ht="17.25" hidden="1" customHeight="1" x14ac:dyDescent="0.25">
      <c r="A897" s="183" t="s">
        <v>144</v>
      </c>
      <c r="B897" s="184">
        <v>487</v>
      </c>
      <c r="C897" s="184">
        <v>2013</v>
      </c>
      <c r="D897" s="183" t="s">
        <v>4296</v>
      </c>
      <c r="E897" s="183" t="s">
        <v>740</v>
      </c>
      <c r="F897" s="189">
        <v>50000</v>
      </c>
      <c r="G897" s="183" t="s">
        <v>741</v>
      </c>
      <c r="H897" s="183" t="s">
        <v>4297</v>
      </c>
      <c r="I897" s="183" t="s">
        <v>4298</v>
      </c>
      <c r="J897" s="183" t="s">
        <v>4299</v>
      </c>
      <c r="K897" s="183" t="s">
        <v>4300</v>
      </c>
      <c r="L897" s="184">
        <v>0</v>
      </c>
      <c r="M897" s="184">
        <v>20.100000000000001</v>
      </c>
    </row>
    <row r="898" spans="1:13" ht="17.25" hidden="1" customHeight="1" x14ac:dyDescent="0.25">
      <c r="A898" s="183" t="s">
        <v>144</v>
      </c>
      <c r="B898" s="184">
        <v>491</v>
      </c>
      <c r="C898" s="184">
        <v>2013</v>
      </c>
      <c r="D898" s="183" t="s">
        <v>4301</v>
      </c>
      <c r="E898" s="183" t="s">
        <v>740</v>
      </c>
      <c r="F898" s="189">
        <v>100000</v>
      </c>
      <c r="G898" s="183" t="s">
        <v>749</v>
      </c>
      <c r="H898" s="183" t="s">
        <v>4302</v>
      </c>
      <c r="I898" s="183" t="s">
        <v>4303</v>
      </c>
      <c r="J898" s="183" t="s">
        <v>4304</v>
      </c>
      <c r="K898" s="183" t="s">
        <v>4305</v>
      </c>
      <c r="L898" s="184">
        <v>0</v>
      </c>
      <c r="M898" s="184">
        <v>302.10000000000002</v>
      </c>
    </row>
    <row r="899" spans="1:13" ht="17.25" hidden="1" customHeight="1" x14ac:dyDescent="0.25">
      <c r="A899" s="183" t="s">
        <v>144</v>
      </c>
      <c r="B899" s="184">
        <v>485</v>
      </c>
      <c r="C899" s="184">
        <v>2013</v>
      </c>
      <c r="D899" s="183" t="s">
        <v>4306</v>
      </c>
      <c r="E899" s="183" t="s">
        <v>740</v>
      </c>
      <c r="F899" s="189">
        <v>100000</v>
      </c>
      <c r="G899" s="183" t="s">
        <v>749</v>
      </c>
      <c r="H899" s="183" t="s">
        <v>4307</v>
      </c>
      <c r="I899" s="183" t="s">
        <v>4308</v>
      </c>
      <c r="J899" s="183" t="s">
        <v>4309</v>
      </c>
      <c r="K899" s="183" t="s">
        <v>4310</v>
      </c>
      <c r="L899" s="184">
        <v>0</v>
      </c>
      <c r="M899" s="184">
        <v>50</v>
      </c>
    </row>
    <row r="900" spans="1:13" ht="17.25" hidden="1" customHeight="1" x14ac:dyDescent="0.25">
      <c r="A900" s="183" t="s">
        <v>144</v>
      </c>
      <c r="B900" s="184">
        <v>489</v>
      </c>
      <c r="C900" s="184">
        <v>2013</v>
      </c>
      <c r="D900" s="183" t="s">
        <v>4311</v>
      </c>
      <c r="E900" s="183" t="s">
        <v>740</v>
      </c>
      <c r="F900" s="189">
        <v>60000</v>
      </c>
      <c r="G900" s="183" t="s">
        <v>749</v>
      </c>
      <c r="H900" s="183" t="s">
        <v>4312</v>
      </c>
      <c r="I900" s="183" t="s">
        <v>4313</v>
      </c>
      <c r="J900" s="183" t="s">
        <v>4314</v>
      </c>
      <c r="K900" s="183" t="s">
        <v>4315</v>
      </c>
      <c r="L900" s="184">
        <v>0</v>
      </c>
      <c r="M900" s="184">
        <v>17.2</v>
      </c>
    </row>
    <row r="901" spans="1:13" ht="17.25" hidden="1" customHeight="1" x14ac:dyDescent="0.25">
      <c r="A901" s="183" t="s">
        <v>336</v>
      </c>
      <c r="B901" s="184">
        <v>876</v>
      </c>
      <c r="C901" s="184">
        <v>2012</v>
      </c>
      <c r="D901" s="183" t="s">
        <v>4316</v>
      </c>
      <c r="E901" s="183" t="s">
        <v>740</v>
      </c>
      <c r="F901" s="185">
        <v>181731.73</v>
      </c>
      <c r="G901" s="183" t="s">
        <v>741</v>
      </c>
      <c r="H901" s="183" t="s">
        <v>4317</v>
      </c>
      <c r="I901" s="183" t="s">
        <v>4318</v>
      </c>
      <c r="J901" s="183" t="s">
        <v>4319</v>
      </c>
      <c r="K901" s="183" t="s">
        <v>4320</v>
      </c>
      <c r="L901" s="184">
        <v>0</v>
      </c>
      <c r="M901" s="185">
        <v>18381.900000000001</v>
      </c>
    </row>
    <row r="902" spans="1:13" ht="17.25" hidden="1" customHeight="1" x14ac:dyDescent="0.25">
      <c r="A902" s="183" t="s">
        <v>336</v>
      </c>
      <c r="B902" s="184">
        <v>884</v>
      </c>
      <c r="C902" s="184">
        <v>2012</v>
      </c>
      <c r="D902" s="183" t="s">
        <v>4321</v>
      </c>
      <c r="E902" s="183" t="s">
        <v>773</v>
      </c>
      <c r="F902" s="185">
        <v>31192.5</v>
      </c>
      <c r="G902" s="183" t="s">
        <v>741</v>
      </c>
      <c r="H902" s="183" t="s">
        <v>4322</v>
      </c>
      <c r="I902" s="183" t="s">
        <v>4323</v>
      </c>
      <c r="J902" s="183" t="s">
        <v>4324</v>
      </c>
      <c r="K902" s="183" t="s">
        <v>4325</v>
      </c>
      <c r="L902" s="184">
        <v>0</v>
      </c>
      <c r="M902" s="184">
        <v>38.5</v>
      </c>
    </row>
    <row r="903" spans="1:13" ht="17.25" hidden="1" customHeight="1" x14ac:dyDescent="0.25">
      <c r="A903" s="183" t="s">
        <v>336</v>
      </c>
      <c r="B903" s="184">
        <v>877</v>
      </c>
      <c r="C903" s="184">
        <v>2012</v>
      </c>
      <c r="D903" s="183" t="s">
        <v>4326</v>
      </c>
      <c r="E903" s="183" t="s">
        <v>773</v>
      </c>
      <c r="F903" s="185">
        <v>61730</v>
      </c>
      <c r="G903" s="183" t="s">
        <v>741</v>
      </c>
      <c r="H903" s="183" t="s">
        <v>4327</v>
      </c>
      <c r="I903" s="183" t="s">
        <v>4328</v>
      </c>
      <c r="J903" s="183" t="s">
        <v>4329</v>
      </c>
      <c r="K903" s="183" t="s">
        <v>4330</v>
      </c>
      <c r="L903" s="184">
        <v>0</v>
      </c>
      <c r="M903" s="184">
        <v>22</v>
      </c>
    </row>
    <row r="904" spans="1:13" ht="17.25" hidden="1" customHeight="1" x14ac:dyDescent="0.25">
      <c r="A904" s="183" t="s">
        <v>336</v>
      </c>
      <c r="B904" s="184">
        <v>885</v>
      </c>
      <c r="C904" s="184">
        <v>2012</v>
      </c>
      <c r="D904" s="183" t="s">
        <v>4331</v>
      </c>
      <c r="E904" s="183" t="s">
        <v>740</v>
      </c>
      <c r="F904" s="185">
        <v>90916</v>
      </c>
      <c r="G904" s="183" t="s">
        <v>741</v>
      </c>
      <c r="H904" s="183" t="s">
        <v>4332</v>
      </c>
      <c r="I904" s="183" t="s">
        <v>4333</v>
      </c>
      <c r="J904" s="183" t="s">
        <v>4334</v>
      </c>
      <c r="K904" s="183" t="s">
        <v>4335</v>
      </c>
      <c r="L904" s="184">
        <v>0</v>
      </c>
      <c r="M904" s="184">
        <v>15.3</v>
      </c>
    </row>
    <row r="905" spans="1:13" ht="17.25" hidden="1" customHeight="1" x14ac:dyDescent="0.25">
      <c r="A905" s="183" t="s">
        <v>336</v>
      </c>
      <c r="B905" s="184">
        <v>887</v>
      </c>
      <c r="C905" s="184">
        <v>2012</v>
      </c>
      <c r="D905" s="183" t="s">
        <v>4336</v>
      </c>
      <c r="E905" s="183" t="s">
        <v>773</v>
      </c>
      <c r="F905" s="185">
        <v>58075.41</v>
      </c>
      <c r="G905" s="183" t="s">
        <v>741</v>
      </c>
      <c r="H905" s="183" t="s">
        <v>4337</v>
      </c>
      <c r="I905" s="183" t="s">
        <v>4338</v>
      </c>
      <c r="J905" s="183" t="s">
        <v>4339</v>
      </c>
      <c r="K905" s="183" t="s">
        <v>3236</v>
      </c>
      <c r="L905" s="184">
        <v>0</v>
      </c>
      <c r="M905" s="184">
        <v>10</v>
      </c>
    </row>
    <row r="906" spans="1:13" ht="17.25" hidden="1" customHeight="1" x14ac:dyDescent="0.25">
      <c r="A906" s="183" t="s">
        <v>336</v>
      </c>
      <c r="B906" s="184">
        <v>888</v>
      </c>
      <c r="C906" s="184">
        <v>2012</v>
      </c>
      <c r="D906" s="183" t="s">
        <v>4340</v>
      </c>
      <c r="E906" s="183" t="s">
        <v>773</v>
      </c>
      <c r="F906" s="185">
        <v>12477</v>
      </c>
      <c r="G906" s="183" t="s">
        <v>741</v>
      </c>
      <c r="H906" s="183" t="s">
        <v>4341</v>
      </c>
      <c r="I906" s="183" t="s">
        <v>4342</v>
      </c>
      <c r="J906" s="183" t="s">
        <v>4343</v>
      </c>
      <c r="K906" s="183" t="s">
        <v>4344</v>
      </c>
      <c r="L906" s="184">
        <v>0</v>
      </c>
      <c r="M906" s="184">
        <v>3.5</v>
      </c>
    </row>
    <row r="907" spans="1:13" ht="17.25" hidden="1" customHeight="1" x14ac:dyDescent="0.25">
      <c r="A907" s="183" t="s">
        <v>336</v>
      </c>
      <c r="B907" s="184">
        <v>886</v>
      </c>
      <c r="C907" s="184">
        <v>2012</v>
      </c>
      <c r="D907" s="183" t="s">
        <v>4345</v>
      </c>
      <c r="E907" s="183" t="s">
        <v>740</v>
      </c>
      <c r="F907" s="185">
        <v>81100.5</v>
      </c>
      <c r="G907" s="183" t="s">
        <v>749</v>
      </c>
      <c r="H907" s="183" t="s">
        <v>4346</v>
      </c>
      <c r="I907" s="183" t="s">
        <v>4347</v>
      </c>
      <c r="J907" s="183" t="s">
        <v>4345</v>
      </c>
      <c r="K907" s="183" t="s">
        <v>4348</v>
      </c>
      <c r="L907" s="184">
        <v>0</v>
      </c>
      <c r="M907" s="184">
        <v>114.5</v>
      </c>
    </row>
    <row r="908" spans="1:13" ht="17.25" hidden="1" customHeight="1" x14ac:dyDescent="0.25">
      <c r="A908" s="183" t="s">
        <v>336</v>
      </c>
      <c r="B908" s="184">
        <v>879</v>
      </c>
      <c r="C908" s="184">
        <v>2012</v>
      </c>
      <c r="D908" s="183" t="s">
        <v>4349</v>
      </c>
      <c r="E908" s="183" t="s">
        <v>773</v>
      </c>
      <c r="F908" s="185">
        <v>54755</v>
      </c>
      <c r="G908" s="183" t="s">
        <v>749</v>
      </c>
      <c r="H908" s="183" t="s">
        <v>4350</v>
      </c>
      <c r="I908" s="183" t="s">
        <v>4351</v>
      </c>
      <c r="J908" s="183" t="s">
        <v>4352</v>
      </c>
      <c r="K908" s="183" t="s">
        <v>2810</v>
      </c>
      <c r="L908" s="184">
        <v>0</v>
      </c>
      <c r="M908" s="184">
        <v>48.4</v>
      </c>
    </row>
    <row r="909" spans="1:13" ht="17.25" hidden="1" customHeight="1" x14ac:dyDescent="0.25">
      <c r="A909" s="183" t="s">
        <v>336</v>
      </c>
      <c r="B909" s="184">
        <v>880</v>
      </c>
      <c r="C909" s="184">
        <v>2012</v>
      </c>
      <c r="D909" s="183" t="s">
        <v>4353</v>
      </c>
      <c r="E909" s="183" t="s">
        <v>773</v>
      </c>
      <c r="F909" s="185">
        <v>30428</v>
      </c>
      <c r="G909" s="183" t="s">
        <v>749</v>
      </c>
      <c r="H909" s="183" t="s">
        <v>4354</v>
      </c>
      <c r="I909" s="183" t="s">
        <v>4355</v>
      </c>
      <c r="J909" s="183" t="s">
        <v>4042</v>
      </c>
      <c r="K909" s="183" t="s">
        <v>4356</v>
      </c>
      <c r="L909" s="184">
        <v>0</v>
      </c>
      <c r="M909" s="184">
        <v>11</v>
      </c>
    </row>
    <row r="910" spans="1:13" ht="17.25" hidden="1" customHeight="1" x14ac:dyDescent="0.25">
      <c r="A910" s="183" t="s">
        <v>336</v>
      </c>
      <c r="B910" s="184">
        <v>878</v>
      </c>
      <c r="C910" s="184">
        <v>2012</v>
      </c>
      <c r="D910" s="183" t="s">
        <v>4357</v>
      </c>
      <c r="E910" s="183" t="s">
        <v>773</v>
      </c>
      <c r="F910" s="185">
        <v>18715</v>
      </c>
      <c r="G910" s="183" t="s">
        <v>749</v>
      </c>
      <c r="H910" s="183" t="s">
        <v>4341</v>
      </c>
      <c r="I910" s="183" t="s">
        <v>4358</v>
      </c>
      <c r="J910" s="183" t="s">
        <v>4357</v>
      </c>
      <c r="K910" s="183" t="s">
        <v>4359</v>
      </c>
      <c r="L910" s="184">
        <v>0</v>
      </c>
      <c r="M910" s="184">
        <v>4.7</v>
      </c>
    </row>
    <row r="911" spans="1:13" ht="17.25" hidden="1" customHeight="1" x14ac:dyDescent="0.25">
      <c r="A911" s="183" t="s">
        <v>336</v>
      </c>
      <c r="B911" s="184">
        <v>881</v>
      </c>
      <c r="C911" s="184">
        <v>2012</v>
      </c>
      <c r="D911" s="183" t="s">
        <v>4360</v>
      </c>
      <c r="E911" s="183" t="s">
        <v>740</v>
      </c>
      <c r="F911" s="185">
        <v>62385</v>
      </c>
      <c r="G911" s="183" t="s">
        <v>749</v>
      </c>
      <c r="H911" s="183" t="s">
        <v>4361</v>
      </c>
      <c r="I911" s="183" t="s">
        <v>4362</v>
      </c>
      <c r="J911" s="183" t="s">
        <v>4363</v>
      </c>
      <c r="K911" s="183" t="s">
        <v>3542</v>
      </c>
      <c r="L911" s="184">
        <v>0</v>
      </c>
      <c r="M911" s="184">
        <v>2.5</v>
      </c>
    </row>
    <row r="912" spans="1:13" ht="17.25" hidden="1" customHeight="1" x14ac:dyDescent="0.25">
      <c r="A912" s="183" t="s">
        <v>336</v>
      </c>
      <c r="B912" s="184">
        <v>889</v>
      </c>
      <c r="C912" s="184">
        <v>2013</v>
      </c>
      <c r="D912" s="183" t="s">
        <v>4364</v>
      </c>
      <c r="E912" s="183" t="s">
        <v>740</v>
      </c>
      <c r="F912" s="185">
        <v>132311</v>
      </c>
      <c r="G912" s="183" t="s">
        <v>741</v>
      </c>
      <c r="H912" s="183" t="s">
        <v>4317</v>
      </c>
      <c r="I912" s="183" t="s">
        <v>4365</v>
      </c>
      <c r="J912" s="183" t="s">
        <v>4366</v>
      </c>
      <c r="K912" s="183" t="s">
        <v>4325</v>
      </c>
      <c r="L912" s="184">
        <v>0</v>
      </c>
      <c r="M912" s="185">
        <v>2117</v>
      </c>
    </row>
    <row r="913" spans="1:13" ht="17.25" hidden="1" customHeight="1" x14ac:dyDescent="0.25">
      <c r="A913" s="183" t="s">
        <v>336</v>
      </c>
      <c r="B913" s="184">
        <v>892</v>
      </c>
      <c r="C913" s="184">
        <v>2013</v>
      </c>
      <c r="D913" s="183" t="s">
        <v>4367</v>
      </c>
      <c r="E913" s="183" t="s">
        <v>740</v>
      </c>
      <c r="F913" s="185">
        <v>15709.11</v>
      </c>
      <c r="G913" s="183" t="s">
        <v>741</v>
      </c>
      <c r="H913" s="183" t="s">
        <v>4368</v>
      </c>
      <c r="I913" s="183" t="s">
        <v>4369</v>
      </c>
      <c r="J913" s="183" t="s">
        <v>2513</v>
      </c>
      <c r="K913" s="183" t="s">
        <v>4370</v>
      </c>
      <c r="L913" s="184">
        <v>0</v>
      </c>
      <c r="M913" s="184">
        <v>6.5</v>
      </c>
    </row>
    <row r="914" spans="1:13" ht="17.25" hidden="1" customHeight="1" x14ac:dyDescent="0.25">
      <c r="A914" s="183" t="s">
        <v>336</v>
      </c>
      <c r="B914" s="184">
        <v>891</v>
      </c>
      <c r="C914" s="184">
        <v>2014</v>
      </c>
      <c r="D914" s="183" t="s">
        <v>4371</v>
      </c>
      <c r="E914" s="183" t="s">
        <v>740</v>
      </c>
      <c r="F914" s="185">
        <v>50000</v>
      </c>
      <c r="G914" s="183" t="s">
        <v>741</v>
      </c>
      <c r="H914" s="183" t="s">
        <v>4317</v>
      </c>
      <c r="I914" s="183" t="s">
        <v>4372</v>
      </c>
      <c r="J914" s="183" t="s">
        <v>4366</v>
      </c>
      <c r="K914" s="183" t="s">
        <v>4325</v>
      </c>
      <c r="L914" s="184">
        <v>0</v>
      </c>
      <c r="M914" s="185">
        <v>2117</v>
      </c>
    </row>
    <row r="915" spans="1:13" ht="17.25" hidden="1" customHeight="1" x14ac:dyDescent="0.25">
      <c r="A915" s="183" t="s">
        <v>336</v>
      </c>
      <c r="B915" s="184">
        <v>893</v>
      </c>
      <c r="C915" s="184">
        <v>2014</v>
      </c>
      <c r="D915" s="183" t="s">
        <v>4373</v>
      </c>
      <c r="E915" s="183" t="s">
        <v>740</v>
      </c>
      <c r="F915" s="185">
        <v>127525.27</v>
      </c>
      <c r="G915" s="183" t="s">
        <v>741</v>
      </c>
      <c r="H915" s="183" t="s">
        <v>4374</v>
      </c>
      <c r="I915" s="183" t="s">
        <v>4375</v>
      </c>
      <c r="J915" s="183" t="s">
        <v>4376</v>
      </c>
      <c r="K915" s="183" t="s">
        <v>4370</v>
      </c>
      <c r="L915" s="184">
        <v>0</v>
      </c>
      <c r="M915" s="184">
        <v>42</v>
      </c>
    </row>
    <row r="916" spans="1:13" ht="17.25" hidden="1" customHeight="1" x14ac:dyDescent="0.25">
      <c r="A916" s="183" t="s">
        <v>336</v>
      </c>
      <c r="B916" s="184">
        <v>894</v>
      </c>
      <c r="C916" s="184">
        <v>2014</v>
      </c>
      <c r="D916" s="183" t="s">
        <v>4377</v>
      </c>
      <c r="E916" s="183" t="s">
        <v>740</v>
      </c>
      <c r="F916" s="185">
        <v>54665</v>
      </c>
      <c r="G916" s="183" t="s">
        <v>741</v>
      </c>
      <c r="H916" s="183" t="s">
        <v>4378</v>
      </c>
      <c r="I916" s="183" t="s">
        <v>4379</v>
      </c>
      <c r="J916" s="183" t="s">
        <v>2862</v>
      </c>
      <c r="K916" s="183" t="s">
        <v>4380</v>
      </c>
      <c r="L916" s="184">
        <v>0</v>
      </c>
      <c r="M916" s="184">
        <v>38.4</v>
      </c>
    </row>
    <row r="917" spans="1:13" ht="17.25" hidden="1" customHeight="1" x14ac:dyDescent="0.25">
      <c r="A917" s="183" t="s">
        <v>336</v>
      </c>
      <c r="B917" s="184">
        <v>890</v>
      </c>
      <c r="C917" s="184">
        <v>2014</v>
      </c>
      <c r="D917" s="183" t="s">
        <v>4381</v>
      </c>
      <c r="E917" s="183" t="s">
        <v>740</v>
      </c>
      <c r="F917" s="185">
        <v>70446.899999999994</v>
      </c>
      <c r="G917" s="183" t="s">
        <v>741</v>
      </c>
      <c r="H917" s="183" t="s">
        <v>4322</v>
      </c>
      <c r="I917" s="183" t="s">
        <v>4382</v>
      </c>
      <c r="J917" s="183" t="s">
        <v>4383</v>
      </c>
      <c r="K917" s="183" t="s">
        <v>4325</v>
      </c>
      <c r="L917" s="184">
        <v>0</v>
      </c>
      <c r="M917" s="184">
        <v>10.5</v>
      </c>
    </row>
    <row r="918" spans="1:13" ht="17.25" hidden="1" customHeight="1" x14ac:dyDescent="0.25">
      <c r="A918" s="183" t="s">
        <v>336</v>
      </c>
      <c r="B918" s="184">
        <v>895</v>
      </c>
      <c r="C918" s="184">
        <v>2014</v>
      </c>
      <c r="D918" s="183" t="s">
        <v>4384</v>
      </c>
      <c r="E918" s="183" t="s">
        <v>740</v>
      </c>
      <c r="F918" s="185">
        <v>68331.25</v>
      </c>
      <c r="G918" s="183" t="s">
        <v>741</v>
      </c>
      <c r="H918" s="183" t="s">
        <v>4322</v>
      </c>
      <c r="I918" s="183" t="s">
        <v>4385</v>
      </c>
      <c r="J918" s="183" t="s">
        <v>4386</v>
      </c>
      <c r="K918" s="183" t="s">
        <v>4387</v>
      </c>
      <c r="L918" s="184">
        <v>0</v>
      </c>
      <c r="M918" s="184">
        <v>2.8</v>
      </c>
    </row>
    <row r="919" spans="1:13" ht="17.25" hidden="1" customHeight="1" x14ac:dyDescent="0.25"/>
    <row r="920" spans="1:13" ht="17.25" hidden="1" customHeight="1" x14ac:dyDescent="0.25">
      <c r="D920" s="28" t="s">
        <v>4390</v>
      </c>
      <c r="F920" s="191">
        <f>SUM(F2:F918)</f>
        <v>124298922.89999999</v>
      </c>
    </row>
  </sheetData>
  <autoFilter ref="A1:P920">
    <filterColumn colId="0">
      <filters>
        <filter val="CO"/>
      </filters>
    </filterColumn>
    <filterColumn colId="11">
      <filters>
        <filter val="2"/>
      </filters>
    </filterColumn>
  </autoFilter>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workbookViewId="0">
      <selection activeCell="K21" sqref="K21"/>
    </sheetView>
  </sheetViews>
  <sheetFormatPr defaultRowHeight="15" x14ac:dyDescent="0.25"/>
  <cols>
    <col min="3" max="3" width="17" bestFit="1" customWidth="1"/>
    <col min="4" max="4" width="23.28515625" bestFit="1" customWidth="1"/>
    <col min="6" max="6" width="15.28515625" style="193" bestFit="1" customWidth="1"/>
    <col min="8" max="8" width="13.140625" bestFit="1" customWidth="1"/>
    <col min="9" max="9" width="16.140625" bestFit="1" customWidth="1"/>
  </cols>
  <sheetData>
    <row r="1" spans="1:9" x14ac:dyDescent="0.25">
      <c r="A1" t="s">
        <v>4391</v>
      </c>
      <c r="B1" s="154" t="s">
        <v>4392</v>
      </c>
      <c r="C1" s="154" t="s">
        <v>4393</v>
      </c>
      <c r="D1" s="154" t="s">
        <v>4394</v>
      </c>
      <c r="E1" s="154" t="s">
        <v>4395</v>
      </c>
      <c r="F1" s="192" t="s">
        <v>4396</v>
      </c>
      <c r="H1" s="108" t="s">
        <v>700</v>
      </c>
      <c r="I1" t="s">
        <v>4460</v>
      </c>
    </row>
    <row r="2" spans="1:9" x14ac:dyDescent="0.25">
      <c r="A2">
        <v>2011</v>
      </c>
      <c r="B2" t="s">
        <v>107</v>
      </c>
      <c r="C2" t="s">
        <v>993</v>
      </c>
      <c r="D2" t="s">
        <v>4397</v>
      </c>
      <c r="E2">
        <v>16.396000000000001</v>
      </c>
      <c r="F2" s="193">
        <v>63147</v>
      </c>
      <c r="H2" s="1" t="s">
        <v>18</v>
      </c>
      <c r="I2" s="110">
        <v>2673876.73</v>
      </c>
    </row>
    <row r="3" spans="1:9" x14ac:dyDescent="0.25">
      <c r="A3">
        <v>2011</v>
      </c>
      <c r="B3" t="s">
        <v>107</v>
      </c>
      <c r="C3" t="s">
        <v>153</v>
      </c>
      <c r="D3" t="s">
        <v>4398</v>
      </c>
      <c r="E3">
        <v>52.94</v>
      </c>
      <c r="F3" s="193">
        <v>110124</v>
      </c>
      <c r="H3" s="1" t="s">
        <v>107</v>
      </c>
      <c r="I3" s="110">
        <v>1373883.53</v>
      </c>
    </row>
    <row r="4" spans="1:9" x14ac:dyDescent="0.25">
      <c r="A4">
        <v>2011</v>
      </c>
      <c r="B4" t="s">
        <v>107</v>
      </c>
      <c r="C4" t="s">
        <v>153</v>
      </c>
      <c r="D4" t="s">
        <v>4398</v>
      </c>
      <c r="E4">
        <v>141</v>
      </c>
      <c r="F4" s="193">
        <v>366764</v>
      </c>
      <c r="H4" s="1" t="s">
        <v>108</v>
      </c>
      <c r="I4" s="110">
        <v>377346</v>
      </c>
    </row>
    <row r="5" spans="1:9" x14ac:dyDescent="0.25">
      <c r="A5">
        <v>2011</v>
      </c>
      <c r="B5" t="s">
        <v>107</v>
      </c>
      <c r="C5" t="s">
        <v>153</v>
      </c>
      <c r="D5" t="s">
        <v>4398</v>
      </c>
      <c r="E5">
        <v>66.47</v>
      </c>
      <c r="F5" s="193">
        <v>101156</v>
      </c>
      <c r="H5" s="1" t="s">
        <v>22</v>
      </c>
      <c r="I5" s="110">
        <v>1121354.75</v>
      </c>
    </row>
    <row r="6" spans="1:9" x14ac:dyDescent="0.25">
      <c r="A6">
        <v>2011</v>
      </c>
      <c r="B6" t="s">
        <v>22</v>
      </c>
      <c r="C6" t="s">
        <v>155</v>
      </c>
      <c r="D6" t="s">
        <v>4399</v>
      </c>
      <c r="E6">
        <v>13.96</v>
      </c>
      <c r="F6" s="193">
        <v>119500</v>
      </c>
      <c r="H6" s="1" t="s">
        <v>111</v>
      </c>
      <c r="I6" s="110">
        <v>70250</v>
      </c>
    </row>
    <row r="7" spans="1:9" x14ac:dyDescent="0.25">
      <c r="A7">
        <v>2011</v>
      </c>
      <c r="B7" t="s">
        <v>111</v>
      </c>
      <c r="C7" t="s">
        <v>157</v>
      </c>
      <c r="D7" t="s">
        <v>4400</v>
      </c>
      <c r="E7">
        <v>240</v>
      </c>
      <c r="F7" s="193">
        <v>70250</v>
      </c>
      <c r="H7" s="1" t="s">
        <v>112</v>
      </c>
      <c r="I7" s="110">
        <v>192943</v>
      </c>
    </row>
    <row r="8" spans="1:9" x14ac:dyDescent="0.25">
      <c r="A8">
        <v>2011</v>
      </c>
      <c r="B8" t="s">
        <v>112</v>
      </c>
      <c r="C8" t="s">
        <v>160</v>
      </c>
      <c r="D8" t="s">
        <v>4401</v>
      </c>
      <c r="E8">
        <v>40</v>
      </c>
      <c r="F8" s="193">
        <v>87868</v>
      </c>
      <c r="H8" s="1" t="s">
        <v>2729</v>
      </c>
      <c r="I8" s="110">
        <v>455952.5</v>
      </c>
    </row>
    <row r="9" spans="1:9" x14ac:dyDescent="0.25">
      <c r="A9">
        <v>2011</v>
      </c>
      <c r="B9" t="s">
        <v>2729</v>
      </c>
      <c r="C9" t="s">
        <v>162</v>
      </c>
      <c r="D9" t="s">
        <v>4402</v>
      </c>
      <c r="E9">
        <v>1.5</v>
      </c>
      <c r="F9" s="193">
        <v>35075</v>
      </c>
      <c r="H9" s="1" t="s">
        <v>34</v>
      </c>
      <c r="I9" s="110">
        <v>1492965.5</v>
      </c>
    </row>
    <row r="10" spans="1:9" x14ac:dyDescent="0.25">
      <c r="A10">
        <v>2011</v>
      </c>
      <c r="B10" t="s">
        <v>2729</v>
      </c>
      <c r="C10" t="s">
        <v>162</v>
      </c>
      <c r="D10" t="s">
        <v>4402</v>
      </c>
      <c r="E10">
        <v>3</v>
      </c>
      <c r="F10" s="193">
        <v>65550</v>
      </c>
      <c r="H10" s="1" t="s">
        <v>64</v>
      </c>
      <c r="I10" s="110">
        <v>22300</v>
      </c>
    </row>
    <row r="11" spans="1:9" x14ac:dyDescent="0.25">
      <c r="A11">
        <v>2011</v>
      </c>
      <c r="B11" t="s">
        <v>2729</v>
      </c>
      <c r="C11" t="s">
        <v>163</v>
      </c>
      <c r="D11" t="s">
        <v>4403</v>
      </c>
      <c r="E11">
        <v>4.5</v>
      </c>
      <c r="F11" s="193">
        <v>100800</v>
      </c>
      <c r="H11" s="1" t="s">
        <v>66</v>
      </c>
      <c r="I11" s="110">
        <v>185575</v>
      </c>
    </row>
    <row r="12" spans="1:9" x14ac:dyDescent="0.25">
      <c r="A12">
        <v>2011</v>
      </c>
      <c r="B12" t="s">
        <v>34</v>
      </c>
      <c r="C12" t="s">
        <v>167</v>
      </c>
      <c r="D12" t="s">
        <v>4404</v>
      </c>
      <c r="E12">
        <v>91.24</v>
      </c>
      <c r="F12" s="193">
        <v>120000</v>
      </c>
      <c r="H12" s="1" t="s">
        <v>129</v>
      </c>
      <c r="I12" s="110">
        <v>2065806.75</v>
      </c>
    </row>
    <row r="13" spans="1:9" x14ac:dyDescent="0.25">
      <c r="A13">
        <v>2011</v>
      </c>
      <c r="B13" t="s">
        <v>34</v>
      </c>
      <c r="C13" t="s">
        <v>166</v>
      </c>
      <c r="D13" t="s">
        <v>4405</v>
      </c>
      <c r="E13">
        <v>12.16</v>
      </c>
      <c r="F13" s="193">
        <v>45325</v>
      </c>
      <c r="H13" s="1" t="s">
        <v>14</v>
      </c>
      <c r="I13" s="110">
        <v>1691170.21</v>
      </c>
    </row>
    <row r="14" spans="1:9" x14ac:dyDescent="0.25">
      <c r="A14">
        <v>2011</v>
      </c>
      <c r="B14" t="s">
        <v>34</v>
      </c>
      <c r="C14" t="s">
        <v>166</v>
      </c>
      <c r="D14" t="s">
        <v>4405</v>
      </c>
      <c r="E14">
        <v>39.35</v>
      </c>
      <c r="F14" s="193">
        <v>114000</v>
      </c>
      <c r="H14" s="1" t="s">
        <v>20</v>
      </c>
      <c r="I14" s="110">
        <v>15734844.5</v>
      </c>
    </row>
    <row r="15" spans="1:9" x14ac:dyDescent="0.25">
      <c r="A15">
        <v>2011</v>
      </c>
      <c r="B15" t="s">
        <v>34</v>
      </c>
      <c r="C15" t="s">
        <v>166</v>
      </c>
      <c r="D15" t="s">
        <v>4405</v>
      </c>
      <c r="E15">
        <v>28.815000000000001</v>
      </c>
      <c r="F15" s="193">
        <v>77000</v>
      </c>
      <c r="H15" s="1" t="s">
        <v>144</v>
      </c>
      <c r="I15" s="110">
        <v>2621867.6</v>
      </c>
    </row>
    <row r="16" spans="1:9" x14ac:dyDescent="0.25">
      <c r="A16">
        <v>2011</v>
      </c>
      <c r="B16" t="s">
        <v>34</v>
      </c>
      <c r="C16" t="s">
        <v>166</v>
      </c>
      <c r="D16" t="s">
        <v>4405</v>
      </c>
      <c r="E16">
        <v>14.42</v>
      </c>
      <c r="F16" s="193">
        <v>41000</v>
      </c>
      <c r="H16" s="1" t="s">
        <v>701</v>
      </c>
      <c r="I16" s="110">
        <v>30080136.07</v>
      </c>
    </row>
    <row r="17" spans="1:6" x14ac:dyDescent="0.25">
      <c r="A17">
        <v>2011</v>
      </c>
      <c r="B17" t="s">
        <v>34</v>
      </c>
      <c r="C17" t="s">
        <v>166</v>
      </c>
      <c r="D17" t="s">
        <v>4405</v>
      </c>
      <c r="E17">
        <v>25.49</v>
      </c>
      <c r="F17" s="193">
        <v>73000</v>
      </c>
    </row>
    <row r="18" spans="1:6" x14ac:dyDescent="0.25">
      <c r="A18">
        <v>2011</v>
      </c>
      <c r="B18" t="s">
        <v>34</v>
      </c>
      <c r="C18" t="s">
        <v>166</v>
      </c>
      <c r="D18" t="s">
        <v>4405</v>
      </c>
      <c r="E18">
        <v>15</v>
      </c>
      <c r="F18" s="193">
        <v>41000</v>
      </c>
    </row>
    <row r="19" spans="1:6" x14ac:dyDescent="0.25">
      <c r="A19">
        <v>2011</v>
      </c>
      <c r="B19" t="s">
        <v>66</v>
      </c>
      <c r="C19" t="s">
        <v>168</v>
      </c>
      <c r="D19" t="s">
        <v>4406</v>
      </c>
      <c r="E19">
        <v>42.7</v>
      </c>
      <c r="F19" s="193">
        <v>127875</v>
      </c>
    </row>
    <row r="20" spans="1:6" x14ac:dyDescent="0.25">
      <c r="A20">
        <v>2011</v>
      </c>
      <c r="B20" t="s">
        <v>66</v>
      </c>
      <c r="C20" t="s">
        <v>168</v>
      </c>
      <c r="D20" t="s">
        <v>4406</v>
      </c>
      <c r="E20">
        <v>43.8</v>
      </c>
      <c r="F20" s="193">
        <v>57700</v>
      </c>
    </row>
    <row r="21" spans="1:6" x14ac:dyDescent="0.25">
      <c r="A21">
        <v>2011</v>
      </c>
      <c r="B21" t="s">
        <v>129</v>
      </c>
      <c r="C21" t="s">
        <v>244</v>
      </c>
      <c r="D21" t="s">
        <v>4407</v>
      </c>
      <c r="E21">
        <v>0.46200000000000002</v>
      </c>
      <c r="F21" s="193">
        <v>133727</v>
      </c>
    </row>
    <row r="22" spans="1:6" x14ac:dyDescent="0.25">
      <c r="A22">
        <v>2011</v>
      </c>
      <c r="B22" t="s">
        <v>129</v>
      </c>
      <c r="C22" t="s">
        <v>244</v>
      </c>
      <c r="D22" t="s">
        <v>4407</v>
      </c>
      <c r="E22">
        <v>0.96</v>
      </c>
      <c r="F22" s="193">
        <v>82000</v>
      </c>
    </row>
    <row r="23" spans="1:6" x14ac:dyDescent="0.25">
      <c r="A23">
        <v>2011</v>
      </c>
      <c r="B23" t="s">
        <v>14</v>
      </c>
      <c r="C23" t="s">
        <v>171</v>
      </c>
      <c r="D23" t="s">
        <v>4408</v>
      </c>
      <c r="E23">
        <v>145</v>
      </c>
      <c r="F23" s="193">
        <v>162809</v>
      </c>
    </row>
    <row r="24" spans="1:6" x14ac:dyDescent="0.25">
      <c r="A24">
        <v>2011</v>
      </c>
      <c r="B24" t="s">
        <v>14</v>
      </c>
      <c r="C24" t="s">
        <v>171</v>
      </c>
      <c r="D24" t="s">
        <v>4408</v>
      </c>
      <c r="E24">
        <v>65.599999999999994</v>
      </c>
      <c r="F24" s="193">
        <v>139254</v>
      </c>
    </row>
    <row r="25" spans="1:6" x14ac:dyDescent="0.25">
      <c r="A25">
        <v>2011</v>
      </c>
      <c r="B25" t="s">
        <v>14</v>
      </c>
      <c r="C25" t="s">
        <v>171</v>
      </c>
      <c r="D25" t="s">
        <v>4408</v>
      </c>
      <c r="E25">
        <v>55.85</v>
      </c>
      <c r="F25" s="193">
        <v>99985</v>
      </c>
    </row>
    <row r="26" spans="1:6" x14ac:dyDescent="0.25">
      <c r="A26">
        <v>2011</v>
      </c>
      <c r="B26" t="s">
        <v>14</v>
      </c>
      <c r="C26" t="s">
        <v>172</v>
      </c>
      <c r="D26" t="s">
        <v>4409</v>
      </c>
      <c r="E26">
        <v>0.5</v>
      </c>
      <c r="F26" s="193">
        <v>40850</v>
      </c>
    </row>
    <row r="27" spans="1:6" x14ac:dyDescent="0.25">
      <c r="A27">
        <v>2011</v>
      </c>
      <c r="B27" t="s">
        <v>14</v>
      </c>
      <c r="C27" t="s">
        <v>170</v>
      </c>
      <c r="D27" t="s">
        <v>4410</v>
      </c>
      <c r="E27">
        <v>4.8899999999999997</v>
      </c>
      <c r="F27" s="193">
        <v>103000</v>
      </c>
    </row>
    <row r="28" spans="1:6" x14ac:dyDescent="0.25">
      <c r="A28">
        <v>2011</v>
      </c>
      <c r="B28" t="s">
        <v>20</v>
      </c>
      <c r="C28" t="s">
        <v>177</v>
      </c>
      <c r="D28" t="s">
        <v>4411</v>
      </c>
      <c r="E28">
        <v>7.1550000000000002</v>
      </c>
      <c r="F28" s="193">
        <v>59875</v>
      </c>
    </row>
    <row r="29" spans="1:6" x14ac:dyDescent="0.25">
      <c r="A29">
        <v>2011</v>
      </c>
      <c r="B29" t="s">
        <v>20</v>
      </c>
      <c r="C29" t="s">
        <v>178</v>
      </c>
      <c r="D29" t="s">
        <v>4412</v>
      </c>
      <c r="E29">
        <v>9.23</v>
      </c>
      <c r="F29" s="193">
        <v>132200</v>
      </c>
    </row>
    <row r="30" spans="1:6" x14ac:dyDescent="0.25">
      <c r="A30">
        <v>2011</v>
      </c>
      <c r="B30" t="s">
        <v>20</v>
      </c>
      <c r="C30" t="s">
        <v>4413</v>
      </c>
      <c r="D30" t="s">
        <v>4414</v>
      </c>
      <c r="E30">
        <v>59.38</v>
      </c>
      <c r="F30" s="193">
        <v>2300000</v>
      </c>
    </row>
    <row r="31" spans="1:6" x14ac:dyDescent="0.25">
      <c r="A31">
        <v>2011</v>
      </c>
      <c r="B31" t="s">
        <v>20</v>
      </c>
      <c r="C31" t="s">
        <v>178</v>
      </c>
      <c r="D31" t="s">
        <v>4412</v>
      </c>
      <c r="E31">
        <v>13.95</v>
      </c>
      <c r="F31" s="193">
        <v>246425</v>
      </c>
    </row>
    <row r="32" spans="1:6" x14ac:dyDescent="0.25">
      <c r="A32">
        <v>2011</v>
      </c>
      <c r="B32" t="s">
        <v>20</v>
      </c>
      <c r="C32" t="s">
        <v>4415</v>
      </c>
      <c r="D32" t="s">
        <v>4416</v>
      </c>
      <c r="E32">
        <v>69.5</v>
      </c>
      <c r="F32" s="193">
        <v>430000</v>
      </c>
    </row>
    <row r="33" spans="1:6" x14ac:dyDescent="0.25">
      <c r="A33">
        <v>2011</v>
      </c>
      <c r="B33" t="s">
        <v>20</v>
      </c>
      <c r="C33" t="s">
        <v>182</v>
      </c>
      <c r="D33" t="s">
        <v>4417</v>
      </c>
      <c r="E33">
        <v>211.25</v>
      </c>
      <c r="F33" s="193">
        <v>78157</v>
      </c>
    </row>
    <row r="34" spans="1:6" x14ac:dyDescent="0.25">
      <c r="A34">
        <v>2011</v>
      </c>
      <c r="B34" t="s">
        <v>20</v>
      </c>
      <c r="C34" t="s">
        <v>182</v>
      </c>
      <c r="D34" t="s">
        <v>4417</v>
      </c>
      <c r="E34">
        <v>78.314999999999998</v>
      </c>
      <c r="F34" s="193">
        <v>62500</v>
      </c>
    </row>
    <row r="35" spans="1:6" x14ac:dyDescent="0.25">
      <c r="A35">
        <v>2011</v>
      </c>
      <c r="B35" t="s">
        <v>20</v>
      </c>
      <c r="C35" t="s">
        <v>186</v>
      </c>
      <c r="D35" t="s">
        <v>4418</v>
      </c>
      <c r="E35">
        <v>5</v>
      </c>
      <c r="F35" s="193">
        <v>43690</v>
      </c>
    </row>
    <row r="36" spans="1:6" x14ac:dyDescent="0.25">
      <c r="A36">
        <v>2011</v>
      </c>
      <c r="B36" t="s">
        <v>144</v>
      </c>
      <c r="C36" t="s">
        <v>190</v>
      </c>
      <c r="D36" t="s">
        <v>4419</v>
      </c>
      <c r="E36">
        <v>13.25</v>
      </c>
      <c r="F36" s="193">
        <v>85000</v>
      </c>
    </row>
    <row r="37" spans="1:6" x14ac:dyDescent="0.25">
      <c r="A37">
        <v>2011</v>
      </c>
      <c r="B37" t="s">
        <v>144</v>
      </c>
      <c r="C37" t="s">
        <v>4420</v>
      </c>
      <c r="D37" t="s">
        <v>4421</v>
      </c>
      <c r="E37">
        <v>264.32</v>
      </c>
      <c r="F37" s="193">
        <v>883700</v>
      </c>
    </row>
    <row r="38" spans="1:6" x14ac:dyDescent="0.25">
      <c r="A38">
        <v>2011</v>
      </c>
      <c r="B38" t="s">
        <v>144</v>
      </c>
      <c r="C38" t="s">
        <v>190</v>
      </c>
      <c r="D38" t="s">
        <v>4422</v>
      </c>
      <c r="E38">
        <v>73</v>
      </c>
      <c r="F38" s="193">
        <v>189778.1</v>
      </c>
    </row>
    <row r="39" spans="1:6" x14ac:dyDescent="0.25">
      <c r="A39">
        <v>2012</v>
      </c>
      <c r="B39" t="s">
        <v>18</v>
      </c>
      <c r="C39" t="s">
        <v>150</v>
      </c>
      <c r="D39" t="s">
        <v>4423</v>
      </c>
      <c r="E39">
        <v>132</v>
      </c>
      <c r="F39" s="193">
        <v>2011551</v>
      </c>
    </row>
    <row r="40" spans="1:6" x14ac:dyDescent="0.25">
      <c r="A40">
        <v>2012</v>
      </c>
      <c r="B40" t="s">
        <v>107</v>
      </c>
      <c r="C40" t="s">
        <v>4424</v>
      </c>
      <c r="D40" t="s">
        <v>4397</v>
      </c>
      <c r="E40">
        <v>78.22</v>
      </c>
      <c r="F40" s="193">
        <v>328425</v>
      </c>
    </row>
    <row r="41" spans="1:6" x14ac:dyDescent="0.25">
      <c r="A41">
        <v>2012</v>
      </c>
      <c r="B41" t="s">
        <v>107</v>
      </c>
      <c r="C41" t="s">
        <v>153</v>
      </c>
      <c r="D41" t="s">
        <v>4398</v>
      </c>
      <c r="E41">
        <v>1</v>
      </c>
      <c r="F41" s="193">
        <v>42792.53</v>
      </c>
    </row>
    <row r="42" spans="1:6" x14ac:dyDescent="0.25">
      <c r="A42">
        <v>2012</v>
      </c>
      <c r="B42" t="s">
        <v>108</v>
      </c>
      <c r="C42" t="s">
        <v>154</v>
      </c>
      <c r="D42" t="s">
        <v>4425</v>
      </c>
      <c r="E42">
        <v>0.79</v>
      </c>
      <c r="F42" s="193">
        <v>40116</v>
      </c>
    </row>
    <row r="43" spans="1:6" x14ac:dyDescent="0.25">
      <c r="A43">
        <v>2012</v>
      </c>
      <c r="B43" t="s">
        <v>34</v>
      </c>
      <c r="C43" t="s">
        <v>166</v>
      </c>
      <c r="D43" t="s">
        <v>4405</v>
      </c>
      <c r="E43">
        <v>61.1</v>
      </c>
      <c r="F43" s="193">
        <v>168720</v>
      </c>
    </row>
    <row r="44" spans="1:6" x14ac:dyDescent="0.25">
      <c r="A44">
        <v>2012</v>
      </c>
      <c r="B44" t="s">
        <v>34</v>
      </c>
      <c r="C44" t="s">
        <v>166</v>
      </c>
      <c r="D44" t="s">
        <v>4405</v>
      </c>
      <c r="E44">
        <v>22.17</v>
      </c>
      <c r="F44" s="193">
        <v>58600</v>
      </c>
    </row>
    <row r="45" spans="1:6" x14ac:dyDescent="0.25">
      <c r="A45">
        <v>2012</v>
      </c>
      <c r="B45" t="s">
        <v>34</v>
      </c>
      <c r="C45" t="s">
        <v>165</v>
      </c>
      <c r="D45" t="s">
        <v>4426</v>
      </c>
      <c r="E45">
        <v>44</v>
      </c>
      <c r="F45" s="193">
        <v>102289</v>
      </c>
    </row>
    <row r="46" spans="1:6" x14ac:dyDescent="0.25">
      <c r="A46">
        <v>2012</v>
      </c>
      <c r="B46" t="s">
        <v>34</v>
      </c>
      <c r="C46" t="s">
        <v>166</v>
      </c>
      <c r="D46" t="s">
        <v>4405</v>
      </c>
      <c r="E46">
        <v>108.47</v>
      </c>
      <c r="F46" s="193">
        <v>253442.5</v>
      </c>
    </row>
    <row r="47" spans="1:6" x14ac:dyDescent="0.25">
      <c r="A47">
        <v>2012</v>
      </c>
      <c r="B47" t="s">
        <v>14</v>
      </c>
      <c r="C47" t="s">
        <v>170</v>
      </c>
      <c r="D47" t="s">
        <v>4427</v>
      </c>
      <c r="E47">
        <v>0.21</v>
      </c>
      <c r="F47" s="193">
        <v>112800</v>
      </c>
    </row>
    <row r="48" spans="1:6" x14ac:dyDescent="0.25">
      <c r="A48">
        <v>2012</v>
      </c>
      <c r="B48" t="s">
        <v>20</v>
      </c>
      <c r="C48" t="s">
        <v>176</v>
      </c>
      <c r="D48" t="s">
        <v>4428</v>
      </c>
      <c r="E48">
        <v>964</v>
      </c>
      <c r="F48" s="193">
        <v>500000</v>
      </c>
    </row>
    <row r="49" spans="1:6" x14ac:dyDescent="0.25">
      <c r="A49">
        <v>2012</v>
      </c>
      <c r="B49" t="s">
        <v>20</v>
      </c>
      <c r="C49" t="s">
        <v>179</v>
      </c>
      <c r="D49" t="s">
        <v>4429</v>
      </c>
      <c r="E49">
        <v>2</v>
      </c>
      <c r="F49" s="193">
        <v>91430</v>
      </c>
    </row>
    <row r="50" spans="1:6" x14ac:dyDescent="0.25">
      <c r="A50">
        <v>2012</v>
      </c>
      <c r="B50" t="s">
        <v>20</v>
      </c>
      <c r="C50" t="s">
        <v>188</v>
      </c>
      <c r="D50" t="s">
        <v>4430</v>
      </c>
      <c r="E50">
        <v>19.3</v>
      </c>
      <c r="F50" s="193">
        <v>33190</v>
      </c>
    </row>
    <row r="51" spans="1:6" x14ac:dyDescent="0.25">
      <c r="A51">
        <v>2012</v>
      </c>
      <c r="B51" t="s">
        <v>20</v>
      </c>
      <c r="C51" t="s">
        <v>4431</v>
      </c>
      <c r="D51" t="s">
        <v>4432</v>
      </c>
      <c r="E51">
        <v>3</v>
      </c>
      <c r="F51" s="193">
        <v>195221</v>
      </c>
    </row>
    <row r="52" spans="1:6" x14ac:dyDescent="0.25">
      <c r="A52">
        <v>2012</v>
      </c>
      <c r="B52" t="s">
        <v>20</v>
      </c>
      <c r="C52" t="s">
        <v>180</v>
      </c>
      <c r="D52" t="s">
        <v>4433</v>
      </c>
      <c r="E52">
        <v>915</v>
      </c>
      <c r="F52" s="193">
        <v>1800000</v>
      </c>
    </row>
    <row r="53" spans="1:6" x14ac:dyDescent="0.25">
      <c r="A53">
        <v>2012</v>
      </c>
      <c r="B53" t="s">
        <v>20</v>
      </c>
      <c r="C53" t="s">
        <v>189</v>
      </c>
      <c r="D53" t="s">
        <v>4434</v>
      </c>
      <c r="E53">
        <v>31</v>
      </c>
      <c r="F53" s="193">
        <v>367263</v>
      </c>
    </row>
    <row r="54" spans="1:6" x14ac:dyDescent="0.25">
      <c r="A54">
        <v>2012</v>
      </c>
      <c r="B54" t="s">
        <v>20</v>
      </c>
      <c r="C54" t="s">
        <v>180</v>
      </c>
      <c r="D54" t="s">
        <v>4435</v>
      </c>
      <c r="E54">
        <v>195</v>
      </c>
      <c r="F54" s="193">
        <v>800000</v>
      </c>
    </row>
    <row r="55" spans="1:6" x14ac:dyDescent="0.25">
      <c r="A55">
        <v>2012</v>
      </c>
      <c r="B55" t="s">
        <v>20</v>
      </c>
      <c r="C55" t="s">
        <v>181</v>
      </c>
      <c r="D55" t="s">
        <v>4436</v>
      </c>
      <c r="E55">
        <v>83</v>
      </c>
      <c r="F55" s="193">
        <v>181000</v>
      </c>
    </row>
    <row r="56" spans="1:6" x14ac:dyDescent="0.25">
      <c r="A56">
        <v>2012</v>
      </c>
      <c r="B56" t="s">
        <v>20</v>
      </c>
      <c r="C56" t="s">
        <v>4413</v>
      </c>
      <c r="D56" t="s">
        <v>4414</v>
      </c>
      <c r="E56">
        <v>3.66</v>
      </c>
      <c r="F56" s="193">
        <v>1050000</v>
      </c>
    </row>
    <row r="57" spans="1:6" x14ac:dyDescent="0.25">
      <c r="A57">
        <v>2012</v>
      </c>
      <c r="B57" t="s">
        <v>20</v>
      </c>
      <c r="C57" t="s">
        <v>182</v>
      </c>
      <c r="D57" t="s">
        <v>4417</v>
      </c>
      <c r="E57">
        <v>161</v>
      </c>
      <c r="F57" s="193">
        <v>25000</v>
      </c>
    </row>
    <row r="58" spans="1:6" x14ac:dyDescent="0.25">
      <c r="A58">
        <v>2012</v>
      </c>
      <c r="B58" t="s">
        <v>20</v>
      </c>
      <c r="C58" t="s">
        <v>162</v>
      </c>
      <c r="D58" t="s">
        <v>4402</v>
      </c>
      <c r="E58">
        <v>1</v>
      </c>
      <c r="F58" s="193">
        <v>43865</v>
      </c>
    </row>
    <row r="59" spans="1:6" x14ac:dyDescent="0.25">
      <c r="A59">
        <v>2012</v>
      </c>
      <c r="B59" t="s">
        <v>20</v>
      </c>
      <c r="C59" t="s">
        <v>175</v>
      </c>
      <c r="D59" t="s">
        <v>4437</v>
      </c>
      <c r="E59">
        <v>3.22</v>
      </c>
      <c r="F59" s="193">
        <v>230475</v>
      </c>
    </row>
    <row r="60" spans="1:6" x14ac:dyDescent="0.25">
      <c r="A60">
        <v>2012</v>
      </c>
      <c r="B60" t="s">
        <v>20</v>
      </c>
      <c r="C60" t="s">
        <v>4413</v>
      </c>
      <c r="D60" t="s">
        <v>4414</v>
      </c>
      <c r="E60">
        <v>50</v>
      </c>
      <c r="F60" s="193">
        <v>1160000</v>
      </c>
    </row>
    <row r="61" spans="1:6" x14ac:dyDescent="0.25">
      <c r="A61">
        <v>2012</v>
      </c>
      <c r="B61" t="s">
        <v>20</v>
      </c>
      <c r="C61" t="s">
        <v>184</v>
      </c>
      <c r="D61" t="s">
        <v>4438</v>
      </c>
      <c r="E61">
        <v>130</v>
      </c>
      <c r="F61" s="193">
        <v>94003</v>
      </c>
    </row>
    <row r="62" spans="1:6" x14ac:dyDescent="0.25">
      <c r="A62">
        <v>2012</v>
      </c>
      <c r="B62" t="s">
        <v>20</v>
      </c>
      <c r="C62" t="s">
        <v>176</v>
      </c>
      <c r="D62" t="s">
        <v>4439</v>
      </c>
      <c r="E62">
        <v>4.4669999999999996</v>
      </c>
      <c r="F62" s="193">
        <v>129309</v>
      </c>
    </row>
    <row r="63" spans="1:6" x14ac:dyDescent="0.25">
      <c r="A63">
        <v>2012</v>
      </c>
      <c r="B63" t="s">
        <v>20</v>
      </c>
      <c r="C63" t="s">
        <v>178</v>
      </c>
      <c r="D63" t="s">
        <v>4412</v>
      </c>
      <c r="E63">
        <v>81.69</v>
      </c>
      <c r="F63" s="193">
        <v>289999</v>
      </c>
    </row>
    <row r="64" spans="1:6" x14ac:dyDescent="0.25">
      <c r="A64">
        <v>2012</v>
      </c>
      <c r="B64" t="s">
        <v>20</v>
      </c>
      <c r="C64" t="s">
        <v>174</v>
      </c>
      <c r="D64" t="s">
        <v>4440</v>
      </c>
      <c r="E64">
        <v>49</v>
      </c>
      <c r="F64" s="193">
        <v>139528</v>
      </c>
    </row>
    <row r="65" spans="1:6" x14ac:dyDescent="0.25">
      <c r="A65">
        <v>2013</v>
      </c>
      <c r="B65" t="s">
        <v>18</v>
      </c>
      <c r="C65" t="s">
        <v>149</v>
      </c>
      <c r="D65" t="s">
        <v>4441</v>
      </c>
      <c r="E65">
        <v>102.74</v>
      </c>
      <c r="F65" s="193">
        <v>556967</v>
      </c>
    </row>
    <row r="66" spans="1:6" x14ac:dyDescent="0.25">
      <c r="A66">
        <v>2013</v>
      </c>
      <c r="B66" t="s">
        <v>18</v>
      </c>
      <c r="C66" t="s">
        <v>149</v>
      </c>
      <c r="D66" t="s">
        <v>4441</v>
      </c>
      <c r="E66">
        <v>7.21</v>
      </c>
      <c r="F66" s="193">
        <v>105358.73</v>
      </c>
    </row>
    <row r="67" spans="1:6" x14ac:dyDescent="0.25">
      <c r="A67">
        <v>2013</v>
      </c>
      <c r="B67" t="s">
        <v>22</v>
      </c>
      <c r="C67" t="s">
        <v>155</v>
      </c>
      <c r="D67" t="s">
        <v>4399</v>
      </c>
      <c r="E67">
        <v>4.33</v>
      </c>
      <c r="F67" s="193">
        <v>166600</v>
      </c>
    </row>
    <row r="68" spans="1:6" x14ac:dyDescent="0.25">
      <c r="A68">
        <v>2013</v>
      </c>
      <c r="B68" t="s">
        <v>22</v>
      </c>
      <c r="C68" t="s">
        <v>148</v>
      </c>
      <c r="D68" t="s">
        <v>4442</v>
      </c>
      <c r="E68">
        <v>15</v>
      </c>
      <c r="F68" s="193">
        <v>157075</v>
      </c>
    </row>
    <row r="69" spans="1:6" x14ac:dyDescent="0.25">
      <c r="A69">
        <v>2013</v>
      </c>
      <c r="B69" t="s">
        <v>22</v>
      </c>
      <c r="C69" t="s">
        <v>155</v>
      </c>
      <c r="D69" t="s">
        <v>4399</v>
      </c>
      <c r="E69">
        <v>264.22000000000003</v>
      </c>
      <c r="F69" s="193">
        <v>561687.5</v>
      </c>
    </row>
    <row r="70" spans="1:6" x14ac:dyDescent="0.25">
      <c r="A70">
        <v>2013</v>
      </c>
      <c r="B70" t="s">
        <v>112</v>
      </c>
      <c r="C70" t="s">
        <v>158</v>
      </c>
      <c r="D70" t="s">
        <v>4443</v>
      </c>
      <c r="E70">
        <v>180</v>
      </c>
      <c r="F70" s="193">
        <v>105075</v>
      </c>
    </row>
    <row r="71" spans="1:6" x14ac:dyDescent="0.25">
      <c r="A71">
        <v>2013</v>
      </c>
      <c r="B71" t="s">
        <v>2729</v>
      </c>
      <c r="C71" t="s">
        <v>161</v>
      </c>
      <c r="D71" t="s">
        <v>4444</v>
      </c>
      <c r="E71">
        <v>0.9</v>
      </c>
      <c r="F71" s="193">
        <v>34027.5</v>
      </c>
    </row>
    <row r="72" spans="1:6" x14ac:dyDescent="0.25">
      <c r="A72">
        <v>2013</v>
      </c>
      <c r="B72" t="s">
        <v>2729</v>
      </c>
      <c r="C72" t="s">
        <v>162</v>
      </c>
      <c r="D72" t="s">
        <v>4402</v>
      </c>
      <c r="E72">
        <v>5</v>
      </c>
      <c r="F72" s="193">
        <v>220500</v>
      </c>
    </row>
    <row r="73" spans="1:6" x14ac:dyDescent="0.25">
      <c r="A73">
        <v>2013</v>
      </c>
      <c r="B73" t="s">
        <v>34</v>
      </c>
      <c r="C73" t="s">
        <v>166</v>
      </c>
      <c r="D73" t="s">
        <v>4405</v>
      </c>
      <c r="E73">
        <v>53.89</v>
      </c>
      <c r="F73" s="193">
        <v>124973</v>
      </c>
    </row>
    <row r="74" spans="1:6" x14ac:dyDescent="0.25">
      <c r="A74">
        <v>2013</v>
      </c>
      <c r="B74" t="s">
        <v>34</v>
      </c>
      <c r="C74" t="s">
        <v>166</v>
      </c>
      <c r="D74" t="s">
        <v>4405</v>
      </c>
      <c r="E74">
        <v>55.73</v>
      </c>
      <c r="F74" s="193">
        <v>142191</v>
      </c>
    </row>
    <row r="75" spans="1:6" x14ac:dyDescent="0.25">
      <c r="A75">
        <v>2013</v>
      </c>
      <c r="B75" t="s">
        <v>34</v>
      </c>
      <c r="C75" t="s">
        <v>166</v>
      </c>
      <c r="D75" t="s">
        <v>4405</v>
      </c>
      <c r="E75">
        <v>13.382</v>
      </c>
      <c r="F75" s="193">
        <v>27250.5</v>
      </c>
    </row>
    <row r="76" spans="1:6" x14ac:dyDescent="0.25">
      <c r="A76">
        <v>2013</v>
      </c>
      <c r="B76" t="s">
        <v>34</v>
      </c>
      <c r="C76" t="s">
        <v>166</v>
      </c>
      <c r="D76" t="s">
        <v>4405</v>
      </c>
      <c r="E76">
        <v>7.5720000000000001</v>
      </c>
      <c r="F76" s="193">
        <v>45798</v>
      </c>
    </row>
    <row r="77" spans="1:6" x14ac:dyDescent="0.25">
      <c r="A77">
        <v>2013</v>
      </c>
      <c r="B77" t="s">
        <v>14</v>
      </c>
      <c r="C77" t="s">
        <v>169</v>
      </c>
      <c r="D77" t="s">
        <v>4445</v>
      </c>
      <c r="E77">
        <v>31.01</v>
      </c>
      <c r="F77" s="193">
        <v>440000</v>
      </c>
    </row>
    <row r="78" spans="1:6" x14ac:dyDescent="0.25">
      <c r="A78">
        <v>2013</v>
      </c>
      <c r="B78" t="s">
        <v>14</v>
      </c>
      <c r="C78" t="s">
        <v>169</v>
      </c>
      <c r="D78" t="s">
        <v>4445</v>
      </c>
      <c r="E78">
        <v>17.04</v>
      </c>
      <c r="F78" s="193">
        <v>390000</v>
      </c>
    </row>
    <row r="79" spans="1:6" x14ac:dyDescent="0.25">
      <c r="A79">
        <v>2013</v>
      </c>
      <c r="B79" t="s">
        <v>20</v>
      </c>
      <c r="C79" t="s">
        <v>176</v>
      </c>
      <c r="D79" t="s">
        <v>4446</v>
      </c>
      <c r="E79">
        <v>67.349999999999994</v>
      </c>
      <c r="F79" s="193">
        <v>111454</v>
      </c>
    </row>
    <row r="80" spans="1:6" x14ac:dyDescent="0.25">
      <c r="A80">
        <v>2013</v>
      </c>
      <c r="B80" t="s">
        <v>20</v>
      </c>
      <c r="C80" t="s">
        <v>176</v>
      </c>
      <c r="D80" t="s">
        <v>4428</v>
      </c>
      <c r="E80">
        <v>43.28</v>
      </c>
      <c r="F80" s="193">
        <v>71920</v>
      </c>
    </row>
    <row r="81" spans="1:6" x14ac:dyDescent="0.25">
      <c r="A81">
        <v>2013</v>
      </c>
      <c r="B81" t="s">
        <v>20</v>
      </c>
      <c r="C81" t="s">
        <v>176</v>
      </c>
      <c r="D81" t="s">
        <v>4447</v>
      </c>
      <c r="E81">
        <v>52</v>
      </c>
      <c r="F81" s="193">
        <v>52000</v>
      </c>
    </row>
    <row r="82" spans="1:6" x14ac:dyDescent="0.25">
      <c r="A82">
        <v>2013</v>
      </c>
      <c r="B82" t="s">
        <v>20</v>
      </c>
      <c r="C82" t="s">
        <v>176</v>
      </c>
      <c r="D82" t="s">
        <v>4446</v>
      </c>
      <c r="E82">
        <v>508</v>
      </c>
      <c r="F82" s="193">
        <v>464000</v>
      </c>
    </row>
    <row r="83" spans="1:6" x14ac:dyDescent="0.25">
      <c r="A83">
        <v>2013</v>
      </c>
      <c r="B83" t="s">
        <v>20</v>
      </c>
      <c r="C83" t="s">
        <v>183</v>
      </c>
      <c r="D83" t="s">
        <v>4430</v>
      </c>
      <c r="E83">
        <v>2.52</v>
      </c>
      <c r="F83" s="193">
        <v>104725</v>
      </c>
    </row>
    <row r="84" spans="1:6" x14ac:dyDescent="0.25">
      <c r="A84">
        <v>2013</v>
      </c>
      <c r="B84" t="s">
        <v>20</v>
      </c>
      <c r="C84" t="s">
        <v>176</v>
      </c>
      <c r="D84" t="s">
        <v>4428</v>
      </c>
      <c r="E84">
        <v>218.37</v>
      </c>
      <c r="F84" s="193">
        <v>250000</v>
      </c>
    </row>
    <row r="85" spans="1:6" x14ac:dyDescent="0.25">
      <c r="A85">
        <v>2013</v>
      </c>
      <c r="B85" t="s">
        <v>20</v>
      </c>
      <c r="C85" t="s">
        <v>184</v>
      </c>
      <c r="D85" t="s">
        <v>4448</v>
      </c>
      <c r="E85">
        <v>115.12</v>
      </c>
      <c r="F85" s="193">
        <v>104075</v>
      </c>
    </row>
    <row r="86" spans="1:6" x14ac:dyDescent="0.25">
      <c r="A86">
        <v>2013</v>
      </c>
      <c r="B86" t="s">
        <v>20</v>
      </c>
      <c r="C86" t="s">
        <v>177</v>
      </c>
      <c r="D86" t="s">
        <v>4449</v>
      </c>
      <c r="E86">
        <v>34.4</v>
      </c>
      <c r="F86" s="193">
        <v>118319</v>
      </c>
    </row>
    <row r="87" spans="1:6" x14ac:dyDescent="0.25">
      <c r="A87">
        <v>2013</v>
      </c>
      <c r="B87" t="s">
        <v>20</v>
      </c>
      <c r="C87" t="s">
        <v>178</v>
      </c>
      <c r="D87" t="s">
        <v>4412</v>
      </c>
      <c r="E87">
        <v>27.4</v>
      </c>
      <c r="F87" s="193">
        <v>330457</v>
      </c>
    </row>
    <row r="88" spans="1:6" x14ac:dyDescent="0.25">
      <c r="A88">
        <v>2013</v>
      </c>
      <c r="B88" t="s">
        <v>20</v>
      </c>
      <c r="C88" t="s">
        <v>182</v>
      </c>
      <c r="D88" t="s">
        <v>4450</v>
      </c>
      <c r="E88">
        <v>0.25700000000000001</v>
      </c>
      <c r="F88" s="193">
        <v>303662</v>
      </c>
    </row>
    <row r="89" spans="1:6" x14ac:dyDescent="0.25">
      <c r="A89">
        <v>2013</v>
      </c>
      <c r="B89" t="s">
        <v>20</v>
      </c>
      <c r="C89" t="s">
        <v>189</v>
      </c>
      <c r="D89" t="s">
        <v>4434</v>
      </c>
      <c r="E89">
        <v>14.749000000000001</v>
      </c>
      <c r="F89" s="193">
        <v>143400</v>
      </c>
    </row>
    <row r="90" spans="1:6" x14ac:dyDescent="0.25">
      <c r="A90">
        <v>2013</v>
      </c>
      <c r="B90" t="s">
        <v>20</v>
      </c>
      <c r="C90" t="s">
        <v>185</v>
      </c>
      <c r="D90" t="s">
        <v>4432</v>
      </c>
      <c r="E90">
        <v>3.16</v>
      </c>
      <c r="F90" s="193">
        <v>274179.19</v>
      </c>
    </row>
    <row r="91" spans="1:6" x14ac:dyDescent="0.25">
      <c r="A91">
        <v>2013</v>
      </c>
      <c r="B91" t="s">
        <v>20</v>
      </c>
      <c r="C91" t="s">
        <v>176</v>
      </c>
      <c r="D91" t="s">
        <v>4451</v>
      </c>
      <c r="E91">
        <v>56.68</v>
      </c>
      <c r="F91" s="193">
        <v>1795600</v>
      </c>
    </row>
    <row r="92" spans="1:6" x14ac:dyDescent="0.25">
      <c r="A92">
        <v>2013</v>
      </c>
      <c r="B92" t="s">
        <v>20</v>
      </c>
      <c r="C92" t="s">
        <v>177</v>
      </c>
      <c r="D92" t="s">
        <v>4452</v>
      </c>
      <c r="E92">
        <v>30.65</v>
      </c>
      <c r="F92" s="193">
        <v>297870</v>
      </c>
    </row>
    <row r="93" spans="1:6" x14ac:dyDescent="0.25">
      <c r="A93">
        <v>2013</v>
      </c>
      <c r="B93" t="s">
        <v>144</v>
      </c>
      <c r="C93" t="s">
        <v>190</v>
      </c>
      <c r="D93" t="s">
        <v>4419</v>
      </c>
      <c r="E93">
        <v>1.8</v>
      </c>
      <c r="F93" s="193">
        <v>95775</v>
      </c>
    </row>
    <row r="94" spans="1:6" x14ac:dyDescent="0.25">
      <c r="A94">
        <v>2013</v>
      </c>
      <c r="B94" t="s">
        <v>144</v>
      </c>
      <c r="C94" t="s">
        <v>190</v>
      </c>
      <c r="D94" t="s">
        <v>4419</v>
      </c>
      <c r="E94">
        <v>0.62</v>
      </c>
      <c r="F94" s="193">
        <v>37812.5</v>
      </c>
    </row>
    <row r="95" spans="1:6" x14ac:dyDescent="0.25">
      <c r="A95">
        <v>2014</v>
      </c>
      <c r="B95" t="s">
        <v>107</v>
      </c>
      <c r="C95" t="s">
        <v>4424</v>
      </c>
      <c r="D95" t="s">
        <v>4397</v>
      </c>
      <c r="E95">
        <v>102.6</v>
      </c>
      <c r="F95" s="193">
        <v>361475</v>
      </c>
    </row>
    <row r="96" spans="1:6" x14ac:dyDescent="0.25">
      <c r="A96">
        <v>2014</v>
      </c>
      <c r="B96" t="s">
        <v>108</v>
      </c>
      <c r="C96" t="s">
        <v>154</v>
      </c>
      <c r="D96" t="s">
        <v>4425</v>
      </c>
      <c r="E96">
        <v>282</v>
      </c>
      <c r="F96" s="193">
        <v>337230</v>
      </c>
    </row>
    <row r="97" spans="1:6" x14ac:dyDescent="0.25">
      <c r="A97">
        <v>2014</v>
      </c>
      <c r="B97" t="s">
        <v>22</v>
      </c>
      <c r="C97" t="s">
        <v>155</v>
      </c>
      <c r="D97" t="s">
        <v>4399</v>
      </c>
      <c r="E97">
        <v>42.5</v>
      </c>
      <c r="F97" s="193">
        <v>116492.25</v>
      </c>
    </row>
    <row r="98" spans="1:6" x14ac:dyDescent="0.25">
      <c r="A98">
        <v>2014</v>
      </c>
      <c r="B98" t="s">
        <v>34</v>
      </c>
      <c r="C98" t="s">
        <v>166</v>
      </c>
      <c r="D98" t="s">
        <v>4405</v>
      </c>
      <c r="E98">
        <v>14.74</v>
      </c>
      <c r="F98" s="193">
        <v>41163.5</v>
      </c>
    </row>
    <row r="99" spans="1:6" x14ac:dyDescent="0.25">
      <c r="A99">
        <v>2014</v>
      </c>
      <c r="B99" t="s">
        <v>34</v>
      </c>
      <c r="C99" t="s">
        <v>4424</v>
      </c>
      <c r="D99" t="s">
        <v>4405</v>
      </c>
      <c r="E99">
        <v>5.43</v>
      </c>
      <c r="F99" s="193">
        <v>17213</v>
      </c>
    </row>
    <row r="100" spans="1:6" x14ac:dyDescent="0.25">
      <c r="A100">
        <v>2014</v>
      </c>
      <c r="B100" t="s">
        <v>64</v>
      </c>
      <c r="C100" t="s">
        <v>164</v>
      </c>
      <c r="D100" t="s">
        <v>4453</v>
      </c>
      <c r="E100">
        <v>16.7</v>
      </c>
      <c r="F100" s="193">
        <v>22300</v>
      </c>
    </row>
    <row r="101" spans="1:6" x14ac:dyDescent="0.25">
      <c r="A101">
        <v>2014</v>
      </c>
      <c r="B101" t="s">
        <v>129</v>
      </c>
      <c r="C101" t="s">
        <v>244</v>
      </c>
      <c r="D101" t="s">
        <v>4407</v>
      </c>
      <c r="E101">
        <v>4.1399999999999997</v>
      </c>
      <c r="F101" s="193">
        <v>1500000</v>
      </c>
    </row>
    <row r="102" spans="1:6" x14ac:dyDescent="0.25">
      <c r="A102">
        <v>2014</v>
      </c>
      <c r="B102" t="s">
        <v>129</v>
      </c>
      <c r="C102" t="s">
        <v>244</v>
      </c>
      <c r="D102" t="s">
        <v>4407</v>
      </c>
      <c r="E102">
        <v>3</v>
      </c>
      <c r="F102" s="193">
        <v>81752</v>
      </c>
    </row>
    <row r="103" spans="1:6" x14ac:dyDescent="0.25">
      <c r="A103">
        <v>2014</v>
      </c>
      <c r="B103" t="s">
        <v>129</v>
      </c>
      <c r="C103" t="s">
        <v>244</v>
      </c>
      <c r="D103" t="s">
        <v>4407</v>
      </c>
      <c r="E103">
        <v>0.98</v>
      </c>
      <c r="F103" s="193">
        <v>31162</v>
      </c>
    </row>
    <row r="104" spans="1:6" x14ac:dyDescent="0.25">
      <c r="A104">
        <v>2014</v>
      </c>
      <c r="B104" t="s">
        <v>129</v>
      </c>
      <c r="C104" t="s">
        <v>244</v>
      </c>
      <c r="D104" t="s">
        <v>4407</v>
      </c>
      <c r="E104">
        <v>0.63</v>
      </c>
      <c r="F104" s="193">
        <v>144813.75</v>
      </c>
    </row>
    <row r="105" spans="1:6" x14ac:dyDescent="0.25">
      <c r="A105">
        <v>2014</v>
      </c>
      <c r="B105" t="s">
        <v>129</v>
      </c>
      <c r="C105" t="s">
        <v>244</v>
      </c>
      <c r="D105" t="s">
        <v>4407</v>
      </c>
      <c r="E105">
        <v>10.5</v>
      </c>
      <c r="F105" s="193">
        <v>92352</v>
      </c>
    </row>
    <row r="106" spans="1:6" x14ac:dyDescent="0.25">
      <c r="A106">
        <v>2014</v>
      </c>
      <c r="B106" t="s">
        <v>14</v>
      </c>
      <c r="C106" t="s">
        <v>170</v>
      </c>
      <c r="D106" t="s">
        <v>4454</v>
      </c>
      <c r="E106">
        <v>32</v>
      </c>
      <c r="F106" s="193">
        <v>202472.21</v>
      </c>
    </row>
    <row r="107" spans="1:6" x14ac:dyDescent="0.25">
      <c r="A107">
        <v>2014</v>
      </c>
      <c r="B107" t="s">
        <v>20</v>
      </c>
      <c r="C107" t="s">
        <v>174</v>
      </c>
      <c r="D107" t="s">
        <v>4440</v>
      </c>
      <c r="E107">
        <v>2.81</v>
      </c>
      <c r="F107" s="193">
        <v>92676</v>
      </c>
    </row>
    <row r="108" spans="1:6" x14ac:dyDescent="0.25">
      <c r="A108">
        <v>2014</v>
      </c>
      <c r="B108" t="s">
        <v>20</v>
      </c>
      <c r="C108" t="s">
        <v>173</v>
      </c>
      <c r="D108" t="s">
        <v>4455</v>
      </c>
      <c r="E108">
        <v>10</v>
      </c>
      <c r="F108" s="193">
        <v>81985</v>
      </c>
    </row>
    <row r="109" spans="1:6" x14ac:dyDescent="0.25">
      <c r="A109">
        <v>2014</v>
      </c>
      <c r="B109" t="s">
        <v>20</v>
      </c>
      <c r="C109" t="s">
        <v>174</v>
      </c>
      <c r="D109" t="s">
        <v>4440</v>
      </c>
      <c r="E109">
        <v>3.67</v>
      </c>
      <c r="F109" s="193">
        <v>58595.81</v>
      </c>
    </row>
    <row r="110" spans="1:6" x14ac:dyDescent="0.25">
      <c r="A110">
        <v>2014</v>
      </c>
      <c r="B110" t="s">
        <v>20</v>
      </c>
      <c r="C110" t="s">
        <v>4413</v>
      </c>
      <c r="D110" t="s">
        <v>4447</v>
      </c>
      <c r="E110">
        <v>1.7609999999999999</v>
      </c>
      <c r="F110" s="193">
        <v>130000</v>
      </c>
    </row>
    <row r="111" spans="1:6" x14ac:dyDescent="0.25">
      <c r="A111">
        <v>2014</v>
      </c>
      <c r="B111" t="s">
        <v>20</v>
      </c>
      <c r="C111" t="s">
        <v>187</v>
      </c>
      <c r="D111" t="s">
        <v>4456</v>
      </c>
      <c r="E111">
        <v>10.5</v>
      </c>
      <c r="F111" s="193">
        <v>57225</v>
      </c>
    </row>
    <row r="112" spans="1:6" x14ac:dyDescent="0.25">
      <c r="A112">
        <v>2014</v>
      </c>
      <c r="B112" t="s">
        <v>20</v>
      </c>
      <c r="C112" t="s">
        <v>4431</v>
      </c>
      <c r="D112" t="s">
        <v>4432</v>
      </c>
      <c r="E112">
        <v>2.58</v>
      </c>
      <c r="F112" s="193">
        <v>230249</v>
      </c>
    </row>
    <row r="113" spans="1:6" x14ac:dyDescent="0.25">
      <c r="A113">
        <v>2014</v>
      </c>
      <c r="B113" t="s">
        <v>20</v>
      </c>
      <c r="C113" t="s">
        <v>183</v>
      </c>
      <c r="D113" t="s">
        <v>4457</v>
      </c>
      <c r="E113">
        <v>4.6100000000000003</v>
      </c>
      <c r="F113" s="193">
        <v>154391.5</v>
      </c>
    </row>
    <row r="114" spans="1:6" x14ac:dyDescent="0.25">
      <c r="A114">
        <v>2014</v>
      </c>
      <c r="B114" t="s">
        <v>20</v>
      </c>
      <c r="C114" t="s">
        <v>183</v>
      </c>
      <c r="D114" t="s">
        <v>4458</v>
      </c>
      <c r="E114">
        <v>10.525</v>
      </c>
      <c r="F114" s="193">
        <v>24931</v>
      </c>
    </row>
    <row r="115" spans="1:6" x14ac:dyDescent="0.25">
      <c r="A115">
        <v>2014</v>
      </c>
      <c r="B115" t="s">
        <v>144</v>
      </c>
      <c r="C115" t="s">
        <v>190</v>
      </c>
      <c r="D115" t="s">
        <v>4459</v>
      </c>
      <c r="E115">
        <v>12.97</v>
      </c>
      <c r="F115" s="193">
        <v>1329802</v>
      </c>
    </row>
    <row r="117" spans="1:6" x14ac:dyDescent="0.25">
      <c r="D117" t="s">
        <v>4390</v>
      </c>
      <c r="E117">
        <f>SUM(E2:E115)</f>
        <v>7623.6759999999977</v>
      </c>
      <c r="F117" s="193">
        <f>SUM(F2:F115)</f>
        <v>30080136.07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24"/>
  <sheetViews>
    <sheetView topLeftCell="C1" zoomScale="85" zoomScaleNormal="85" workbookViewId="0">
      <pane ySplit="1" topLeftCell="A53" activePane="bottomLeft" state="frozen"/>
      <selection pane="bottomLeft" activeCell="G1" sqref="G1"/>
    </sheetView>
  </sheetViews>
  <sheetFormatPr defaultRowHeight="15" x14ac:dyDescent="0.25"/>
  <cols>
    <col min="1" max="1" width="20.28515625" style="22" customWidth="1"/>
    <col min="2" max="4" width="9.140625" style="22"/>
    <col min="5" max="5" width="35.42578125" style="22" customWidth="1"/>
    <col min="6" max="6" width="9.140625" style="22"/>
    <col min="7" max="7" width="11.85546875" style="22" customWidth="1"/>
    <col min="8" max="8" width="13.85546875" style="22" customWidth="1"/>
    <col min="9" max="9" width="9.28515625" style="71" customWidth="1"/>
    <col min="10" max="10" width="12.5703125" style="22" customWidth="1"/>
    <col min="11" max="11" width="14.28515625" style="22" customWidth="1"/>
    <col min="12" max="13" width="9.140625" style="22" customWidth="1"/>
    <col min="14" max="14" width="6.85546875" style="22" customWidth="1"/>
    <col min="15" max="16" width="12.7109375" style="22" customWidth="1"/>
    <col min="17" max="17" width="20.5703125" style="22" customWidth="1"/>
    <col min="18" max="18" width="13.140625" style="22" customWidth="1"/>
    <col min="19" max="19" width="12.7109375" style="22" customWidth="1"/>
    <col min="20" max="20" width="12.140625" style="22" customWidth="1"/>
    <col min="21" max="21" width="11.5703125" style="22" customWidth="1"/>
    <col min="22" max="16384" width="9.140625" style="22"/>
  </cols>
  <sheetData>
    <row r="1" spans="1:21" s="34" customFormat="1" ht="47.25" customHeight="1" x14ac:dyDescent="0.25">
      <c r="A1" s="25" t="s">
        <v>4</v>
      </c>
      <c r="B1" s="25" t="s">
        <v>245</v>
      </c>
      <c r="C1" s="25" t="s">
        <v>246</v>
      </c>
      <c r="D1" s="25" t="s">
        <v>247</v>
      </c>
      <c r="E1" s="25" t="s">
        <v>248</v>
      </c>
      <c r="F1" s="25" t="s">
        <v>249</v>
      </c>
      <c r="G1" s="25" t="s">
        <v>49</v>
      </c>
      <c r="H1" s="25" t="s">
        <v>250</v>
      </c>
      <c r="I1" s="25" t="s">
        <v>146</v>
      </c>
      <c r="J1" s="26" t="s">
        <v>251</v>
      </c>
      <c r="K1" s="26" t="s">
        <v>252</v>
      </c>
      <c r="L1" s="27" t="s">
        <v>253</v>
      </c>
      <c r="M1" s="27" t="s">
        <v>254</v>
      </c>
      <c r="N1" s="26" t="s">
        <v>255</v>
      </c>
      <c r="O1" s="31" t="s">
        <v>256</v>
      </c>
      <c r="P1" s="31" t="s">
        <v>257</v>
      </c>
      <c r="Q1" s="25" t="s">
        <v>258</v>
      </c>
      <c r="R1" s="32" t="s">
        <v>259</v>
      </c>
      <c r="S1" s="33" t="s">
        <v>260</v>
      </c>
      <c r="T1" s="25" t="s">
        <v>261</v>
      </c>
    </row>
    <row r="2" spans="1:21" s="50" customFormat="1" ht="31.5" customHeight="1" x14ac:dyDescent="0.25">
      <c r="A2" s="35" t="str">
        <f t="shared" ref="A2:A33" si="0">D2&amp;"-FY"&amp;B2&amp;"-"&amp;C2</f>
        <v>FWS-FY2012-1</v>
      </c>
      <c r="B2" s="36">
        <v>2012</v>
      </c>
      <c r="C2" s="37">
        <v>1</v>
      </c>
      <c r="D2" s="36" t="s">
        <v>478</v>
      </c>
      <c r="E2" s="39" t="s">
        <v>581</v>
      </c>
      <c r="F2" s="36" t="s">
        <v>269</v>
      </c>
      <c r="G2" s="41" t="s">
        <v>582</v>
      </c>
      <c r="H2" s="90" t="s">
        <v>583</v>
      </c>
      <c r="I2" s="51" t="s">
        <v>584</v>
      </c>
      <c r="J2" s="53">
        <v>400000</v>
      </c>
      <c r="K2" s="43">
        <v>99000</v>
      </c>
      <c r="L2" s="44">
        <v>613</v>
      </c>
      <c r="M2" s="54">
        <v>151</v>
      </c>
      <c r="N2" s="65" t="s">
        <v>265</v>
      </c>
      <c r="O2" s="45">
        <v>152004</v>
      </c>
      <c r="P2" s="46" t="s">
        <v>266</v>
      </c>
      <c r="Q2" s="47" t="s">
        <v>585</v>
      </c>
      <c r="R2" s="48">
        <v>0</v>
      </c>
      <c r="S2" s="49">
        <v>0</v>
      </c>
      <c r="T2" s="39"/>
    </row>
    <row r="3" spans="1:21" s="51" customFormat="1" ht="30.75" customHeight="1" x14ac:dyDescent="0.25">
      <c r="A3" s="35" t="str">
        <f t="shared" si="0"/>
        <v>FWS-FY2012-5</v>
      </c>
      <c r="B3" s="36">
        <v>2012</v>
      </c>
      <c r="C3" s="37">
        <v>5</v>
      </c>
      <c r="D3" s="36" t="s">
        <v>478</v>
      </c>
      <c r="E3" s="39" t="s">
        <v>599</v>
      </c>
      <c r="F3" s="36" t="s">
        <v>269</v>
      </c>
      <c r="G3" s="41" t="s">
        <v>82</v>
      </c>
      <c r="H3" s="41" t="s">
        <v>491</v>
      </c>
      <c r="I3" s="51" t="s">
        <v>492</v>
      </c>
      <c r="J3" s="53">
        <v>4250000</v>
      </c>
      <c r="K3" s="43">
        <v>4143200</v>
      </c>
      <c r="L3" s="44">
        <v>1700</v>
      </c>
      <c r="M3" s="54">
        <v>1657</v>
      </c>
      <c r="N3" s="38" t="s">
        <v>265</v>
      </c>
      <c r="O3" s="45">
        <v>116957</v>
      </c>
      <c r="P3" s="46" t="s">
        <v>266</v>
      </c>
      <c r="Q3" s="47" t="s">
        <v>600</v>
      </c>
      <c r="R3" s="48">
        <v>5000</v>
      </c>
      <c r="S3" s="49">
        <v>300</v>
      </c>
      <c r="T3" s="39" t="s">
        <v>601</v>
      </c>
    </row>
    <row r="4" spans="1:21" s="34" customFormat="1" ht="34.5" customHeight="1" x14ac:dyDescent="0.25">
      <c r="A4" s="83" t="str">
        <f t="shared" si="0"/>
        <v>BLM-FY2013-1</v>
      </c>
      <c r="B4" s="30">
        <v>2013</v>
      </c>
      <c r="C4" s="72">
        <v>1</v>
      </c>
      <c r="D4" s="30" t="s">
        <v>393</v>
      </c>
      <c r="E4" s="73" t="s">
        <v>422</v>
      </c>
      <c r="F4" s="30" t="s">
        <v>269</v>
      </c>
      <c r="G4" s="74" t="s">
        <v>85</v>
      </c>
      <c r="H4" s="29" t="s">
        <v>423</v>
      </c>
      <c r="I4" s="74" t="s">
        <v>424</v>
      </c>
      <c r="J4" s="77">
        <v>1000000</v>
      </c>
      <c r="K4" s="86">
        <v>800000</v>
      </c>
      <c r="L4" s="78">
        <v>459</v>
      </c>
      <c r="M4" s="103">
        <v>459</v>
      </c>
      <c r="N4" s="80" t="s">
        <v>265</v>
      </c>
      <c r="O4" s="81">
        <v>6362</v>
      </c>
      <c r="P4" s="84" t="s">
        <v>266</v>
      </c>
      <c r="Q4" s="75" t="s">
        <v>425</v>
      </c>
      <c r="R4" s="76">
        <v>5000</v>
      </c>
      <c r="S4" s="69">
        <v>1000</v>
      </c>
      <c r="T4" s="73"/>
      <c r="U4" s="40"/>
    </row>
    <row r="5" spans="1:21" s="40" customFormat="1" ht="30" customHeight="1" x14ac:dyDescent="0.25">
      <c r="A5" s="35" t="str">
        <f t="shared" si="0"/>
        <v>NPS-FY2011-1</v>
      </c>
      <c r="B5" s="36">
        <v>2011</v>
      </c>
      <c r="C5" s="37">
        <v>1</v>
      </c>
      <c r="D5" s="36" t="s">
        <v>262</v>
      </c>
      <c r="E5" s="39" t="s">
        <v>318</v>
      </c>
      <c r="F5" s="36" t="s">
        <v>269</v>
      </c>
      <c r="G5" s="41" t="s">
        <v>85</v>
      </c>
      <c r="H5" s="41" t="s">
        <v>319</v>
      </c>
      <c r="I5" s="42" t="s">
        <v>320</v>
      </c>
      <c r="J5" s="53">
        <v>7540000</v>
      </c>
      <c r="K5" s="43">
        <v>5100000</v>
      </c>
      <c r="L5" s="44">
        <v>35960</v>
      </c>
      <c r="M5" s="52">
        <v>24000</v>
      </c>
      <c r="N5" s="65" t="s">
        <v>265</v>
      </c>
      <c r="O5" s="45">
        <v>12205</v>
      </c>
      <c r="P5" s="46" t="s">
        <v>266</v>
      </c>
      <c r="Q5" s="47" t="s">
        <v>349</v>
      </c>
      <c r="R5" s="48" t="s">
        <v>273</v>
      </c>
      <c r="S5" s="48" t="s">
        <v>273</v>
      </c>
      <c r="T5" s="39"/>
    </row>
    <row r="6" spans="1:21" s="40" customFormat="1" ht="30" customHeight="1" x14ac:dyDescent="0.25">
      <c r="A6" s="35" t="str">
        <f t="shared" si="0"/>
        <v>NPS-FY2013-4</v>
      </c>
      <c r="B6" s="36">
        <v>2013</v>
      </c>
      <c r="C6" s="37">
        <v>4</v>
      </c>
      <c r="D6" s="36" t="s">
        <v>262</v>
      </c>
      <c r="E6" s="39" t="s">
        <v>318</v>
      </c>
      <c r="F6" s="36" t="s">
        <v>269</v>
      </c>
      <c r="G6" s="41" t="s">
        <v>85</v>
      </c>
      <c r="H6" s="37" t="s">
        <v>319</v>
      </c>
      <c r="I6" s="42" t="s">
        <v>320</v>
      </c>
      <c r="J6" s="53">
        <v>5000000</v>
      </c>
      <c r="K6" s="43">
        <v>5000000</v>
      </c>
      <c r="L6" s="44">
        <v>26495</v>
      </c>
      <c r="M6" s="52">
        <v>26495</v>
      </c>
      <c r="N6" s="64" t="s">
        <v>265</v>
      </c>
      <c r="O6" s="45">
        <v>21670</v>
      </c>
      <c r="P6" s="46" t="s">
        <v>266</v>
      </c>
      <c r="Q6" s="47" t="s">
        <v>321</v>
      </c>
      <c r="R6" s="48">
        <v>315000</v>
      </c>
      <c r="S6" s="49" t="s">
        <v>273</v>
      </c>
      <c r="T6" s="39" t="s">
        <v>322</v>
      </c>
    </row>
    <row r="7" spans="1:21" s="40" customFormat="1" ht="30" customHeight="1" x14ac:dyDescent="0.25">
      <c r="A7" s="83" t="str">
        <f t="shared" si="0"/>
        <v>BLM-FY2011-1</v>
      </c>
      <c r="B7" s="30">
        <v>2011</v>
      </c>
      <c r="C7" s="72">
        <v>1</v>
      </c>
      <c r="D7" s="30" t="s">
        <v>393</v>
      </c>
      <c r="E7" s="73" t="s">
        <v>394</v>
      </c>
      <c r="F7" s="30" t="s">
        <v>269</v>
      </c>
      <c r="G7" s="74" t="s">
        <v>26</v>
      </c>
      <c r="H7" s="74" t="s">
        <v>458</v>
      </c>
      <c r="I7" s="74" t="s">
        <v>420</v>
      </c>
      <c r="J7" s="77">
        <v>500000</v>
      </c>
      <c r="K7" s="86">
        <v>500000</v>
      </c>
      <c r="L7" s="78">
        <v>160</v>
      </c>
      <c r="M7" s="103">
        <v>160</v>
      </c>
      <c r="N7" s="80" t="s">
        <v>265</v>
      </c>
      <c r="O7" s="81">
        <v>24080</v>
      </c>
      <c r="P7" s="84" t="s">
        <v>266</v>
      </c>
      <c r="Q7" s="75" t="s">
        <v>459</v>
      </c>
      <c r="R7" s="76">
        <v>10000</v>
      </c>
      <c r="S7" s="69">
        <v>1000</v>
      </c>
      <c r="T7" s="73"/>
    </row>
    <row r="8" spans="1:21" s="40" customFormat="1" ht="30" customHeight="1" x14ac:dyDescent="0.25">
      <c r="A8" s="83" t="str">
        <f t="shared" si="0"/>
        <v>BLM-FY2011-6</v>
      </c>
      <c r="B8" s="30">
        <v>2011</v>
      </c>
      <c r="C8" s="72">
        <v>6</v>
      </c>
      <c r="D8" s="30" t="s">
        <v>393</v>
      </c>
      <c r="E8" s="73" t="s">
        <v>426</v>
      </c>
      <c r="F8" s="30" t="s">
        <v>269</v>
      </c>
      <c r="G8" s="74" t="s">
        <v>26</v>
      </c>
      <c r="H8" s="74" t="s">
        <v>427</v>
      </c>
      <c r="I8" s="74" t="s">
        <v>428</v>
      </c>
      <c r="J8" s="77">
        <v>2200000</v>
      </c>
      <c r="K8" s="86">
        <v>1300000</v>
      </c>
      <c r="L8" s="78">
        <v>2853</v>
      </c>
      <c r="M8" s="103">
        <v>1680</v>
      </c>
      <c r="N8" s="80" t="s">
        <v>265</v>
      </c>
      <c r="O8" s="81">
        <v>26000</v>
      </c>
      <c r="P8" s="84" t="s">
        <v>266</v>
      </c>
      <c r="Q8" s="75" t="s">
        <v>469</v>
      </c>
      <c r="R8" s="76">
        <v>5000</v>
      </c>
      <c r="S8" s="69">
        <v>1000</v>
      </c>
      <c r="T8" s="73"/>
    </row>
    <row r="9" spans="1:21" s="40" customFormat="1" ht="30" customHeight="1" x14ac:dyDescent="0.25">
      <c r="A9" s="30" t="str">
        <f t="shared" si="0"/>
        <v>BLM-FY2011-8</v>
      </c>
      <c r="B9" s="30">
        <v>2011</v>
      </c>
      <c r="C9" s="72">
        <v>8</v>
      </c>
      <c r="D9" s="30" t="s">
        <v>393</v>
      </c>
      <c r="E9" s="73" t="s">
        <v>416</v>
      </c>
      <c r="F9" s="30" t="s">
        <v>269</v>
      </c>
      <c r="G9" s="74" t="s">
        <v>26</v>
      </c>
      <c r="H9" s="74" t="s">
        <v>413</v>
      </c>
      <c r="I9" s="74" t="s">
        <v>414</v>
      </c>
      <c r="J9" s="77">
        <v>1800000</v>
      </c>
      <c r="K9" s="86">
        <v>1800000</v>
      </c>
      <c r="L9" s="78">
        <v>595</v>
      </c>
      <c r="M9" s="78">
        <v>595</v>
      </c>
      <c r="N9" s="80" t="s">
        <v>265</v>
      </c>
      <c r="O9" s="81">
        <v>325000</v>
      </c>
      <c r="P9" s="84" t="s">
        <v>266</v>
      </c>
      <c r="Q9" s="75" t="s">
        <v>471</v>
      </c>
      <c r="R9" s="76">
        <v>5000</v>
      </c>
      <c r="S9" s="69">
        <v>1000</v>
      </c>
      <c r="T9" s="73"/>
    </row>
    <row r="10" spans="1:21" s="40" customFormat="1" ht="30" customHeight="1" x14ac:dyDescent="0.25">
      <c r="A10" s="83" t="str">
        <f t="shared" si="0"/>
        <v>BLM-FY2012-2</v>
      </c>
      <c r="B10" s="30">
        <v>2012</v>
      </c>
      <c r="C10" s="72">
        <v>2</v>
      </c>
      <c r="D10" s="30" t="s">
        <v>393</v>
      </c>
      <c r="E10" s="73" t="s">
        <v>445</v>
      </c>
      <c r="F10" s="30" t="s">
        <v>269</v>
      </c>
      <c r="G10" s="74" t="s">
        <v>26</v>
      </c>
      <c r="H10" s="74" t="s">
        <v>396</v>
      </c>
      <c r="I10" s="29" t="s">
        <v>420</v>
      </c>
      <c r="J10" s="77">
        <v>1200000</v>
      </c>
      <c r="K10" s="86">
        <v>1198080</v>
      </c>
      <c r="L10" s="78">
        <v>160</v>
      </c>
      <c r="M10" s="103">
        <v>160</v>
      </c>
      <c r="N10" s="80" t="s">
        <v>265</v>
      </c>
      <c r="O10" s="81">
        <v>24000</v>
      </c>
      <c r="P10" s="84" t="s">
        <v>266</v>
      </c>
      <c r="Q10" s="75" t="s">
        <v>446</v>
      </c>
      <c r="R10" s="76">
        <v>5000</v>
      </c>
      <c r="S10" s="69">
        <v>1000</v>
      </c>
      <c r="T10" s="75"/>
    </row>
    <row r="11" spans="1:21" s="40" customFormat="1" ht="30" customHeight="1" x14ac:dyDescent="0.25">
      <c r="A11" s="83" t="str">
        <f t="shared" si="0"/>
        <v>BLM-FY2012-4</v>
      </c>
      <c r="B11" s="30">
        <v>2012</v>
      </c>
      <c r="C11" s="72">
        <v>4</v>
      </c>
      <c r="D11" s="30" t="s">
        <v>393</v>
      </c>
      <c r="E11" s="73" t="s">
        <v>450</v>
      </c>
      <c r="F11" s="30" t="s">
        <v>269</v>
      </c>
      <c r="G11" s="74" t="s">
        <v>26</v>
      </c>
      <c r="H11" s="29" t="s">
        <v>270</v>
      </c>
      <c r="I11" s="74" t="s">
        <v>451</v>
      </c>
      <c r="J11" s="77">
        <v>500000</v>
      </c>
      <c r="K11" s="86">
        <v>1798000</v>
      </c>
      <c r="L11" s="78">
        <v>8</v>
      </c>
      <c r="M11" s="103">
        <v>28</v>
      </c>
      <c r="N11" s="80" t="s">
        <v>265</v>
      </c>
      <c r="O11" s="81">
        <v>2000</v>
      </c>
      <c r="P11" s="84" t="s">
        <v>266</v>
      </c>
      <c r="Q11" s="75" t="s">
        <v>452</v>
      </c>
      <c r="R11" s="76">
        <v>10000</v>
      </c>
      <c r="S11" s="69">
        <v>5000</v>
      </c>
      <c r="T11" s="73"/>
    </row>
    <row r="12" spans="1:21" s="40" customFormat="1" ht="30" customHeight="1" x14ac:dyDescent="0.25">
      <c r="A12" s="30" t="str">
        <f t="shared" si="0"/>
        <v>BLM-FY2012-6</v>
      </c>
      <c r="B12" s="30">
        <v>2012</v>
      </c>
      <c r="C12" s="72">
        <v>6</v>
      </c>
      <c r="D12" s="30" t="s">
        <v>393</v>
      </c>
      <c r="E12" s="73" t="s">
        <v>455</v>
      </c>
      <c r="F12" s="30" t="s">
        <v>269</v>
      </c>
      <c r="G12" s="74" t="s">
        <v>26</v>
      </c>
      <c r="H12" s="29" t="s">
        <v>270</v>
      </c>
      <c r="I12" s="74" t="s">
        <v>456</v>
      </c>
      <c r="J12" s="77">
        <v>1000000</v>
      </c>
      <c r="K12" s="85">
        <v>500000</v>
      </c>
      <c r="L12" s="78">
        <v>500</v>
      </c>
      <c r="M12" s="78">
        <v>250</v>
      </c>
      <c r="N12" s="80" t="s">
        <v>265</v>
      </c>
      <c r="O12" s="81">
        <v>5500</v>
      </c>
      <c r="P12" s="84" t="s">
        <v>266</v>
      </c>
      <c r="Q12" s="75" t="s">
        <v>457</v>
      </c>
      <c r="R12" s="76">
        <v>15000</v>
      </c>
      <c r="S12" s="69">
        <v>5000</v>
      </c>
      <c r="T12" s="73"/>
    </row>
    <row r="13" spans="1:21" s="40" customFormat="1" ht="30" customHeight="1" x14ac:dyDescent="0.25">
      <c r="A13" s="83" t="str">
        <f t="shared" si="0"/>
        <v>BLM-FY2013-2</v>
      </c>
      <c r="B13" s="30">
        <v>2013</v>
      </c>
      <c r="C13" s="72">
        <v>2</v>
      </c>
      <c r="D13" s="30" t="s">
        <v>393</v>
      </c>
      <c r="E13" s="73" t="s">
        <v>426</v>
      </c>
      <c r="F13" s="30" t="s">
        <v>269</v>
      </c>
      <c r="G13" s="74" t="s">
        <v>26</v>
      </c>
      <c r="H13" s="29" t="s">
        <v>427</v>
      </c>
      <c r="I13" s="29" t="s">
        <v>428</v>
      </c>
      <c r="J13" s="77">
        <v>1200000</v>
      </c>
      <c r="K13" s="86">
        <v>408000</v>
      </c>
      <c r="L13" s="78">
        <v>1200</v>
      </c>
      <c r="M13" s="103">
        <v>408</v>
      </c>
      <c r="N13" s="80" t="s">
        <v>265</v>
      </c>
      <c r="O13" s="81">
        <v>22800</v>
      </c>
      <c r="P13" s="84" t="s">
        <v>266</v>
      </c>
      <c r="Q13" s="75" t="s">
        <v>429</v>
      </c>
      <c r="R13" s="76">
        <v>5000</v>
      </c>
      <c r="S13" s="69">
        <v>1000</v>
      </c>
      <c r="T13" s="73"/>
    </row>
    <row r="14" spans="1:21" s="40" customFormat="1" ht="30" customHeight="1" x14ac:dyDescent="0.25">
      <c r="A14" s="83" t="str">
        <f t="shared" si="0"/>
        <v>BLM-FY2013-5</v>
      </c>
      <c r="B14" s="30">
        <v>2013</v>
      </c>
      <c r="C14" s="72">
        <v>5</v>
      </c>
      <c r="D14" s="30" t="s">
        <v>393</v>
      </c>
      <c r="E14" s="73" t="s">
        <v>416</v>
      </c>
      <c r="F14" s="30" t="s">
        <v>269</v>
      </c>
      <c r="G14" s="74" t="s">
        <v>26</v>
      </c>
      <c r="H14" s="29" t="s">
        <v>435</v>
      </c>
      <c r="I14" s="29" t="s">
        <v>436</v>
      </c>
      <c r="J14" s="77">
        <v>3068000</v>
      </c>
      <c r="K14" s="86">
        <v>500000</v>
      </c>
      <c r="L14" s="78">
        <v>3800</v>
      </c>
      <c r="M14" s="103">
        <v>620</v>
      </c>
      <c r="N14" s="80" t="s">
        <v>265</v>
      </c>
      <c r="O14" s="81">
        <v>326472</v>
      </c>
      <c r="P14" s="84" t="s">
        <v>266</v>
      </c>
      <c r="Q14" s="75" t="s">
        <v>437</v>
      </c>
      <c r="R14" s="76">
        <v>10000</v>
      </c>
      <c r="S14" s="69">
        <v>35000</v>
      </c>
      <c r="T14" s="73"/>
    </row>
    <row r="15" spans="1:21" s="40" customFormat="1" ht="30" customHeight="1" x14ac:dyDescent="0.25">
      <c r="A15" s="30" t="str">
        <f t="shared" si="0"/>
        <v>BLM-FY2013-6</v>
      </c>
      <c r="B15" s="30">
        <v>2013</v>
      </c>
      <c r="C15" s="72">
        <v>6</v>
      </c>
      <c r="D15" s="30" t="s">
        <v>393</v>
      </c>
      <c r="E15" s="73" t="s">
        <v>412</v>
      </c>
      <c r="F15" s="30" t="s">
        <v>269</v>
      </c>
      <c r="G15" s="74" t="s">
        <v>26</v>
      </c>
      <c r="H15" s="29" t="s">
        <v>413</v>
      </c>
      <c r="I15" s="29" t="s">
        <v>438</v>
      </c>
      <c r="J15" s="77">
        <v>4500000</v>
      </c>
      <c r="K15" s="86">
        <v>4500000</v>
      </c>
      <c r="L15" s="78">
        <v>407</v>
      </c>
      <c r="M15" s="79">
        <v>407</v>
      </c>
      <c r="N15" s="80" t="s">
        <v>265</v>
      </c>
      <c r="O15" s="81">
        <v>20</v>
      </c>
      <c r="P15" s="84" t="s">
        <v>361</v>
      </c>
      <c r="Q15" s="75" t="s">
        <v>439</v>
      </c>
      <c r="R15" s="76">
        <v>15000</v>
      </c>
      <c r="S15" s="69">
        <v>15000</v>
      </c>
      <c r="T15" s="73" t="s">
        <v>440</v>
      </c>
      <c r="U15" s="51"/>
    </row>
    <row r="16" spans="1:21" s="51" customFormat="1" ht="30.75" customHeight="1" x14ac:dyDescent="0.25">
      <c r="A16" s="30" t="str">
        <f t="shared" si="0"/>
        <v>BLM-FY2014-3</v>
      </c>
      <c r="B16" s="30">
        <v>2014</v>
      </c>
      <c r="C16" s="72">
        <v>3</v>
      </c>
      <c r="D16" s="30" t="s">
        <v>393</v>
      </c>
      <c r="E16" s="73" t="s">
        <v>412</v>
      </c>
      <c r="F16" s="30" t="s">
        <v>269</v>
      </c>
      <c r="G16" s="74" t="s">
        <v>26</v>
      </c>
      <c r="H16" s="74" t="s">
        <v>413</v>
      </c>
      <c r="I16" s="74" t="s">
        <v>414</v>
      </c>
      <c r="J16" s="77">
        <v>2000000</v>
      </c>
      <c r="K16" s="86">
        <v>2000000</v>
      </c>
      <c r="L16" s="78">
        <v>23</v>
      </c>
      <c r="M16" s="103">
        <v>23</v>
      </c>
      <c r="N16" s="80" t="s">
        <v>265</v>
      </c>
      <c r="O16" s="81">
        <v>0</v>
      </c>
      <c r="P16" s="84" t="s">
        <v>266</v>
      </c>
      <c r="Q16" s="75" t="s">
        <v>415</v>
      </c>
      <c r="R16" s="76">
        <v>35000</v>
      </c>
      <c r="S16" s="82">
        <v>15000</v>
      </c>
      <c r="T16" s="73"/>
      <c r="U16" s="40"/>
    </row>
    <row r="17" spans="1:20" s="40" customFormat="1" ht="30" customHeight="1" x14ac:dyDescent="0.25">
      <c r="A17" s="83" t="str">
        <f t="shared" si="0"/>
        <v>BLM-FY2014-4</v>
      </c>
      <c r="B17" s="30">
        <v>2014</v>
      </c>
      <c r="C17" s="72">
        <v>4</v>
      </c>
      <c r="D17" s="30" t="s">
        <v>393</v>
      </c>
      <c r="E17" s="73" t="s">
        <v>416</v>
      </c>
      <c r="F17" s="30" t="s">
        <v>263</v>
      </c>
      <c r="G17" s="74" t="s">
        <v>26</v>
      </c>
      <c r="H17" s="74" t="s">
        <v>417</v>
      </c>
      <c r="I17" s="74" t="s">
        <v>418</v>
      </c>
      <c r="J17" s="77">
        <v>6701600</v>
      </c>
      <c r="K17" s="86">
        <v>6702000</v>
      </c>
      <c r="L17" s="78">
        <v>12235</v>
      </c>
      <c r="M17" s="103">
        <v>12235</v>
      </c>
      <c r="N17" s="80" t="s">
        <v>265</v>
      </c>
      <c r="O17" s="81">
        <v>193618</v>
      </c>
      <c r="P17" s="84" t="s">
        <v>266</v>
      </c>
      <c r="Q17" s="75" t="s">
        <v>419</v>
      </c>
      <c r="R17" s="76">
        <v>20000</v>
      </c>
      <c r="S17" s="82">
        <v>10000</v>
      </c>
      <c r="T17" s="73"/>
    </row>
    <row r="18" spans="1:20" s="40" customFormat="1" ht="30" customHeight="1" x14ac:dyDescent="0.25">
      <c r="A18" s="83" t="str">
        <f t="shared" si="0"/>
        <v>BLM-FY2014-5</v>
      </c>
      <c r="B18" s="30">
        <v>2014</v>
      </c>
      <c r="C18" s="72">
        <v>5</v>
      </c>
      <c r="D18" s="30" t="s">
        <v>393</v>
      </c>
      <c r="E18" s="73" t="s">
        <v>394</v>
      </c>
      <c r="F18" s="30" t="s">
        <v>263</v>
      </c>
      <c r="G18" s="74" t="s">
        <v>26</v>
      </c>
      <c r="H18" s="74" t="s">
        <v>396</v>
      </c>
      <c r="I18" s="74" t="s">
        <v>420</v>
      </c>
      <c r="J18" s="77">
        <v>5948000</v>
      </c>
      <c r="K18" s="86">
        <v>1124000</v>
      </c>
      <c r="L18" s="78">
        <v>3261</v>
      </c>
      <c r="M18" s="103">
        <v>1040</v>
      </c>
      <c r="N18" s="80" t="s">
        <v>265</v>
      </c>
      <c r="O18" s="81">
        <v>22054</v>
      </c>
      <c r="P18" s="84" t="s">
        <v>266</v>
      </c>
      <c r="Q18" s="75" t="s">
        <v>421</v>
      </c>
      <c r="R18" s="76">
        <v>20000</v>
      </c>
      <c r="S18" s="82">
        <v>10000</v>
      </c>
      <c r="T18" s="73"/>
    </row>
    <row r="19" spans="1:20" s="40" customFormat="1" ht="30" customHeight="1" x14ac:dyDescent="0.25">
      <c r="A19" s="66" t="str">
        <f t="shared" si="0"/>
        <v>FWS-FY2011-9</v>
      </c>
      <c r="B19" s="56">
        <v>2011</v>
      </c>
      <c r="C19" s="67">
        <v>9</v>
      </c>
      <c r="D19" s="36" t="s">
        <v>478</v>
      </c>
      <c r="E19" s="96" t="s">
        <v>625</v>
      </c>
      <c r="F19" s="36" t="s">
        <v>269</v>
      </c>
      <c r="G19" s="41" t="s">
        <v>26</v>
      </c>
      <c r="H19" s="41" t="s">
        <v>541</v>
      </c>
      <c r="I19" s="41" t="s">
        <v>542</v>
      </c>
      <c r="J19" s="68">
        <v>2500000</v>
      </c>
      <c r="K19" s="60">
        <v>2000000</v>
      </c>
      <c r="L19" s="70">
        <v>208</v>
      </c>
      <c r="M19" s="102">
        <v>166</v>
      </c>
      <c r="N19" s="91" t="s">
        <v>275</v>
      </c>
      <c r="O19" s="62">
        <v>3258</v>
      </c>
      <c r="P19" s="46" t="s">
        <v>266</v>
      </c>
      <c r="Q19" s="47" t="s">
        <v>658</v>
      </c>
      <c r="R19" s="48">
        <v>0</v>
      </c>
      <c r="S19" s="49">
        <v>0</v>
      </c>
      <c r="T19" s="57"/>
    </row>
    <row r="20" spans="1:20" s="40" customFormat="1" ht="30" customHeight="1" x14ac:dyDescent="0.25">
      <c r="A20" s="66" t="str">
        <f t="shared" si="0"/>
        <v>FWS-FY2011-12</v>
      </c>
      <c r="B20" s="56">
        <v>2011</v>
      </c>
      <c r="C20" s="67">
        <v>12</v>
      </c>
      <c r="D20" s="36" t="s">
        <v>478</v>
      </c>
      <c r="E20" s="96" t="s">
        <v>554</v>
      </c>
      <c r="F20" s="36" t="s">
        <v>269</v>
      </c>
      <c r="G20" s="41" t="s">
        <v>26</v>
      </c>
      <c r="H20" s="41" t="s">
        <v>541</v>
      </c>
      <c r="I20" s="41" t="s">
        <v>555</v>
      </c>
      <c r="J20" s="68">
        <v>4000000</v>
      </c>
      <c r="K20" s="60">
        <v>1369000</v>
      </c>
      <c r="L20" s="196">
        <v>1648</v>
      </c>
      <c r="M20" s="102">
        <v>564</v>
      </c>
      <c r="N20" s="91" t="s">
        <v>265</v>
      </c>
      <c r="O20" s="62">
        <v>40568</v>
      </c>
      <c r="P20" s="46" t="s">
        <v>266</v>
      </c>
      <c r="Q20" s="47" t="s">
        <v>666</v>
      </c>
      <c r="R20" s="48">
        <v>0</v>
      </c>
      <c r="S20" s="49">
        <v>0</v>
      </c>
      <c r="T20" s="57"/>
    </row>
    <row r="21" spans="1:20" s="40" customFormat="1" ht="30" customHeight="1" x14ac:dyDescent="0.25">
      <c r="A21" s="66" t="str">
        <f t="shared" si="0"/>
        <v>FWS-FY2011-15</v>
      </c>
      <c r="B21" s="56">
        <v>2011</v>
      </c>
      <c r="C21" s="67">
        <v>15</v>
      </c>
      <c r="D21" s="36" t="s">
        <v>478</v>
      </c>
      <c r="E21" s="96" t="s">
        <v>479</v>
      </c>
      <c r="F21" s="36" t="s">
        <v>269</v>
      </c>
      <c r="G21" s="41" t="s">
        <v>26</v>
      </c>
      <c r="H21" s="41" t="s">
        <v>480</v>
      </c>
      <c r="I21" s="41" t="s">
        <v>481</v>
      </c>
      <c r="J21" s="68">
        <v>1500000</v>
      </c>
      <c r="K21" s="60">
        <v>385000</v>
      </c>
      <c r="L21" s="196">
        <v>80</v>
      </c>
      <c r="M21" s="102">
        <v>20</v>
      </c>
      <c r="N21" s="91" t="s">
        <v>265</v>
      </c>
      <c r="O21" s="62">
        <v>29234</v>
      </c>
      <c r="P21" s="46" t="s">
        <v>266</v>
      </c>
      <c r="Q21" s="47" t="s">
        <v>673</v>
      </c>
      <c r="R21" s="48">
        <v>197500</v>
      </c>
      <c r="S21" s="63">
        <v>0</v>
      </c>
      <c r="T21" s="39" t="s">
        <v>674</v>
      </c>
    </row>
    <row r="22" spans="1:20" s="40" customFormat="1" ht="30" customHeight="1" x14ac:dyDescent="0.25">
      <c r="A22" s="35" t="str">
        <f t="shared" si="0"/>
        <v>FWS-FY2012-12</v>
      </c>
      <c r="B22" s="36">
        <v>2012</v>
      </c>
      <c r="C22" s="37">
        <v>12</v>
      </c>
      <c r="D22" s="36" t="s">
        <v>478</v>
      </c>
      <c r="E22" s="39" t="s">
        <v>625</v>
      </c>
      <c r="F22" s="36" t="s">
        <v>269</v>
      </c>
      <c r="G22" s="41" t="s">
        <v>26</v>
      </c>
      <c r="H22" s="41" t="s">
        <v>541</v>
      </c>
      <c r="I22" s="51" t="s">
        <v>542</v>
      </c>
      <c r="J22" s="53">
        <v>4000000</v>
      </c>
      <c r="K22" s="43">
        <v>2994000</v>
      </c>
      <c r="L22" s="44">
        <v>482</v>
      </c>
      <c r="M22" s="52">
        <v>360</v>
      </c>
      <c r="N22" s="65" t="s">
        <v>275</v>
      </c>
      <c r="O22" s="45">
        <v>2722</v>
      </c>
      <c r="P22" s="46" t="s">
        <v>266</v>
      </c>
      <c r="Q22" s="47" t="s">
        <v>626</v>
      </c>
      <c r="R22" s="48">
        <v>0</v>
      </c>
      <c r="S22" s="49">
        <v>0</v>
      </c>
      <c r="T22" s="39"/>
    </row>
    <row r="23" spans="1:20" s="40" customFormat="1" ht="30" customHeight="1" x14ac:dyDescent="0.25">
      <c r="A23" s="35" t="str">
        <f t="shared" si="0"/>
        <v>FWS-FY2012-13</v>
      </c>
      <c r="B23" s="36">
        <v>2012</v>
      </c>
      <c r="C23" s="37">
        <v>13</v>
      </c>
      <c r="D23" s="36" t="s">
        <v>478</v>
      </c>
      <c r="E23" s="39" t="s">
        <v>554</v>
      </c>
      <c r="F23" s="36" t="s">
        <v>269</v>
      </c>
      <c r="G23" s="41" t="s">
        <v>26</v>
      </c>
      <c r="H23" s="41" t="s">
        <v>541</v>
      </c>
      <c r="I23" s="51" t="s">
        <v>555</v>
      </c>
      <c r="J23" s="53">
        <v>3040000</v>
      </c>
      <c r="K23" s="43">
        <v>1000000</v>
      </c>
      <c r="L23" s="44">
        <v>1415</v>
      </c>
      <c r="M23" s="52">
        <v>473</v>
      </c>
      <c r="N23" s="65" t="s">
        <v>275</v>
      </c>
      <c r="O23" s="45">
        <v>38399</v>
      </c>
      <c r="P23" s="46" t="s">
        <v>266</v>
      </c>
      <c r="Q23" s="47" t="s">
        <v>627</v>
      </c>
      <c r="R23" s="48">
        <v>0</v>
      </c>
      <c r="S23" s="49">
        <v>0</v>
      </c>
      <c r="T23" s="39"/>
    </row>
    <row r="24" spans="1:20" s="40" customFormat="1" ht="30" customHeight="1" x14ac:dyDescent="0.25">
      <c r="A24" s="35" t="str">
        <f t="shared" si="0"/>
        <v>FWS-FY2013-8</v>
      </c>
      <c r="B24" s="36">
        <v>2013</v>
      </c>
      <c r="C24" s="37">
        <v>8</v>
      </c>
      <c r="D24" s="36" t="s">
        <v>478</v>
      </c>
      <c r="E24" s="39" t="s">
        <v>540</v>
      </c>
      <c r="F24" s="36" t="s">
        <v>269</v>
      </c>
      <c r="G24" s="41" t="s">
        <v>26</v>
      </c>
      <c r="H24" s="90" t="s">
        <v>541</v>
      </c>
      <c r="I24" s="51" t="s">
        <v>542</v>
      </c>
      <c r="J24" s="53">
        <v>1000000</v>
      </c>
      <c r="K24" s="43">
        <v>1000000</v>
      </c>
      <c r="L24" s="44">
        <v>167</v>
      </c>
      <c r="M24" s="52">
        <v>167</v>
      </c>
      <c r="N24" s="65" t="s">
        <v>275</v>
      </c>
      <c r="O24" s="45">
        <v>2780</v>
      </c>
      <c r="P24" s="46" t="s">
        <v>266</v>
      </c>
      <c r="Q24" s="47" t="s">
        <v>543</v>
      </c>
      <c r="R24" s="48">
        <v>0</v>
      </c>
      <c r="S24" s="49">
        <v>0</v>
      </c>
      <c r="T24" s="39"/>
    </row>
    <row r="25" spans="1:20" s="40" customFormat="1" ht="30" customHeight="1" x14ac:dyDescent="0.25">
      <c r="A25" s="35" t="str">
        <f t="shared" si="0"/>
        <v>FWS-FY2013-11</v>
      </c>
      <c r="B25" s="36">
        <v>2013</v>
      </c>
      <c r="C25" s="37">
        <v>11</v>
      </c>
      <c r="D25" s="36" t="s">
        <v>478</v>
      </c>
      <c r="E25" s="39" t="s">
        <v>554</v>
      </c>
      <c r="F25" s="36" t="s">
        <v>269</v>
      </c>
      <c r="G25" s="41" t="s">
        <v>26</v>
      </c>
      <c r="H25" s="90" t="s">
        <v>541</v>
      </c>
      <c r="I25" s="51" t="s">
        <v>555</v>
      </c>
      <c r="J25" s="53">
        <v>1000000</v>
      </c>
      <c r="K25" s="43">
        <v>1000000</v>
      </c>
      <c r="L25" s="44">
        <v>247</v>
      </c>
      <c r="M25" s="61">
        <v>247</v>
      </c>
      <c r="N25" s="65" t="s">
        <v>275</v>
      </c>
      <c r="O25" s="45">
        <v>39637</v>
      </c>
      <c r="P25" s="46" t="s">
        <v>266</v>
      </c>
      <c r="Q25" s="47" t="s">
        <v>556</v>
      </c>
      <c r="R25" s="48">
        <v>0</v>
      </c>
      <c r="S25" s="49">
        <v>0</v>
      </c>
      <c r="T25" s="39"/>
    </row>
    <row r="26" spans="1:20" s="40" customFormat="1" ht="30" customHeight="1" x14ac:dyDescent="0.25">
      <c r="A26" s="36" t="str">
        <f t="shared" si="0"/>
        <v>NPS-FY2011-2</v>
      </c>
      <c r="B26" s="36">
        <v>2011</v>
      </c>
      <c r="C26" s="37">
        <v>2</v>
      </c>
      <c r="D26" s="36" t="s">
        <v>262</v>
      </c>
      <c r="E26" s="39" t="s">
        <v>350</v>
      </c>
      <c r="F26" s="36" t="s">
        <v>269</v>
      </c>
      <c r="G26" s="41" t="s">
        <v>26</v>
      </c>
      <c r="H26" s="41" t="s">
        <v>351</v>
      </c>
      <c r="I26" s="42" t="s">
        <v>352</v>
      </c>
      <c r="J26" s="53">
        <v>6057500</v>
      </c>
      <c r="K26" s="43">
        <v>4100000</v>
      </c>
      <c r="L26" s="44">
        <v>1500</v>
      </c>
      <c r="M26" s="54">
        <v>1000</v>
      </c>
      <c r="N26" s="65" t="s">
        <v>265</v>
      </c>
      <c r="O26" s="45">
        <v>2422</v>
      </c>
      <c r="P26" s="46" t="s">
        <v>266</v>
      </c>
      <c r="Q26" s="47" t="s">
        <v>353</v>
      </c>
      <c r="R26" s="48" t="s">
        <v>273</v>
      </c>
      <c r="S26" s="48" t="s">
        <v>273</v>
      </c>
      <c r="T26" s="39"/>
    </row>
    <row r="27" spans="1:20" s="40" customFormat="1" ht="30" customHeight="1" x14ac:dyDescent="0.25">
      <c r="A27" s="56" t="str">
        <f t="shared" si="0"/>
        <v>NPS-FY2011-3</v>
      </c>
      <c r="B27" s="36">
        <v>2011</v>
      </c>
      <c r="C27" s="37">
        <v>3</v>
      </c>
      <c r="D27" s="36" t="s">
        <v>262</v>
      </c>
      <c r="E27" s="57" t="s">
        <v>267</v>
      </c>
      <c r="F27" s="36" t="s">
        <v>269</v>
      </c>
      <c r="G27" s="41" t="s">
        <v>26</v>
      </c>
      <c r="H27" s="58" t="s">
        <v>354</v>
      </c>
      <c r="I27" s="59" t="s">
        <v>268</v>
      </c>
      <c r="J27" s="68">
        <v>1250000</v>
      </c>
      <c r="K27" s="43">
        <v>876000</v>
      </c>
      <c r="L27" s="70">
        <v>846</v>
      </c>
      <c r="M27" s="54">
        <v>584</v>
      </c>
      <c r="N27" s="65" t="s">
        <v>265</v>
      </c>
      <c r="O27" s="62">
        <v>25857</v>
      </c>
      <c r="P27" s="46" t="s">
        <v>266</v>
      </c>
      <c r="Q27" s="47" t="s">
        <v>355</v>
      </c>
      <c r="R27" s="48" t="s">
        <v>273</v>
      </c>
      <c r="S27" s="48" t="s">
        <v>273</v>
      </c>
      <c r="T27" s="57"/>
    </row>
    <row r="28" spans="1:20" s="40" customFormat="1" ht="30" customHeight="1" x14ac:dyDescent="0.25">
      <c r="A28" s="36" t="str">
        <f t="shared" si="0"/>
        <v>NPS-FY2011-4</v>
      </c>
      <c r="B28" s="36">
        <v>2011</v>
      </c>
      <c r="C28" s="37">
        <v>4</v>
      </c>
      <c r="D28" s="36" t="s">
        <v>262</v>
      </c>
      <c r="E28" s="39" t="s">
        <v>323</v>
      </c>
      <c r="F28" s="36" t="s">
        <v>269</v>
      </c>
      <c r="G28" s="41" t="s">
        <v>26</v>
      </c>
      <c r="H28" s="41" t="s">
        <v>356</v>
      </c>
      <c r="I28" s="42" t="s">
        <v>325</v>
      </c>
      <c r="J28" s="53">
        <v>3750000</v>
      </c>
      <c r="K28" s="43">
        <v>880000</v>
      </c>
      <c r="L28" s="44">
        <v>286</v>
      </c>
      <c r="M28" s="54">
        <v>66</v>
      </c>
      <c r="N28" s="65" t="s">
        <v>265</v>
      </c>
      <c r="O28" s="45">
        <v>20595</v>
      </c>
      <c r="P28" s="46" t="s">
        <v>266</v>
      </c>
      <c r="Q28" s="47" t="s">
        <v>357</v>
      </c>
      <c r="R28" s="48" t="s">
        <v>273</v>
      </c>
      <c r="S28" s="48" t="s">
        <v>273</v>
      </c>
      <c r="T28" s="39"/>
    </row>
    <row r="29" spans="1:20" s="40" customFormat="1" ht="30" customHeight="1" x14ac:dyDescent="0.25">
      <c r="A29" s="36" t="str">
        <f t="shared" si="0"/>
        <v>NPS-FY2013-5</v>
      </c>
      <c r="B29" s="36">
        <v>2013</v>
      </c>
      <c r="C29" s="37">
        <v>5</v>
      </c>
      <c r="D29" s="36" t="s">
        <v>262</v>
      </c>
      <c r="E29" s="39" t="s">
        <v>323</v>
      </c>
      <c r="F29" s="36" t="s">
        <v>269</v>
      </c>
      <c r="G29" s="41" t="s">
        <v>26</v>
      </c>
      <c r="H29" s="37" t="s">
        <v>324</v>
      </c>
      <c r="I29" s="42" t="s">
        <v>325</v>
      </c>
      <c r="J29" s="53">
        <v>2441000</v>
      </c>
      <c r="K29" s="43">
        <v>1977000</v>
      </c>
      <c r="L29" s="44">
        <v>238</v>
      </c>
      <c r="M29" s="54">
        <v>193</v>
      </c>
      <c r="N29" s="64" t="s">
        <v>265</v>
      </c>
      <c r="O29" s="45">
        <v>18804</v>
      </c>
      <c r="P29" s="46" t="s">
        <v>266</v>
      </c>
      <c r="Q29" s="47" t="s">
        <v>326</v>
      </c>
      <c r="R29" s="48">
        <v>10000</v>
      </c>
      <c r="S29" s="49">
        <v>0</v>
      </c>
      <c r="T29" s="39" t="s">
        <v>327</v>
      </c>
    </row>
    <row r="30" spans="1:20" s="40" customFormat="1" ht="30" customHeight="1" x14ac:dyDescent="0.25">
      <c r="A30" s="36" t="str">
        <f t="shared" si="0"/>
        <v>NPS-FY2014-8</v>
      </c>
      <c r="B30" s="36">
        <v>2014</v>
      </c>
      <c r="C30" s="37">
        <v>8</v>
      </c>
      <c r="D30" s="36" t="s">
        <v>262</v>
      </c>
      <c r="E30" s="39" t="s">
        <v>307</v>
      </c>
      <c r="F30" s="36" t="s">
        <v>263</v>
      </c>
      <c r="G30" s="41" t="s">
        <v>26</v>
      </c>
      <c r="H30" s="41" t="s">
        <v>308</v>
      </c>
      <c r="I30" s="42" t="s">
        <v>264</v>
      </c>
      <c r="J30" s="53">
        <v>7595000</v>
      </c>
      <c r="K30" s="43">
        <v>2278000</v>
      </c>
      <c r="L30" s="44">
        <v>9558</v>
      </c>
      <c r="M30" s="54">
        <v>2800</v>
      </c>
      <c r="N30" s="64" t="s">
        <v>265</v>
      </c>
      <c r="O30" s="45" t="s">
        <v>272</v>
      </c>
      <c r="P30" s="46" t="s">
        <v>266</v>
      </c>
      <c r="Q30" s="47" t="s">
        <v>309</v>
      </c>
      <c r="R30" s="48">
        <v>0</v>
      </c>
      <c r="S30" s="49">
        <v>0</v>
      </c>
      <c r="T30" s="39"/>
    </row>
    <row r="31" spans="1:20" s="40" customFormat="1" ht="30" customHeight="1" x14ac:dyDescent="0.25">
      <c r="A31" s="30" t="str">
        <f t="shared" si="0"/>
        <v>BLM-FY2011-7</v>
      </c>
      <c r="B31" s="30">
        <v>2011</v>
      </c>
      <c r="C31" s="72">
        <v>7</v>
      </c>
      <c r="D31" s="30" t="s">
        <v>393</v>
      </c>
      <c r="E31" s="73" t="s">
        <v>403</v>
      </c>
      <c r="F31" s="30" t="s">
        <v>269</v>
      </c>
      <c r="G31" s="74" t="s">
        <v>24</v>
      </c>
      <c r="H31" s="74" t="s">
        <v>404</v>
      </c>
      <c r="I31" s="74" t="s">
        <v>405</v>
      </c>
      <c r="J31" s="77">
        <v>2521000</v>
      </c>
      <c r="K31" s="86">
        <v>1000000</v>
      </c>
      <c r="L31" s="78">
        <v>1800</v>
      </c>
      <c r="M31" s="79">
        <v>714</v>
      </c>
      <c r="N31" s="80" t="s">
        <v>265</v>
      </c>
      <c r="O31" s="81">
        <v>10000</v>
      </c>
      <c r="P31" s="84" t="s">
        <v>266</v>
      </c>
      <c r="Q31" s="75" t="s">
        <v>470</v>
      </c>
      <c r="R31" s="76">
        <v>30000</v>
      </c>
      <c r="S31" s="69">
        <v>5000</v>
      </c>
      <c r="T31" s="73"/>
    </row>
    <row r="32" spans="1:20" s="40" customFormat="1" ht="30" customHeight="1" x14ac:dyDescent="0.25">
      <c r="A32" s="30" t="str">
        <f t="shared" si="0"/>
        <v>BLM-FY2012-5</v>
      </c>
      <c r="B32" s="30">
        <v>2012</v>
      </c>
      <c r="C32" s="72">
        <v>5</v>
      </c>
      <c r="D32" s="30" t="s">
        <v>393</v>
      </c>
      <c r="E32" s="73" t="s">
        <v>453</v>
      </c>
      <c r="F32" s="30" t="s">
        <v>269</v>
      </c>
      <c r="G32" s="74" t="s">
        <v>24</v>
      </c>
      <c r="H32" s="29" t="s">
        <v>404</v>
      </c>
      <c r="I32" s="74" t="s">
        <v>431</v>
      </c>
      <c r="J32" s="77">
        <v>2700000</v>
      </c>
      <c r="K32" s="86">
        <v>3493000</v>
      </c>
      <c r="L32" s="78">
        <v>188</v>
      </c>
      <c r="M32" s="79">
        <v>243</v>
      </c>
      <c r="N32" s="80" t="s">
        <v>265</v>
      </c>
      <c r="O32" s="81">
        <v>2000</v>
      </c>
      <c r="P32" s="84" t="s">
        <v>266</v>
      </c>
      <c r="Q32" s="75" t="s">
        <v>454</v>
      </c>
      <c r="R32" s="76">
        <v>50000</v>
      </c>
      <c r="S32" s="69">
        <v>12000</v>
      </c>
      <c r="T32" s="73"/>
    </row>
    <row r="33" spans="1:21" s="40" customFormat="1" ht="30" customHeight="1" x14ac:dyDescent="0.25">
      <c r="A33" s="30" t="str">
        <f t="shared" si="0"/>
        <v>BLM-FY2013-3</v>
      </c>
      <c r="B33" s="30">
        <v>2013</v>
      </c>
      <c r="C33" s="72">
        <v>3</v>
      </c>
      <c r="D33" s="30" t="s">
        <v>393</v>
      </c>
      <c r="E33" s="73" t="s">
        <v>430</v>
      </c>
      <c r="F33" s="30" t="s">
        <v>269</v>
      </c>
      <c r="G33" s="74" t="s">
        <v>24</v>
      </c>
      <c r="H33" s="29" t="s">
        <v>404</v>
      </c>
      <c r="I33" s="29" t="s">
        <v>431</v>
      </c>
      <c r="J33" s="77">
        <v>575000</v>
      </c>
      <c r="K33" s="86">
        <v>280000</v>
      </c>
      <c r="L33" s="78">
        <v>304</v>
      </c>
      <c r="M33" s="79">
        <v>160</v>
      </c>
      <c r="N33" s="80" t="s">
        <v>265</v>
      </c>
      <c r="O33" s="81">
        <v>7696</v>
      </c>
      <c r="P33" s="84" t="s">
        <v>266</v>
      </c>
      <c r="Q33" s="75" t="s">
        <v>432</v>
      </c>
      <c r="R33" s="76">
        <v>5000</v>
      </c>
      <c r="S33" s="69">
        <v>5000</v>
      </c>
      <c r="T33" s="73"/>
    </row>
    <row r="34" spans="1:21" s="40" customFormat="1" ht="30" customHeight="1" x14ac:dyDescent="0.25">
      <c r="A34" s="83" t="str">
        <f t="shared" ref="A34:A65" si="1">D34&amp;"-FY"&amp;B34&amp;"-"&amp;C34</f>
        <v>BLM-FY2014-2</v>
      </c>
      <c r="B34" s="30">
        <v>2014</v>
      </c>
      <c r="C34" s="72">
        <v>2</v>
      </c>
      <c r="D34" s="30" t="s">
        <v>393</v>
      </c>
      <c r="E34" s="73" t="s">
        <v>403</v>
      </c>
      <c r="F34" s="30" t="s">
        <v>269</v>
      </c>
      <c r="G34" s="74" t="s">
        <v>24</v>
      </c>
      <c r="H34" s="74" t="s">
        <v>404</v>
      </c>
      <c r="I34" s="74" t="s">
        <v>405</v>
      </c>
      <c r="J34" s="77">
        <v>1703000</v>
      </c>
      <c r="K34" s="86">
        <v>1703000</v>
      </c>
      <c r="L34" s="78">
        <v>1562</v>
      </c>
      <c r="M34" s="103">
        <v>1562</v>
      </c>
      <c r="N34" s="80" t="s">
        <v>265</v>
      </c>
      <c r="O34" s="81">
        <v>9678</v>
      </c>
      <c r="P34" s="84" t="s">
        <v>266</v>
      </c>
      <c r="Q34" s="75" t="s">
        <v>411</v>
      </c>
      <c r="R34" s="76">
        <v>7500</v>
      </c>
      <c r="S34" s="69">
        <v>2000</v>
      </c>
      <c r="T34" s="73"/>
    </row>
    <row r="35" spans="1:21" s="40" customFormat="1" ht="30" customHeight="1" x14ac:dyDescent="0.25">
      <c r="A35" s="56" t="str">
        <f t="shared" si="1"/>
        <v>FWS-FY2011-2</v>
      </c>
      <c r="B35" s="56">
        <v>2011</v>
      </c>
      <c r="C35" s="67">
        <v>2</v>
      </c>
      <c r="D35" s="36" t="s">
        <v>478</v>
      </c>
      <c r="E35" s="96" t="s">
        <v>640</v>
      </c>
      <c r="F35" s="36" t="s">
        <v>269</v>
      </c>
      <c r="G35" s="41" t="s">
        <v>537</v>
      </c>
      <c r="H35" s="41" t="s">
        <v>641</v>
      </c>
      <c r="I35" s="41" t="s">
        <v>274</v>
      </c>
      <c r="J35" s="68">
        <v>6000000</v>
      </c>
      <c r="K35" s="60">
        <v>2308000</v>
      </c>
      <c r="L35" s="70">
        <v>2250</v>
      </c>
      <c r="M35" s="87">
        <v>865</v>
      </c>
      <c r="N35" s="91" t="s">
        <v>265</v>
      </c>
      <c r="O35" s="62">
        <v>45523</v>
      </c>
      <c r="P35" s="46" t="s">
        <v>266</v>
      </c>
      <c r="Q35" s="47" t="s">
        <v>642</v>
      </c>
      <c r="R35" s="48">
        <v>0</v>
      </c>
      <c r="S35" s="49">
        <v>0</v>
      </c>
      <c r="T35" s="57"/>
    </row>
    <row r="36" spans="1:21" s="40" customFormat="1" ht="30" customHeight="1" x14ac:dyDescent="0.25">
      <c r="A36" s="36" t="str">
        <f t="shared" si="1"/>
        <v>FWS-FY2012-2</v>
      </c>
      <c r="B36" s="36">
        <v>2012</v>
      </c>
      <c r="C36" s="37">
        <v>2</v>
      </c>
      <c r="D36" s="36" t="s">
        <v>478</v>
      </c>
      <c r="E36" s="39" t="s">
        <v>586</v>
      </c>
      <c r="F36" s="36" t="s">
        <v>269</v>
      </c>
      <c r="G36" s="41" t="s">
        <v>537</v>
      </c>
      <c r="H36" s="41" t="s">
        <v>587</v>
      </c>
      <c r="I36" s="51" t="s">
        <v>274</v>
      </c>
      <c r="J36" s="53">
        <v>6500000</v>
      </c>
      <c r="K36" s="43">
        <v>6490000</v>
      </c>
      <c r="L36" s="44">
        <v>812</v>
      </c>
      <c r="M36" s="54">
        <v>812</v>
      </c>
      <c r="N36" s="38" t="s">
        <v>265</v>
      </c>
      <c r="O36" s="45">
        <v>39220</v>
      </c>
      <c r="P36" s="46" t="s">
        <v>266</v>
      </c>
      <c r="Q36" s="47" t="s">
        <v>588</v>
      </c>
      <c r="R36" s="48">
        <v>0</v>
      </c>
      <c r="S36" s="49">
        <v>0</v>
      </c>
      <c r="T36" s="39" t="s">
        <v>589</v>
      </c>
    </row>
    <row r="37" spans="1:21" s="40" customFormat="1" ht="30" customHeight="1" x14ac:dyDescent="0.25">
      <c r="A37" s="36" t="str">
        <f t="shared" si="1"/>
        <v>FWS-FY2013-7</v>
      </c>
      <c r="B37" s="36">
        <v>2013</v>
      </c>
      <c r="C37" s="37">
        <v>7</v>
      </c>
      <c r="D37" s="36" t="s">
        <v>478</v>
      </c>
      <c r="E37" s="39" t="s">
        <v>493</v>
      </c>
      <c r="F37" s="36" t="s">
        <v>269</v>
      </c>
      <c r="G37" s="41" t="s">
        <v>537</v>
      </c>
      <c r="H37" s="51" t="s">
        <v>538</v>
      </c>
      <c r="I37" s="51" t="s">
        <v>274</v>
      </c>
      <c r="J37" s="53">
        <v>1500000</v>
      </c>
      <c r="K37" s="43">
        <v>1500000</v>
      </c>
      <c r="L37" s="44">
        <v>1041</v>
      </c>
      <c r="M37" s="52">
        <v>1041</v>
      </c>
      <c r="N37" s="65" t="s">
        <v>265</v>
      </c>
      <c r="O37" s="45">
        <v>41872</v>
      </c>
      <c r="P37" s="46" t="s">
        <v>266</v>
      </c>
      <c r="Q37" s="47" t="s">
        <v>539</v>
      </c>
      <c r="R37" s="48">
        <v>0</v>
      </c>
      <c r="S37" s="49">
        <v>0</v>
      </c>
      <c r="T37" s="39"/>
    </row>
    <row r="38" spans="1:21" s="40" customFormat="1" ht="30" customHeight="1" x14ac:dyDescent="0.25">
      <c r="A38" s="115" t="str">
        <f t="shared" si="1"/>
        <v>FWS-FY2012-18</v>
      </c>
      <c r="B38" s="115">
        <v>2012</v>
      </c>
      <c r="C38" s="116">
        <v>18</v>
      </c>
      <c r="D38" s="115" t="s">
        <v>478</v>
      </c>
      <c r="E38" s="117" t="s">
        <v>494</v>
      </c>
      <c r="F38" s="115" t="s">
        <v>269</v>
      </c>
      <c r="G38" s="118" t="s">
        <v>579</v>
      </c>
      <c r="H38" s="118" t="s">
        <v>274</v>
      </c>
      <c r="I38" s="119" t="s">
        <v>274</v>
      </c>
      <c r="J38" s="120">
        <v>5000000</v>
      </c>
      <c r="K38" s="121">
        <v>4992000</v>
      </c>
      <c r="L38" s="122" t="s">
        <v>273</v>
      </c>
      <c r="M38" s="122" t="s">
        <v>273</v>
      </c>
      <c r="N38" s="123" t="s">
        <v>273</v>
      </c>
      <c r="O38" s="124">
        <v>0</v>
      </c>
      <c r="P38" s="125" t="s">
        <v>273</v>
      </c>
      <c r="Q38" s="126" t="s">
        <v>496</v>
      </c>
      <c r="R38" s="127" t="s">
        <v>273</v>
      </c>
      <c r="S38" s="128" t="s">
        <v>273</v>
      </c>
      <c r="T38" s="128" t="s">
        <v>638</v>
      </c>
      <c r="U38" s="129" t="s">
        <v>710</v>
      </c>
    </row>
    <row r="39" spans="1:21" s="40" customFormat="1" ht="30" customHeight="1" x14ac:dyDescent="0.25">
      <c r="A39" s="115" t="str">
        <f t="shared" si="1"/>
        <v>FWS-FY2013-18</v>
      </c>
      <c r="B39" s="115">
        <v>2013</v>
      </c>
      <c r="C39" s="116">
        <v>18</v>
      </c>
      <c r="D39" s="115" t="s">
        <v>478</v>
      </c>
      <c r="E39" s="117" t="s">
        <v>494</v>
      </c>
      <c r="F39" s="115" t="s">
        <v>495</v>
      </c>
      <c r="G39" s="118" t="s">
        <v>579</v>
      </c>
      <c r="H39" s="118" t="s">
        <v>274</v>
      </c>
      <c r="I39" s="119" t="s">
        <v>274</v>
      </c>
      <c r="J39" s="130">
        <v>0</v>
      </c>
      <c r="K39" s="121">
        <v>123000</v>
      </c>
      <c r="L39" s="122" t="s">
        <v>273</v>
      </c>
      <c r="M39" s="122" t="s">
        <v>273</v>
      </c>
      <c r="N39" s="131" t="s">
        <v>273</v>
      </c>
      <c r="O39" s="124" t="s">
        <v>273</v>
      </c>
      <c r="P39" s="125" t="s">
        <v>273</v>
      </c>
      <c r="Q39" s="126" t="s">
        <v>496</v>
      </c>
      <c r="R39" s="127" t="s">
        <v>273</v>
      </c>
      <c r="S39" s="128" t="s">
        <v>273</v>
      </c>
      <c r="T39" s="117" t="s">
        <v>580</v>
      </c>
      <c r="U39" s="129" t="s">
        <v>710</v>
      </c>
    </row>
    <row r="40" spans="1:21" s="40" customFormat="1" ht="30" customHeight="1" x14ac:dyDescent="0.25">
      <c r="A40" s="66" t="str">
        <f t="shared" si="1"/>
        <v>FWS-FY2011-1</v>
      </c>
      <c r="B40" s="56">
        <v>2011</v>
      </c>
      <c r="C40" s="67">
        <v>1</v>
      </c>
      <c r="D40" s="36" t="s">
        <v>478</v>
      </c>
      <c r="E40" s="96" t="s">
        <v>595</v>
      </c>
      <c r="F40" s="36" t="s">
        <v>269</v>
      </c>
      <c r="G40" s="41" t="s">
        <v>16</v>
      </c>
      <c r="H40" s="41" t="s">
        <v>570</v>
      </c>
      <c r="I40" s="41" t="s">
        <v>596</v>
      </c>
      <c r="J40" s="68">
        <v>1000000</v>
      </c>
      <c r="K40" s="60">
        <v>1000000</v>
      </c>
      <c r="L40" s="70">
        <v>750</v>
      </c>
      <c r="M40" s="102">
        <v>750</v>
      </c>
      <c r="N40" s="91" t="s">
        <v>265</v>
      </c>
      <c r="O40" s="62">
        <v>6078</v>
      </c>
      <c r="P40" s="46" t="s">
        <v>266</v>
      </c>
      <c r="Q40" s="47" t="s">
        <v>639</v>
      </c>
      <c r="R40" s="48">
        <v>0</v>
      </c>
      <c r="S40" s="49">
        <v>0</v>
      </c>
      <c r="T40" s="57"/>
      <c r="U40" s="29"/>
    </row>
    <row r="41" spans="1:21" s="40" customFormat="1" ht="30" customHeight="1" x14ac:dyDescent="0.25">
      <c r="A41" s="36" t="str">
        <f t="shared" si="1"/>
        <v>FWS-FY2012-4</v>
      </c>
      <c r="B41" s="36">
        <v>2012</v>
      </c>
      <c r="C41" s="37">
        <v>4</v>
      </c>
      <c r="D41" s="36" t="s">
        <v>478</v>
      </c>
      <c r="E41" s="39" t="s">
        <v>595</v>
      </c>
      <c r="F41" s="36" t="s">
        <v>269</v>
      </c>
      <c r="G41" s="41" t="s">
        <v>16</v>
      </c>
      <c r="H41" s="41" t="s">
        <v>570</v>
      </c>
      <c r="I41" s="51" t="s">
        <v>596</v>
      </c>
      <c r="J41" s="53">
        <v>4000000</v>
      </c>
      <c r="K41" s="43">
        <v>3994000</v>
      </c>
      <c r="L41" s="44">
        <v>2350</v>
      </c>
      <c r="M41" s="54">
        <v>1410</v>
      </c>
      <c r="N41" s="38" t="s">
        <v>265</v>
      </c>
      <c r="O41" s="45">
        <v>39908</v>
      </c>
      <c r="P41" s="46" t="s">
        <v>266</v>
      </c>
      <c r="Q41" s="47" t="s">
        <v>597</v>
      </c>
      <c r="R41" s="48">
        <v>0</v>
      </c>
      <c r="S41" s="48">
        <v>5000</v>
      </c>
      <c r="T41" s="39" t="s">
        <v>598</v>
      </c>
      <c r="U41" s="30"/>
    </row>
    <row r="42" spans="1:21" s="40" customFormat="1" ht="30" customHeight="1" x14ac:dyDescent="0.25">
      <c r="A42" s="36" t="str">
        <f t="shared" si="1"/>
        <v>FWS-FY2012-7</v>
      </c>
      <c r="B42" s="36">
        <v>2012</v>
      </c>
      <c r="C42" s="37">
        <v>7</v>
      </c>
      <c r="D42" s="36" t="s">
        <v>478</v>
      </c>
      <c r="E42" s="39" t="s">
        <v>607</v>
      </c>
      <c r="F42" s="36" t="s">
        <v>269</v>
      </c>
      <c r="G42" s="41" t="s">
        <v>16</v>
      </c>
      <c r="H42" s="41" t="s">
        <v>570</v>
      </c>
      <c r="I42" s="51" t="s">
        <v>608</v>
      </c>
      <c r="J42" s="53">
        <v>1000000</v>
      </c>
      <c r="K42" s="43">
        <v>998000</v>
      </c>
      <c r="L42" s="44">
        <v>667</v>
      </c>
      <c r="M42" s="54">
        <v>667</v>
      </c>
      <c r="N42" s="92" t="s">
        <v>265</v>
      </c>
      <c r="O42" s="45">
        <v>29104</v>
      </c>
      <c r="P42" s="46" t="s">
        <v>266</v>
      </c>
      <c r="Q42" s="47" t="s">
        <v>609</v>
      </c>
      <c r="R42" s="48">
        <v>0</v>
      </c>
      <c r="S42" s="49">
        <v>0</v>
      </c>
      <c r="T42" s="39"/>
      <c r="U42" s="30"/>
    </row>
    <row r="43" spans="1:21" s="40" customFormat="1" ht="30" customHeight="1" x14ac:dyDescent="0.25">
      <c r="A43" s="36" t="str">
        <f t="shared" si="1"/>
        <v>FWS-FY2012-15</v>
      </c>
      <c r="B43" s="36">
        <v>2012</v>
      </c>
      <c r="C43" s="37">
        <v>15</v>
      </c>
      <c r="D43" s="36" t="s">
        <v>478</v>
      </c>
      <c r="E43" s="39" t="s">
        <v>630</v>
      </c>
      <c r="F43" s="36" t="s">
        <v>269</v>
      </c>
      <c r="G43" s="41" t="s">
        <v>16</v>
      </c>
      <c r="H43" s="41" t="s">
        <v>489</v>
      </c>
      <c r="I43" s="51" t="s">
        <v>490</v>
      </c>
      <c r="J43" s="88">
        <v>0</v>
      </c>
      <c r="K43" s="43">
        <v>1500000</v>
      </c>
      <c r="L43" s="65" t="s">
        <v>631</v>
      </c>
      <c r="M43" s="54">
        <v>375</v>
      </c>
      <c r="N43" s="65" t="s">
        <v>561</v>
      </c>
      <c r="O43" s="45">
        <v>150000</v>
      </c>
      <c r="P43" s="46" t="s">
        <v>266</v>
      </c>
      <c r="Q43" s="47" t="s">
        <v>632</v>
      </c>
      <c r="R43" s="48">
        <v>500000</v>
      </c>
      <c r="S43" s="49">
        <v>10000</v>
      </c>
      <c r="T43" s="39" t="s">
        <v>633</v>
      </c>
      <c r="U43" s="30"/>
    </row>
    <row r="44" spans="1:21" s="40" customFormat="1" ht="30" customHeight="1" x14ac:dyDescent="0.25">
      <c r="A44" s="35" t="str">
        <f t="shared" si="1"/>
        <v>FWS-FY2013-3</v>
      </c>
      <c r="B44" s="36">
        <v>2013</v>
      </c>
      <c r="C44" s="37">
        <v>3</v>
      </c>
      <c r="D44" s="36" t="s">
        <v>478</v>
      </c>
      <c r="E44" s="39" t="s">
        <v>518</v>
      </c>
      <c r="F44" s="36" t="s">
        <v>269</v>
      </c>
      <c r="G44" s="41" t="s">
        <v>16</v>
      </c>
      <c r="H44" s="90" t="s">
        <v>489</v>
      </c>
      <c r="I44" s="51" t="s">
        <v>490</v>
      </c>
      <c r="J44" s="53">
        <v>3000000</v>
      </c>
      <c r="K44" s="43">
        <v>3000000</v>
      </c>
      <c r="L44" s="44">
        <v>750</v>
      </c>
      <c r="M44" s="52">
        <v>750</v>
      </c>
      <c r="N44" s="65" t="s">
        <v>265</v>
      </c>
      <c r="O44" s="45">
        <v>149250</v>
      </c>
      <c r="P44" s="46" t="s">
        <v>266</v>
      </c>
      <c r="Q44" s="47" t="s">
        <v>519</v>
      </c>
      <c r="R44" s="48">
        <v>3500000</v>
      </c>
      <c r="S44" s="49">
        <v>0</v>
      </c>
      <c r="T44" s="39" t="s">
        <v>520</v>
      </c>
      <c r="U44" s="30"/>
    </row>
    <row r="45" spans="1:21" s="40" customFormat="1" ht="30" customHeight="1" x14ac:dyDescent="0.25">
      <c r="A45" s="35" t="str">
        <f t="shared" si="1"/>
        <v>FWS-FY2013-14</v>
      </c>
      <c r="B45" s="36">
        <v>2013</v>
      </c>
      <c r="C45" s="37">
        <v>14</v>
      </c>
      <c r="D45" s="36" t="s">
        <v>478</v>
      </c>
      <c r="E45" s="39" t="s">
        <v>569</v>
      </c>
      <c r="F45" s="36" t="s">
        <v>269</v>
      </c>
      <c r="G45" s="41" t="s">
        <v>16</v>
      </c>
      <c r="H45" s="37" t="s">
        <v>570</v>
      </c>
      <c r="I45" s="51" t="s">
        <v>571</v>
      </c>
      <c r="J45" s="53">
        <v>1000000</v>
      </c>
      <c r="K45" s="43">
        <v>1000000</v>
      </c>
      <c r="L45" s="44">
        <v>5</v>
      </c>
      <c r="M45" s="52">
        <v>5</v>
      </c>
      <c r="N45" s="65" t="s">
        <v>265</v>
      </c>
      <c r="O45" s="45">
        <v>927</v>
      </c>
      <c r="P45" s="46" t="s">
        <v>266</v>
      </c>
      <c r="Q45" s="47" t="s">
        <v>572</v>
      </c>
      <c r="R45" s="48">
        <v>20000</v>
      </c>
      <c r="S45" s="49">
        <v>0</v>
      </c>
      <c r="T45" s="39" t="s">
        <v>573</v>
      </c>
      <c r="U45" s="30"/>
    </row>
    <row r="46" spans="1:21" s="40" customFormat="1" ht="30" customHeight="1" x14ac:dyDescent="0.25">
      <c r="A46" s="36" t="str">
        <f t="shared" si="1"/>
        <v>FWS-FY2014-4</v>
      </c>
      <c r="B46" s="36">
        <v>2014</v>
      </c>
      <c r="C46" s="37">
        <v>4</v>
      </c>
      <c r="D46" s="36" t="s">
        <v>478</v>
      </c>
      <c r="E46" s="39" t="s">
        <v>505</v>
      </c>
      <c r="F46" s="36" t="s">
        <v>269</v>
      </c>
      <c r="G46" s="41" t="s">
        <v>16</v>
      </c>
      <c r="H46" s="41" t="s">
        <v>489</v>
      </c>
      <c r="I46" s="41" t="s">
        <v>490</v>
      </c>
      <c r="J46" s="53">
        <v>5000000</v>
      </c>
      <c r="K46" s="43">
        <v>5000000</v>
      </c>
      <c r="L46" s="44">
        <v>1250</v>
      </c>
      <c r="M46" s="54">
        <v>1250</v>
      </c>
      <c r="N46" s="65" t="s">
        <v>265</v>
      </c>
      <c r="O46" s="45">
        <f>96506+49357</f>
        <v>145863</v>
      </c>
      <c r="P46" s="46" t="s">
        <v>266</v>
      </c>
      <c r="Q46" s="47" t="s">
        <v>506</v>
      </c>
      <c r="R46" s="48">
        <v>0</v>
      </c>
      <c r="S46" s="55">
        <v>25000</v>
      </c>
      <c r="T46" s="39" t="s">
        <v>507</v>
      </c>
      <c r="U46" s="30"/>
    </row>
    <row r="47" spans="1:21" s="40" customFormat="1" ht="30" customHeight="1" x14ac:dyDescent="0.25">
      <c r="A47" s="36" t="str">
        <f t="shared" si="1"/>
        <v>NPS-FY2012-1</v>
      </c>
      <c r="B47" s="36">
        <v>2012</v>
      </c>
      <c r="C47" s="37">
        <v>1</v>
      </c>
      <c r="D47" s="36" t="s">
        <v>262</v>
      </c>
      <c r="E47" s="39" t="s">
        <v>340</v>
      </c>
      <c r="F47" s="36" t="s">
        <v>269</v>
      </c>
      <c r="G47" s="41" t="s">
        <v>16</v>
      </c>
      <c r="H47" s="41" t="s">
        <v>341</v>
      </c>
      <c r="I47" s="42" t="s">
        <v>342</v>
      </c>
      <c r="J47" s="53">
        <v>5560000</v>
      </c>
      <c r="K47" s="43">
        <v>5551100</v>
      </c>
      <c r="L47" s="44">
        <v>43000</v>
      </c>
      <c r="M47" s="54">
        <v>43000</v>
      </c>
      <c r="N47" s="64" t="s">
        <v>265</v>
      </c>
      <c r="O47" s="45">
        <v>1348</v>
      </c>
      <c r="P47" s="46" t="s">
        <v>266</v>
      </c>
      <c r="Q47" s="47" t="s">
        <v>343</v>
      </c>
      <c r="R47" s="48">
        <f>955000-102000</f>
        <v>853000</v>
      </c>
      <c r="S47" s="69">
        <v>0</v>
      </c>
      <c r="T47" s="39" t="s">
        <v>344</v>
      </c>
      <c r="U47" s="30"/>
    </row>
    <row r="48" spans="1:21" s="40" customFormat="1" ht="30" customHeight="1" x14ac:dyDescent="0.25">
      <c r="A48" s="36" t="str">
        <f t="shared" si="1"/>
        <v>NPS-FY2012-2</v>
      </c>
      <c r="B48" s="36">
        <v>2012</v>
      </c>
      <c r="C48" s="37">
        <v>2</v>
      </c>
      <c r="D48" s="36" t="s">
        <v>262</v>
      </c>
      <c r="E48" s="39" t="s">
        <v>345</v>
      </c>
      <c r="F48" s="36" t="s">
        <v>269</v>
      </c>
      <c r="G48" s="41" t="s">
        <v>16</v>
      </c>
      <c r="H48" s="41" t="s">
        <v>346</v>
      </c>
      <c r="I48" s="42" t="s">
        <v>342</v>
      </c>
      <c r="J48" s="53">
        <v>25000000</v>
      </c>
      <c r="K48" s="43">
        <v>24960000</v>
      </c>
      <c r="L48" s="44">
        <v>477</v>
      </c>
      <c r="M48" s="54">
        <v>477</v>
      </c>
      <c r="N48" s="64" t="s">
        <v>265</v>
      </c>
      <c r="O48" s="45">
        <v>330</v>
      </c>
      <c r="P48" s="46" t="s">
        <v>266</v>
      </c>
      <c r="Q48" s="47" t="s">
        <v>347</v>
      </c>
      <c r="R48" s="48">
        <f>2275000-5200000</f>
        <v>-2925000</v>
      </c>
      <c r="S48" s="49">
        <v>76000</v>
      </c>
      <c r="T48" s="39" t="s">
        <v>348</v>
      </c>
      <c r="U48" s="30"/>
    </row>
    <row r="49" spans="1:21" s="129" customFormat="1" ht="30" customHeight="1" x14ac:dyDescent="0.25">
      <c r="A49" s="36" t="str">
        <f t="shared" si="1"/>
        <v>NPS-FY2014-5</v>
      </c>
      <c r="B49" s="36">
        <v>2014</v>
      </c>
      <c r="C49" s="37">
        <v>5</v>
      </c>
      <c r="D49" s="36" t="s">
        <v>262</v>
      </c>
      <c r="E49" s="39" t="s">
        <v>295</v>
      </c>
      <c r="F49" s="36" t="s">
        <v>263</v>
      </c>
      <c r="G49" s="41" t="s">
        <v>16</v>
      </c>
      <c r="H49" s="41" t="s">
        <v>296</v>
      </c>
      <c r="I49" s="42" t="s">
        <v>297</v>
      </c>
      <c r="J49" s="43">
        <v>2031000</v>
      </c>
      <c r="K49" s="43">
        <v>2031000</v>
      </c>
      <c r="L49" s="54">
        <v>262</v>
      </c>
      <c r="M49" s="54">
        <v>262</v>
      </c>
      <c r="N49" s="64" t="s">
        <v>265</v>
      </c>
      <c r="O49" s="45" t="s">
        <v>272</v>
      </c>
      <c r="P49" s="46" t="s">
        <v>266</v>
      </c>
      <c r="Q49" s="47" t="s">
        <v>298</v>
      </c>
      <c r="R49" s="48">
        <v>0</v>
      </c>
      <c r="S49" s="49">
        <v>0</v>
      </c>
      <c r="T49" s="39"/>
      <c r="U49" s="30"/>
    </row>
    <row r="50" spans="1:21" s="129" customFormat="1" ht="30" customHeight="1" x14ac:dyDescent="0.25">
      <c r="A50" s="36" t="str">
        <f t="shared" si="1"/>
        <v>FWS-FY2014-5</v>
      </c>
      <c r="B50" s="36">
        <v>2014</v>
      </c>
      <c r="C50" s="37">
        <v>5</v>
      </c>
      <c r="D50" s="36" t="s">
        <v>478</v>
      </c>
      <c r="E50" s="39" t="s">
        <v>508</v>
      </c>
      <c r="F50" s="40" t="s">
        <v>263</v>
      </c>
      <c r="G50" s="41" t="s">
        <v>705</v>
      </c>
      <c r="H50" s="41" t="s">
        <v>509</v>
      </c>
      <c r="I50" s="41" t="s">
        <v>510</v>
      </c>
      <c r="J50" s="53">
        <v>9481000</v>
      </c>
      <c r="K50" s="43">
        <v>9481000</v>
      </c>
      <c r="L50" s="44">
        <v>3900</v>
      </c>
      <c r="M50" s="54">
        <v>3900</v>
      </c>
      <c r="N50" s="89" t="s">
        <v>301</v>
      </c>
      <c r="O50" s="45">
        <v>109408</v>
      </c>
      <c r="P50" s="46" t="s">
        <v>266</v>
      </c>
      <c r="Q50" s="47" t="s">
        <v>511</v>
      </c>
      <c r="R50" s="48">
        <v>0</v>
      </c>
      <c r="S50" s="55">
        <v>100000</v>
      </c>
      <c r="T50" s="39" t="s">
        <v>512</v>
      </c>
      <c r="U50" s="30"/>
    </row>
    <row r="51" spans="1:21" s="129" customFormat="1" ht="30" customHeight="1" x14ac:dyDescent="0.25">
      <c r="A51" s="36" t="str">
        <f t="shared" si="1"/>
        <v>FWS-FY2013-15</v>
      </c>
      <c r="B51" s="36">
        <v>2013</v>
      </c>
      <c r="C51" s="37">
        <v>15</v>
      </c>
      <c r="D51" s="36" t="s">
        <v>478</v>
      </c>
      <c r="E51" s="39" t="s">
        <v>574</v>
      </c>
      <c r="F51" s="36" t="s">
        <v>263</v>
      </c>
      <c r="G51" s="41" t="s">
        <v>18</v>
      </c>
      <c r="H51" s="37" t="s">
        <v>575</v>
      </c>
      <c r="I51" s="51" t="s">
        <v>510</v>
      </c>
      <c r="J51" s="53">
        <v>13635850</v>
      </c>
      <c r="K51" s="43">
        <v>3000000</v>
      </c>
      <c r="L51" s="44">
        <v>16863</v>
      </c>
      <c r="M51" s="52">
        <v>3708</v>
      </c>
      <c r="N51" s="65" t="s">
        <v>265</v>
      </c>
      <c r="O51" s="45">
        <v>37970</v>
      </c>
      <c r="P51" s="46" t="s">
        <v>266</v>
      </c>
      <c r="Q51" s="47" t="s">
        <v>576</v>
      </c>
      <c r="R51" s="48" t="s">
        <v>273</v>
      </c>
      <c r="S51" s="49">
        <v>100000</v>
      </c>
      <c r="T51" s="39"/>
      <c r="U51" s="30"/>
    </row>
    <row r="52" spans="1:21" s="29" customFormat="1" ht="32.25" customHeight="1" x14ac:dyDescent="0.25">
      <c r="A52" s="35" t="str">
        <f t="shared" si="1"/>
        <v>FWS-FY2012-6</v>
      </c>
      <c r="B52" s="36">
        <v>2012</v>
      </c>
      <c r="C52" s="37">
        <v>6</v>
      </c>
      <c r="D52" s="36" t="s">
        <v>478</v>
      </c>
      <c r="E52" s="39" t="s">
        <v>602</v>
      </c>
      <c r="F52" s="95" t="s">
        <v>269</v>
      </c>
      <c r="G52" s="98" t="s">
        <v>706</v>
      </c>
      <c r="H52" s="41" t="s">
        <v>603</v>
      </c>
      <c r="I52" s="51" t="s">
        <v>604</v>
      </c>
      <c r="J52" s="100">
        <v>1250000</v>
      </c>
      <c r="K52" s="101">
        <v>1248000</v>
      </c>
      <c r="L52" s="44">
        <v>100</v>
      </c>
      <c r="M52" s="54">
        <v>100</v>
      </c>
      <c r="N52" s="91" t="s">
        <v>265</v>
      </c>
      <c r="O52" s="45">
        <v>17141</v>
      </c>
      <c r="P52" s="46" t="s">
        <v>266</v>
      </c>
      <c r="Q52" s="47" t="s">
        <v>605</v>
      </c>
      <c r="R52" s="48">
        <v>0</v>
      </c>
      <c r="S52" s="49">
        <v>3000</v>
      </c>
      <c r="T52" s="39" t="s">
        <v>606</v>
      </c>
      <c r="U52" s="30"/>
    </row>
    <row r="53" spans="1:21" s="30" customFormat="1" ht="30" customHeight="1" x14ac:dyDescent="0.25">
      <c r="A53" s="95" t="str">
        <f t="shared" si="1"/>
        <v>FWS-FY2012-9</v>
      </c>
      <c r="B53" s="95">
        <v>2012</v>
      </c>
      <c r="C53" s="37">
        <v>9</v>
      </c>
      <c r="D53" s="95" t="s">
        <v>478</v>
      </c>
      <c r="E53" s="97" t="s">
        <v>615</v>
      </c>
      <c r="F53" s="95" t="s">
        <v>269</v>
      </c>
      <c r="G53" s="98" t="s">
        <v>12</v>
      </c>
      <c r="H53" s="98" t="s">
        <v>616</v>
      </c>
      <c r="I53" s="99" t="s">
        <v>274</v>
      </c>
      <c r="J53" s="100">
        <f>3750000-1000000</f>
        <v>2750000</v>
      </c>
      <c r="K53" s="101">
        <v>2246000</v>
      </c>
      <c r="L53" s="112">
        <v>690</v>
      </c>
      <c r="M53" s="104">
        <v>563</v>
      </c>
      <c r="N53" s="113" t="s">
        <v>265</v>
      </c>
      <c r="O53" s="105">
        <v>20831</v>
      </c>
      <c r="P53" s="46" t="s">
        <v>266</v>
      </c>
      <c r="Q53" s="106" t="s">
        <v>617</v>
      </c>
      <c r="R53" s="107">
        <v>10000</v>
      </c>
      <c r="S53" s="195">
        <v>0</v>
      </c>
      <c r="T53" s="97" t="s">
        <v>618</v>
      </c>
    </row>
    <row r="54" spans="1:21" s="30" customFormat="1" ht="30" customHeight="1" x14ac:dyDescent="0.25">
      <c r="A54" s="56" t="str">
        <f t="shared" si="1"/>
        <v>FWS-FY2011-3</v>
      </c>
      <c r="B54" s="56">
        <v>2011</v>
      </c>
      <c r="C54" s="67">
        <v>3</v>
      </c>
      <c r="D54" s="36" t="s">
        <v>478</v>
      </c>
      <c r="E54" s="96" t="s">
        <v>544</v>
      </c>
      <c r="F54" s="36" t="s">
        <v>269</v>
      </c>
      <c r="G54" s="41" t="s">
        <v>545</v>
      </c>
      <c r="H54" s="41" t="s">
        <v>643</v>
      </c>
      <c r="I54" s="41" t="s">
        <v>274</v>
      </c>
      <c r="J54" s="68">
        <v>2500000</v>
      </c>
      <c r="K54" s="111">
        <v>400000</v>
      </c>
      <c r="L54" s="70">
        <v>625</v>
      </c>
      <c r="M54" s="87">
        <v>100</v>
      </c>
      <c r="N54" s="91" t="s">
        <v>265</v>
      </c>
      <c r="O54" s="62">
        <v>21447</v>
      </c>
      <c r="P54" s="46" t="s">
        <v>266</v>
      </c>
      <c r="Q54" s="47" t="s">
        <v>644</v>
      </c>
      <c r="R54" s="48">
        <v>0</v>
      </c>
      <c r="S54" s="63">
        <v>7000</v>
      </c>
      <c r="T54" s="39" t="s">
        <v>645</v>
      </c>
    </row>
    <row r="55" spans="1:21" s="30" customFormat="1" ht="30" customHeight="1" x14ac:dyDescent="0.25">
      <c r="A55" s="36" t="str">
        <f t="shared" si="1"/>
        <v>FWS-FY2013-9</v>
      </c>
      <c r="B55" s="36">
        <v>2013</v>
      </c>
      <c r="C55" s="37">
        <v>9</v>
      </c>
      <c r="D55" s="36" t="s">
        <v>478</v>
      </c>
      <c r="E55" s="39" t="s">
        <v>544</v>
      </c>
      <c r="F55" s="36" t="s">
        <v>269</v>
      </c>
      <c r="G55" s="41" t="s">
        <v>545</v>
      </c>
      <c r="H55" s="51" t="s">
        <v>546</v>
      </c>
      <c r="I55" s="51" t="s">
        <v>274</v>
      </c>
      <c r="J55" s="53">
        <v>1000000</v>
      </c>
      <c r="K55" s="43">
        <v>1000000</v>
      </c>
      <c r="L55" s="44">
        <v>335</v>
      </c>
      <c r="M55" s="54">
        <v>335</v>
      </c>
      <c r="N55" s="65" t="s">
        <v>265</v>
      </c>
      <c r="O55" s="45">
        <v>21137</v>
      </c>
      <c r="P55" s="46" t="s">
        <v>266</v>
      </c>
      <c r="Q55" s="47" t="s">
        <v>547</v>
      </c>
      <c r="R55" s="48">
        <v>10000</v>
      </c>
      <c r="S55" s="49">
        <v>0</v>
      </c>
      <c r="T55" s="39" t="s">
        <v>548</v>
      </c>
    </row>
    <row r="56" spans="1:21" s="30" customFormat="1" ht="30" customHeight="1" x14ac:dyDescent="0.25">
      <c r="A56" s="36" t="str">
        <f t="shared" si="1"/>
        <v>FWS-FY2013-10</v>
      </c>
      <c r="B56" s="36">
        <v>2013</v>
      </c>
      <c r="C56" s="37">
        <v>10</v>
      </c>
      <c r="D56" s="36" t="s">
        <v>478</v>
      </c>
      <c r="E56" s="39" t="s">
        <v>549</v>
      </c>
      <c r="F56" s="36" t="s">
        <v>269</v>
      </c>
      <c r="G56" s="41" t="s">
        <v>550</v>
      </c>
      <c r="H56" s="51" t="s">
        <v>551</v>
      </c>
      <c r="I56" s="51" t="s">
        <v>274</v>
      </c>
      <c r="J56" s="53">
        <v>500000</v>
      </c>
      <c r="K56" s="101">
        <v>500000</v>
      </c>
      <c r="L56" s="44">
        <v>166</v>
      </c>
      <c r="M56" s="54">
        <v>166</v>
      </c>
      <c r="N56" s="89" t="s">
        <v>301</v>
      </c>
      <c r="O56" s="45">
        <v>72411</v>
      </c>
      <c r="P56" s="46" t="s">
        <v>266</v>
      </c>
      <c r="Q56" s="47" t="s">
        <v>552</v>
      </c>
      <c r="R56" s="48">
        <v>0</v>
      </c>
      <c r="S56" s="49">
        <v>30000</v>
      </c>
      <c r="T56" s="39" t="s">
        <v>553</v>
      </c>
    </row>
    <row r="57" spans="1:21" s="30" customFormat="1" ht="30" customHeight="1" x14ac:dyDescent="0.25">
      <c r="A57" s="30" t="str">
        <f t="shared" si="1"/>
        <v>BLM-FY2011-10</v>
      </c>
      <c r="B57" s="30">
        <v>2011</v>
      </c>
      <c r="C57" s="72">
        <v>10</v>
      </c>
      <c r="D57" s="30" t="s">
        <v>393</v>
      </c>
      <c r="E57" s="73" t="s">
        <v>475</v>
      </c>
      <c r="F57" s="30" t="s">
        <v>269</v>
      </c>
      <c r="G57" s="74" t="s">
        <v>4</v>
      </c>
      <c r="H57" s="74" t="s">
        <v>397</v>
      </c>
      <c r="I57" s="74" t="s">
        <v>476</v>
      </c>
      <c r="J57" s="77">
        <v>400000</v>
      </c>
      <c r="K57" s="86">
        <v>2400000</v>
      </c>
      <c r="L57" s="78">
        <v>497</v>
      </c>
      <c r="M57" s="79">
        <v>2980</v>
      </c>
      <c r="N57" s="80" t="s">
        <v>265</v>
      </c>
      <c r="O57" s="81">
        <v>1743</v>
      </c>
      <c r="P57" s="84" t="s">
        <v>266</v>
      </c>
      <c r="Q57" s="75" t="s">
        <v>477</v>
      </c>
      <c r="R57" s="76">
        <v>10000</v>
      </c>
      <c r="S57" s="69">
        <v>5000</v>
      </c>
      <c r="T57" s="73"/>
    </row>
    <row r="58" spans="1:21" s="30" customFormat="1" ht="30" customHeight="1" x14ac:dyDescent="0.25">
      <c r="A58" s="30" t="str">
        <f t="shared" si="1"/>
        <v>BLM-FY2012-3</v>
      </c>
      <c r="B58" s="30">
        <v>2012</v>
      </c>
      <c r="C58" s="72">
        <v>3</v>
      </c>
      <c r="D58" s="30" t="s">
        <v>393</v>
      </c>
      <c r="E58" s="73" t="s">
        <v>447</v>
      </c>
      <c r="F58" s="30" t="s">
        <v>269</v>
      </c>
      <c r="G58" s="74" t="s">
        <v>4</v>
      </c>
      <c r="H58" s="29" t="s">
        <v>397</v>
      </c>
      <c r="I58" s="74" t="s">
        <v>448</v>
      </c>
      <c r="J58" s="77">
        <v>6000000</v>
      </c>
      <c r="K58" s="194">
        <v>5990000</v>
      </c>
      <c r="L58" s="78">
        <v>3045</v>
      </c>
      <c r="M58" s="79">
        <v>3045</v>
      </c>
      <c r="N58" s="80" t="s">
        <v>275</v>
      </c>
      <c r="O58" s="81">
        <v>1000</v>
      </c>
      <c r="P58" s="84" t="s">
        <v>266</v>
      </c>
      <c r="Q58" s="75" t="s">
        <v>449</v>
      </c>
      <c r="R58" s="76">
        <v>5000</v>
      </c>
      <c r="S58" s="69">
        <v>5000</v>
      </c>
      <c r="T58" s="73"/>
    </row>
    <row r="59" spans="1:21" s="30" customFormat="1" ht="30" customHeight="1" x14ac:dyDescent="0.25">
      <c r="A59" s="35" t="str">
        <f t="shared" si="1"/>
        <v>FWS-FY2013-12</v>
      </c>
      <c r="B59" s="36">
        <v>2013</v>
      </c>
      <c r="C59" s="37">
        <v>12</v>
      </c>
      <c r="D59" s="36" t="s">
        <v>478</v>
      </c>
      <c r="E59" s="39" t="s">
        <v>557</v>
      </c>
      <c r="F59" s="36" t="s">
        <v>269</v>
      </c>
      <c r="G59" s="41" t="s">
        <v>558</v>
      </c>
      <c r="H59" s="90" t="s">
        <v>280</v>
      </c>
      <c r="I59" s="51" t="s">
        <v>559</v>
      </c>
      <c r="J59" s="88">
        <v>0</v>
      </c>
      <c r="K59" s="43">
        <v>2822000</v>
      </c>
      <c r="L59" s="44" t="s">
        <v>560</v>
      </c>
      <c r="M59" s="44">
        <v>1979.94</v>
      </c>
      <c r="N59" s="65" t="s">
        <v>561</v>
      </c>
      <c r="O59" s="45">
        <v>172605.87</v>
      </c>
      <c r="P59" s="46" t="s">
        <v>266</v>
      </c>
      <c r="Q59" s="47" t="s">
        <v>562</v>
      </c>
      <c r="R59" s="48">
        <v>10000</v>
      </c>
      <c r="S59" s="49">
        <v>10000</v>
      </c>
      <c r="T59" s="39" t="s">
        <v>563</v>
      </c>
    </row>
    <row r="60" spans="1:21" s="30" customFormat="1" ht="30" customHeight="1" x14ac:dyDescent="0.25">
      <c r="A60" s="66" t="str">
        <f t="shared" si="1"/>
        <v>FWS-FY2011-20</v>
      </c>
      <c r="B60" s="56">
        <v>2011</v>
      </c>
      <c r="C60" s="67">
        <v>20</v>
      </c>
      <c r="D60" s="36" t="s">
        <v>478</v>
      </c>
      <c r="E60" s="96" t="s">
        <v>521</v>
      </c>
      <c r="F60" s="36" t="s">
        <v>269</v>
      </c>
      <c r="G60" s="41" t="s">
        <v>522</v>
      </c>
      <c r="H60" s="41" t="s">
        <v>523</v>
      </c>
      <c r="I60" s="41" t="s">
        <v>524</v>
      </c>
      <c r="J60" s="88">
        <v>0</v>
      </c>
      <c r="K60" s="60">
        <v>1000000</v>
      </c>
      <c r="L60" s="93" t="s">
        <v>691</v>
      </c>
      <c r="M60" s="54">
        <v>2158</v>
      </c>
      <c r="N60" s="91" t="s">
        <v>275</v>
      </c>
      <c r="O60" s="45">
        <v>1097842</v>
      </c>
      <c r="P60" s="46" t="s">
        <v>266</v>
      </c>
      <c r="Q60" s="47" t="s">
        <v>692</v>
      </c>
      <c r="R60" s="48">
        <v>0</v>
      </c>
      <c r="S60" s="49">
        <v>2000</v>
      </c>
      <c r="T60" s="39" t="s">
        <v>665</v>
      </c>
    </row>
    <row r="61" spans="1:21" s="30" customFormat="1" ht="30" customHeight="1" x14ac:dyDescent="0.25">
      <c r="A61" s="35" t="str">
        <f t="shared" si="1"/>
        <v>FWS-FY2013-4</v>
      </c>
      <c r="B61" s="36">
        <v>2013</v>
      </c>
      <c r="C61" s="37">
        <v>4</v>
      </c>
      <c r="D61" s="36" t="s">
        <v>478</v>
      </c>
      <c r="E61" s="39" t="s">
        <v>521</v>
      </c>
      <c r="F61" s="36" t="s">
        <v>269</v>
      </c>
      <c r="G61" s="41" t="s">
        <v>522</v>
      </c>
      <c r="H61" s="51" t="s">
        <v>523</v>
      </c>
      <c r="I61" s="51" t="s">
        <v>524</v>
      </c>
      <c r="J61" s="53">
        <v>1951000</v>
      </c>
      <c r="K61" s="43">
        <v>1000000</v>
      </c>
      <c r="L61" s="44">
        <v>6503</v>
      </c>
      <c r="M61" s="54">
        <v>3333</v>
      </c>
      <c r="N61" s="65" t="s">
        <v>275</v>
      </c>
      <c r="O61" s="45">
        <v>1083328</v>
      </c>
      <c r="P61" s="46" t="s">
        <v>266</v>
      </c>
      <c r="Q61" s="47" t="s">
        <v>525</v>
      </c>
      <c r="R61" s="48">
        <v>0</v>
      </c>
      <c r="S61" s="49">
        <v>1000</v>
      </c>
      <c r="T61" s="39" t="s">
        <v>526</v>
      </c>
    </row>
    <row r="62" spans="1:21" s="30" customFormat="1" ht="30" customHeight="1" x14ac:dyDescent="0.25">
      <c r="A62" s="66" t="str">
        <f t="shared" si="1"/>
        <v>FWS-FY2011-16</v>
      </c>
      <c r="B62" s="56">
        <v>2011</v>
      </c>
      <c r="C62" s="67">
        <v>16</v>
      </c>
      <c r="D62" s="36" t="s">
        <v>478</v>
      </c>
      <c r="E62" s="96" t="s">
        <v>675</v>
      </c>
      <c r="F62" s="36" t="s">
        <v>269</v>
      </c>
      <c r="G62" s="41" t="s">
        <v>108</v>
      </c>
      <c r="H62" s="41" t="s">
        <v>676</v>
      </c>
      <c r="I62" s="41" t="s">
        <v>677</v>
      </c>
      <c r="J62" s="68">
        <v>3000000</v>
      </c>
      <c r="K62" s="60">
        <v>3000000</v>
      </c>
      <c r="L62" s="70">
        <v>1200</v>
      </c>
      <c r="M62" s="87">
        <v>1200</v>
      </c>
      <c r="N62" s="91" t="s">
        <v>265</v>
      </c>
      <c r="O62" s="62">
        <v>13073</v>
      </c>
      <c r="P62" s="46" t="s">
        <v>266</v>
      </c>
      <c r="Q62" s="47" t="s">
        <v>678</v>
      </c>
      <c r="R62" s="48">
        <v>0</v>
      </c>
      <c r="S62" s="49">
        <v>0</v>
      </c>
      <c r="T62" s="57"/>
    </row>
    <row r="63" spans="1:21" s="30" customFormat="1" ht="30" customHeight="1" x14ac:dyDescent="0.25">
      <c r="A63" s="66" t="str">
        <f t="shared" si="1"/>
        <v>FWS-FY2011-7</v>
      </c>
      <c r="B63" s="56">
        <v>2011</v>
      </c>
      <c r="C63" s="67">
        <v>7</v>
      </c>
      <c r="D63" s="36" t="s">
        <v>478</v>
      </c>
      <c r="E63" s="96" t="s">
        <v>653</v>
      </c>
      <c r="F63" s="36" t="s">
        <v>269</v>
      </c>
      <c r="G63" s="41" t="s">
        <v>22</v>
      </c>
      <c r="H63" s="41" t="s">
        <v>654</v>
      </c>
      <c r="I63" s="41" t="s">
        <v>655</v>
      </c>
      <c r="J63" s="68">
        <v>2500000</v>
      </c>
      <c r="K63" s="60">
        <v>1500000</v>
      </c>
      <c r="L63" s="70">
        <v>1515</v>
      </c>
      <c r="M63" s="87">
        <v>909</v>
      </c>
      <c r="N63" s="91" t="s">
        <v>265</v>
      </c>
      <c r="O63" s="62">
        <v>31264</v>
      </c>
      <c r="P63" s="46" t="s">
        <v>266</v>
      </c>
      <c r="Q63" s="47" t="s">
        <v>656</v>
      </c>
      <c r="R63" s="48">
        <v>0</v>
      </c>
      <c r="S63" s="49">
        <v>0</v>
      </c>
      <c r="T63" s="57"/>
    </row>
    <row r="64" spans="1:21" s="30" customFormat="1" ht="30" customHeight="1" x14ac:dyDescent="0.25">
      <c r="A64" s="36" t="str">
        <f t="shared" si="1"/>
        <v>NPS-FY2011-5</v>
      </c>
      <c r="B64" s="36">
        <v>2011</v>
      </c>
      <c r="C64" s="37">
        <v>5</v>
      </c>
      <c r="D64" s="36" t="s">
        <v>262</v>
      </c>
      <c r="E64" s="39" t="s">
        <v>358</v>
      </c>
      <c r="F64" s="36" t="s">
        <v>269</v>
      </c>
      <c r="G64" s="41" t="s">
        <v>22</v>
      </c>
      <c r="H64" s="41" t="s">
        <v>359</v>
      </c>
      <c r="I64" s="42" t="s">
        <v>360</v>
      </c>
      <c r="J64" s="53">
        <v>640000</v>
      </c>
      <c r="K64" s="43">
        <v>640000</v>
      </c>
      <c r="L64" s="44">
        <v>18</v>
      </c>
      <c r="M64" s="54">
        <v>18</v>
      </c>
      <c r="N64" s="65" t="s">
        <v>265</v>
      </c>
      <c r="O64" s="45">
        <v>0</v>
      </c>
      <c r="P64" s="46" t="s">
        <v>361</v>
      </c>
      <c r="Q64" s="47" t="s">
        <v>362</v>
      </c>
      <c r="R64" s="48" t="s">
        <v>273</v>
      </c>
      <c r="S64" s="48" t="s">
        <v>273</v>
      </c>
      <c r="T64" s="39" t="s">
        <v>363</v>
      </c>
    </row>
    <row r="65" spans="1:21" s="30" customFormat="1" ht="30" customHeight="1" x14ac:dyDescent="0.25">
      <c r="A65" s="35" t="str">
        <f t="shared" si="1"/>
        <v>NPS-FY2011-9</v>
      </c>
      <c r="B65" s="36">
        <v>2011</v>
      </c>
      <c r="C65" s="37">
        <v>9</v>
      </c>
      <c r="D65" s="36" t="s">
        <v>262</v>
      </c>
      <c r="E65" s="39" t="s">
        <v>374</v>
      </c>
      <c r="F65" s="36" t="s">
        <v>269</v>
      </c>
      <c r="G65" s="41" t="s">
        <v>110</v>
      </c>
      <c r="H65" s="41" t="s">
        <v>375</v>
      </c>
      <c r="I65" s="42" t="s">
        <v>376</v>
      </c>
      <c r="J65" s="53">
        <v>1764000</v>
      </c>
      <c r="K65" s="43">
        <v>1700000</v>
      </c>
      <c r="L65" s="44">
        <v>23</v>
      </c>
      <c r="M65" s="54">
        <v>23</v>
      </c>
      <c r="N65" s="65" t="s">
        <v>377</v>
      </c>
      <c r="O65" s="45">
        <v>1285</v>
      </c>
      <c r="P65" s="46" t="s">
        <v>266</v>
      </c>
      <c r="Q65" s="47" t="s">
        <v>378</v>
      </c>
      <c r="R65" s="48" t="s">
        <v>273</v>
      </c>
      <c r="S65" s="48" t="s">
        <v>273</v>
      </c>
      <c r="T65" s="39"/>
    </row>
    <row r="66" spans="1:21" s="30" customFormat="1" ht="30" customHeight="1" x14ac:dyDescent="0.25">
      <c r="A66" s="36" t="str">
        <f t="shared" ref="A66:A97" si="2">D66&amp;"-FY"&amp;B66&amp;"-"&amp;C66</f>
        <v>NPS-FY2014-2</v>
      </c>
      <c r="B66" s="36">
        <v>2014</v>
      </c>
      <c r="C66" s="37">
        <v>2</v>
      </c>
      <c r="D66" s="36" t="s">
        <v>262</v>
      </c>
      <c r="E66" s="39" t="s">
        <v>283</v>
      </c>
      <c r="F66" s="36" t="s">
        <v>269</v>
      </c>
      <c r="G66" s="41" t="s">
        <v>10</v>
      </c>
      <c r="H66" s="41" t="s">
        <v>284</v>
      </c>
      <c r="I66" s="42" t="s">
        <v>285</v>
      </c>
      <c r="J66" s="43">
        <v>5269000</v>
      </c>
      <c r="K66" s="43">
        <v>5269000</v>
      </c>
      <c r="L66" s="44">
        <v>37</v>
      </c>
      <c r="M66" s="54">
        <v>37</v>
      </c>
      <c r="N66" s="64" t="s">
        <v>265</v>
      </c>
      <c r="O66" s="45">
        <v>1679</v>
      </c>
      <c r="P66" s="46" t="s">
        <v>266</v>
      </c>
      <c r="Q66" s="47" t="s">
        <v>286</v>
      </c>
      <c r="R66" s="48">
        <v>0</v>
      </c>
      <c r="S66" s="49">
        <v>0</v>
      </c>
      <c r="T66" s="39"/>
    </row>
    <row r="67" spans="1:21" s="30" customFormat="1" ht="30" customHeight="1" x14ac:dyDescent="0.25">
      <c r="A67" s="36" t="str">
        <f t="shared" si="2"/>
        <v>NPS-FY2011-11</v>
      </c>
      <c r="B67" s="36">
        <v>2011</v>
      </c>
      <c r="C67" s="37">
        <v>11</v>
      </c>
      <c r="D67" s="36" t="s">
        <v>262</v>
      </c>
      <c r="E67" s="39" t="s">
        <v>382</v>
      </c>
      <c r="F67" s="36" t="s">
        <v>269</v>
      </c>
      <c r="G67" s="41" t="s">
        <v>111</v>
      </c>
      <c r="H67" s="41" t="s">
        <v>383</v>
      </c>
      <c r="I67" s="42" t="s">
        <v>384</v>
      </c>
      <c r="J67" s="53">
        <v>366000.5</v>
      </c>
      <c r="K67" s="43">
        <v>315000</v>
      </c>
      <c r="L67" s="44">
        <v>3.5</v>
      </c>
      <c r="M67" s="54">
        <v>3</v>
      </c>
      <c r="N67" s="65" t="s">
        <v>265</v>
      </c>
      <c r="O67" s="45">
        <v>1011</v>
      </c>
      <c r="P67" s="46" t="s">
        <v>266</v>
      </c>
      <c r="Q67" s="47" t="s">
        <v>385</v>
      </c>
      <c r="R67" s="48" t="s">
        <v>273</v>
      </c>
      <c r="S67" s="48" t="s">
        <v>273</v>
      </c>
      <c r="T67" s="39"/>
    </row>
    <row r="68" spans="1:21" s="30" customFormat="1" ht="30" customHeight="1" x14ac:dyDescent="0.25">
      <c r="A68" s="30" t="str">
        <f t="shared" si="2"/>
        <v>BLM-FY2011-9</v>
      </c>
      <c r="B68" s="30">
        <v>2011</v>
      </c>
      <c r="C68" s="72">
        <v>9</v>
      </c>
      <c r="D68" s="30" t="s">
        <v>393</v>
      </c>
      <c r="E68" s="73" t="s">
        <v>472</v>
      </c>
      <c r="F68" s="30" t="s">
        <v>269</v>
      </c>
      <c r="G68" s="74" t="s">
        <v>36</v>
      </c>
      <c r="H68" s="74" t="s">
        <v>407</v>
      </c>
      <c r="I68" s="74" t="s">
        <v>473</v>
      </c>
      <c r="J68" s="77">
        <v>1000000</v>
      </c>
      <c r="K68" s="86">
        <v>717000</v>
      </c>
      <c r="L68" s="78">
        <v>1165</v>
      </c>
      <c r="M68" s="79">
        <v>835</v>
      </c>
      <c r="N68" s="80" t="s">
        <v>265</v>
      </c>
      <c r="O68" s="81">
        <v>1500</v>
      </c>
      <c r="P68" s="84" t="s">
        <v>266</v>
      </c>
      <c r="Q68" s="75" t="s">
        <v>474</v>
      </c>
      <c r="R68" s="76">
        <v>10000</v>
      </c>
      <c r="S68" s="69">
        <v>5000</v>
      </c>
      <c r="T68" s="73"/>
    </row>
    <row r="69" spans="1:21" s="30" customFormat="1" ht="30" customHeight="1" x14ac:dyDescent="0.25">
      <c r="A69" s="83" t="str">
        <f t="shared" si="2"/>
        <v>BLM-FY2013-7</v>
      </c>
      <c r="B69" s="30">
        <v>2013</v>
      </c>
      <c r="C69" s="72">
        <v>7</v>
      </c>
      <c r="D69" s="30" t="s">
        <v>393</v>
      </c>
      <c r="E69" s="73" t="s">
        <v>441</v>
      </c>
      <c r="F69" s="30" t="s">
        <v>263</v>
      </c>
      <c r="G69" s="74" t="s">
        <v>36</v>
      </c>
      <c r="H69" s="29" t="s">
        <v>407</v>
      </c>
      <c r="I69" s="29" t="s">
        <v>409</v>
      </c>
      <c r="J69" s="77">
        <v>5572000</v>
      </c>
      <c r="K69" s="77">
        <v>5572000</v>
      </c>
      <c r="L69" s="78">
        <v>4620</v>
      </c>
      <c r="M69" s="79">
        <v>4620</v>
      </c>
      <c r="N69" s="80" t="s">
        <v>265</v>
      </c>
      <c r="O69" s="81">
        <v>0</v>
      </c>
      <c r="P69" s="84" t="s">
        <v>266</v>
      </c>
      <c r="Q69" s="75" t="s">
        <v>442</v>
      </c>
      <c r="R69" s="76">
        <v>5000</v>
      </c>
      <c r="S69" s="69">
        <v>1000</v>
      </c>
      <c r="T69" s="73"/>
    </row>
    <row r="70" spans="1:21" s="30" customFormat="1" ht="30" customHeight="1" x14ac:dyDescent="0.25">
      <c r="A70" s="30" t="str">
        <f t="shared" si="2"/>
        <v>BLM-FY2014-1</v>
      </c>
      <c r="B70" s="30">
        <v>2014</v>
      </c>
      <c r="C70" s="72">
        <v>1</v>
      </c>
      <c r="D70" s="30" t="s">
        <v>393</v>
      </c>
      <c r="E70" s="73" t="s">
        <v>408</v>
      </c>
      <c r="F70" s="30" t="s">
        <v>263</v>
      </c>
      <c r="G70" s="74" t="s">
        <v>36</v>
      </c>
      <c r="H70" s="74" t="s">
        <v>407</v>
      </c>
      <c r="I70" s="74" t="s">
        <v>409</v>
      </c>
      <c r="J70" s="77">
        <v>2600000</v>
      </c>
      <c r="K70" s="86">
        <v>2600000</v>
      </c>
      <c r="L70" s="78">
        <v>3680</v>
      </c>
      <c r="M70" s="79">
        <v>3680</v>
      </c>
      <c r="N70" s="80" t="s">
        <v>265</v>
      </c>
      <c r="O70" s="81">
        <v>8000</v>
      </c>
      <c r="P70" s="84" t="s">
        <v>266</v>
      </c>
      <c r="Q70" s="75" t="s">
        <v>410</v>
      </c>
      <c r="R70" s="76">
        <v>5000</v>
      </c>
      <c r="S70" s="82">
        <v>1000</v>
      </c>
      <c r="T70" s="73"/>
    </row>
    <row r="71" spans="1:21" s="30" customFormat="1" ht="30" customHeight="1" x14ac:dyDescent="0.25">
      <c r="A71" s="56" t="str">
        <f t="shared" si="2"/>
        <v>FWS-FY2011-11</v>
      </c>
      <c r="B71" s="56">
        <v>2011</v>
      </c>
      <c r="C71" s="67">
        <v>11</v>
      </c>
      <c r="D71" s="36" t="s">
        <v>478</v>
      </c>
      <c r="E71" s="96" t="s">
        <v>487</v>
      </c>
      <c r="F71" s="36" t="s">
        <v>269</v>
      </c>
      <c r="G71" s="41" t="s">
        <v>36</v>
      </c>
      <c r="H71" s="41" t="s">
        <v>280</v>
      </c>
      <c r="I71" s="41" t="s">
        <v>488</v>
      </c>
      <c r="J71" s="68">
        <v>7895000</v>
      </c>
      <c r="K71" s="60">
        <v>5300000</v>
      </c>
      <c r="L71" s="70">
        <v>17545</v>
      </c>
      <c r="M71" s="87">
        <v>11777</v>
      </c>
      <c r="N71" s="91" t="s">
        <v>275</v>
      </c>
      <c r="O71" s="62">
        <v>126035</v>
      </c>
      <c r="P71" s="46" t="s">
        <v>266</v>
      </c>
      <c r="Q71" s="47" t="s">
        <v>664</v>
      </c>
      <c r="R71" s="48">
        <v>0</v>
      </c>
      <c r="S71" s="63">
        <v>2000</v>
      </c>
      <c r="T71" s="39" t="s">
        <v>665</v>
      </c>
    </row>
    <row r="72" spans="1:21" s="30" customFormat="1" ht="30" customHeight="1" x14ac:dyDescent="0.25">
      <c r="A72" s="56" t="str">
        <f t="shared" si="2"/>
        <v>FWS-FY2011-13</v>
      </c>
      <c r="B72" s="56">
        <v>2011</v>
      </c>
      <c r="C72" s="67">
        <v>13</v>
      </c>
      <c r="D72" s="36" t="s">
        <v>478</v>
      </c>
      <c r="E72" s="96" t="s">
        <v>557</v>
      </c>
      <c r="F72" s="36" t="s">
        <v>269</v>
      </c>
      <c r="G72" s="41" t="s">
        <v>36</v>
      </c>
      <c r="H72" s="41" t="s">
        <v>280</v>
      </c>
      <c r="I72" s="41" t="s">
        <v>559</v>
      </c>
      <c r="J72" s="68">
        <v>3000000</v>
      </c>
      <c r="K72" s="60">
        <v>1500000</v>
      </c>
      <c r="L72" s="70">
        <v>670</v>
      </c>
      <c r="M72" s="87">
        <v>1484.9</v>
      </c>
      <c r="N72" s="91" t="s">
        <v>561</v>
      </c>
      <c r="O72" s="62">
        <v>25074.1</v>
      </c>
      <c r="P72" s="46" t="s">
        <v>266</v>
      </c>
      <c r="Q72" s="47" t="s">
        <v>562</v>
      </c>
      <c r="R72" s="48">
        <v>0</v>
      </c>
      <c r="S72" s="49">
        <v>10000</v>
      </c>
      <c r="T72" s="39" t="s">
        <v>667</v>
      </c>
      <c r="U72" s="40"/>
    </row>
    <row r="73" spans="1:21" s="30" customFormat="1" ht="30" customHeight="1" x14ac:dyDescent="0.25">
      <c r="A73" s="36" t="str">
        <f t="shared" si="2"/>
        <v>FWS-FY2012-14</v>
      </c>
      <c r="B73" s="36">
        <v>2012</v>
      </c>
      <c r="C73" s="37">
        <v>14</v>
      </c>
      <c r="D73" s="36" t="s">
        <v>478</v>
      </c>
      <c r="E73" s="39" t="s">
        <v>487</v>
      </c>
      <c r="F73" s="36" t="s">
        <v>269</v>
      </c>
      <c r="G73" s="41" t="s">
        <v>36</v>
      </c>
      <c r="H73" s="41" t="s">
        <v>280</v>
      </c>
      <c r="I73" s="51" t="s">
        <v>488</v>
      </c>
      <c r="J73" s="53">
        <v>8000000</v>
      </c>
      <c r="K73" s="43">
        <v>1500000</v>
      </c>
      <c r="L73" s="44">
        <v>19277</v>
      </c>
      <c r="M73" s="54">
        <v>3333</v>
      </c>
      <c r="N73" s="65" t="s">
        <v>275</v>
      </c>
      <c r="O73" s="45">
        <v>106835</v>
      </c>
      <c r="P73" s="46" t="s">
        <v>266</v>
      </c>
      <c r="Q73" s="47" t="s">
        <v>628</v>
      </c>
      <c r="R73" s="48">
        <v>0</v>
      </c>
      <c r="S73" s="49">
        <v>4000</v>
      </c>
      <c r="T73" s="39" t="s">
        <v>629</v>
      </c>
      <c r="U73" s="40"/>
    </row>
    <row r="74" spans="1:21" s="30" customFormat="1" ht="30" customHeight="1" x14ac:dyDescent="0.25">
      <c r="A74" s="36" t="str">
        <f t="shared" si="2"/>
        <v>FWS-FY2013-16</v>
      </c>
      <c r="B74" s="36">
        <v>2013</v>
      </c>
      <c r="C74" s="37">
        <v>16</v>
      </c>
      <c r="D74" s="36" t="s">
        <v>478</v>
      </c>
      <c r="E74" s="39" t="s">
        <v>497</v>
      </c>
      <c r="F74" s="36" t="s">
        <v>263</v>
      </c>
      <c r="G74" s="41" t="s">
        <v>36</v>
      </c>
      <c r="H74" s="51" t="s">
        <v>280</v>
      </c>
      <c r="I74" s="51" t="s">
        <v>498</v>
      </c>
      <c r="J74" s="53">
        <f>19742000/2</f>
        <v>9871000</v>
      </c>
      <c r="K74" s="43">
        <v>4825000</v>
      </c>
      <c r="L74" s="44">
        <f>30685/2</f>
        <v>15342.5</v>
      </c>
      <c r="M74" s="54">
        <v>3957.63</v>
      </c>
      <c r="N74" s="65" t="s">
        <v>275</v>
      </c>
      <c r="O74" s="45">
        <f>259191/2</f>
        <v>129595.5</v>
      </c>
      <c r="P74" s="46" t="s">
        <v>266</v>
      </c>
      <c r="Q74" s="47" t="s">
        <v>577</v>
      </c>
      <c r="R74" s="48">
        <v>0</v>
      </c>
      <c r="S74" s="49">
        <v>20000</v>
      </c>
      <c r="T74" s="39" t="s">
        <v>578</v>
      </c>
      <c r="U74" s="40"/>
    </row>
    <row r="75" spans="1:21" s="30" customFormat="1" ht="30" customHeight="1" x14ac:dyDescent="0.25">
      <c r="A75" s="36" t="str">
        <f t="shared" si="2"/>
        <v>FWS-FY2013-17</v>
      </c>
      <c r="B75" s="36">
        <v>2013</v>
      </c>
      <c r="C75" s="37">
        <v>17</v>
      </c>
      <c r="D75" s="36" t="s">
        <v>478</v>
      </c>
      <c r="E75" s="39" t="s">
        <v>487</v>
      </c>
      <c r="F75" s="36" t="s">
        <v>263</v>
      </c>
      <c r="G75" s="41" t="s">
        <v>36</v>
      </c>
      <c r="H75" s="51" t="s">
        <v>280</v>
      </c>
      <c r="I75" s="51" t="s">
        <v>488</v>
      </c>
      <c r="J75" s="53">
        <f>19742000/2</f>
        <v>9871000</v>
      </c>
      <c r="K75" s="43">
        <v>5018000</v>
      </c>
      <c r="L75" s="44">
        <f>30685/2</f>
        <v>15342.5</v>
      </c>
      <c r="M75" s="54">
        <v>14987.4</v>
      </c>
      <c r="N75" s="65" t="s">
        <v>275</v>
      </c>
      <c r="O75" s="45">
        <f>259191/2</f>
        <v>129595.5</v>
      </c>
      <c r="P75" s="46" t="s">
        <v>266</v>
      </c>
      <c r="Q75" s="47" t="s">
        <v>577</v>
      </c>
      <c r="R75" s="48">
        <v>0</v>
      </c>
      <c r="S75" s="49">
        <v>20000</v>
      </c>
      <c r="T75" s="39" t="s">
        <v>578</v>
      </c>
      <c r="U75" s="40"/>
    </row>
    <row r="76" spans="1:21" s="30" customFormat="1" ht="30" customHeight="1" x14ac:dyDescent="0.25">
      <c r="A76" s="36" t="str">
        <f t="shared" si="2"/>
        <v>FWS-FY2014-1</v>
      </c>
      <c r="B76" s="36">
        <v>2014</v>
      </c>
      <c r="C76" s="37">
        <v>1</v>
      </c>
      <c r="D76" s="36" t="s">
        <v>478</v>
      </c>
      <c r="E76" s="39" t="s">
        <v>497</v>
      </c>
      <c r="F76" s="36" t="s">
        <v>263</v>
      </c>
      <c r="G76" s="41" t="s">
        <v>36</v>
      </c>
      <c r="H76" s="41" t="s">
        <v>280</v>
      </c>
      <c r="I76" s="41" t="s">
        <v>498</v>
      </c>
      <c r="J76" s="43">
        <v>4680000</v>
      </c>
      <c r="K76" s="43">
        <v>4680000</v>
      </c>
      <c r="L76" s="54">
        <v>8750</v>
      </c>
      <c r="M76" s="54">
        <v>8750</v>
      </c>
      <c r="N76" s="65" t="s">
        <v>275</v>
      </c>
      <c r="O76" s="45">
        <f>259191/2</f>
        <v>129595.5</v>
      </c>
      <c r="P76" s="46" t="s">
        <v>266</v>
      </c>
      <c r="Q76" s="47" t="s">
        <v>499</v>
      </c>
      <c r="R76" s="48">
        <v>0</v>
      </c>
      <c r="S76" s="49">
        <v>20000</v>
      </c>
      <c r="T76" s="39" t="s">
        <v>500</v>
      </c>
      <c r="U76" s="40"/>
    </row>
    <row r="77" spans="1:21" s="30" customFormat="1" ht="30" customHeight="1" x14ac:dyDescent="0.25">
      <c r="A77" s="36" t="str">
        <f t="shared" si="2"/>
        <v>FWS-FY2014-2</v>
      </c>
      <c r="B77" s="36">
        <v>2014</v>
      </c>
      <c r="C77" s="37">
        <v>2</v>
      </c>
      <c r="D77" s="36" t="s">
        <v>478</v>
      </c>
      <c r="E77" s="39" t="s">
        <v>487</v>
      </c>
      <c r="F77" s="36" t="s">
        <v>263</v>
      </c>
      <c r="G77" s="41" t="s">
        <v>36</v>
      </c>
      <c r="H77" s="41" t="s">
        <v>280</v>
      </c>
      <c r="I77" s="41" t="s">
        <v>488</v>
      </c>
      <c r="J77" s="43">
        <v>7260000</v>
      </c>
      <c r="K77" s="43">
        <v>7260000</v>
      </c>
      <c r="L77" s="54">
        <v>13124</v>
      </c>
      <c r="M77" s="54">
        <v>13124</v>
      </c>
      <c r="N77" s="65" t="s">
        <v>275</v>
      </c>
      <c r="O77" s="45">
        <f>259191/2</f>
        <v>129595.5</v>
      </c>
      <c r="P77" s="46" t="s">
        <v>266</v>
      </c>
      <c r="Q77" s="47" t="s">
        <v>499</v>
      </c>
      <c r="R77" s="48">
        <v>0</v>
      </c>
      <c r="S77" s="49">
        <v>20000</v>
      </c>
      <c r="T77" s="39" t="s">
        <v>500</v>
      </c>
      <c r="U77" s="40"/>
    </row>
    <row r="78" spans="1:21" s="30" customFormat="1" ht="30" customHeight="1" x14ac:dyDescent="0.25">
      <c r="A78" s="35" t="str">
        <f t="shared" si="2"/>
        <v>NPS-FY2013-6</v>
      </c>
      <c r="B78" s="36">
        <v>2013</v>
      </c>
      <c r="C78" s="37">
        <v>6</v>
      </c>
      <c r="D78" s="36" t="s">
        <v>262</v>
      </c>
      <c r="E78" s="39" t="s">
        <v>328</v>
      </c>
      <c r="F78" s="36" t="s">
        <v>263</v>
      </c>
      <c r="G78" s="41" t="s">
        <v>36</v>
      </c>
      <c r="H78" s="37" t="s">
        <v>280</v>
      </c>
      <c r="I78" s="42" t="s">
        <v>329</v>
      </c>
      <c r="J78" s="53">
        <v>3323000</v>
      </c>
      <c r="K78" s="43">
        <v>1200000</v>
      </c>
      <c r="L78" s="44">
        <v>318</v>
      </c>
      <c r="M78" s="54">
        <v>114</v>
      </c>
      <c r="N78" s="64" t="s">
        <v>265</v>
      </c>
      <c r="O78" s="45">
        <v>97</v>
      </c>
      <c r="P78" s="46" t="s">
        <v>266</v>
      </c>
      <c r="Q78" s="47" t="s">
        <v>330</v>
      </c>
      <c r="R78" s="48">
        <v>0</v>
      </c>
      <c r="S78" s="49">
        <v>0</v>
      </c>
      <c r="T78" s="39"/>
      <c r="U78" s="40"/>
    </row>
    <row r="79" spans="1:21" s="30" customFormat="1" ht="30" customHeight="1" x14ac:dyDescent="0.25">
      <c r="A79" s="35" t="str">
        <f t="shared" si="2"/>
        <v>NPS-FY2014-1</v>
      </c>
      <c r="B79" s="36">
        <v>2014</v>
      </c>
      <c r="C79" s="37">
        <v>1</v>
      </c>
      <c r="D79" s="36" t="s">
        <v>262</v>
      </c>
      <c r="E79" s="39" t="s">
        <v>279</v>
      </c>
      <c r="F79" s="36" t="s">
        <v>263</v>
      </c>
      <c r="G79" s="41" t="s">
        <v>36</v>
      </c>
      <c r="H79" s="41" t="s">
        <v>280</v>
      </c>
      <c r="I79" s="42" t="s">
        <v>281</v>
      </c>
      <c r="J79" s="53">
        <v>1030000</v>
      </c>
      <c r="K79" s="43">
        <v>1030000</v>
      </c>
      <c r="L79" s="44">
        <v>2</v>
      </c>
      <c r="M79" s="54">
        <v>2</v>
      </c>
      <c r="N79" s="64" t="s">
        <v>265</v>
      </c>
      <c r="O79" s="45" t="s">
        <v>272</v>
      </c>
      <c r="P79" s="46" t="s">
        <v>266</v>
      </c>
      <c r="Q79" s="47" t="s">
        <v>282</v>
      </c>
      <c r="R79" s="48">
        <v>100000</v>
      </c>
      <c r="S79" s="49">
        <v>0</v>
      </c>
      <c r="T79" s="39"/>
      <c r="U79" s="40"/>
    </row>
    <row r="80" spans="1:21" s="30" customFormat="1" ht="30" customHeight="1" x14ac:dyDescent="0.25">
      <c r="A80" s="133" t="str">
        <f t="shared" si="2"/>
        <v>NPS-FY2013-1</v>
      </c>
      <c r="B80" s="115">
        <v>2013</v>
      </c>
      <c r="C80" s="116">
        <v>1</v>
      </c>
      <c r="D80" s="115" t="s">
        <v>262</v>
      </c>
      <c r="E80" s="117" t="s">
        <v>310</v>
      </c>
      <c r="F80" s="115" t="s">
        <v>269</v>
      </c>
      <c r="G80" s="118" t="s">
        <v>274</v>
      </c>
      <c r="H80" s="116" t="s">
        <v>274</v>
      </c>
      <c r="I80" s="136" t="s">
        <v>300</v>
      </c>
      <c r="J80" s="120">
        <v>5000000</v>
      </c>
      <c r="K80" s="121">
        <v>5000000</v>
      </c>
      <c r="L80" s="137" t="s">
        <v>311</v>
      </c>
      <c r="M80" s="138">
        <v>200</v>
      </c>
      <c r="N80" s="139" t="s">
        <v>301</v>
      </c>
      <c r="O80" s="124" t="s">
        <v>311</v>
      </c>
      <c r="P80" s="125" t="s">
        <v>266</v>
      </c>
      <c r="Q80" s="126" t="s">
        <v>312</v>
      </c>
      <c r="R80" s="140">
        <v>0</v>
      </c>
      <c r="S80" s="128">
        <v>0</v>
      </c>
      <c r="T80" s="117"/>
      <c r="U80" s="129" t="s">
        <v>709</v>
      </c>
    </row>
    <row r="81" spans="1:21" s="30" customFormat="1" ht="30" customHeight="1" x14ac:dyDescent="0.25">
      <c r="A81" s="133" t="str">
        <f t="shared" si="2"/>
        <v>NPS-FY2013-2</v>
      </c>
      <c r="B81" s="115">
        <v>2013</v>
      </c>
      <c r="C81" s="116">
        <v>2</v>
      </c>
      <c r="D81" s="115" t="s">
        <v>262</v>
      </c>
      <c r="E81" s="117" t="s">
        <v>313</v>
      </c>
      <c r="F81" s="115" t="s">
        <v>269</v>
      </c>
      <c r="G81" s="118" t="s">
        <v>274</v>
      </c>
      <c r="H81" s="116" t="s">
        <v>274</v>
      </c>
      <c r="I81" s="136" t="s">
        <v>300</v>
      </c>
      <c r="J81" s="120">
        <v>4000000</v>
      </c>
      <c r="K81" s="121">
        <v>4000000</v>
      </c>
      <c r="L81" s="137" t="s">
        <v>311</v>
      </c>
      <c r="M81" s="141" t="s">
        <v>314</v>
      </c>
      <c r="N81" s="139" t="s">
        <v>301</v>
      </c>
      <c r="O81" s="124" t="s">
        <v>311</v>
      </c>
      <c r="P81" s="125" t="s">
        <v>266</v>
      </c>
      <c r="Q81" s="126" t="s">
        <v>315</v>
      </c>
      <c r="R81" s="140">
        <v>0</v>
      </c>
      <c r="S81" s="128">
        <v>0</v>
      </c>
      <c r="T81" s="117" t="s">
        <v>316</v>
      </c>
      <c r="U81" s="129" t="s">
        <v>709</v>
      </c>
    </row>
    <row r="82" spans="1:21" s="30" customFormat="1" ht="30" customHeight="1" x14ac:dyDescent="0.25">
      <c r="A82" s="115" t="str">
        <f t="shared" si="2"/>
        <v>NPS-FY2014-6</v>
      </c>
      <c r="B82" s="115">
        <v>2014</v>
      </c>
      <c r="C82" s="116">
        <v>6</v>
      </c>
      <c r="D82" s="115" t="s">
        <v>262</v>
      </c>
      <c r="E82" s="117" t="s">
        <v>299</v>
      </c>
      <c r="F82" s="115" t="s">
        <v>269</v>
      </c>
      <c r="G82" s="132" t="s">
        <v>274</v>
      </c>
      <c r="H82" s="118" t="s">
        <v>273</v>
      </c>
      <c r="I82" s="136" t="s">
        <v>300</v>
      </c>
      <c r="J82" s="120">
        <v>5500000</v>
      </c>
      <c r="K82" s="121">
        <v>5500000</v>
      </c>
      <c r="L82" s="122" t="s">
        <v>273</v>
      </c>
      <c r="M82" s="135">
        <v>826</v>
      </c>
      <c r="N82" s="134" t="s">
        <v>301</v>
      </c>
      <c r="O82" s="124" t="s">
        <v>273</v>
      </c>
      <c r="P82" s="125" t="s">
        <v>266</v>
      </c>
      <c r="Q82" s="126" t="s">
        <v>302</v>
      </c>
      <c r="R82" s="127">
        <v>0</v>
      </c>
      <c r="S82" s="128">
        <v>0</v>
      </c>
      <c r="T82" s="117"/>
      <c r="U82" s="129" t="s">
        <v>709</v>
      </c>
    </row>
    <row r="83" spans="1:21" s="30" customFormat="1" ht="30" customHeight="1" x14ac:dyDescent="0.25">
      <c r="A83" s="66" t="str">
        <f t="shared" si="2"/>
        <v>FWS-FY2011-6</v>
      </c>
      <c r="B83" s="56">
        <v>2011</v>
      </c>
      <c r="C83" s="67">
        <v>6</v>
      </c>
      <c r="D83" s="36" t="s">
        <v>478</v>
      </c>
      <c r="E83" s="96" t="s">
        <v>649</v>
      </c>
      <c r="F83" s="36" t="s">
        <v>269</v>
      </c>
      <c r="G83" s="41" t="s">
        <v>116</v>
      </c>
      <c r="H83" s="41" t="s">
        <v>650</v>
      </c>
      <c r="I83" s="41" t="s">
        <v>274</v>
      </c>
      <c r="J83" s="68">
        <v>2500000</v>
      </c>
      <c r="K83" s="60">
        <v>1000000</v>
      </c>
      <c r="L83" s="70">
        <v>14286</v>
      </c>
      <c r="M83" s="87">
        <v>5714</v>
      </c>
      <c r="N83" s="91" t="s">
        <v>275</v>
      </c>
      <c r="O83" s="62">
        <v>244055</v>
      </c>
      <c r="P83" s="46" t="s">
        <v>266</v>
      </c>
      <c r="Q83" s="47" t="s">
        <v>651</v>
      </c>
      <c r="R83" s="48">
        <v>0</v>
      </c>
      <c r="S83" s="63">
        <v>2000</v>
      </c>
      <c r="T83" s="39" t="s">
        <v>652</v>
      </c>
      <c r="U83" s="40"/>
    </row>
    <row r="84" spans="1:21" s="30" customFormat="1" ht="30" customHeight="1" x14ac:dyDescent="0.25">
      <c r="A84" s="56" t="str">
        <f t="shared" si="2"/>
        <v>FWS-FY2011-5</v>
      </c>
      <c r="B84" s="56">
        <v>2011</v>
      </c>
      <c r="C84" s="67">
        <v>5</v>
      </c>
      <c r="D84" s="36" t="s">
        <v>478</v>
      </c>
      <c r="E84" s="96" t="s">
        <v>515</v>
      </c>
      <c r="F84" s="36" t="s">
        <v>269</v>
      </c>
      <c r="G84" s="41" t="s">
        <v>482</v>
      </c>
      <c r="H84" s="41" t="s">
        <v>483</v>
      </c>
      <c r="I84" s="41" t="s">
        <v>274</v>
      </c>
      <c r="J84" s="68">
        <v>3000000</v>
      </c>
      <c r="K84" s="60">
        <v>1000000</v>
      </c>
      <c r="L84" s="70">
        <v>6667</v>
      </c>
      <c r="M84" s="87">
        <v>2222</v>
      </c>
      <c r="N84" s="91" t="s">
        <v>275</v>
      </c>
      <c r="O84" s="62">
        <v>123394</v>
      </c>
      <c r="P84" s="46" t="s">
        <v>266</v>
      </c>
      <c r="Q84" s="47" t="s">
        <v>647</v>
      </c>
      <c r="R84" s="48">
        <v>0</v>
      </c>
      <c r="S84" s="49">
        <v>1000</v>
      </c>
      <c r="T84" s="39" t="s">
        <v>648</v>
      </c>
      <c r="U84" s="40"/>
    </row>
    <row r="85" spans="1:21" s="30" customFormat="1" ht="30" customHeight="1" x14ac:dyDescent="0.25">
      <c r="A85" s="35" t="str">
        <f t="shared" si="2"/>
        <v>FWS-FY2012-16</v>
      </c>
      <c r="B85" s="36">
        <v>2012</v>
      </c>
      <c r="C85" s="37">
        <v>16</v>
      </c>
      <c r="D85" s="36" t="s">
        <v>478</v>
      </c>
      <c r="E85" s="39" t="s">
        <v>501</v>
      </c>
      <c r="F85" s="36" t="s">
        <v>269</v>
      </c>
      <c r="G85" s="41" t="s">
        <v>482</v>
      </c>
      <c r="H85" s="41" t="s">
        <v>483</v>
      </c>
      <c r="I85" s="51" t="s">
        <v>274</v>
      </c>
      <c r="J85" s="88">
        <v>0</v>
      </c>
      <c r="K85" s="43">
        <v>1000000</v>
      </c>
      <c r="L85" s="65" t="s">
        <v>631</v>
      </c>
      <c r="M85" s="54">
        <v>4160</v>
      </c>
      <c r="N85" s="65" t="s">
        <v>275</v>
      </c>
      <c r="O85" s="45">
        <v>296323.95</v>
      </c>
      <c r="P85" s="46" t="s">
        <v>266</v>
      </c>
      <c r="Q85" s="47" t="s">
        <v>634</v>
      </c>
      <c r="R85" s="48">
        <v>0</v>
      </c>
      <c r="S85" s="49">
        <v>3500</v>
      </c>
      <c r="T85" s="39" t="s">
        <v>635</v>
      </c>
      <c r="U85" s="40"/>
    </row>
    <row r="86" spans="1:21" s="30" customFormat="1" ht="30" customHeight="1" x14ac:dyDescent="0.25">
      <c r="A86" s="36" t="str">
        <f t="shared" si="2"/>
        <v>FWS-FY2013-1</v>
      </c>
      <c r="B86" s="36">
        <v>2013</v>
      </c>
      <c r="C86" s="37">
        <v>1</v>
      </c>
      <c r="D86" s="36" t="s">
        <v>478</v>
      </c>
      <c r="E86" s="39" t="s">
        <v>501</v>
      </c>
      <c r="F86" s="36" t="s">
        <v>269</v>
      </c>
      <c r="G86" s="41" t="s">
        <v>482</v>
      </c>
      <c r="H86" s="51" t="s">
        <v>483</v>
      </c>
      <c r="I86" s="51" t="s">
        <v>274</v>
      </c>
      <c r="J86" s="53">
        <v>2500000</v>
      </c>
      <c r="K86" s="43">
        <v>2500000</v>
      </c>
      <c r="L86" s="44">
        <v>10333</v>
      </c>
      <c r="M86" s="54">
        <v>10333</v>
      </c>
      <c r="N86" s="65" t="s">
        <v>275</v>
      </c>
      <c r="O86" s="45">
        <v>281187</v>
      </c>
      <c r="P86" s="46" t="s">
        <v>266</v>
      </c>
      <c r="Q86" s="47" t="s">
        <v>513</v>
      </c>
      <c r="R86" s="48">
        <v>0</v>
      </c>
      <c r="S86" s="49">
        <v>3500</v>
      </c>
      <c r="T86" s="39" t="s">
        <v>514</v>
      </c>
      <c r="U86" s="40"/>
    </row>
    <row r="87" spans="1:21" s="30" customFormat="1" ht="30" customHeight="1" x14ac:dyDescent="0.25">
      <c r="A87" s="36" t="str">
        <f t="shared" si="2"/>
        <v>FWS-FY2013-2</v>
      </c>
      <c r="B87" s="36">
        <v>2013</v>
      </c>
      <c r="C87" s="37">
        <v>2</v>
      </c>
      <c r="D87" s="36" t="s">
        <v>478</v>
      </c>
      <c r="E87" s="39" t="s">
        <v>515</v>
      </c>
      <c r="F87" s="36" t="s">
        <v>269</v>
      </c>
      <c r="G87" s="41" t="s">
        <v>482</v>
      </c>
      <c r="H87" s="51" t="s">
        <v>483</v>
      </c>
      <c r="I87" s="51" t="s">
        <v>274</v>
      </c>
      <c r="J87" s="53">
        <v>500000</v>
      </c>
      <c r="K87" s="43">
        <v>500000</v>
      </c>
      <c r="L87" s="44">
        <v>1020</v>
      </c>
      <c r="M87" s="54">
        <v>1020</v>
      </c>
      <c r="N87" s="65" t="s">
        <v>275</v>
      </c>
      <c r="O87" s="45">
        <v>124478</v>
      </c>
      <c r="P87" s="46" t="s">
        <v>266</v>
      </c>
      <c r="Q87" s="47" t="s">
        <v>516</v>
      </c>
      <c r="R87" s="48">
        <v>0</v>
      </c>
      <c r="S87" s="49">
        <v>1500</v>
      </c>
      <c r="T87" s="39" t="s">
        <v>517</v>
      </c>
      <c r="U87" s="40"/>
    </row>
    <row r="88" spans="1:21" s="30" customFormat="1" ht="30" customHeight="1" x14ac:dyDescent="0.25">
      <c r="A88" s="36" t="str">
        <f t="shared" si="2"/>
        <v>FWS-FY2014-3</v>
      </c>
      <c r="B88" s="36">
        <v>2014</v>
      </c>
      <c r="C88" s="37">
        <v>3</v>
      </c>
      <c r="D88" s="36" t="s">
        <v>478</v>
      </c>
      <c r="E88" s="39" t="s">
        <v>501</v>
      </c>
      <c r="F88" s="36" t="s">
        <v>269</v>
      </c>
      <c r="G88" s="41" t="s">
        <v>482</v>
      </c>
      <c r="H88" s="41" t="s">
        <v>502</v>
      </c>
      <c r="I88" s="41" t="s">
        <v>274</v>
      </c>
      <c r="J88" s="43">
        <v>8650000</v>
      </c>
      <c r="K88" s="43">
        <v>8650000</v>
      </c>
      <c r="L88" s="44">
        <v>23053</v>
      </c>
      <c r="M88" s="54">
        <v>23053</v>
      </c>
      <c r="N88" s="65" t="s">
        <v>275</v>
      </c>
      <c r="O88" s="45">
        <v>1902261</v>
      </c>
      <c r="P88" s="46" t="s">
        <v>266</v>
      </c>
      <c r="Q88" s="47" t="s">
        <v>503</v>
      </c>
      <c r="R88" s="48">
        <v>0</v>
      </c>
      <c r="S88" s="49">
        <v>3600</v>
      </c>
      <c r="T88" s="39" t="s">
        <v>504</v>
      </c>
      <c r="U88" s="40"/>
    </row>
    <row r="89" spans="1:21" s="30" customFormat="1" ht="30" customHeight="1" x14ac:dyDescent="0.25">
      <c r="A89" s="36" t="str">
        <f t="shared" si="2"/>
        <v>FWS-FY2011-17</v>
      </c>
      <c r="B89" s="56">
        <v>2011</v>
      </c>
      <c r="C89" s="67">
        <v>17</v>
      </c>
      <c r="D89" s="36" t="s">
        <v>478</v>
      </c>
      <c r="E89" s="96" t="s">
        <v>679</v>
      </c>
      <c r="F89" s="36" t="s">
        <v>269</v>
      </c>
      <c r="G89" s="41" t="s">
        <v>680</v>
      </c>
      <c r="H89" s="41" t="s">
        <v>681</v>
      </c>
      <c r="I89" s="41" t="s">
        <v>682</v>
      </c>
      <c r="J89" s="53">
        <v>2000000</v>
      </c>
      <c r="K89" s="43">
        <v>2240000</v>
      </c>
      <c r="L89" s="44">
        <v>2000</v>
      </c>
      <c r="M89" s="54">
        <v>2240</v>
      </c>
      <c r="N89" s="91" t="s">
        <v>265</v>
      </c>
      <c r="O89" s="45">
        <v>47303</v>
      </c>
      <c r="P89" s="46" t="s">
        <v>266</v>
      </c>
      <c r="Q89" s="47" t="s">
        <v>683</v>
      </c>
      <c r="R89" s="48">
        <v>0</v>
      </c>
      <c r="S89" s="49">
        <v>0</v>
      </c>
      <c r="T89" s="39"/>
      <c r="U89" s="40"/>
    </row>
    <row r="90" spans="1:21" s="30" customFormat="1" ht="30" customHeight="1" x14ac:dyDescent="0.25">
      <c r="A90" s="35" t="str">
        <f t="shared" si="2"/>
        <v>FWS-FY2011-21</v>
      </c>
      <c r="B90" s="56">
        <v>2011</v>
      </c>
      <c r="C90" s="67">
        <v>21</v>
      </c>
      <c r="D90" s="36" t="s">
        <v>478</v>
      </c>
      <c r="E90" s="96" t="s">
        <v>693</v>
      </c>
      <c r="F90" s="36" t="s">
        <v>269</v>
      </c>
      <c r="G90" s="41" t="s">
        <v>122</v>
      </c>
      <c r="H90" s="41" t="s">
        <v>694</v>
      </c>
      <c r="I90" s="41" t="s">
        <v>695</v>
      </c>
      <c r="J90" s="53">
        <v>1100000</v>
      </c>
      <c r="K90" s="43">
        <v>250000</v>
      </c>
      <c r="L90" s="93" t="s">
        <v>691</v>
      </c>
      <c r="M90" s="54">
        <v>66.31</v>
      </c>
      <c r="N90" s="91" t="s">
        <v>265</v>
      </c>
      <c r="O90" s="45">
        <v>12663</v>
      </c>
      <c r="P90" s="46" t="s">
        <v>266</v>
      </c>
      <c r="Q90" s="47" t="s">
        <v>696</v>
      </c>
      <c r="R90" s="48">
        <v>0</v>
      </c>
      <c r="S90" s="49">
        <v>5000</v>
      </c>
      <c r="T90" s="39"/>
      <c r="U90" s="40"/>
    </row>
    <row r="91" spans="1:21" s="30" customFormat="1" ht="30" customHeight="1" x14ac:dyDescent="0.25">
      <c r="A91" s="83" t="str">
        <f t="shared" si="2"/>
        <v>BLM-FY2011-2</v>
      </c>
      <c r="B91" s="30">
        <v>2011</v>
      </c>
      <c r="C91" s="72">
        <v>2</v>
      </c>
      <c r="D91" s="30" t="s">
        <v>393</v>
      </c>
      <c r="E91" s="73" t="s">
        <v>460</v>
      </c>
      <c r="F91" s="30" t="s">
        <v>269</v>
      </c>
      <c r="G91" s="74" t="s">
        <v>64</v>
      </c>
      <c r="H91" s="74" t="s">
        <v>461</v>
      </c>
      <c r="I91" s="74" t="s">
        <v>462</v>
      </c>
      <c r="J91" s="77">
        <v>1750000</v>
      </c>
      <c r="K91" s="86">
        <v>750000</v>
      </c>
      <c r="L91" s="78">
        <v>7440</v>
      </c>
      <c r="M91" s="79">
        <v>1383</v>
      </c>
      <c r="N91" s="80" t="s">
        <v>265</v>
      </c>
      <c r="O91" s="81">
        <v>640</v>
      </c>
      <c r="P91" s="84" t="s">
        <v>266</v>
      </c>
      <c r="Q91" s="75" t="s">
        <v>463</v>
      </c>
      <c r="R91" s="76">
        <v>1000</v>
      </c>
      <c r="S91" s="69">
        <v>10000</v>
      </c>
      <c r="T91" s="73"/>
      <c r="U91" s="40"/>
    </row>
    <row r="92" spans="1:21" s="40" customFormat="1" ht="30" customHeight="1" x14ac:dyDescent="0.25">
      <c r="A92" s="35" t="str">
        <f t="shared" si="2"/>
        <v>FWS-FY2012-17</v>
      </c>
      <c r="B92" s="36">
        <v>2012</v>
      </c>
      <c r="C92" s="37">
        <v>17</v>
      </c>
      <c r="D92" s="36" t="s">
        <v>478</v>
      </c>
      <c r="E92" s="39" t="s">
        <v>527</v>
      </c>
      <c r="F92" s="36" t="s">
        <v>269</v>
      </c>
      <c r="G92" s="41" t="s">
        <v>64</v>
      </c>
      <c r="H92" s="41" t="s">
        <v>528</v>
      </c>
      <c r="I92" s="51" t="s">
        <v>529</v>
      </c>
      <c r="J92" s="88">
        <v>0</v>
      </c>
      <c r="K92" s="43">
        <v>1258000</v>
      </c>
      <c r="L92" s="65" t="s">
        <v>631</v>
      </c>
      <c r="M92" s="54">
        <v>570</v>
      </c>
      <c r="N92" s="91" t="s">
        <v>265</v>
      </c>
      <c r="O92" s="45">
        <v>0</v>
      </c>
      <c r="P92" s="46" t="s">
        <v>266</v>
      </c>
      <c r="Q92" s="47" t="s">
        <v>636</v>
      </c>
      <c r="R92" s="48">
        <v>35000</v>
      </c>
      <c r="S92" s="49">
        <v>10000</v>
      </c>
      <c r="T92" s="39" t="s">
        <v>637</v>
      </c>
    </row>
    <row r="93" spans="1:21" s="40" customFormat="1" ht="30" customHeight="1" x14ac:dyDescent="0.25">
      <c r="A93" s="36" t="str">
        <f t="shared" si="2"/>
        <v>FWS-FY2013-5</v>
      </c>
      <c r="B93" s="36">
        <v>2013</v>
      </c>
      <c r="C93" s="37">
        <v>5</v>
      </c>
      <c r="D93" s="36" t="s">
        <v>478</v>
      </c>
      <c r="E93" s="39" t="s">
        <v>527</v>
      </c>
      <c r="F93" s="36" t="s">
        <v>269</v>
      </c>
      <c r="G93" s="41" t="s">
        <v>64</v>
      </c>
      <c r="H93" s="51" t="s">
        <v>528</v>
      </c>
      <c r="I93" s="51" t="s">
        <v>529</v>
      </c>
      <c r="J93" s="53">
        <v>1500000</v>
      </c>
      <c r="K93" s="43">
        <v>1500000</v>
      </c>
      <c r="L93" s="44">
        <v>100</v>
      </c>
      <c r="M93" s="54">
        <v>100</v>
      </c>
      <c r="N93" s="65" t="s">
        <v>265</v>
      </c>
      <c r="O93" s="45"/>
      <c r="P93" s="46" t="s">
        <v>266</v>
      </c>
      <c r="Q93" s="47" t="s">
        <v>530</v>
      </c>
      <c r="R93" s="48">
        <v>35000</v>
      </c>
      <c r="S93" s="49">
        <v>0</v>
      </c>
      <c r="T93" s="39" t="s">
        <v>531</v>
      </c>
    </row>
    <row r="94" spans="1:21" s="40" customFormat="1" ht="30" customHeight="1" x14ac:dyDescent="0.25">
      <c r="A94" s="36" t="str">
        <f t="shared" si="2"/>
        <v>NPS-FY2011-6</v>
      </c>
      <c r="B94" s="36">
        <v>2011</v>
      </c>
      <c r="C94" s="37">
        <v>6</v>
      </c>
      <c r="D94" s="36" t="s">
        <v>262</v>
      </c>
      <c r="E94" s="39" t="s">
        <v>364</v>
      </c>
      <c r="F94" s="36" t="s">
        <v>269</v>
      </c>
      <c r="G94" s="41" t="s">
        <v>365</v>
      </c>
      <c r="H94" s="41" t="s">
        <v>366</v>
      </c>
      <c r="I94" s="42" t="s">
        <v>367</v>
      </c>
      <c r="J94" s="53">
        <v>1575000</v>
      </c>
      <c r="K94" s="43">
        <v>1250000</v>
      </c>
      <c r="L94" s="44">
        <v>1.5</v>
      </c>
      <c r="M94" s="54">
        <v>2</v>
      </c>
      <c r="N94" s="65" t="s">
        <v>265</v>
      </c>
      <c r="O94" s="45">
        <v>154</v>
      </c>
      <c r="P94" s="46" t="s">
        <v>266</v>
      </c>
      <c r="Q94" s="47" t="s">
        <v>368</v>
      </c>
      <c r="R94" s="48" t="s">
        <v>273</v>
      </c>
      <c r="S94" s="48" t="s">
        <v>273</v>
      </c>
      <c r="T94" s="39"/>
    </row>
    <row r="95" spans="1:21" s="40" customFormat="1" ht="30" customHeight="1" x14ac:dyDescent="0.25">
      <c r="A95" s="35" t="str">
        <f t="shared" si="2"/>
        <v>NPS-FY2011-7</v>
      </c>
      <c r="B95" s="36">
        <v>2011</v>
      </c>
      <c r="C95" s="37">
        <v>7</v>
      </c>
      <c r="D95" s="36" t="s">
        <v>262</v>
      </c>
      <c r="E95" s="39" t="s">
        <v>369</v>
      </c>
      <c r="F95" s="36" t="s">
        <v>269</v>
      </c>
      <c r="G95" s="41" t="s">
        <v>65</v>
      </c>
      <c r="H95" s="41" t="s">
        <v>370</v>
      </c>
      <c r="I95" s="42" t="s">
        <v>371</v>
      </c>
      <c r="J95" s="53">
        <v>6816000</v>
      </c>
      <c r="K95" s="43">
        <v>5400000</v>
      </c>
      <c r="L95" s="44">
        <v>418</v>
      </c>
      <c r="M95" s="54">
        <v>330</v>
      </c>
      <c r="N95" s="65" t="s">
        <v>265</v>
      </c>
      <c r="O95" s="45">
        <v>1006</v>
      </c>
      <c r="P95" s="46" t="s">
        <v>266</v>
      </c>
      <c r="Q95" s="47" t="s">
        <v>372</v>
      </c>
      <c r="R95" s="48" t="s">
        <v>273</v>
      </c>
      <c r="S95" s="48" t="s">
        <v>273</v>
      </c>
      <c r="T95" s="39"/>
    </row>
    <row r="96" spans="1:21" s="40" customFormat="1" ht="30" customHeight="1" x14ac:dyDescent="0.25">
      <c r="A96" s="83" t="str">
        <f t="shared" si="2"/>
        <v>BLM-FY2011-3</v>
      </c>
      <c r="B96" s="30">
        <v>2011</v>
      </c>
      <c r="C96" s="72">
        <v>3</v>
      </c>
      <c r="D96" s="30" t="s">
        <v>393</v>
      </c>
      <c r="E96" s="73" t="s">
        <v>433</v>
      </c>
      <c r="F96" s="30" t="s">
        <v>269</v>
      </c>
      <c r="G96" s="74" t="s">
        <v>2</v>
      </c>
      <c r="H96" s="74" t="s">
        <v>398</v>
      </c>
      <c r="I96" s="74" t="s">
        <v>406</v>
      </c>
      <c r="J96" s="77">
        <v>7500000</v>
      </c>
      <c r="K96" s="86">
        <v>3393000</v>
      </c>
      <c r="L96" s="78">
        <v>5400</v>
      </c>
      <c r="M96" s="79">
        <v>2435</v>
      </c>
      <c r="N96" s="80" t="s">
        <v>265</v>
      </c>
      <c r="O96" s="81">
        <v>3656</v>
      </c>
      <c r="P96" s="84" t="s">
        <v>266</v>
      </c>
      <c r="Q96" s="75" t="s">
        <v>464</v>
      </c>
      <c r="R96" s="76">
        <v>3000</v>
      </c>
      <c r="S96" s="69">
        <v>25000</v>
      </c>
      <c r="T96" s="73"/>
    </row>
    <row r="97" spans="1:21" s="40" customFormat="1" ht="30" customHeight="1" x14ac:dyDescent="0.25">
      <c r="A97" s="30" t="str">
        <f t="shared" si="2"/>
        <v>BLM-FY2011-5</v>
      </c>
      <c r="B97" s="30">
        <v>2011</v>
      </c>
      <c r="C97" s="72">
        <v>5</v>
      </c>
      <c r="D97" s="30" t="s">
        <v>393</v>
      </c>
      <c r="E97" s="73" t="s">
        <v>466</v>
      </c>
      <c r="F97" s="30" t="s">
        <v>269</v>
      </c>
      <c r="G97" s="74" t="s">
        <v>2</v>
      </c>
      <c r="H97" s="74" t="s">
        <v>467</v>
      </c>
      <c r="I97" s="74" t="s">
        <v>399</v>
      </c>
      <c r="J97" s="77">
        <v>1500000</v>
      </c>
      <c r="K97" s="77">
        <v>1500000</v>
      </c>
      <c r="L97" s="78">
        <v>245</v>
      </c>
      <c r="M97" s="79">
        <v>245</v>
      </c>
      <c r="N97" s="80" t="s">
        <v>265</v>
      </c>
      <c r="O97" s="81">
        <v>1005</v>
      </c>
      <c r="P97" s="84" t="s">
        <v>266</v>
      </c>
      <c r="Q97" s="75" t="s">
        <v>468</v>
      </c>
      <c r="R97" s="76">
        <v>5000</v>
      </c>
      <c r="S97" s="69">
        <v>1500</v>
      </c>
      <c r="T97" s="73"/>
    </row>
    <row r="98" spans="1:21" s="40" customFormat="1" ht="30" customHeight="1" x14ac:dyDescent="0.25">
      <c r="A98" s="30" t="str">
        <f t="shared" ref="A98:A123" si="3">D98&amp;"-FY"&amp;B98&amp;"-"&amp;C98</f>
        <v>BLM-FY2012-1</v>
      </c>
      <c r="B98" s="30">
        <v>2012</v>
      </c>
      <c r="C98" s="72">
        <v>1</v>
      </c>
      <c r="D98" s="30" t="s">
        <v>393</v>
      </c>
      <c r="E98" s="73" t="s">
        <v>443</v>
      </c>
      <c r="F98" s="30" t="s">
        <v>269</v>
      </c>
      <c r="G98" s="74" t="s">
        <v>2</v>
      </c>
      <c r="H98" s="74" t="s">
        <v>398</v>
      </c>
      <c r="I98" s="29" t="s">
        <v>406</v>
      </c>
      <c r="J98" s="77">
        <v>6000000</v>
      </c>
      <c r="K98" s="86">
        <v>5990400</v>
      </c>
      <c r="L98" s="78">
        <v>4080</v>
      </c>
      <c r="M98" s="79">
        <v>4080</v>
      </c>
      <c r="N98" s="80" t="s">
        <v>265</v>
      </c>
      <c r="O98" s="81">
        <v>6620</v>
      </c>
      <c r="P98" s="84" t="s">
        <v>266</v>
      </c>
      <c r="Q98" s="75" t="s">
        <v>444</v>
      </c>
      <c r="R98" s="76">
        <v>1000</v>
      </c>
      <c r="S98" s="69">
        <v>10000</v>
      </c>
      <c r="T98" s="73"/>
    </row>
    <row r="99" spans="1:21" s="40" customFormat="1" ht="30" customHeight="1" x14ac:dyDescent="0.25">
      <c r="A99" s="30" t="str">
        <f t="shared" si="3"/>
        <v>BLM-FY2013-4</v>
      </c>
      <c r="B99" s="30">
        <v>2013</v>
      </c>
      <c r="C99" s="72">
        <v>4</v>
      </c>
      <c r="D99" s="30" t="s">
        <v>393</v>
      </c>
      <c r="E99" s="73" t="s">
        <v>433</v>
      </c>
      <c r="F99" s="30" t="s">
        <v>269</v>
      </c>
      <c r="G99" s="74" t="s">
        <v>2</v>
      </c>
      <c r="H99" s="29" t="s">
        <v>398</v>
      </c>
      <c r="I99" s="29" t="s">
        <v>406</v>
      </c>
      <c r="J99" s="77">
        <v>2000000</v>
      </c>
      <c r="K99" s="86">
        <v>76000</v>
      </c>
      <c r="L99" s="78">
        <v>1287</v>
      </c>
      <c r="M99" s="79">
        <v>40</v>
      </c>
      <c r="N99" s="80" t="s">
        <v>265</v>
      </c>
      <c r="O99" s="81">
        <v>11965</v>
      </c>
      <c r="P99" s="84" t="s">
        <v>266</v>
      </c>
      <c r="Q99" s="75" t="s">
        <v>434</v>
      </c>
      <c r="R99" s="76">
        <v>1000</v>
      </c>
      <c r="S99" s="69">
        <v>10000</v>
      </c>
      <c r="T99" s="73"/>
    </row>
    <row r="100" spans="1:21" s="40" customFormat="1" ht="30" customHeight="1" x14ac:dyDescent="0.25">
      <c r="A100" s="35" t="str">
        <f t="shared" si="3"/>
        <v>FWS-FY2011-8</v>
      </c>
      <c r="B100" s="56">
        <v>2011</v>
      </c>
      <c r="C100" s="67">
        <v>8</v>
      </c>
      <c r="D100" s="36" t="s">
        <v>478</v>
      </c>
      <c r="E100" s="96" t="s">
        <v>619</v>
      </c>
      <c r="F100" s="36" t="s">
        <v>269</v>
      </c>
      <c r="G100" s="41" t="s">
        <v>131</v>
      </c>
      <c r="H100" s="41" t="s">
        <v>603</v>
      </c>
      <c r="I100" s="41" t="s">
        <v>620</v>
      </c>
      <c r="J100" s="53">
        <v>2125000</v>
      </c>
      <c r="K100" s="43">
        <v>1250000</v>
      </c>
      <c r="L100" s="44">
        <v>738</v>
      </c>
      <c r="M100" s="54">
        <v>434</v>
      </c>
      <c r="N100" s="91" t="s">
        <v>265</v>
      </c>
      <c r="O100" s="45">
        <v>35223</v>
      </c>
      <c r="P100" s="46" t="s">
        <v>266</v>
      </c>
      <c r="Q100" s="47" t="s">
        <v>657</v>
      </c>
      <c r="R100" s="48">
        <v>0</v>
      </c>
      <c r="S100" s="49">
        <v>0</v>
      </c>
      <c r="T100" s="39"/>
    </row>
    <row r="101" spans="1:21" s="129" customFormat="1" ht="30" customHeight="1" x14ac:dyDescent="0.25">
      <c r="A101" s="36" t="str">
        <f t="shared" si="3"/>
        <v>FWS-FY2012-10</v>
      </c>
      <c r="B101" s="36">
        <v>2012</v>
      </c>
      <c r="C101" s="37">
        <v>10</v>
      </c>
      <c r="D101" s="36" t="s">
        <v>478</v>
      </c>
      <c r="E101" s="39" t="s">
        <v>619</v>
      </c>
      <c r="F101" s="36" t="s">
        <v>269</v>
      </c>
      <c r="G101" s="41" t="s">
        <v>131</v>
      </c>
      <c r="H101" s="41" t="s">
        <v>603</v>
      </c>
      <c r="I101" s="51" t="s">
        <v>620</v>
      </c>
      <c r="J101" s="53">
        <f>2000000-1000000</f>
        <v>1000000</v>
      </c>
      <c r="K101" s="43">
        <v>998000</v>
      </c>
      <c r="L101" s="44">
        <v>500</v>
      </c>
      <c r="M101" s="54">
        <v>500</v>
      </c>
      <c r="N101" s="38" t="s">
        <v>265</v>
      </c>
      <c r="O101" s="45">
        <v>36038</v>
      </c>
      <c r="P101" s="46" t="s">
        <v>266</v>
      </c>
      <c r="Q101" s="47" t="s">
        <v>621</v>
      </c>
      <c r="R101" s="48">
        <v>0</v>
      </c>
      <c r="S101" s="49">
        <v>0</v>
      </c>
      <c r="T101" s="39"/>
      <c r="U101" s="40"/>
    </row>
    <row r="102" spans="1:21" s="129" customFormat="1" ht="30" customHeight="1" x14ac:dyDescent="0.25">
      <c r="A102" s="36" t="str">
        <f t="shared" si="3"/>
        <v>FWS-FY2012-11</v>
      </c>
      <c r="B102" s="36">
        <v>2012</v>
      </c>
      <c r="C102" s="37">
        <v>11</v>
      </c>
      <c r="D102" s="36" t="s">
        <v>478</v>
      </c>
      <c r="E102" s="39" t="s">
        <v>622</v>
      </c>
      <c r="F102" s="36" t="s">
        <v>269</v>
      </c>
      <c r="G102" s="41" t="s">
        <v>131</v>
      </c>
      <c r="H102" s="41" t="s">
        <v>603</v>
      </c>
      <c r="I102" s="51" t="s">
        <v>623</v>
      </c>
      <c r="J102" s="53">
        <v>750000</v>
      </c>
      <c r="K102" s="43">
        <v>749000</v>
      </c>
      <c r="L102" s="44">
        <v>582</v>
      </c>
      <c r="M102" s="54">
        <v>193</v>
      </c>
      <c r="N102" s="91" t="s">
        <v>265</v>
      </c>
      <c r="O102" s="45">
        <v>8649</v>
      </c>
      <c r="P102" s="46" t="s">
        <v>266</v>
      </c>
      <c r="Q102" s="47" t="s">
        <v>624</v>
      </c>
      <c r="R102" s="48">
        <v>0</v>
      </c>
      <c r="S102" s="48">
        <v>0</v>
      </c>
      <c r="T102" s="39"/>
      <c r="U102" s="40"/>
    </row>
    <row r="103" spans="1:21" s="129" customFormat="1" ht="30" customHeight="1" x14ac:dyDescent="0.25">
      <c r="A103" s="35" t="str">
        <f t="shared" si="3"/>
        <v>NPS-FY2011-8</v>
      </c>
      <c r="B103" s="36">
        <v>2011</v>
      </c>
      <c r="C103" s="37">
        <v>8</v>
      </c>
      <c r="D103" s="36" t="s">
        <v>262</v>
      </c>
      <c r="E103" s="39" t="s">
        <v>291</v>
      </c>
      <c r="F103" s="36" t="s">
        <v>269</v>
      </c>
      <c r="G103" s="41" t="s">
        <v>131</v>
      </c>
      <c r="H103" s="41" t="s">
        <v>292</v>
      </c>
      <c r="I103" s="42" t="s">
        <v>293</v>
      </c>
      <c r="J103" s="43">
        <v>1400000</v>
      </c>
      <c r="K103" s="43">
        <v>1400000</v>
      </c>
      <c r="L103" s="44">
        <v>436</v>
      </c>
      <c r="M103" s="54">
        <v>436</v>
      </c>
      <c r="N103" s="65" t="s">
        <v>265</v>
      </c>
      <c r="O103" s="45">
        <v>0</v>
      </c>
      <c r="P103" s="46" t="s">
        <v>266</v>
      </c>
      <c r="Q103" s="47" t="s">
        <v>373</v>
      </c>
      <c r="R103" s="48" t="s">
        <v>273</v>
      </c>
      <c r="S103" s="48" t="s">
        <v>273</v>
      </c>
      <c r="T103" s="39"/>
      <c r="U103" s="40"/>
    </row>
    <row r="104" spans="1:21" s="40" customFormat="1" ht="30" customHeight="1" x14ac:dyDescent="0.25">
      <c r="A104" s="35" t="str">
        <f t="shared" si="3"/>
        <v>NPS-FY2014-4</v>
      </c>
      <c r="B104" s="36">
        <v>2014</v>
      </c>
      <c r="C104" s="37">
        <v>4</v>
      </c>
      <c r="D104" s="36" t="s">
        <v>262</v>
      </c>
      <c r="E104" s="39" t="s">
        <v>291</v>
      </c>
      <c r="F104" s="36" t="s">
        <v>263</v>
      </c>
      <c r="G104" s="41" t="s">
        <v>131</v>
      </c>
      <c r="H104" s="41" t="s">
        <v>292</v>
      </c>
      <c r="I104" s="42" t="s">
        <v>293</v>
      </c>
      <c r="J104" s="43">
        <v>1428000</v>
      </c>
      <c r="K104" s="43">
        <v>1428000</v>
      </c>
      <c r="L104" s="54">
        <v>355</v>
      </c>
      <c r="M104" s="54">
        <v>355</v>
      </c>
      <c r="N104" s="64" t="s">
        <v>265</v>
      </c>
      <c r="O104" s="45" t="s">
        <v>272</v>
      </c>
      <c r="P104" s="46" t="s">
        <v>266</v>
      </c>
      <c r="Q104" s="47" t="s">
        <v>294</v>
      </c>
      <c r="R104" s="48">
        <v>0</v>
      </c>
      <c r="S104" s="49">
        <v>0</v>
      </c>
      <c r="T104" s="39"/>
    </row>
    <row r="105" spans="1:21" s="40" customFormat="1" ht="30" customHeight="1" x14ac:dyDescent="0.25">
      <c r="A105" s="35" t="str">
        <f t="shared" si="3"/>
        <v>NPS-FY2011-12</v>
      </c>
      <c r="B105" s="36">
        <v>2011</v>
      </c>
      <c r="C105" s="37">
        <v>12</v>
      </c>
      <c r="D105" s="36" t="s">
        <v>262</v>
      </c>
      <c r="E105" s="39" t="s">
        <v>386</v>
      </c>
      <c r="F105" s="36" t="s">
        <v>269</v>
      </c>
      <c r="G105" s="41" t="s">
        <v>387</v>
      </c>
      <c r="H105" s="41" t="s">
        <v>388</v>
      </c>
      <c r="I105" s="42" t="s">
        <v>389</v>
      </c>
      <c r="J105" s="53">
        <v>8557000</v>
      </c>
      <c r="K105" s="43">
        <v>8315000</v>
      </c>
      <c r="L105" s="44">
        <v>1299</v>
      </c>
      <c r="M105" s="54">
        <v>5555</v>
      </c>
      <c r="N105" s="65" t="s">
        <v>265</v>
      </c>
      <c r="O105" s="45">
        <v>0</v>
      </c>
      <c r="P105" s="46" t="s">
        <v>266</v>
      </c>
      <c r="Q105" s="47" t="s">
        <v>390</v>
      </c>
      <c r="R105" s="48" t="s">
        <v>273</v>
      </c>
      <c r="S105" s="48" t="s">
        <v>273</v>
      </c>
      <c r="T105" s="39"/>
    </row>
    <row r="106" spans="1:21" s="40" customFormat="1" ht="30" customHeight="1" x14ac:dyDescent="0.25">
      <c r="A106" s="36" t="str">
        <f t="shared" si="3"/>
        <v>FWS-FY2011-4</v>
      </c>
      <c r="B106" s="56">
        <v>2011</v>
      </c>
      <c r="C106" s="67">
        <v>4</v>
      </c>
      <c r="D106" s="36" t="s">
        <v>478</v>
      </c>
      <c r="E106" s="96" t="s">
        <v>610</v>
      </c>
      <c r="F106" s="36" t="s">
        <v>269</v>
      </c>
      <c r="G106" s="41" t="s">
        <v>6</v>
      </c>
      <c r="H106" s="41" t="s">
        <v>611</v>
      </c>
      <c r="I106" s="41" t="s">
        <v>612</v>
      </c>
      <c r="J106" s="53">
        <v>2500000</v>
      </c>
      <c r="K106" s="43">
        <v>1500000</v>
      </c>
      <c r="L106" s="44">
        <v>1401</v>
      </c>
      <c r="M106" s="54">
        <v>841</v>
      </c>
      <c r="N106" s="91" t="s">
        <v>265</v>
      </c>
      <c r="O106" s="45">
        <v>32670</v>
      </c>
      <c r="P106" s="46" t="s">
        <v>266</v>
      </c>
      <c r="Q106" s="47" t="s">
        <v>646</v>
      </c>
      <c r="R106" s="48">
        <v>0</v>
      </c>
      <c r="S106" s="49">
        <v>0</v>
      </c>
      <c r="T106" s="39"/>
    </row>
    <row r="107" spans="1:21" s="40" customFormat="1" ht="30" customHeight="1" x14ac:dyDescent="0.25">
      <c r="A107" s="36" t="str">
        <f t="shared" si="3"/>
        <v>FWS-FY2011-10</v>
      </c>
      <c r="B107" s="56">
        <v>2011</v>
      </c>
      <c r="C107" s="67">
        <v>10</v>
      </c>
      <c r="D107" s="36" t="s">
        <v>478</v>
      </c>
      <c r="E107" s="96" t="s">
        <v>659</v>
      </c>
      <c r="F107" s="36" t="s">
        <v>269</v>
      </c>
      <c r="G107" s="41" t="s">
        <v>6</v>
      </c>
      <c r="H107" s="41" t="s">
        <v>660</v>
      </c>
      <c r="I107" s="41" t="s">
        <v>661</v>
      </c>
      <c r="J107" s="53">
        <v>4000000</v>
      </c>
      <c r="K107" s="43">
        <v>2172000</v>
      </c>
      <c r="L107" s="44">
        <v>1844</v>
      </c>
      <c r="M107" s="54">
        <v>1001</v>
      </c>
      <c r="N107" s="91" t="s">
        <v>265</v>
      </c>
      <c r="O107" s="45">
        <v>14172</v>
      </c>
      <c r="P107" s="46" t="s">
        <v>266</v>
      </c>
      <c r="Q107" s="47" t="s">
        <v>662</v>
      </c>
      <c r="R107" s="48">
        <v>0</v>
      </c>
      <c r="S107" s="49">
        <v>10000</v>
      </c>
      <c r="T107" s="39" t="s">
        <v>663</v>
      </c>
    </row>
    <row r="108" spans="1:21" s="40" customFormat="1" ht="30" customHeight="1" x14ac:dyDescent="0.25">
      <c r="A108" s="36" t="str">
        <f t="shared" si="3"/>
        <v>FWS-FY2011-14</v>
      </c>
      <c r="B108" s="56">
        <v>2011</v>
      </c>
      <c r="C108" s="67">
        <v>14</v>
      </c>
      <c r="D108" s="36" t="s">
        <v>478</v>
      </c>
      <c r="E108" s="96" t="s">
        <v>668</v>
      </c>
      <c r="F108" s="36" t="s">
        <v>269</v>
      </c>
      <c r="G108" s="41" t="s">
        <v>6</v>
      </c>
      <c r="H108" s="41" t="s">
        <v>669</v>
      </c>
      <c r="I108" s="41" t="s">
        <v>670</v>
      </c>
      <c r="J108" s="53">
        <v>2000000</v>
      </c>
      <c r="K108" s="43">
        <v>500000</v>
      </c>
      <c r="L108" s="44">
        <v>750</v>
      </c>
      <c r="M108" s="54">
        <v>187</v>
      </c>
      <c r="N108" s="91" t="s">
        <v>265</v>
      </c>
      <c r="O108" s="45">
        <v>55826</v>
      </c>
      <c r="P108" s="46" t="s">
        <v>266</v>
      </c>
      <c r="Q108" s="47" t="s">
        <v>671</v>
      </c>
      <c r="R108" s="48">
        <v>0</v>
      </c>
      <c r="S108" s="49">
        <v>1000</v>
      </c>
      <c r="T108" s="39" t="s">
        <v>672</v>
      </c>
    </row>
    <row r="109" spans="1:21" s="40" customFormat="1" ht="30" customHeight="1" x14ac:dyDescent="0.25">
      <c r="A109" s="36" t="str">
        <f t="shared" si="3"/>
        <v>FWS-FY2012-3</v>
      </c>
      <c r="B109" s="36">
        <v>2012</v>
      </c>
      <c r="C109" s="37">
        <v>3</v>
      </c>
      <c r="D109" s="36" t="s">
        <v>478</v>
      </c>
      <c r="E109" s="39" t="s">
        <v>590</v>
      </c>
      <c r="F109" s="36" t="s">
        <v>269</v>
      </c>
      <c r="G109" s="41" t="s">
        <v>6</v>
      </c>
      <c r="H109" s="41" t="s">
        <v>591</v>
      </c>
      <c r="I109" s="51" t="s">
        <v>592</v>
      </c>
      <c r="J109" s="53">
        <v>1200000</v>
      </c>
      <c r="K109" s="43">
        <v>0</v>
      </c>
      <c r="L109" s="44">
        <v>343</v>
      </c>
      <c r="M109" s="54">
        <v>0</v>
      </c>
      <c r="N109" s="91" t="s">
        <v>265</v>
      </c>
      <c r="O109" s="45">
        <v>62655</v>
      </c>
      <c r="P109" s="46" t="s">
        <v>266</v>
      </c>
      <c r="Q109" s="47" t="s">
        <v>593</v>
      </c>
      <c r="R109" s="48">
        <v>5000</v>
      </c>
      <c r="S109" s="49">
        <v>0</v>
      </c>
      <c r="T109" s="39" t="s">
        <v>594</v>
      </c>
    </row>
    <row r="110" spans="1:21" s="40" customFormat="1" ht="30" customHeight="1" x14ac:dyDescent="0.25">
      <c r="A110" s="36" t="str">
        <f t="shared" si="3"/>
        <v>FWS-FY2012-8</v>
      </c>
      <c r="B110" s="36">
        <v>2012</v>
      </c>
      <c r="C110" s="37">
        <v>8</v>
      </c>
      <c r="D110" s="36" t="s">
        <v>478</v>
      </c>
      <c r="E110" s="39" t="s">
        <v>610</v>
      </c>
      <c r="F110" s="36" t="s">
        <v>269</v>
      </c>
      <c r="G110" s="41" t="s">
        <v>6</v>
      </c>
      <c r="H110" s="41" t="s">
        <v>611</v>
      </c>
      <c r="I110" s="51" t="s">
        <v>612</v>
      </c>
      <c r="J110" s="53">
        <v>2565000</v>
      </c>
      <c r="K110" s="43">
        <v>1996000</v>
      </c>
      <c r="L110" s="44">
        <v>1500</v>
      </c>
      <c r="M110" s="54">
        <v>1167</v>
      </c>
      <c r="N110" s="91" t="s">
        <v>275</v>
      </c>
      <c r="O110" s="45">
        <v>34404</v>
      </c>
      <c r="P110" s="46" t="s">
        <v>266</v>
      </c>
      <c r="Q110" s="47" t="s">
        <v>613</v>
      </c>
      <c r="R110" s="48">
        <v>10000</v>
      </c>
      <c r="S110" s="49">
        <v>0</v>
      </c>
      <c r="T110" s="39" t="s">
        <v>614</v>
      </c>
    </row>
    <row r="111" spans="1:21" s="40" customFormat="1" ht="30" customHeight="1" x14ac:dyDescent="0.25">
      <c r="A111" s="36" t="str">
        <f t="shared" si="3"/>
        <v>FWS-FY2013-6</v>
      </c>
      <c r="B111" s="36">
        <v>2013</v>
      </c>
      <c r="C111" s="37">
        <v>6</v>
      </c>
      <c r="D111" s="36" t="s">
        <v>478</v>
      </c>
      <c r="E111" s="39" t="s">
        <v>532</v>
      </c>
      <c r="F111" s="36" t="s">
        <v>269</v>
      </c>
      <c r="G111" s="41" t="s">
        <v>6</v>
      </c>
      <c r="H111" s="90" t="s">
        <v>533</v>
      </c>
      <c r="I111" s="51" t="s">
        <v>534</v>
      </c>
      <c r="J111" s="53">
        <v>1000000</v>
      </c>
      <c r="K111" s="43">
        <v>1000000</v>
      </c>
      <c r="L111" s="44">
        <v>640</v>
      </c>
      <c r="M111" s="54">
        <v>640</v>
      </c>
      <c r="N111" s="65" t="s">
        <v>265</v>
      </c>
      <c r="O111" s="45">
        <v>22859</v>
      </c>
      <c r="P111" s="46" t="s">
        <v>266</v>
      </c>
      <c r="Q111" s="47" t="s">
        <v>535</v>
      </c>
      <c r="R111" s="48">
        <v>25000</v>
      </c>
      <c r="S111" s="49">
        <v>0</v>
      </c>
      <c r="T111" s="39" t="s">
        <v>536</v>
      </c>
    </row>
    <row r="112" spans="1:21" s="40" customFormat="1" ht="30" customHeight="1" x14ac:dyDescent="0.25">
      <c r="A112" s="35" t="str">
        <f t="shared" si="3"/>
        <v>NPS-FY2014-3</v>
      </c>
      <c r="B112" s="36">
        <v>2014</v>
      </c>
      <c r="C112" s="37">
        <v>3</v>
      </c>
      <c r="D112" s="36" t="s">
        <v>262</v>
      </c>
      <c r="E112" s="39" t="s">
        <v>287</v>
      </c>
      <c r="F112" s="36" t="s">
        <v>269</v>
      </c>
      <c r="G112" s="41" t="s">
        <v>6</v>
      </c>
      <c r="H112" s="41" t="s">
        <v>288</v>
      </c>
      <c r="I112" s="42" t="s">
        <v>289</v>
      </c>
      <c r="J112" s="53">
        <v>1760000</v>
      </c>
      <c r="K112" s="43">
        <v>1760000</v>
      </c>
      <c r="L112" s="44">
        <v>40</v>
      </c>
      <c r="M112" s="54">
        <v>40</v>
      </c>
      <c r="N112" s="64" t="s">
        <v>265</v>
      </c>
      <c r="O112" s="45">
        <v>99</v>
      </c>
      <c r="P112" s="46" t="s">
        <v>266</v>
      </c>
      <c r="Q112" s="47" t="s">
        <v>290</v>
      </c>
      <c r="R112" s="48">
        <v>0</v>
      </c>
      <c r="S112" s="49">
        <v>0</v>
      </c>
      <c r="T112" s="39"/>
    </row>
    <row r="113" spans="1:20" s="40" customFormat="1" ht="30" customHeight="1" x14ac:dyDescent="0.25">
      <c r="A113" s="36" t="str">
        <f t="shared" si="3"/>
        <v>FWS-FY2011-19</v>
      </c>
      <c r="B113" s="56">
        <v>2011</v>
      </c>
      <c r="C113" s="67">
        <v>19</v>
      </c>
      <c r="D113" s="36" t="s">
        <v>478</v>
      </c>
      <c r="E113" s="96" t="s">
        <v>686</v>
      </c>
      <c r="F113" s="36" t="s">
        <v>269</v>
      </c>
      <c r="G113" s="41" t="s">
        <v>71</v>
      </c>
      <c r="H113" s="41" t="s">
        <v>687</v>
      </c>
      <c r="I113" s="41" t="s">
        <v>688</v>
      </c>
      <c r="J113" s="53">
        <v>1500000</v>
      </c>
      <c r="K113" s="43">
        <v>1600000</v>
      </c>
      <c r="L113" s="44">
        <v>500</v>
      </c>
      <c r="M113" s="54">
        <v>533</v>
      </c>
      <c r="N113" s="91" t="s">
        <v>265</v>
      </c>
      <c r="O113" s="45">
        <v>30641</v>
      </c>
      <c r="P113" s="46" t="s">
        <v>266</v>
      </c>
      <c r="Q113" s="47" t="s">
        <v>689</v>
      </c>
      <c r="R113" s="48">
        <v>0</v>
      </c>
      <c r="S113" s="49">
        <v>10000</v>
      </c>
      <c r="T113" s="39" t="s">
        <v>690</v>
      </c>
    </row>
    <row r="114" spans="1:20" s="40" customFormat="1" ht="30" customHeight="1" x14ac:dyDescent="0.25">
      <c r="A114" s="36" t="str">
        <f t="shared" si="3"/>
        <v>FWS-FY2011-18</v>
      </c>
      <c r="B114" s="56">
        <v>2011</v>
      </c>
      <c r="C114" s="67">
        <v>18</v>
      </c>
      <c r="D114" s="36" t="s">
        <v>478</v>
      </c>
      <c r="E114" s="96" t="s">
        <v>484</v>
      </c>
      <c r="F114" s="36" t="s">
        <v>269</v>
      </c>
      <c r="G114" s="41" t="s">
        <v>20</v>
      </c>
      <c r="H114" s="41" t="s">
        <v>485</v>
      </c>
      <c r="I114" s="41" t="s">
        <v>486</v>
      </c>
      <c r="J114" s="53">
        <v>1000000</v>
      </c>
      <c r="K114" s="43">
        <v>1000000</v>
      </c>
      <c r="L114" s="44">
        <v>200</v>
      </c>
      <c r="M114" s="54">
        <v>200</v>
      </c>
      <c r="N114" s="91" t="s">
        <v>265</v>
      </c>
      <c r="O114" s="81">
        <v>11581</v>
      </c>
      <c r="P114" s="84" t="s">
        <v>266</v>
      </c>
      <c r="Q114" s="47" t="s">
        <v>684</v>
      </c>
      <c r="R114" s="48">
        <v>0</v>
      </c>
      <c r="S114" s="49">
        <v>1000</v>
      </c>
      <c r="T114" s="39" t="s">
        <v>685</v>
      </c>
    </row>
    <row r="115" spans="1:20" s="40" customFormat="1" ht="30" customHeight="1" x14ac:dyDescent="0.25">
      <c r="A115" s="36" t="str">
        <f t="shared" si="3"/>
        <v>NPS-FY2011-10</v>
      </c>
      <c r="B115" s="36">
        <v>2011</v>
      </c>
      <c r="C115" s="37">
        <v>10</v>
      </c>
      <c r="D115" s="36" t="s">
        <v>262</v>
      </c>
      <c r="E115" s="39" t="s">
        <v>379</v>
      </c>
      <c r="F115" s="36" t="s">
        <v>269</v>
      </c>
      <c r="G115" s="41" t="s">
        <v>20</v>
      </c>
      <c r="H115" s="41" t="s">
        <v>271</v>
      </c>
      <c r="I115" s="42" t="s">
        <v>380</v>
      </c>
      <c r="J115" s="53">
        <v>3750000</v>
      </c>
      <c r="K115" s="43">
        <v>500000</v>
      </c>
      <c r="L115" s="44">
        <v>166</v>
      </c>
      <c r="M115" s="54">
        <v>23</v>
      </c>
      <c r="N115" s="65" t="s">
        <v>265</v>
      </c>
      <c r="O115" s="45">
        <v>864</v>
      </c>
      <c r="P115" s="46" t="s">
        <v>266</v>
      </c>
      <c r="Q115" s="47" t="s">
        <v>381</v>
      </c>
      <c r="R115" s="48" t="s">
        <v>273</v>
      </c>
      <c r="S115" s="48" t="s">
        <v>273</v>
      </c>
      <c r="T115" s="39"/>
    </row>
    <row r="116" spans="1:20" s="40" customFormat="1" ht="30" customHeight="1" x14ac:dyDescent="0.25">
      <c r="A116" s="35" t="str">
        <f t="shared" si="3"/>
        <v>NPS-FY2011-13</v>
      </c>
      <c r="B116" s="36">
        <v>2011</v>
      </c>
      <c r="C116" s="37">
        <v>13</v>
      </c>
      <c r="D116" s="36" t="s">
        <v>262</v>
      </c>
      <c r="E116" s="39" t="s">
        <v>303</v>
      </c>
      <c r="F116" s="36" t="s">
        <v>269</v>
      </c>
      <c r="G116" s="41" t="s">
        <v>304</v>
      </c>
      <c r="H116" s="41" t="s">
        <v>391</v>
      </c>
      <c r="I116" s="42" t="s">
        <v>305</v>
      </c>
      <c r="J116" s="53">
        <v>3750000</v>
      </c>
      <c r="K116" s="43">
        <v>2300000</v>
      </c>
      <c r="L116" s="44">
        <v>90</v>
      </c>
      <c r="M116" s="54">
        <v>55</v>
      </c>
      <c r="N116" s="65" t="s">
        <v>265</v>
      </c>
      <c r="O116" s="45">
        <v>1355</v>
      </c>
      <c r="P116" s="46" t="s">
        <v>266</v>
      </c>
      <c r="Q116" s="47" t="s">
        <v>392</v>
      </c>
      <c r="R116" s="48" t="s">
        <v>273</v>
      </c>
      <c r="S116" s="48" t="s">
        <v>273</v>
      </c>
      <c r="T116" s="39"/>
    </row>
    <row r="117" spans="1:20" s="40" customFormat="1" ht="30" customHeight="1" x14ac:dyDescent="0.25">
      <c r="A117" s="35" t="str">
        <f t="shared" si="3"/>
        <v>NPS-FY2013-3</v>
      </c>
      <c r="B117" s="36">
        <v>2013</v>
      </c>
      <c r="C117" s="37">
        <v>3</v>
      </c>
      <c r="D117" s="36" t="s">
        <v>262</v>
      </c>
      <c r="E117" s="39" t="s">
        <v>303</v>
      </c>
      <c r="F117" s="36" t="s">
        <v>269</v>
      </c>
      <c r="G117" s="41" t="s">
        <v>304</v>
      </c>
      <c r="H117" s="37" t="s">
        <v>304</v>
      </c>
      <c r="I117" s="42" t="s">
        <v>305</v>
      </c>
      <c r="J117" s="53">
        <v>2738000</v>
      </c>
      <c r="K117" s="43">
        <v>2738000</v>
      </c>
      <c r="L117" s="44">
        <v>74</v>
      </c>
      <c r="M117" s="54">
        <v>74</v>
      </c>
      <c r="N117" s="64" t="s">
        <v>265</v>
      </c>
      <c r="O117" s="45">
        <v>1743</v>
      </c>
      <c r="P117" s="46" t="s">
        <v>266</v>
      </c>
      <c r="Q117" s="47" t="s">
        <v>317</v>
      </c>
      <c r="R117" s="48">
        <v>0</v>
      </c>
      <c r="S117" s="49">
        <v>0</v>
      </c>
      <c r="T117" s="39"/>
    </row>
    <row r="118" spans="1:20" s="40" customFormat="1" ht="30" customHeight="1" x14ac:dyDescent="0.25">
      <c r="A118" s="36" t="str">
        <f t="shared" si="3"/>
        <v>NPS-FY2014-7</v>
      </c>
      <c r="B118" s="36">
        <v>2014</v>
      </c>
      <c r="C118" s="37">
        <v>7</v>
      </c>
      <c r="D118" s="36" t="s">
        <v>262</v>
      </c>
      <c r="E118" s="39" t="s">
        <v>303</v>
      </c>
      <c r="F118" s="36" t="s">
        <v>269</v>
      </c>
      <c r="G118" s="41" t="s">
        <v>304</v>
      </c>
      <c r="H118" s="41" t="s">
        <v>304</v>
      </c>
      <c r="I118" s="42" t="s">
        <v>305</v>
      </c>
      <c r="J118" s="53">
        <v>2771000</v>
      </c>
      <c r="K118" s="43">
        <v>2771000</v>
      </c>
      <c r="L118" s="44">
        <v>3</v>
      </c>
      <c r="M118" s="54">
        <v>3</v>
      </c>
      <c r="N118" s="64" t="s">
        <v>265</v>
      </c>
      <c r="O118" s="45">
        <v>1814</v>
      </c>
      <c r="P118" s="46" t="s">
        <v>266</v>
      </c>
      <c r="Q118" s="47" t="s">
        <v>306</v>
      </c>
      <c r="R118" s="48">
        <v>0</v>
      </c>
      <c r="S118" s="49">
        <v>0</v>
      </c>
      <c r="T118" s="39"/>
    </row>
    <row r="119" spans="1:20" s="40" customFormat="1" ht="30" customHeight="1" x14ac:dyDescent="0.25">
      <c r="A119" s="35" t="str">
        <f t="shared" si="3"/>
        <v>FWS-FY2013-13</v>
      </c>
      <c r="B119" s="36">
        <v>2013</v>
      </c>
      <c r="C119" s="37">
        <v>13</v>
      </c>
      <c r="D119" s="36" t="s">
        <v>478</v>
      </c>
      <c r="E119" s="39" t="s">
        <v>564</v>
      </c>
      <c r="F119" s="36" t="s">
        <v>269</v>
      </c>
      <c r="G119" s="41" t="s">
        <v>30</v>
      </c>
      <c r="H119" s="90" t="s">
        <v>565</v>
      </c>
      <c r="I119" s="51" t="s">
        <v>566</v>
      </c>
      <c r="J119" s="53">
        <v>1000000</v>
      </c>
      <c r="K119" s="43">
        <v>1000000</v>
      </c>
      <c r="L119" s="44">
        <v>208</v>
      </c>
      <c r="M119" s="54">
        <v>208</v>
      </c>
      <c r="N119" s="65" t="s">
        <v>265</v>
      </c>
      <c r="O119" s="45">
        <v>2985</v>
      </c>
      <c r="P119" s="46" t="s">
        <v>266</v>
      </c>
      <c r="Q119" s="47" t="s">
        <v>567</v>
      </c>
      <c r="R119" s="48">
        <v>18000</v>
      </c>
      <c r="S119" s="49">
        <v>0</v>
      </c>
      <c r="T119" s="39" t="s">
        <v>568</v>
      </c>
    </row>
    <row r="120" spans="1:20" s="40" customFormat="1" ht="30" customHeight="1" x14ac:dyDescent="0.25">
      <c r="A120" s="36" t="str">
        <f t="shared" si="3"/>
        <v>NPS-FY2013-7</v>
      </c>
      <c r="B120" s="36">
        <v>2013</v>
      </c>
      <c r="C120" s="37">
        <v>7</v>
      </c>
      <c r="D120" s="36" t="s">
        <v>262</v>
      </c>
      <c r="E120" s="39" t="s">
        <v>331</v>
      </c>
      <c r="F120" s="36" t="s">
        <v>269</v>
      </c>
      <c r="G120" s="41" t="s">
        <v>30</v>
      </c>
      <c r="H120" s="37" t="s">
        <v>332</v>
      </c>
      <c r="I120" s="42" t="s">
        <v>333</v>
      </c>
      <c r="J120" s="53">
        <v>1000000</v>
      </c>
      <c r="K120" s="43">
        <v>1000000</v>
      </c>
      <c r="L120" s="44">
        <v>226</v>
      </c>
      <c r="M120" s="54">
        <v>226</v>
      </c>
      <c r="N120" s="64" t="s">
        <v>265</v>
      </c>
      <c r="O120" s="45">
        <v>0</v>
      </c>
      <c r="P120" s="46" t="s">
        <v>266</v>
      </c>
      <c r="Q120" s="47" t="s">
        <v>334</v>
      </c>
      <c r="R120" s="48">
        <v>15000</v>
      </c>
      <c r="S120" s="49">
        <v>30000</v>
      </c>
      <c r="T120" s="39"/>
    </row>
    <row r="121" spans="1:20" s="40" customFormat="1" ht="30" customHeight="1" x14ac:dyDescent="0.25">
      <c r="A121" s="35" t="str">
        <f t="shared" si="3"/>
        <v>FWS-FY2011-22</v>
      </c>
      <c r="B121" s="56">
        <v>2011</v>
      </c>
      <c r="C121" s="67">
        <v>22</v>
      </c>
      <c r="D121" s="36" t="s">
        <v>478</v>
      </c>
      <c r="E121" s="96" t="s">
        <v>697</v>
      </c>
      <c r="F121" s="36" t="s">
        <v>269</v>
      </c>
      <c r="G121" s="41" t="s">
        <v>144</v>
      </c>
      <c r="H121" s="41" t="s">
        <v>698</v>
      </c>
      <c r="I121" s="41" t="s">
        <v>699</v>
      </c>
      <c r="J121" s="88">
        <v>0</v>
      </c>
      <c r="K121" s="43">
        <v>950000</v>
      </c>
      <c r="L121" s="93" t="s">
        <v>691</v>
      </c>
      <c r="M121" s="54">
        <v>222.36</v>
      </c>
      <c r="N121" s="91" t="s">
        <v>265</v>
      </c>
      <c r="O121" s="94" t="s">
        <v>692</v>
      </c>
      <c r="P121" s="46" t="s">
        <v>266</v>
      </c>
      <c r="Q121" s="47" t="s">
        <v>692</v>
      </c>
      <c r="R121" s="48">
        <v>0</v>
      </c>
      <c r="S121" s="49" t="s">
        <v>692</v>
      </c>
      <c r="T121" s="39"/>
    </row>
    <row r="122" spans="1:20" s="40" customFormat="1" ht="30" customHeight="1" x14ac:dyDescent="0.25">
      <c r="A122" s="30" t="str">
        <f t="shared" si="3"/>
        <v>BLM-FY2011-4</v>
      </c>
      <c r="B122" s="30">
        <v>2011</v>
      </c>
      <c r="C122" s="72">
        <v>4</v>
      </c>
      <c r="D122" s="30" t="s">
        <v>393</v>
      </c>
      <c r="E122" s="73" t="s">
        <v>400</v>
      </c>
      <c r="F122" s="30" t="s">
        <v>269</v>
      </c>
      <c r="G122" s="74" t="s">
        <v>336</v>
      </c>
      <c r="H122" s="74" t="s">
        <v>401</v>
      </c>
      <c r="I122" s="74" t="s">
        <v>402</v>
      </c>
      <c r="J122" s="77">
        <v>3000000</v>
      </c>
      <c r="K122" s="86">
        <v>2700000</v>
      </c>
      <c r="L122" s="78">
        <v>377</v>
      </c>
      <c r="M122" s="79">
        <v>377</v>
      </c>
      <c r="N122" s="80" t="s">
        <v>265</v>
      </c>
      <c r="O122" s="81">
        <v>1958</v>
      </c>
      <c r="P122" s="84" t="s">
        <v>266</v>
      </c>
      <c r="Q122" s="75" t="s">
        <v>465</v>
      </c>
      <c r="R122" s="76">
        <v>50000</v>
      </c>
      <c r="S122" s="69">
        <v>15000</v>
      </c>
      <c r="T122" s="73"/>
    </row>
    <row r="123" spans="1:20" s="40" customFormat="1" ht="30" customHeight="1" x14ac:dyDescent="0.25">
      <c r="A123" s="36" t="str">
        <f t="shared" si="3"/>
        <v>NPS-FY2013-8</v>
      </c>
      <c r="B123" s="36">
        <v>2013</v>
      </c>
      <c r="C123" s="37">
        <v>8</v>
      </c>
      <c r="D123" s="36" t="s">
        <v>262</v>
      </c>
      <c r="E123" s="39" t="s">
        <v>335</v>
      </c>
      <c r="F123" s="36" t="s">
        <v>263</v>
      </c>
      <c r="G123" s="41" t="s">
        <v>336</v>
      </c>
      <c r="H123" s="41" t="s">
        <v>337</v>
      </c>
      <c r="I123" s="42" t="s">
        <v>338</v>
      </c>
      <c r="J123" s="53">
        <v>8000</v>
      </c>
      <c r="K123" s="43">
        <v>8000000</v>
      </c>
      <c r="L123" s="44">
        <v>86</v>
      </c>
      <c r="M123" s="54">
        <v>86</v>
      </c>
      <c r="N123" s="64" t="s">
        <v>265</v>
      </c>
      <c r="O123" s="45">
        <v>2134</v>
      </c>
      <c r="P123" s="46" t="s">
        <v>266</v>
      </c>
      <c r="Q123" s="47" t="s">
        <v>339</v>
      </c>
      <c r="R123" s="48">
        <v>0</v>
      </c>
      <c r="S123" s="49">
        <v>0</v>
      </c>
      <c r="T123" s="39"/>
    </row>
    <row r="124" spans="1:20" s="148" customFormat="1" x14ac:dyDescent="0.25">
      <c r="I124" s="149" t="s">
        <v>724</v>
      </c>
      <c r="J124" s="150">
        <f>SUM(J2:J123)</f>
        <v>392332950.5</v>
      </c>
      <c r="K124" s="150">
        <f>SUM(K2:K123)</f>
        <v>313351780</v>
      </c>
      <c r="L124" s="151">
        <f>SUM(L2:L123)</f>
        <v>388617</v>
      </c>
      <c r="M124" s="151">
        <f>SUM(M2:M123)</f>
        <v>294949.53999999998</v>
      </c>
      <c r="N124" s="150"/>
      <c r="O124" s="152">
        <f>SUM(O2:O123)</f>
        <v>9089294.9199999999</v>
      </c>
    </row>
  </sheetData>
  <autoFilter ref="A1:U124"/>
  <sortState ref="A2:U159">
    <sortCondition ref="G2:G159"/>
    <sortCondition ref="D2:D159"/>
    <sortCondition ref="B2:B159"/>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5"/>
  <sheetViews>
    <sheetView topLeftCell="A22" workbookViewId="0">
      <selection activeCell="L30" sqref="L30"/>
    </sheetView>
  </sheetViews>
  <sheetFormatPr defaultRowHeight="15" x14ac:dyDescent="0.25"/>
  <cols>
    <col min="1" max="1" width="14.28515625" customWidth="1"/>
    <col min="2" max="2" width="16.28515625" bestFit="1" customWidth="1"/>
    <col min="3" max="3" width="20.140625" customWidth="1"/>
    <col min="4" max="4" width="6" customWidth="1"/>
    <col min="5" max="30" width="7" customWidth="1"/>
    <col min="31" max="109" width="8" customWidth="1"/>
    <col min="110" max="110" width="9" customWidth="1"/>
    <col min="111" max="111" width="7.28515625" customWidth="1"/>
    <col min="112" max="112" width="11.28515625" bestFit="1" customWidth="1"/>
  </cols>
  <sheetData>
    <row r="3" spans="1:8" x14ac:dyDescent="0.25">
      <c r="A3" s="108" t="s">
        <v>700</v>
      </c>
      <c r="B3" t="s">
        <v>703</v>
      </c>
      <c r="C3" t="s">
        <v>704</v>
      </c>
    </row>
    <row r="4" spans="1:8" x14ac:dyDescent="0.25">
      <c r="A4" s="1" t="s">
        <v>582</v>
      </c>
      <c r="B4" s="109">
        <v>99000</v>
      </c>
      <c r="C4" s="109">
        <v>151</v>
      </c>
    </row>
    <row r="5" spans="1:8" x14ac:dyDescent="0.25">
      <c r="A5" s="1" t="s">
        <v>82</v>
      </c>
      <c r="B5" s="109">
        <v>4143200</v>
      </c>
      <c r="C5" s="109">
        <v>1657</v>
      </c>
    </row>
    <row r="6" spans="1:8" x14ac:dyDescent="0.25">
      <c r="A6" s="1" t="s">
        <v>85</v>
      </c>
      <c r="B6" s="109">
        <v>10900000</v>
      </c>
      <c r="C6" s="109">
        <v>50954</v>
      </c>
    </row>
    <row r="7" spans="1:8" x14ac:dyDescent="0.25">
      <c r="A7" s="1" t="s">
        <v>26</v>
      </c>
      <c r="B7" s="109">
        <v>42189080</v>
      </c>
      <c r="C7" s="109">
        <v>24246</v>
      </c>
    </row>
    <row r="8" spans="1:8" x14ac:dyDescent="0.25">
      <c r="A8" s="1" t="s">
        <v>24</v>
      </c>
      <c r="B8" s="109">
        <v>6476000</v>
      </c>
      <c r="C8" s="109">
        <v>2679</v>
      </c>
    </row>
    <row r="9" spans="1:8" x14ac:dyDescent="0.25">
      <c r="A9" s="1" t="s">
        <v>537</v>
      </c>
      <c r="B9" s="109">
        <v>10298000</v>
      </c>
      <c r="C9" s="109">
        <v>2718</v>
      </c>
    </row>
    <row r="10" spans="1:8" x14ac:dyDescent="0.25">
      <c r="A10" s="23" t="s">
        <v>579</v>
      </c>
      <c r="B10" s="114">
        <v>5115000</v>
      </c>
      <c r="C10" s="114">
        <v>0</v>
      </c>
      <c r="D10" s="24"/>
      <c r="E10" s="24" t="s">
        <v>708</v>
      </c>
      <c r="F10" s="24"/>
      <c r="G10" s="24"/>
      <c r="H10" s="24"/>
    </row>
    <row r="11" spans="1:8" x14ac:dyDescent="0.25">
      <c r="A11" s="1" t="s">
        <v>16</v>
      </c>
      <c r="B11" s="109">
        <v>49034100</v>
      </c>
      <c r="C11" s="109">
        <v>48946</v>
      </c>
    </row>
    <row r="12" spans="1:8" x14ac:dyDescent="0.25">
      <c r="A12" s="1" t="s">
        <v>18</v>
      </c>
      <c r="B12" s="109">
        <v>3000000</v>
      </c>
      <c r="C12" s="109">
        <v>3708</v>
      </c>
    </row>
    <row r="13" spans="1:8" x14ac:dyDescent="0.25">
      <c r="A13" s="1" t="s">
        <v>12</v>
      </c>
      <c r="B13" s="109">
        <v>2246000</v>
      </c>
      <c r="C13" s="109">
        <v>563</v>
      </c>
    </row>
    <row r="14" spans="1:8" x14ac:dyDescent="0.25">
      <c r="A14" s="1" t="s">
        <v>545</v>
      </c>
      <c r="B14" s="109">
        <v>1400000</v>
      </c>
      <c r="C14" s="109">
        <v>435</v>
      </c>
    </row>
    <row r="15" spans="1:8" x14ac:dyDescent="0.25">
      <c r="A15" s="1" t="s">
        <v>550</v>
      </c>
      <c r="B15" s="109">
        <v>500000</v>
      </c>
      <c r="C15" s="109">
        <v>166</v>
      </c>
    </row>
    <row r="16" spans="1:8" x14ac:dyDescent="0.25">
      <c r="A16" s="1" t="s">
        <v>4</v>
      </c>
      <c r="B16" s="109">
        <v>8390000</v>
      </c>
      <c r="C16" s="109">
        <v>6025</v>
      </c>
    </row>
    <row r="17" spans="1:3" x14ac:dyDescent="0.25">
      <c r="A17" s="1" t="s">
        <v>558</v>
      </c>
      <c r="B17" s="109">
        <v>2822000</v>
      </c>
      <c r="C17" s="109">
        <v>1979.94</v>
      </c>
    </row>
    <row r="18" spans="1:3" x14ac:dyDescent="0.25">
      <c r="A18" s="1" t="s">
        <v>522</v>
      </c>
      <c r="B18" s="109">
        <v>2000000</v>
      </c>
      <c r="C18" s="109">
        <v>5491</v>
      </c>
    </row>
    <row r="19" spans="1:3" x14ac:dyDescent="0.25">
      <c r="A19" s="1" t="s">
        <v>108</v>
      </c>
      <c r="B19" s="109">
        <v>3000000</v>
      </c>
      <c r="C19" s="109">
        <v>1200</v>
      </c>
    </row>
    <row r="20" spans="1:3" x14ac:dyDescent="0.25">
      <c r="A20" s="1" t="s">
        <v>22</v>
      </c>
      <c r="B20" s="109">
        <v>2140000</v>
      </c>
      <c r="C20" s="109">
        <v>927</v>
      </c>
    </row>
    <row r="21" spans="1:3" x14ac:dyDescent="0.25">
      <c r="A21" s="1" t="s">
        <v>110</v>
      </c>
      <c r="B21" s="109">
        <v>1700000</v>
      </c>
      <c r="C21" s="109">
        <v>23</v>
      </c>
    </row>
    <row r="22" spans="1:3" x14ac:dyDescent="0.25">
      <c r="A22" s="1" t="s">
        <v>10</v>
      </c>
      <c r="B22" s="109">
        <v>5269000</v>
      </c>
      <c r="C22" s="109">
        <v>37</v>
      </c>
    </row>
    <row r="23" spans="1:3" x14ac:dyDescent="0.25">
      <c r="A23" s="1" t="s">
        <v>111</v>
      </c>
      <c r="B23" s="109">
        <v>315000</v>
      </c>
      <c r="C23" s="109">
        <v>3</v>
      </c>
    </row>
    <row r="24" spans="1:3" x14ac:dyDescent="0.25">
      <c r="A24" s="1" t="s">
        <v>36</v>
      </c>
      <c r="B24" s="109">
        <v>41202000</v>
      </c>
      <c r="C24" s="109">
        <v>66664.929999999993</v>
      </c>
    </row>
    <row r="25" spans="1:3" x14ac:dyDescent="0.25">
      <c r="A25" s="1" t="s">
        <v>274</v>
      </c>
      <c r="B25" s="109">
        <v>14500000</v>
      </c>
      <c r="C25" s="109">
        <v>1026</v>
      </c>
    </row>
    <row r="26" spans="1:3" x14ac:dyDescent="0.25">
      <c r="A26" s="1" t="s">
        <v>116</v>
      </c>
      <c r="B26" s="109">
        <v>1000000</v>
      </c>
      <c r="C26" s="109">
        <v>5714</v>
      </c>
    </row>
    <row r="27" spans="1:3" x14ac:dyDescent="0.25">
      <c r="A27" s="1" t="s">
        <v>482</v>
      </c>
      <c r="B27" s="109">
        <v>13650000</v>
      </c>
      <c r="C27" s="109">
        <v>40788</v>
      </c>
    </row>
    <row r="28" spans="1:3" x14ac:dyDescent="0.25">
      <c r="A28" s="1" t="s">
        <v>680</v>
      </c>
      <c r="B28" s="109">
        <v>2240000</v>
      </c>
      <c r="C28" s="109">
        <v>2240</v>
      </c>
    </row>
    <row r="29" spans="1:3" x14ac:dyDescent="0.25">
      <c r="A29" s="1" t="s">
        <v>122</v>
      </c>
      <c r="B29" s="109">
        <v>250000</v>
      </c>
      <c r="C29" s="109">
        <v>66.31</v>
      </c>
    </row>
    <row r="30" spans="1:3" x14ac:dyDescent="0.25">
      <c r="A30" s="1" t="s">
        <v>64</v>
      </c>
      <c r="B30" s="109">
        <v>3508000</v>
      </c>
      <c r="C30" s="109">
        <v>2053</v>
      </c>
    </row>
    <row r="31" spans="1:3" x14ac:dyDescent="0.25">
      <c r="A31" s="1" t="s">
        <v>365</v>
      </c>
      <c r="B31" s="109">
        <v>1250000</v>
      </c>
      <c r="C31" s="109">
        <v>2</v>
      </c>
    </row>
    <row r="32" spans="1:3" x14ac:dyDescent="0.25">
      <c r="A32" s="1" t="s">
        <v>65</v>
      </c>
      <c r="B32" s="109">
        <v>5400000</v>
      </c>
      <c r="C32" s="109">
        <v>330</v>
      </c>
    </row>
    <row r="33" spans="1:3" x14ac:dyDescent="0.25">
      <c r="A33" s="1" t="s">
        <v>2</v>
      </c>
      <c r="B33" s="109">
        <v>10959400</v>
      </c>
      <c r="C33" s="109">
        <v>6800</v>
      </c>
    </row>
    <row r="34" spans="1:3" x14ac:dyDescent="0.25">
      <c r="A34" s="1" t="s">
        <v>131</v>
      </c>
      <c r="B34" s="109">
        <v>5825000</v>
      </c>
      <c r="C34" s="109">
        <v>1918</v>
      </c>
    </row>
    <row r="35" spans="1:3" x14ac:dyDescent="0.25">
      <c r="A35" s="1" t="s">
        <v>387</v>
      </c>
      <c r="B35" s="109">
        <v>8315000</v>
      </c>
      <c r="C35" s="109">
        <v>5555</v>
      </c>
    </row>
    <row r="36" spans="1:3" x14ac:dyDescent="0.25">
      <c r="A36" s="1" t="s">
        <v>6</v>
      </c>
      <c r="B36" s="109">
        <v>8928000</v>
      </c>
      <c r="C36" s="109">
        <v>3876</v>
      </c>
    </row>
    <row r="37" spans="1:3" x14ac:dyDescent="0.25">
      <c r="A37" s="1" t="s">
        <v>71</v>
      </c>
      <c r="B37" s="109">
        <v>1600000</v>
      </c>
      <c r="C37" s="109">
        <v>533</v>
      </c>
    </row>
    <row r="38" spans="1:3" x14ac:dyDescent="0.25">
      <c r="A38" s="1" t="s">
        <v>20</v>
      </c>
      <c r="B38" s="109">
        <v>1500000</v>
      </c>
      <c r="C38" s="109">
        <v>223</v>
      </c>
    </row>
    <row r="39" spans="1:3" x14ac:dyDescent="0.25">
      <c r="A39" s="1" t="s">
        <v>304</v>
      </c>
      <c r="B39" s="109">
        <v>7809000</v>
      </c>
      <c r="C39" s="109">
        <v>132</v>
      </c>
    </row>
    <row r="40" spans="1:3" x14ac:dyDescent="0.25">
      <c r="A40" s="1" t="s">
        <v>30</v>
      </c>
      <c r="B40" s="109">
        <v>2000000</v>
      </c>
      <c r="C40" s="109">
        <v>434</v>
      </c>
    </row>
    <row r="41" spans="1:3" x14ac:dyDescent="0.25">
      <c r="A41" s="1" t="s">
        <v>144</v>
      </c>
      <c r="B41" s="109">
        <v>950000</v>
      </c>
      <c r="C41" s="109">
        <v>222.36</v>
      </c>
    </row>
    <row r="42" spans="1:3" x14ac:dyDescent="0.25">
      <c r="A42" s="1" t="s">
        <v>336</v>
      </c>
      <c r="B42" s="109">
        <v>10700000</v>
      </c>
      <c r="C42" s="109">
        <v>463</v>
      </c>
    </row>
    <row r="43" spans="1:3" x14ac:dyDescent="0.25">
      <c r="A43" s="1" t="s">
        <v>705</v>
      </c>
      <c r="B43" s="109">
        <v>9481000</v>
      </c>
      <c r="C43" s="110">
        <v>3900</v>
      </c>
    </row>
    <row r="44" spans="1:3" x14ac:dyDescent="0.25">
      <c r="A44" s="1" t="s">
        <v>706</v>
      </c>
      <c r="B44" s="109">
        <v>1248000</v>
      </c>
      <c r="C44" s="110">
        <v>100</v>
      </c>
    </row>
    <row r="45" spans="1:3" x14ac:dyDescent="0.25">
      <c r="A45" s="1" t="s">
        <v>701</v>
      </c>
      <c r="B45" s="109">
        <v>313351780</v>
      </c>
      <c r="C45" s="110">
        <v>294949.53999999998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0"/>
  <sheetViews>
    <sheetView workbookViewId="0">
      <selection activeCell="B15" sqref="B15"/>
    </sheetView>
  </sheetViews>
  <sheetFormatPr defaultRowHeight="15" x14ac:dyDescent="0.25"/>
  <cols>
    <col min="1" max="1" width="18" customWidth="1"/>
    <col min="2" max="2" width="137.7109375" customWidth="1"/>
  </cols>
  <sheetData>
    <row r="4" spans="1:3" x14ac:dyDescent="0.25">
      <c r="A4" s="142" t="s">
        <v>711</v>
      </c>
      <c r="B4" s="142" t="s">
        <v>261</v>
      </c>
    </row>
    <row r="5" spans="1:3" x14ac:dyDescent="0.25">
      <c r="A5" t="s">
        <v>712</v>
      </c>
      <c r="B5" t="s">
        <v>713</v>
      </c>
    </row>
    <row r="6" spans="1:3" x14ac:dyDescent="0.25">
      <c r="A6" t="s">
        <v>145</v>
      </c>
      <c r="B6" t="s">
        <v>714</v>
      </c>
    </row>
    <row r="7" spans="1:3" x14ac:dyDescent="0.25">
      <c r="A7" t="s">
        <v>249</v>
      </c>
      <c r="B7" t="s">
        <v>715</v>
      </c>
    </row>
    <row r="8" spans="1:3" x14ac:dyDescent="0.25">
      <c r="A8" s="15" t="s">
        <v>251</v>
      </c>
      <c r="B8" s="15" t="s">
        <v>716</v>
      </c>
    </row>
    <row r="9" spans="1:3" x14ac:dyDescent="0.25">
      <c r="A9" t="s">
        <v>246</v>
      </c>
      <c r="B9" t="s">
        <v>717</v>
      </c>
    </row>
    <row r="11" spans="1:3" x14ac:dyDescent="0.25">
      <c r="A11" s="143"/>
      <c r="B11" s="143"/>
      <c r="C11" s="143"/>
    </row>
    <row r="12" spans="1:3" ht="45" x14ac:dyDescent="0.25">
      <c r="A12" s="144" t="s">
        <v>718</v>
      </c>
      <c r="B12" s="145" t="s">
        <v>722</v>
      </c>
      <c r="C12" s="143"/>
    </row>
    <row r="13" spans="1:3" ht="45" x14ac:dyDescent="0.25">
      <c r="A13" s="146" t="s">
        <v>719</v>
      </c>
      <c r="B13" s="145" t="s">
        <v>721</v>
      </c>
      <c r="C13" s="143"/>
    </row>
    <row r="14" spans="1:3" x14ac:dyDescent="0.25">
      <c r="A14" s="147" t="s">
        <v>720</v>
      </c>
      <c r="B14" s="143" t="s">
        <v>723</v>
      </c>
      <c r="C14" s="143"/>
    </row>
    <row r="15" spans="1:3" x14ac:dyDescent="0.25">
      <c r="A15" s="143"/>
      <c r="B15" s="143"/>
      <c r="C15" s="143"/>
    </row>
    <row r="18" ht="64.900000000000006" customHeight="1" x14ac:dyDescent="0.25"/>
    <row r="19" ht="53.45" customHeight="1" x14ac:dyDescent="0.25"/>
    <row r="20" ht="40.15" customHeight="1" x14ac:dyDescent="0.25"/>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Totals by State</vt:lpstr>
      <vt:lpstr>CESCF 2011-2014</vt:lpstr>
      <vt:lpstr>Stateside data 2011-2014</vt:lpstr>
      <vt:lpstr>ABPP 2011-2014</vt:lpstr>
      <vt:lpstr>All Federal LA 2011-2014</vt:lpstr>
      <vt:lpstr>Federal LA pivot table</vt:lpstr>
      <vt:lpstr>Notes</vt:lpstr>
      <vt:lpstr>'Totals by State'!Print_Area</vt:lpstr>
    </vt:vector>
  </TitlesOfParts>
  <Company>U.S. Fish &amp; Wildlife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Porcari, Emily A</dc:creator>
  <cp:lastModifiedBy>Wilson, Judith M</cp:lastModifiedBy>
  <dcterms:created xsi:type="dcterms:W3CDTF">2014-11-04T19:43:21Z</dcterms:created>
  <dcterms:modified xsi:type="dcterms:W3CDTF">2015-07-21T15:37:03Z</dcterms:modified>
</cp:coreProperties>
</file>