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-personal\teaching\481 common reference\J reference matls\in use\"/>
    </mc:Choice>
  </mc:AlternateContent>
  <bookViews>
    <workbookView xWindow="0" yWindow="0" windowWidth="15360" windowHeight="7760" tabRatio="641"/>
  </bookViews>
  <sheets>
    <sheet name="Parameters" sheetId="5" r:id="rId1"/>
    <sheet name="LD sedans" sheetId="2" r:id="rId2"/>
  </sheets>
  <definedNames>
    <definedName name="_xlnm.Print_Area" localSheetId="1">'LD sedans'!$A$21:$O$69</definedName>
    <definedName name="_xlnm.Print_Area" localSheetId="0">Parameters!$D$2:$T$30</definedName>
  </definedNames>
  <calcPr calcId="162913"/>
</workbook>
</file>

<file path=xl/calcChain.xml><?xml version="1.0" encoding="utf-8"?>
<calcChain xmlns="http://schemas.openxmlformats.org/spreadsheetml/2006/main">
  <c r="E148" i="2" l="1"/>
  <c r="F148" i="2" s="1"/>
  <c r="E98" i="2"/>
  <c r="F98" i="2" s="1"/>
  <c r="G98" i="2" s="1"/>
  <c r="H98" i="2" s="1"/>
  <c r="I98" i="2" s="1"/>
  <c r="J98" i="2" s="1"/>
  <c r="K98" i="2" s="1"/>
  <c r="L98" i="2" s="1"/>
  <c r="M98" i="2" s="1"/>
  <c r="N98" i="2" s="1"/>
  <c r="O98" i="2" s="1"/>
  <c r="E49" i="2"/>
  <c r="F49" i="2" s="1"/>
  <c r="G49" i="2" s="1"/>
  <c r="H49" i="2" s="1"/>
  <c r="I49" i="2" s="1"/>
  <c r="J49" i="2" s="1"/>
  <c r="K49" i="2" s="1"/>
  <c r="L49" i="2" s="1"/>
  <c r="M49" i="2" s="1"/>
  <c r="N49" i="2" s="1"/>
  <c r="O49" i="2" s="1"/>
  <c r="E103" i="2"/>
  <c r="E108" i="2" s="1"/>
  <c r="E54" i="2"/>
  <c r="E59" i="2" s="1"/>
  <c r="F50" i="2"/>
  <c r="G50" i="2" s="1"/>
  <c r="H50" i="2" s="1"/>
  <c r="I50" i="2" s="1"/>
  <c r="J50" i="2" s="1"/>
  <c r="K50" i="2" s="1"/>
  <c r="L50" i="2" s="1"/>
  <c r="M50" i="2" s="1"/>
  <c r="N50" i="2" s="1"/>
  <c r="O50" i="2" s="1"/>
  <c r="F99" i="2"/>
  <c r="G99" i="2" s="1"/>
  <c r="H99" i="2" s="1"/>
  <c r="I99" i="2" s="1"/>
  <c r="J99" i="2" s="1"/>
  <c r="K99" i="2" s="1"/>
  <c r="L99" i="2" s="1"/>
  <c r="M99" i="2" s="1"/>
  <c r="N99" i="2" s="1"/>
  <c r="O99" i="2" s="1"/>
  <c r="F149" i="2"/>
  <c r="E153" i="2"/>
  <c r="Q153" i="2" s="1"/>
  <c r="E158" i="2" l="1"/>
  <c r="E160" i="2" s="1"/>
  <c r="E163" i="2" s="1"/>
  <c r="E113" i="2"/>
  <c r="E110" i="2"/>
  <c r="Q103" i="2"/>
  <c r="E61" i="2"/>
  <c r="E64" i="2"/>
  <c r="Q54" i="2"/>
  <c r="E16" i="2"/>
  <c r="E18" i="2"/>
  <c r="F18" i="2"/>
  <c r="G18" i="2"/>
  <c r="E7" i="2" l="1"/>
  <c r="F140" i="2" s="1"/>
  <c r="D128" i="2"/>
  <c r="D129" i="2" s="1"/>
  <c r="D130" i="2" s="1"/>
  <c r="E12" i="2"/>
  <c r="F17" i="2" s="1"/>
  <c r="D132" i="2"/>
  <c r="D133" i="2" s="1"/>
  <c r="E13" i="2"/>
  <c r="F19" i="2" s="1"/>
  <c r="E143" i="2"/>
  <c r="E9" i="2"/>
  <c r="E8" i="2"/>
  <c r="F16" i="2"/>
  <c r="G16" i="2" s="1"/>
  <c r="H16" i="2" s="1"/>
  <c r="I16" i="2" s="1"/>
  <c r="J16" i="2" s="1"/>
  <c r="K16" i="2" s="1"/>
  <c r="L16" i="2" s="1"/>
  <c r="M16" i="2" s="1"/>
  <c r="N16" i="2" s="1"/>
  <c r="O16" i="2" s="1"/>
  <c r="G149" i="2"/>
  <c r="H149" i="2" s="1"/>
  <c r="I149" i="2" s="1"/>
  <c r="J149" i="2" s="1"/>
  <c r="K149" i="2" s="1"/>
  <c r="L149" i="2" s="1"/>
  <c r="M149" i="2" s="1"/>
  <c r="N149" i="2" s="1"/>
  <c r="O149" i="2" s="1"/>
  <c r="H18" i="2"/>
  <c r="I18" i="2" s="1"/>
  <c r="J18" i="2" s="1"/>
  <c r="K18" i="2" s="1"/>
  <c r="L18" i="2" s="1"/>
  <c r="M18" i="2" s="1"/>
  <c r="N18" i="2" s="1"/>
  <c r="E39" i="2"/>
  <c r="E138" i="2"/>
  <c r="D77" i="2"/>
  <c r="D78" i="2" s="1"/>
  <c r="D79" i="2" s="1"/>
  <c r="D81" i="2" s="1"/>
  <c r="D82" i="2"/>
  <c r="D83" i="2" s="1"/>
  <c r="E93" i="2"/>
  <c r="F180" i="2"/>
  <c r="E88" i="2"/>
  <c r="D26" i="2"/>
  <c r="E44" i="2" s="1"/>
  <c r="D31" i="2"/>
  <c r="D32" i="2" s="1"/>
  <c r="H38" i="5"/>
  <c r="C43" i="5"/>
  <c r="L42" i="5"/>
  <c r="K42" i="5"/>
  <c r="D42" i="5"/>
  <c r="G148" i="2"/>
  <c r="H148" i="2" s="1"/>
  <c r="I148" i="2" s="1"/>
  <c r="J148" i="2" s="1"/>
  <c r="K148" i="2" s="1"/>
  <c r="L148" i="2" s="1"/>
  <c r="M148" i="2" s="1"/>
  <c r="N148" i="2" s="1"/>
  <c r="O148" i="2" s="1"/>
  <c r="D125" i="2"/>
  <c r="G180" i="2"/>
  <c r="I17" i="5"/>
  <c r="J17" i="5"/>
  <c r="K17" i="5"/>
  <c r="L17" i="5"/>
  <c r="M17" i="5"/>
  <c r="N17" i="5"/>
  <c r="O17" i="5"/>
  <c r="P17" i="5"/>
  <c r="H17" i="5"/>
  <c r="G17" i="5"/>
  <c r="F17" i="5"/>
  <c r="F18" i="5"/>
  <c r="F19" i="5"/>
  <c r="F15" i="2"/>
  <c r="G15" i="2" s="1"/>
  <c r="H15" i="2" s="1"/>
  <c r="I15" i="2" s="1"/>
  <c r="J15" i="2" s="1"/>
  <c r="K15" i="2" s="1"/>
  <c r="L15" i="2" s="1"/>
  <c r="M15" i="2" s="1"/>
  <c r="N15" i="2" s="1"/>
  <c r="O15" i="2" s="1"/>
  <c r="P18" i="5"/>
  <c r="P19" i="5"/>
  <c r="F20" i="5"/>
  <c r="G18" i="5"/>
  <c r="G20" i="5"/>
  <c r="H18" i="5"/>
  <c r="H19" i="5"/>
  <c r="I18" i="5"/>
  <c r="J18" i="5"/>
  <c r="J20" i="5"/>
  <c r="K18" i="5"/>
  <c r="K20" i="5"/>
  <c r="L18" i="5"/>
  <c r="L20" i="5"/>
  <c r="M18" i="5"/>
  <c r="N18" i="5"/>
  <c r="N20" i="5"/>
  <c r="O18" i="5"/>
  <c r="O20" i="5"/>
  <c r="P20" i="5"/>
  <c r="G14" i="5"/>
  <c r="H14" i="5"/>
  <c r="I14" i="5"/>
  <c r="J14" i="5"/>
  <c r="K14" i="5"/>
  <c r="L14" i="5"/>
  <c r="M14" i="5"/>
  <c r="N14" i="5"/>
  <c r="O14" i="5"/>
  <c r="P14" i="5"/>
  <c r="G19" i="5"/>
  <c r="M19" i="5"/>
  <c r="I19" i="5"/>
  <c r="I20" i="5"/>
  <c r="L19" i="5"/>
  <c r="M20" i="5"/>
  <c r="H20" i="5"/>
  <c r="O19" i="5"/>
  <c r="K19" i="5"/>
  <c r="N19" i="5"/>
  <c r="J19" i="5"/>
  <c r="E33" i="5"/>
  <c r="D47" i="5"/>
  <c r="I47" i="5"/>
  <c r="D34" i="2"/>
  <c r="D48" i="5"/>
  <c r="E31" i="5"/>
  <c r="E32" i="5"/>
  <c r="D49" i="5"/>
  <c r="D25" i="2"/>
  <c r="D24" i="2"/>
  <c r="D38" i="5"/>
  <c r="F27" i="5"/>
  <c r="G27" i="5"/>
  <c r="G26" i="5"/>
  <c r="J28" i="5"/>
  <c r="K28" i="5" s="1"/>
  <c r="L28" i="5" s="1"/>
  <c r="M28" i="5" s="1"/>
  <c r="N28" i="5" s="1"/>
  <c r="O28" i="5" s="1"/>
  <c r="P28" i="5" s="1"/>
  <c r="F29" i="5"/>
  <c r="G29" i="5"/>
  <c r="H29" i="5" s="1"/>
  <c r="I29" i="5" s="1"/>
  <c r="J29" i="5" s="1"/>
  <c r="K29" i="5" s="1"/>
  <c r="G25" i="5"/>
  <c r="H25" i="5"/>
  <c r="I25" i="5"/>
  <c r="J25" i="5"/>
  <c r="K25" i="5"/>
  <c r="L25" i="5"/>
  <c r="M25" i="5"/>
  <c r="N25" i="5"/>
  <c r="O25" i="5"/>
  <c r="P25" i="5"/>
  <c r="H26" i="5"/>
  <c r="I26" i="5"/>
  <c r="J26" i="5" s="1"/>
  <c r="K26" i="5" s="1"/>
  <c r="L26" i="5" s="1"/>
  <c r="M26" i="5" s="1"/>
  <c r="N26" i="5" s="1"/>
  <c r="O26" i="5" s="1"/>
  <c r="P26" i="5" s="1"/>
  <c r="H27" i="5"/>
  <c r="I27" i="5" s="1"/>
  <c r="J27" i="5" s="1"/>
  <c r="F90" i="2" l="1"/>
  <c r="F89" i="2" s="1"/>
  <c r="E11" i="2"/>
  <c r="E45" i="2"/>
  <c r="F57" i="2" s="1"/>
  <c r="G57" i="2" s="1"/>
  <c r="H57" i="2" s="1"/>
  <c r="I57" i="2" s="1"/>
  <c r="J57" i="2" s="1"/>
  <c r="K57" i="2" s="1"/>
  <c r="L57" i="2" s="1"/>
  <c r="M57" i="2" s="1"/>
  <c r="N57" i="2" s="1"/>
  <c r="O57" i="2" s="1"/>
  <c r="F41" i="2"/>
  <c r="F40" i="2" s="1"/>
  <c r="G41" i="2" s="1"/>
  <c r="E94" i="2"/>
  <c r="F106" i="2" s="1"/>
  <c r="G106" i="2" s="1"/>
  <c r="H106" i="2" s="1"/>
  <c r="I106" i="2" s="1"/>
  <c r="J106" i="2" s="1"/>
  <c r="K106" i="2" s="1"/>
  <c r="L106" i="2" s="1"/>
  <c r="M106" i="2" s="1"/>
  <c r="N106" i="2" s="1"/>
  <c r="O106" i="2" s="1"/>
  <c r="D27" i="2"/>
  <c r="D28" i="2" s="1"/>
  <c r="D29" i="2" s="1"/>
  <c r="E180" i="2"/>
  <c r="E144" i="2"/>
  <c r="F156" i="2" s="1"/>
  <c r="G156" i="2" s="1"/>
  <c r="H156" i="2" s="1"/>
  <c r="I156" i="2" s="1"/>
  <c r="J156" i="2" s="1"/>
  <c r="K156" i="2" s="1"/>
  <c r="L156" i="2" s="1"/>
  <c r="M156" i="2" s="1"/>
  <c r="N156" i="2" s="1"/>
  <c r="O156" i="2" s="1"/>
  <c r="F155" i="2"/>
  <c r="F154" i="2"/>
  <c r="G19" i="2"/>
  <c r="H19" i="2" s="1"/>
  <c r="F56" i="2"/>
  <c r="L29" i="5"/>
  <c r="M29" i="5" s="1"/>
  <c r="N29" i="5" s="1"/>
  <c r="O29" i="5" s="1"/>
  <c r="P29" i="5" s="1"/>
  <c r="F105" i="2"/>
  <c r="K27" i="5"/>
  <c r="L27" i="5" s="1"/>
  <c r="M27" i="5" s="1"/>
  <c r="N27" i="5" s="1"/>
  <c r="O27" i="5" s="1"/>
  <c r="P27" i="5" s="1"/>
  <c r="G17" i="2"/>
  <c r="G104" i="2" s="1"/>
  <c r="F104" i="2"/>
  <c r="F139" i="2"/>
  <c r="G105" i="2" l="1"/>
  <c r="F55" i="2"/>
  <c r="F59" i="2" s="1"/>
  <c r="F108" i="2"/>
  <c r="E10" i="2"/>
  <c r="D134" i="2" s="1"/>
  <c r="G155" i="2"/>
  <c r="G56" i="2"/>
  <c r="G55" i="2"/>
  <c r="H17" i="2"/>
  <c r="H154" i="2" s="1"/>
  <c r="G154" i="2"/>
  <c r="Q106" i="2"/>
  <c r="F185" i="2" s="1"/>
  <c r="G40" i="2"/>
  <c r="H41" i="2" s="1"/>
  <c r="G90" i="2"/>
  <c r="Q57" i="2"/>
  <c r="E185" i="2" s="1"/>
  <c r="F158" i="2"/>
  <c r="G140" i="2"/>
  <c r="Q156" i="2"/>
  <c r="G185" i="2" s="1"/>
  <c r="H56" i="2"/>
  <c r="H155" i="2"/>
  <c r="H105" i="2"/>
  <c r="I19" i="2"/>
  <c r="F113" i="2" l="1"/>
  <c r="F163" i="2"/>
  <c r="F160" i="2"/>
  <c r="F61" i="2"/>
  <c r="F64" i="2"/>
  <c r="I17" i="2"/>
  <c r="J17" i="2" s="1"/>
  <c r="F110" i="2"/>
  <c r="D84" i="2"/>
  <c r="H55" i="2"/>
  <c r="H59" i="2" s="1"/>
  <c r="D35" i="2"/>
  <c r="G59" i="2"/>
  <c r="G64" i="2" s="1"/>
  <c r="G158" i="2"/>
  <c r="G163" i="2" s="1"/>
  <c r="H104" i="2"/>
  <c r="H40" i="2"/>
  <c r="I41" i="2" s="1"/>
  <c r="G139" i="2"/>
  <c r="H140" i="2" s="1"/>
  <c r="H158" i="2" s="1"/>
  <c r="H163" i="2" s="1"/>
  <c r="G108" i="2"/>
  <c r="I55" i="2"/>
  <c r="I154" i="2"/>
  <c r="I155" i="2"/>
  <c r="J19" i="2"/>
  <c r="I56" i="2"/>
  <c r="I105" i="2"/>
  <c r="G89" i="2"/>
  <c r="I104" i="2" l="1"/>
  <c r="G61" i="2"/>
  <c r="H61" i="2" s="1"/>
  <c r="G113" i="2"/>
  <c r="G110" i="2"/>
  <c r="H64" i="2"/>
  <c r="H139" i="2"/>
  <c r="I140" i="2" s="1"/>
  <c r="H90" i="2"/>
  <c r="G160" i="2"/>
  <c r="H160" i="2" s="1"/>
  <c r="K19" i="2"/>
  <c r="J56" i="2"/>
  <c r="J155" i="2"/>
  <c r="J105" i="2"/>
  <c r="I59" i="2"/>
  <c r="J154" i="2"/>
  <c r="K17" i="2"/>
  <c r="J104" i="2"/>
  <c r="J55" i="2"/>
  <c r="I40" i="2"/>
  <c r="I64" i="2" l="1"/>
  <c r="I158" i="2"/>
  <c r="I139" i="2"/>
  <c r="J140" i="2" s="1"/>
  <c r="J158" i="2" s="1"/>
  <c r="J163" i="2" s="1"/>
  <c r="H89" i="2"/>
  <c r="I90" i="2" s="1"/>
  <c r="I108" i="2" s="1"/>
  <c r="I113" i="2" s="1"/>
  <c r="I61" i="2"/>
  <c r="L17" i="2"/>
  <c r="K104" i="2"/>
  <c r="K55" i="2"/>
  <c r="K154" i="2"/>
  <c r="K105" i="2"/>
  <c r="K56" i="2"/>
  <c r="K155" i="2"/>
  <c r="L19" i="2"/>
  <c r="H108" i="2"/>
  <c r="J41" i="2"/>
  <c r="I163" i="2" l="1"/>
  <c r="I160" i="2"/>
  <c r="J160" i="2" s="1"/>
  <c r="H113" i="2"/>
  <c r="I89" i="2"/>
  <c r="J90" i="2" s="1"/>
  <c r="H110" i="2"/>
  <c r="J59" i="2"/>
  <c r="J139" i="2"/>
  <c r="J40" i="2"/>
  <c r="L155" i="2"/>
  <c r="M19" i="2"/>
  <c r="L56" i="2"/>
  <c r="L105" i="2"/>
  <c r="L104" i="2"/>
  <c r="L55" i="2"/>
  <c r="M17" i="2"/>
  <c r="L154" i="2"/>
  <c r="J64" i="2" l="1"/>
  <c r="J89" i="2"/>
  <c r="K90" i="2" s="1"/>
  <c r="K108" i="2" s="1"/>
  <c r="K113" i="2" s="1"/>
  <c r="K140" i="2"/>
  <c r="J61" i="2"/>
  <c r="K41" i="2"/>
  <c r="J108" i="2"/>
  <c r="M154" i="2"/>
  <c r="N17" i="2"/>
  <c r="M104" i="2"/>
  <c r="M55" i="2"/>
  <c r="M155" i="2"/>
  <c r="M105" i="2"/>
  <c r="N19" i="2"/>
  <c r="M56" i="2"/>
  <c r="I110" i="2"/>
  <c r="J113" i="2" l="1"/>
  <c r="J110" i="2"/>
  <c r="K110" i="2" s="1"/>
  <c r="K40" i="2"/>
  <c r="L41" i="2" s="1"/>
  <c r="K139" i="2"/>
  <c r="L140" i="2" s="1"/>
  <c r="L158" i="2" s="1"/>
  <c r="L163" i="2" s="1"/>
  <c r="K89" i="2"/>
  <c r="L90" i="2" s="1"/>
  <c r="L108" i="2" s="1"/>
  <c r="L113" i="2" s="1"/>
  <c r="K59" i="2"/>
  <c r="N155" i="2"/>
  <c r="N56" i="2"/>
  <c r="O19" i="2"/>
  <c r="N105" i="2"/>
  <c r="N154" i="2"/>
  <c r="O17" i="2"/>
  <c r="N104" i="2"/>
  <c r="N55" i="2"/>
  <c r="K158" i="2"/>
  <c r="K163" i="2" l="1"/>
  <c r="K64" i="2"/>
  <c r="L59" i="2"/>
  <c r="L110" i="2"/>
  <c r="O105" i="2"/>
  <c r="Q105" i="2" s="1"/>
  <c r="F184" i="2" s="1"/>
  <c r="O56" i="2"/>
  <c r="Q56" i="2" s="1"/>
  <c r="E184" i="2" s="1"/>
  <c r="O155" i="2"/>
  <c r="Q155" i="2" s="1"/>
  <c r="G184" i="2" s="1"/>
  <c r="K160" i="2"/>
  <c r="K61" i="2"/>
  <c r="L89" i="2"/>
  <c r="L139" i="2"/>
  <c r="L40" i="2"/>
  <c r="O154" i="2"/>
  <c r="Q154" i="2" s="1"/>
  <c r="G183" i="2" s="1"/>
  <c r="O104" i="2"/>
  <c r="Q104" i="2" s="1"/>
  <c r="F183" i="2" s="1"/>
  <c r="O55" i="2"/>
  <c r="Q55" i="2" s="1"/>
  <c r="E183" i="2" s="1"/>
  <c r="L64" i="2" l="1"/>
  <c r="M140" i="2"/>
  <c r="M158" i="2" s="1"/>
  <c r="M41" i="2"/>
  <c r="M90" i="2"/>
  <c r="L160" i="2"/>
  <c r="L61" i="2"/>
  <c r="M163" i="2" l="1"/>
  <c r="M160" i="2"/>
  <c r="M139" i="2"/>
  <c r="N140" i="2" s="1"/>
  <c r="N158" i="2" s="1"/>
  <c r="N163" i="2" s="1"/>
  <c r="M59" i="2"/>
  <c r="M89" i="2"/>
  <c r="N90" i="2" s="1"/>
  <c r="N108" i="2" s="1"/>
  <c r="N113" i="2" s="1"/>
  <c r="M40" i="2"/>
  <c r="N41" i="2" s="1"/>
  <c r="M108" i="2"/>
  <c r="M113" i="2" s="1"/>
  <c r="M64" i="2" l="1"/>
  <c r="M61" i="2"/>
  <c r="N59" i="2"/>
  <c r="N139" i="2"/>
  <c r="M110" i="2"/>
  <c r="N89" i="2"/>
  <c r="N40" i="2"/>
  <c r="N160" i="2"/>
  <c r="N64" i="2" l="1"/>
  <c r="N61" i="2"/>
  <c r="O90" i="2"/>
  <c r="O140" i="2"/>
  <c r="N110" i="2"/>
  <c r="O41" i="2"/>
  <c r="O139" i="2" l="1"/>
  <c r="O40" i="2"/>
  <c r="O158" i="2"/>
  <c r="G187" i="2"/>
  <c r="O108" i="2"/>
  <c r="F118" i="2" s="1"/>
  <c r="F187" i="2"/>
  <c r="O59" i="2"/>
  <c r="F69" i="2" s="1"/>
  <c r="E187" i="2"/>
  <c r="O89" i="2"/>
  <c r="O163" i="2" l="1"/>
  <c r="Q163" i="2" s="1"/>
  <c r="F168" i="2"/>
  <c r="O113" i="2"/>
  <c r="Q113" i="2" s="1"/>
  <c r="O64" i="2"/>
  <c r="Q64" i="2" s="1"/>
  <c r="Q108" i="2"/>
  <c r="O110" i="2"/>
  <c r="Q110" i="2" s="1"/>
  <c r="Q59" i="2"/>
  <c r="O61" i="2"/>
  <c r="Q61" i="2" s="1"/>
  <c r="Q158" i="2"/>
  <c r="O160" i="2"/>
  <c r="Q160" i="2" s="1"/>
  <c r="F190" i="2" l="1"/>
  <c r="G190" i="2"/>
  <c r="E190" i="2"/>
</calcChain>
</file>

<file path=xl/comments1.xml><?xml version="1.0" encoding="utf-8"?>
<comments xmlns="http://schemas.openxmlformats.org/spreadsheetml/2006/main">
  <authors>
    <author>Jeff Carmichael</author>
  </authors>
  <commentList>
    <comment ref="E44" authorId="0" shapeId="0">
      <text>
        <r>
          <rPr>
            <sz val="9"/>
            <color indexed="81"/>
            <rFont val="Tahoma"/>
            <family val="2"/>
          </rPr>
          <t xml:space="preserve">This formula assumes that combustion engine maintenance costs apply if fuel is used (if cell D7 is &gt;0).
</t>
        </r>
      </text>
    </comment>
    <comment ref="E93" authorId="0" shapeId="0">
      <text>
        <r>
          <rPr>
            <sz val="9"/>
            <color indexed="81"/>
            <rFont val="Tahoma"/>
            <family val="2"/>
          </rPr>
          <t xml:space="preserve">This formula assumes that combustion engine maintenance costs apply if fuel is used (if cell D7 is &gt;0).
</t>
        </r>
      </text>
    </comment>
    <comment ref="E143" authorId="0" shapeId="0">
      <text>
        <r>
          <rPr>
            <sz val="9"/>
            <color indexed="81"/>
            <rFont val="Tahoma"/>
            <family val="2"/>
          </rPr>
          <t xml:space="preserve">This formula assumes that combustion engine maintenance costs apply if fuel is used (if cell D7 is &gt;0).
</t>
        </r>
      </text>
    </comment>
  </commentList>
</comments>
</file>

<file path=xl/sharedStrings.xml><?xml version="1.0" encoding="utf-8"?>
<sst xmlns="http://schemas.openxmlformats.org/spreadsheetml/2006/main" count="329" uniqueCount="157">
  <si>
    <t>%</t>
  </si>
  <si>
    <t>Discount rate</t>
  </si>
  <si>
    <t>Year</t>
  </si>
  <si>
    <t>Years in service</t>
  </si>
  <si>
    <t>NET CASHFLOW</t>
  </si>
  <si>
    <t>CUMULATIVE CASHFLOW</t>
  </si>
  <si>
    <t>FINANCIAL PERFORMANCE</t>
  </si>
  <si>
    <t>Project life</t>
  </si>
  <si>
    <t>Units</t>
  </si>
  <si>
    <t>Net Present Value</t>
  </si>
  <si>
    <t>Notes:</t>
  </si>
  <si>
    <t>liters/yr</t>
  </si>
  <si>
    <t>Gasoline cost</t>
  </si>
  <si>
    <t>Gasoline price escalation</t>
  </si>
  <si>
    <t>Gasoline purchase price ($/liter)</t>
  </si>
  <si>
    <t>$</t>
  </si>
  <si>
    <t>reinvestment interest</t>
  </si>
  <si>
    <t>10 year</t>
  </si>
  <si>
    <t>Sum</t>
  </si>
  <si>
    <t>Annual foregone interest</t>
  </si>
  <si>
    <t>Capital plus interest</t>
  </si>
  <si>
    <t>Est fuel use</t>
  </si>
  <si>
    <t>Upfront cost</t>
  </si>
  <si>
    <t>Gasoline purchases</t>
  </si>
  <si>
    <t>Notes</t>
  </si>
  <si>
    <t>$/liter</t>
  </si>
  <si>
    <t>km/yr</t>
  </si>
  <si>
    <t>Est city fuel efficiency</t>
  </si>
  <si>
    <t>Est highway fuel efficiency</t>
  </si>
  <si>
    <t>% of mileage city</t>
  </si>
  <si>
    <t>% of mileage highway</t>
  </si>
  <si>
    <t>Electricity purchases</t>
  </si>
  <si>
    <t>Est electricity use</t>
  </si>
  <si>
    <t>kWh / 100 km</t>
  </si>
  <si>
    <t>liters / 100 km</t>
  </si>
  <si>
    <t>kWh/yr</t>
  </si>
  <si>
    <t>Electricity cost</t>
  </si>
  <si>
    <t>Electricity price escalation</t>
  </si>
  <si>
    <t>Electricity purchase price ($/kWh)</t>
  </si>
  <si>
    <t>Fuel Prices and Other Parameters</t>
  </si>
  <si>
    <t>Source</t>
  </si>
  <si>
    <t>INPUT DATA FOR VEHICLE</t>
  </si>
  <si>
    <t>GENERAL PARAMETERS (ENTERED ON PARAMETERS WORKSHEET)</t>
  </si>
  <si>
    <t>VEHICLE CAPITAL COSTS ($K)</t>
  </si>
  <si>
    <t>$, in 2016 dollars</t>
  </si>
  <si>
    <t>$/kWh</t>
  </si>
  <si>
    <t xml:space="preserve">Annual maintenance cost estimates: </t>
  </si>
  <si>
    <t>Internal combustion engine</t>
  </si>
  <si>
    <t>Electric engine</t>
  </si>
  <si>
    <t>Maintenance</t>
  </si>
  <si>
    <t>VEHICLE OPERATING COSTS ($)</t>
  </si>
  <si>
    <t>O&amp;M inflation rate</t>
  </si>
  <si>
    <t>FVRD Electric Vehicle Business Case (17263087)</t>
  </si>
  <si>
    <t>Last Updated:</t>
  </si>
  <si>
    <t>Greenhouse gas emissions price</t>
  </si>
  <si>
    <t>$/year in 2013</t>
  </si>
  <si>
    <t>$, in 2013 dollars</t>
  </si>
  <si>
    <t>$/litre gasoline</t>
  </si>
  <si>
    <t>Greenhouse gas emissions cost</t>
  </si>
  <si>
    <t>$/litre gasoline (assumed constant)</t>
  </si>
  <si>
    <t>GHG emissions cost: gasoline</t>
  </si>
  <si>
    <t>GHG emissions cost: electricity</t>
  </si>
  <si>
    <t>$/kWh electricity</t>
  </si>
  <si>
    <t>$/yr</t>
  </si>
  <si>
    <t>From Conor Reynolds: 14 tonnes per GWh:  14*$150=$2,100 per GWh = $0.0021 per kWh</t>
  </si>
  <si>
    <t xml:space="preserve">8 year depreciation costs </t>
  </si>
  <si>
    <t>Vehicle 2: Toyota Prius</t>
  </si>
  <si>
    <t>kwh elec = one gallon gasoline</t>
  </si>
  <si>
    <t>kwh elec = one liter gasoline</t>
  </si>
  <si>
    <t>km/kWh</t>
  </si>
  <si>
    <t>kWh/km</t>
  </si>
  <si>
    <t>MPGe equals:</t>
  </si>
  <si>
    <t>kWh / km</t>
  </si>
  <si>
    <t>miles per gallon equivalent. From USEPA rating for vehicle.</t>
  </si>
  <si>
    <t>Vehicle 1: 2016 Nissan Sentra</t>
  </si>
  <si>
    <t>Nissan Sentra</t>
  </si>
  <si>
    <t>Toyota Prius</t>
  </si>
  <si>
    <t>Chevy Volt</t>
  </si>
  <si>
    <t>Total undiscounted</t>
  </si>
  <si>
    <t>% of mileage gasoline</t>
  </si>
  <si>
    <t>% of mileage electric</t>
  </si>
  <si>
    <t>Est combined (city/highway)  gas MPGe</t>
  </si>
  <si>
    <t>Est combined (city/highway) electric MPGe</t>
  </si>
  <si>
    <t>km/liter</t>
  </si>
  <si>
    <t>liters/100 km</t>
  </si>
  <si>
    <t>Est combined (city/highway)  gas MPG</t>
  </si>
  <si>
    <t>Greenhouse gas emissions cost: elec</t>
  </si>
  <si>
    <t>$/KWh elec (assumed constant)</t>
  </si>
  <si>
    <t>miles per gallon.  From USEPA rating for vehicle. Assuming 50/50 city/highway.</t>
  </si>
  <si>
    <t>Est average annual mileage</t>
  </si>
  <si>
    <t>$, in 2016 dollars. Function not in use (assumes no remaining asset value).</t>
  </si>
  <si>
    <t>10-yr Sum</t>
  </si>
  <si>
    <t>GHG emissions:</t>
  </si>
  <si>
    <t>tonnes CO2e per kWh electricity</t>
  </si>
  <si>
    <t>tonnes CO2e per liter gasoline</t>
  </si>
  <si>
    <t>Summary</t>
  </si>
  <si>
    <t>Est electricity efficiency</t>
  </si>
  <si>
    <t>% of mileage CNG</t>
  </si>
  <si>
    <t>kg of natural gas per 1 gasoline gallon equivalent</t>
  </si>
  <si>
    <t>MJ / kg natural gas</t>
  </si>
  <si>
    <t>MJ / GGE</t>
  </si>
  <si>
    <t>GJ / GGE</t>
  </si>
  <si>
    <t>Est combined (city/highway) CNG MPGe</t>
  </si>
  <si>
    <t>km per gallon equivalent</t>
  </si>
  <si>
    <t>GGE / GJ</t>
  </si>
  <si>
    <t>m3 per GGE</t>
  </si>
  <si>
    <t>MJ / m3</t>
  </si>
  <si>
    <t>tonnes CO2e per GJ natural gas</t>
  </si>
  <si>
    <t>tonnes CO2e per kg natural gas</t>
  </si>
  <si>
    <t>http://www2.gov.bc.ca/assets/gov/environment/climate-change/policy-legislation-and-responses/carbon-neutral-government/measure-page/2016-2017_bc_best_practices_methodology_for_quantifying_ghg_emissions.pdf</t>
  </si>
  <si>
    <t>http://www.natural-gas.com.au/about/references.html</t>
  </si>
  <si>
    <t>https://en.wikipedia.org/wiki/Gasoline_gallon_equivalent#Compressed_natural_gas</t>
  </si>
  <si>
    <t>Gasoline price escalation (14 yr historical average)</t>
  </si>
  <si>
    <t>GHG emissions price</t>
  </si>
  <si>
    <t>Carbon tax</t>
  </si>
  <si>
    <t>$/tonne GHGe</t>
  </si>
  <si>
    <t>Prices and Price Projections</t>
  </si>
  <si>
    <t>Remaining additional GHG emissions price</t>
  </si>
  <si>
    <t>Future expected additional carbon tax</t>
  </si>
  <si>
    <t>"20180412 - Fuel Prices 2002-2017 - from NRCan" http://orbit.gvrd.bc.ca/orbit/llisapi.dll/open/6097083</t>
  </si>
  <si>
    <t>Last updated:</t>
  </si>
  <si>
    <t>By:</t>
  </si>
  <si>
    <t>J.Carmichael</t>
  </si>
  <si>
    <t>Items:</t>
  </si>
  <si>
    <t>Gasoline price, Diesel price, Gas inflation</t>
  </si>
  <si>
    <t>Initial capital (2018 dollars)</t>
  </si>
  <si>
    <t>$, in 2018 dollars</t>
  </si>
  <si>
    <t>$, in 2018 dollars. Function not in use (assumes no remaining asset value).</t>
  </si>
  <si>
    <t>Not in use yet. 2014 study, so data is likely from 2013 operations.</t>
  </si>
  <si>
    <t>"Metro Vancouver Business Case Standard Economic Assumptions Unit Conversions and Energy Prices": 3486591</t>
  </si>
  <si>
    <t xml:space="preserve">2.31 kg CO2 per liter gasoline: </t>
  </si>
  <si>
    <t>http://people.exeter.ac.uk/TWDavies/energy_conversion/Calculation%20of%20CO2%20emissions%20from%20fuels.htm</t>
  </si>
  <si>
    <t>As per Carbon Price Policy</t>
  </si>
  <si>
    <t>"20190402 - Fuel Prices 2002-2018 - from NRCan": 6097083</t>
  </si>
  <si>
    <t>Average since 2003</t>
  </si>
  <si>
    <t>Conversions:</t>
  </si>
  <si>
    <t>BC Hydro requested rate increases (2 years into future); past average (further)</t>
  </si>
  <si>
    <t>Assuming Small General Service Rate (may vary by charging site)</t>
  </si>
  <si>
    <t>AQCC</t>
  </si>
  <si>
    <t>THIS VALUE MAY NOT BE CORRECT.</t>
  </si>
  <si>
    <t>not in use</t>
  </si>
  <si>
    <t>parameter from other source document to be entered here</t>
  </si>
  <si>
    <t>Discounted Net Costs</t>
  </si>
  <si>
    <t>Light Duty Vehicle (sedans) Analysis Tool</t>
  </si>
  <si>
    <t>Costs and Benefits</t>
  </si>
  <si>
    <t>CASH FLOW COSTS</t>
  </si>
  <si>
    <t>Vehicle 3: Chevy Volt</t>
  </si>
  <si>
    <t>Reference data:</t>
  </si>
  <si>
    <t>3-4 miles per kWh</t>
  </si>
  <si>
    <t>https://www.chevybolt.org/threads/how-many-m-kwh-are-you-getting.6810/</t>
  </si>
  <si>
    <t>0.25 - 0.33 kWh per mile</t>
  </si>
  <si>
    <t>0.155 - 0.204 kWh per km</t>
  </si>
  <si>
    <t>So 33.7 kWh should yield 105 miles = 169 km.</t>
  </si>
  <si>
    <t>Converted in Parameters sheet.</t>
  </si>
  <si>
    <t xml:space="preserve">This tool estimates the  life cycle cost of vehicles in this vehicle class (sedans). </t>
  </si>
  <si>
    <t>Discounted costs</t>
  </si>
  <si>
    <t>VEHICLE MAINTENANCE COSTS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</si>
</sst>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* #,##0_-;\-* #,##0_-;_-* &quot;-&quot;??_-;_-@_-"/>
    <numFmt numFmtId="168" formatCode="_-&quot;$&quot;* #,##0_-;\-&quot;$&quot;* #,##0_-;_-&quot;$&quot;* &quot;-&quot;??_-;_-@_-"/>
    <numFmt numFmtId="169" formatCode="0.0%"/>
    <numFmt numFmtId="170" formatCode="0.000"/>
    <numFmt numFmtId="171" formatCode="_-* #,##0.0_-;\-* #,##0.0_-;_-* &quot;-&quot;??_-;_-@_-"/>
    <numFmt numFmtId="172" formatCode="_-* #,##0.000_-;\-* #,##0.000_-;_-* &quot;-&quot;??_-;_-@_-"/>
    <numFmt numFmtId="173" formatCode="0.0000"/>
    <numFmt numFmtId="174" formatCode="0.0"/>
    <numFmt numFmtId="175" formatCode="_(* #,##0_);_(* \(#,##0\);_(* &quot;-&quot;??_);_(@_)"/>
    <numFmt numFmtId="176" formatCode="_-* #,##0.0000_-;\-* #,##0.0000_-;_-* &quot;-&quot;??_-;_-@_-"/>
    <numFmt numFmtId="177" formatCode="_-* #,##0.0000000_-;\-* #,##0.0000000_-;_-* &quot;-&quot;??_-;_-@_-"/>
  </numFmts>
  <fonts count="1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9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ont="0" applyFill="0" applyBorder="0" applyAlignment="0" applyProtection="0">
      <alignment horizontal="left"/>
    </xf>
    <xf numFmtId="15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1" fillId="0" borderId="14">
      <alignment horizontal="center"/>
    </xf>
    <xf numFmtId="3" fontId="10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117">
    <xf numFmtId="0" fontId="0" fillId="0" borderId="0" xfId="0"/>
    <xf numFmtId="0" fontId="3" fillId="0" borderId="0" xfId="0" applyFont="1"/>
    <xf numFmtId="0" fontId="0" fillId="0" borderId="0" xfId="0" applyFill="1"/>
    <xf numFmtId="0" fontId="0" fillId="2" borderId="0" xfId="0" applyFill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Border="1"/>
    <xf numFmtId="167" fontId="0" fillId="0" borderId="0" xfId="1" applyNumberFormat="1" applyFont="1" applyFill="1" applyBorder="1"/>
    <xf numFmtId="0" fontId="3" fillId="0" borderId="0" xfId="0" applyFont="1" applyBorder="1"/>
    <xf numFmtId="1" fontId="3" fillId="0" borderId="0" xfId="0" applyNumberFormat="1" applyFont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68" fontId="0" fillId="3" borderId="0" xfId="2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8" fontId="0" fillId="0" borderId="0" xfId="2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left"/>
    </xf>
    <xf numFmtId="169" fontId="5" fillId="0" borderId="0" xfId="0" applyNumberFormat="1" applyFont="1" applyFill="1" applyBorder="1"/>
    <xf numFmtId="170" fontId="0" fillId="0" borderId="0" xfId="0" applyNumberFormat="1" applyFill="1" applyBorder="1"/>
    <xf numFmtId="0" fontId="3" fillId="4" borderId="1" xfId="0" applyFont="1" applyFill="1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right"/>
    </xf>
    <xf numFmtId="0" fontId="3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/>
    <xf numFmtId="0" fontId="0" fillId="0" borderId="7" xfId="0" applyBorder="1"/>
    <xf numFmtId="1" fontId="3" fillId="0" borderId="8" xfId="0" applyNumberFormat="1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1" fontId="0" fillId="0" borderId="8" xfId="0" applyNumberFormat="1" applyFill="1" applyBorder="1" applyAlignment="1">
      <alignment horizontal="center"/>
    </xf>
    <xf numFmtId="0" fontId="3" fillId="0" borderId="6" xfId="0" applyFont="1" applyFill="1" applyBorder="1"/>
    <xf numFmtId="1" fontId="3" fillId="0" borderId="8" xfId="0" applyNumberFormat="1" applyFont="1" applyFill="1" applyBorder="1" applyAlignment="1">
      <alignment horizontal="center"/>
    </xf>
    <xf numFmtId="164" fontId="2" fillId="0" borderId="8" xfId="2" applyNumberFormat="1" applyFont="1" applyFill="1" applyBorder="1" applyAlignment="1">
      <alignment horizontal="center"/>
    </xf>
    <xf numFmtId="168" fontId="3" fillId="0" borderId="8" xfId="2" applyNumberFormat="1" applyFont="1" applyBorder="1" applyAlignment="1">
      <alignment horizontal="center"/>
    </xf>
    <xf numFmtId="0" fontId="3" fillId="0" borderId="9" xfId="0" applyFont="1" applyBorder="1"/>
    <xf numFmtId="0" fontId="0" fillId="0" borderId="10" xfId="0" applyBorder="1"/>
    <xf numFmtId="164" fontId="3" fillId="0" borderId="11" xfId="2" applyNumberFormat="1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applyFill="1" applyBorder="1"/>
    <xf numFmtId="0" fontId="3" fillId="0" borderId="13" xfId="0" applyFont="1" applyBorder="1"/>
    <xf numFmtId="0" fontId="3" fillId="0" borderId="13" xfId="0" applyFont="1" applyFill="1" applyBorder="1"/>
    <xf numFmtId="1" fontId="0" fillId="0" borderId="0" xfId="0" applyNumberFormat="1"/>
    <xf numFmtId="164" fontId="2" fillId="0" borderId="8" xfId="2" applyNumberFormat="1" applyFont="1" applyBorder="1" applyAlignment="1">
      <alignment horizontal="center"/>
    </xf>
    <xf numFmtId="164" fontId="3" fillId="0" borderId="8" xfId="2" applyNumberFormat="1" applyFont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169" fontId="4" fillId="5" borderId="0" xfId="3" applyNumberFormat="1" applyFont="1" applyFill="1" applyBorder="1"/>
    <xf numFmtId="0" fontId="0" fillId="5" borderId="0" xfId="0" applyFill="1" applyBorder="1"/>
    <xf numFmtId="0" fontId="3" fillId="0" borderId="0" xfId="0" applyFont="1" applyFill="1"/>
    <xf numFmtId="0" fontId="0" fillId="0" borderId="15" xfId="0" applyFont="1" applyBorder="1"/>
    <xf numFmtId="0" fontId="0" fillId="0" borderId="7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Fill="1"/>
    <xf numFmtId="164" fontId="7" fillId="0" borderId="0" xfId="2" applyNumberFormat="1" applyFont="1" applyBorder="1" applyAlignment="1">
      <alignment horizontal="center"/>
    </xf>
    <xf numFmtId="0" fontId="9" fillId="0" borderId="0" xfId="4"/>
    <xf numFmtId="0" fontId="6" fillId="0" borderId="0" xfId="4" applyFont="1"/>
    <xf numFmtId="0" fontId="3" fillId="0" borderId="0" xfId="4" applyFont="1"/>
    <xf numFmtId="0" fontId="0" fillId="0" borderId="0" xfId="0" applyFont="1" applyFill="1" applyBorder="1"/>
    <xf numFmtId="171" fontId="0" fillId="3" borderId="0" xfId="1" applyNumberFormat="1" applyFont="1" applyFill="1" applyBorder="1" applyAlignment="1">
      <alignment horizontal="center"/>
    </xf>
    <xf numFmtId="167" fontId="0" fillId="3" borderId="0" xfId="1" applyNumberFormat="1" applyFon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43" fontId="0" fillId="3" borderId="0" xfId="1" applyNumberFormat="1" applyFont="1" applyFill="1" applyBorder="1" applyAlignment="1">
      <alignment horizontal="center"/>
    </xf>
    <xf numFmtId="0" fontId="7" fillId="0" borderId="0" xfId="0" applyFont="1"/>
    <xf numFmtId="172" fontId="0" fillId="0" borderId="0" xfId="0" applyNumberFormat="1" applyFill="1" applyBorder="1"/>
    <xf numFmtId="0" fontId="0" fillId="0" borderId="0" xfId="4" applyFont="1"/>
    <xf numFmtId="0" fontId="12" fillId="0" borderId="0" xfId="4" applyFont="1"/>
    <xf numFmtId="0" fontId="13" fillId="0" borderId="0" xfId="58" applyAlignment="1">
      <alignment vertical="center"/>
    </xf>
    <xf numFmtId="0" fontId="0" fillId="0" borderId="0" xfId="0" applyFont="1" applyBorder="1" applyAlignment="1">
      <alignment horizontal="center"/>
    </xf>
    <xf numFmtId="169" fontId="9" fillId="0" borderId="0" xfId="4" applyNumberFormat="1"/>
    <xf numFmtId="43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2" fontId="0" fillId="5" borderId="0" xfId="0" applyNumberFormat="1" applyFill="1" applyBorder="1"/>
    <xf numFmtId="0" fontId="3" fillId="0" borderId="13" xfId="0" applyFont="1" applyFill="1" applyBorder="1" applyAlignment="1"/>
    <xf numFmtId="0" fontId="3" fillId="0" borderId="13" xfId="0" applyFont="1" applyBorder="1" applyAlignment="1"/>
    <xf numFmtId="0" fontId="13" fillId="0" borderId="0" xfId="58"/>
    <xf numFmtId="168" fontId="0" fillId="0" borderId="0" xfId="2" applyNumberFormat="1" applyFont="1" applyFill="1" applyBorder="1"/>
    <xf numFmtId="169" fontId="4" fillId="0" borderId="0" xfId="3" applyNumberFormat="1" applyFont="1" applyFill="1" applyBorder="1"/>
    <xf numFmtId="173" fontId="0" fillId="5" borderId="0" xfId="0" applyNumberFormat="1" applyFill="1" applyBorder="1"/>
    <xf numFmtId="1" fontId="0" fillId="0" borderId="0" xfId="0" applyNumberFormat="1" applyFill="1" applyBorder="1"/>
    <xf numFmtId="43" fontId="0" fillId="0" borderId="0" xfId="1" applyFont="1" applyFill="1" applyBorder="1"/>
    <xf numFmtId="174" fontId="9" fillId="0" borderId="0" xfId="4" applyNumberFormat="1"/>
    <xf numFmtId="167" fontId="9" fillId="0" borderId="0" xfId="1" applyNumberFormat="1" applyFont="1"/>
    <xf numFmtId="175" fontId="0" fillId="0" borderId="0" xfId="1" applyNumberFormat="1" applyFont="1" applyFill="1" applyBorder="1"/>
    <xf numFmtId="176" fontId="0" fillId="0" borderId="0" xfId="1" applyNumberFormat="1" applyFont="1" applyFill="1" applyBorder="1" applyAlignment="1">
      <alignment horizontal="center"/>
    </xf>
    <xf numFmtId="168" fontId="0" fillId="0" borderId="0" xfId="2" applyNumberFormat="1" applyFont="1"/>
    <xf numFmtId="168" fontId="0" fillId="0" borderId="0" xfId="0" applyNumberFormat="1"/>
    <xf numFmtId="168" fontId="0" fillId="0" borderId="16" xfId="0" applyNumberFormat="1" applyBorder="1"/>
    <xf numFmtId="167" fontId="0" fillId="0" borderId="0" xfId="1" applyNumberFormat="1" applyFont="1" applyFill="1" applyBorder="1" applyAlignment="1">
      <alignment horizontal="center"/>
    </xf>
    <xf numFmtId="171" fontId="0" fillId="0" borderId="0" xfId="1" applyNumberFormat="1" applyFont="1" applyFill="1" applyBorder="1" applyAlignment="1">
      <alignment horizontal="center"/>
    </xf>
    <xf numFmtId="9" fontId="0" fillId="6" borderId="0" xfId="3" applyFont="1" applyFill="1" applyBorder="1" applyAlignment="1">
      <alignment horizontal="center"/>
    </xf>
    <xf numFmtId="0" fontId="15" fillId="0" borderId="0" xfId="0" applyFont="1"/>
    <xf numFmtId="167" fontId="0" fillId="6" borderId="0" xfId="1" applyNumberFormat="1" applyFont="1" applyFill="1" applyBorder="1" applyAlignment="1">
      <alignment horizontal="center"/>
    </xf>
    <xf numFmtId="175" fontId="0" fillId="0" borderId="0" xfId="0" applyNumberFormat="1"/>
    <xf numFmtId="170" fontId="9" fillId="0" borderId="0" xfId="4" applyNumberFormat="1"/>
    <xf numFmtId="1" fontId="9" fillId="0" borderId="0" xfId="4" applyNumberFormat="1"/>
    <xf numFmtId="166" fontId="0" fillId="0" borderId="0" xfId="0" applyNumberFormat="1" applyFill="1" applyBorder="1"/>
    <xf numFmtId="15" fontId="9" fillId="0" borderId="0" xfId="4" applyNumberFormat="1"/>
    <xf numFmtId="43" fontId="0" fillId="6" borderId="0" xfId="1" applyNumberFormat="1" applyFont="1" applyFill="1" applyBorder="1" applyAlignment="1">
      <alignment horizontal="center"/>
    </xf>
    <xf numFmtId="169" fontId="0" fillId="3" borderId="0" xfId="3" applyNumberFormat="1" applyFont="1" applyFill="1" applyBorder="1" applyAlignment="1">
      <alignment horizontal="center"/>
    </xf>
    <xf numFmtId="0" fontId="9" fillId="6" borderId="0" xfId="4" applyFill="1"/>
    <xf numFmtId="176" fontId="0" fillId="3" borderId="0" xfId="1" applyNumberFormat="1" applyFont="1" applyFill="1" applyBorder="1" applyAlignment="1">
      <alignment horizontal="center"/>
    </xf>
    <xf numFmtId="177" fontId="0" fillId="3" borderId="0" xfId="1" applyNumberFormat="1" applyFont="1" applyFill="1" applyBorder="1" applyAlignment="1">
      <alignment horizontal="center"/>
    </xf>
    <xf numFmtId="166" fontId="0" fillId="0" borderId="0" xfId="0" applyNumberFormat="1" applyFill="1"/>
    <xf numFmtId="166" fontId="9" fillId="0" borderId="0" xfId="4" applyNumberFormat="1"/>
    <xf numFmtId="14" fontId="0" fillId="0" borderId="0" xfId="0" applyNumberFormat="1" applyAlignment="1">
      <alignment horizontal="right"/>
    </xf>
    <xf numFmtId="43" fontId="0" fillId="0" borderId="0" xfId="1" applyNumberFormat="1" applyFont="1" applyFill="1" applyBorder="1" applyAlignment="1">
      <alignment horizontal="center"/>
    </xf>
    <xf numFmtId="0" fontId="6" fillId="0" borderId="0" xfId="0" applyFont="1"/>
    <xf numFmtId="0" fontId="4" fillId="0" borderId="0" xfId="0" applyFont="1"/>
    <xf numFmtId="164" fontId="4" fillId="0" borderId="0" xfId="0" applyNumberFormat="1" applyFont="1"/>
    <xf numFmtId="164" fontId="6" fillId="0" borderId="0" xfId="0" applyNumberFormat="1" applyFont="1"/>
    <xf numFmtId="164" fontId="2" fillId="0" borderId="7" xfId="2" applyNumberFormat="1" applyFont="1" applyFill="1" applyBorder="1" applyAlignment="1">
      <alignment horizontal="center"/>
    </xf>
    <xf numFmtId="168" fontId="0" fillId="7" borderId="0" xfId="2" applyNumberFormat="1" applyFont="1" applyFill="1" applyBorder="1"/>
    <xf numFmtId="168" fontId="2" fillId="0" borderId="8" xfId="2" applyNumberFormat="1" applyFont="1" applyFill="1" applyBorder="1" applyAlignment="1">
      <alignment horizontal="center"/>
    </xf>
    <xf numFmtId="168" fontId="3" fillId="0" borderId="11" xfId="2" applyNumberFormat="1" applyFont="1" applyBorder="1" applyAlignment="1">
      <alignment horizontal="center"/>
    </xf>
  </cellXfs>
  <cellStyles count="59">
    <cellStyle name="Comma" xfId="1" builtinId="3"/>
    <cellStyle name="Comma 2" xfId="8"/>
    <cellStyle name="Comma 2 2" xfId="9"/>
    <cellStyle name="Comma 2 2 2" xfId="10"/>
    <cellStyle name="Comma 2 3" xfId="11"/>
    <cellStyle name="Comma 3" xfId="12"/>
    <cellStyle name="Comma 3 2" xfId="13"/>
    <cellStyle name="Comma 3 2 2" xfId="14"/>
    <cellStyle name="Comma 4" xfId="15"/>
    <cellStyle name="Comma 4 2" xfId="16"/>
    <cellStyle name="Comma 4 2 2" xfId="17"/>
    <cellStyle name="Currency" xfId="2" builtinId="4"/>
    <cellStyle name="Currency 2" xfId="5"/>
    <cellStyle name="Currency 2 2" xfId="6"/>
    <cellStyle name="Currency 2 3" xfId="18"/>
    <cellStyle name="Currency 3" xfId="19"/>
    <cellStyle name="Currency 4" xfId="20"/>
    <cellStyle name="Hyperlink" xfId="58" builtinId="8"/>
    <cellStyle name="Normal" xfId="0" builtinId="0"/>
    <cellStyle name="Normal 2" xfId="4"/>
    <cellStyle name="Normal 2 2" xfId="21"/>
    <cellStyle name="Normal 2 2 2" xfId="22"/>
    <cellStyle name="Normal 2 2 3" xfId="23"/>
    <cellStyle name="Normal 2 3" xfId="24"/>
    <cellStyle name="Normal 2 4" xfId="25"/>
    <cellStyle name="Normal 2 5" xfId="26"/>
    <cellStyle name="Normal 2 6" xfId="27"/>
    <cellStyle name="Normal 2 7" xfId="28"/>
    <cellStyle name="Normal 2 8" xfId="29"/>
    <cellStyle name="Normal 2 9" xfId="30"/>
    <cellStyle name="Normal 3 2" xfId="31"/>
    <cellStyle name="Normal 3 3" xfId="32"/>
    <cellStyle name="Normal 3 4" xfId="33"/>
    <cellStyle name="Normal 3 5" xfId="34"/>
    <cellStyle name="Normal 3 6" xfId="35"/>
    <cellStyle name="Normal 3 7" xfId="36"/>
    <cellStyle name="Normal 4 2" xfId="37"/>
    <cellStyle name="Normal 4 3" xfId="38"/>
    <cellStyle name="Normal 4 4" xfId="39"/>
    <cellStyle name="Normal 4 5" xfId="40"/>
    <cellStyle name="Normal 4 6" xfId="41"/>
    <cellStyle name="Normal 4 7" xfId="42"/>
    <cellStyle name="Normal 5 2" xfId="43"/>
    <cellStyle name="Normal 5 3" xfId="44"/>
    <cellStyle name="Normal 5 4" xfId="45"/>
    <cellStyle name="Normal 5 5" xfId="46"/>
    <cellStyle name="Normal 5 6" xfId="47"/>
    <cellStyle name="Normal 5 7" xfId="48"/>
    <cellStyle name="Normal 6" xfId="49"/>
    <cellStyle name="Normal 7" xfId="50"/>
    <cellStyle name="Percent" xfId="3" builtinId="5"/>
    <cellStyle name="Percent 2" xfId="7"/>
    <cellStyle name="Percent 2 2" xfId="51"/>
    <cellStyle name="Percent 3" xfId="52"/>
    <cellStyle name="PSChar" xfId="53"/>
    <cellStyle name="PSDate" xfId="54"/>
    <cellStyle name="PSDec" xfId="55"/>
    <cellStyle name="PSHeading" xfId="56"/>
    <cellStyle name="PSInt" xfId="57"/>
  </cellStyles>
  <dxfs count="0"/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Life</a:t>
            </a:r>
            <a:r>
              <a:rPr lang="en-CA" baseline="0"/>
              <a:t> Cycle Costs and Revenues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15161115064698"/>
          <c:y val="0.15649789029535865"/>
          <c:w val="0.74808842772204498"/>
          <c:h val="0.423666899232532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'LD sedans'!$B$180</c:f>
              <c:strCache>
                <c:ptCount val="1"/>
                <c:pt idx="0">
                  <c:v>Upfront cost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'LD sedans'!$E$180:$G$180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'LD sedans'!$E$179:$G$179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6A0C-494C-AAE2-CEB023694E19}"/>
            </c:ext>
          </c:extLst>
        </c:ser>
        <c:ser>
          <c:idx val="3"/>
          <c:order val="1"/>
          <c:tx>
            <c:strRef>
              <c:f>'LD sedans'!$B$183</c:f>
              <c:strCache>
                <c:ptCount val="1"/>
                <c:pt idx="0">
                  <c:v>Gasoline purchases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'LD sedans'!$E$183:$G$183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'LD sedans'!$E$179:$G$179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6A0C-494C-AAE2-CEB023694E19}"/>
            </c:ext>
          </c:extLst>
        </c:ser>
        <c:ser>
          <c:idx val="4"/>
          <c:order val="2"/>
          <c:tx>
            <c:strRef>
              <c:f>'LD sedans'!$B$184</c:f>
              <c:strCache>
                <c:ptCount val="1"/>
                <c:pt idx="0">
                  <c:v>Electricity purchases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'LD sedans'!$E$184:$G$184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'LD sedans'!$E$179:$G$179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6A0C-494C-AAE2-CEB023694E19}"/>
            </c:ext>
          </c:extLst>
        </c:ser>
        <c:ser>
          <c:idx val="6"/>
          <c:order val="3"/>
          <c:tx>
            <c:strRef>
              <c:f>'LD sedans'!$B$185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'LD sedans'!$E$185:$G$185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'LD sedans'!$E$179:$G$179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6A0C-494C-AAE2-CEB023694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7566456"/>
        <c:axId val="290015072"/>
      </c:barChart>
      <c:lineChart>
        <c:grouping val="standard"/>
        <c:varyColors val="0"/>
        <c:ser>
          <c:idx val="8"/>
          <c:order val="4"/>
          <c:tx>
            <c:strRef>
              <c:f>'LD sedans'!$B$190</c:f>
              <c:strCache>
                <c:ptCount val="1"/>
                <c:pt idx="0">
                  <c:v>Net Present Value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16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'LD sedans'!$E$190:$G$190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'LD sedans'!$E$179:$G$179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6A0C-494C-AAE2-CEB023694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566456"/>
        <c:axId val="290015072"/>
      </c:lineChart>
      <c:catAx>
        <c:axId val="21756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15072"/>
        <c:crosses val="autoZero"/>
        <c:auto val="1"/>
        <c:lblAlgn val="ctr"/>
        <c:lblOffset val="100"/>
        <c:noMultiLvlLbl val="0"/>
      </c:catAx>
      <c:valAx>
        <c:axId val="29001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566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958785764024395"/>
          <c:y val="0.62235888235489545"/>
          <c:w val="0.62854020798420596"/>
          <c:h val="0.352324661948901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176</xdr:row>
      <xdr:rowOff>85726</xdr:rowOff>
    </xdr:from>
    <xdr:to>
      <xdr:col>12</xdr:col>
      <xdr:colOff>657225</xdr:colOff>
      <xdr:row>192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bit.gvrd.bc.ca/orbit/llisapi.dll/open/348659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people.exeter.ac.uk/TWDavies/energy_conversion/Calculation%20of%20CO2%20emissions%20from%20fuels.htm" TargetMode="External"/><Relationship Id="rId7" Type="http://schemas.openxmlformats.org/officeDocument/2006/relationships/hyperlink" Target="http://orbit.gvrd.bc.ca/orbit/llisapi.dll/open/3486591" TargetMode="External"/><Relationship Id="rId12" Type="http://schemas.openxmlformats.org/officeDocument/2006/relationships/hyperlink" Target="https://www.chevybolt.org/threads/how-many-m-kwh-are-you-getting.6810/" TargetMode="External"/><Relationship Id="rId2" Type="http://schemas.openxmlformats.org/officeDocument/2006/relationships/hyperlink" Target="http://orbit.gvrd.bc.ca/orbit/llisapi.dll/open/17263087" TargetMode="External"/><Relationship Id="rId1" Type="http://schemas.openxmlformats.org/officeDocument/2006/relationships/hyperlink" Target="http://orbit.gvrd.bc.ca/orbit/llisapi.dll/open/17263087" TargetMode="External"/><Relationship Id="rId6" Type="http://schemas.openxmlformats.org/officeDocument/2006/relationships/hyperlink" Target="http://orbit.gvrd.bc.ca/orbit/llisapi.dll/open/6097083" TargetMode="External"/><Relationship Id="rId11" Type="http://schemas.openxmlformats.org/officeDocument/2006/relationships/hyperlink" Target="http://orbit.gvrd.bc.ca/orbit/llisapi.dll/open/3486591" TargetMode="External"/><Relationship Id="rId5" Type="http://schemas.openxmlformats.org/officeDocument/2006/relationships/hyperlink" Target="http://orbit.gvrd.bc.ca/orbit/llisapi.dll/open/6097083" TargetMode="External"/><Relationship Id="rId10" Type="http://schemas.openxmlformats.org/officeDocument/2006/relationships/hyperlink" Target="http://orbit.gvrd.bc.ca/orbit/llisapi.dll/open/3486591" TargetMode="External"/><Relationship Id="rId4" Type="http://schemas.openxmlformats.org/officeDocument/2006/relationships/hyperlink" Target="http://www.natural-gas.com.au/about/references.html" TargetMode="External"/><Relationship Id="rId9" Type="http://schemas.openxmlformats.org/officeDocument/2006/relationships/hyperlink" Target="http://orbit.gvrd.bc.ca/orbit/llisapi.dll/open/34865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Z52"/>
  <sheetViews>
    <sheetView tabSelected="1" zoomScale="70" zoomScaleNormal="70" workbookViewId="0">
      <selection activeCell="I2" sqref="I2"/>
    </sheetView>
  </sheetViews>
  <sheetFormatPr defaultRowHeight="12.5" x14ac:dyDescent="0.25"/>
  <cols>
    <col min="1" max="2" width="2.81640625" style="57" customWidth="1"/>
    <col min="3" max="3" width="18.54296875" style="57" customWidth="1"/>
    <col min="4" max="4" width="9.1796875" style="57"/>
    <col min="5" max="5" width="11" style="57" bestFit="1" customWidth="1"/>
    <col min="6" max="6" width="15.26953125" style="57" bestFit="1" customWidth="1"/>
    <col min="7" max="10" width="9.1796875" style="57"/>
    <col min="11" max="11" width="7.453125" style="57" customWidth="1"/>
    <col min="12" max="16" width="7.453125" style="57" bestFit="1" customWidth="1"/>
    <col min="17" max="17" width="9.1796875" style="57"/>
    <col min="18" max="18" width="15.54296875" style="57" customWidth="1"/>
    <col min="19" max="19" width="1.81640625" style="57" customWidth="1"/>
    <col min="20" max="24" width="9.1796875" style="57"/>
    <col min="25" max="25" width="3.54296875" style="57" customWidth="1"/>
    <col min="26" max="271" width="9.1796875" style="57"/>
    <col min="272" max="272" width="9.1796875" style="57" customWidth="1"/>
    <col min="273" max="527" width="9.1796875" style="57"/>
    <col min="528" max="528" width="9.1796875" style="57" customWidth="1"/>
    <col min="529" max="783" width="9.1796875" style="57"/>
    <col min="784" max="784" width="9.1796875" style="57" customWidth="1"/>
    <col min="785" max="1039" width="9.1796875" style="57"/>
    <col min="1040" max="1040" width="9.1796875" style="57" customWidth="1"/>
    <col min="1041" max="1295" width="9.1796875" style="57"/>
    <col min="1296" max="1296" width="9.1796875" style="57" customWidth="1"/>
    <col min="1297" max="1551" width="9.1796875" style="57"/>
    <col min="1552" max="1552" width="9.1796875" style="57" customWidth="1"/>
    <col min="1553" max="1807" width="9.1796875" style="57"/>
    <col min="1808" max="1808" width="9.1796875" style="57" customWidth="1"/>
    <col min="1809" max="2063" width="9.1796875" style="57"/>
    <col min="2064" max="2064" width="9.1796875" style="57" customWidth="1"/>
    <col min="2065" max="2319" width="9.1796875" style="57"/>
    <col min="2320" max="2320" width="9.1796875" style="57" customWidth="1"/>
    <col min="2321" max="2575" width="9.1796875" style="57"/>
    <col min="2576" max="2576" width="9.1796875" style="57" customWidth="1"/>
    <col min="2577" max="2831" width="9.1796875" style="57"/>
    <col min="2832" max="2832" width="9.1796875" style="57" customWidth="1"/>
    <col min="2833" max="3087" width="9.1796875" style="57"/>
    <col min="3088" max="3088" width="9.1796875" style="57" customWidth="1"/>
    <col min="3089" max="3343" width="9.1796875" style="57"/>
    <col min="3344" max="3344" width="9.1796875" style="57" customWidth="1"/>
    <col min="3345" max="3599" width="9.1796875" style="57"/>
    <col min="3600" max="3600" width="9.1796875" style="57" customWidth="1"/>
    <col min="3601" max="3855" width="9.1796875" style="57"/>
    <col min="3856" max="3856" width="9.1796875" style="57" customWidth="1"/>
    <col min="3857" max="4111" width="9.1796875" style="57"/>
    <col min="4112" max="4112" width="9.1796875" style="57" customWidth="1"/>
    <col min="4113" max="4367" width="9.1796875" style="57"/>
    <col min="4368" max="4368" width="9.1796875" style="57" customWidth="1"/>
    <col min="4369" max="4623" width="9.1796875" style="57"/>
    <col min="4624" max="4624" width="9.1796875" style="57" customWidth="1"/>
    <col min="4625" max="4879" width="9.1796875" style="57"/>
    <col min="4880" max="4880" width="9.1796875" style="57" customWidth="1"/>
    <col min="4881" max="5135" width="9.1796875" style="57"/>
    <col min="5136" max="5136" width="9.1796875" style="57" customWidth="1"/>
    <col min="5137" max="5391" width="9.1796875" style="57"/>
    <col min="5392" max="5392" width="9.1796875" style="57" customWidth="1"/>
    <col min="5393" max="5647" width="9.1796875" style="57"/>
    <col min="5648" max="5648" width="9.1796875" style="57" customWidth="1"/>
    <col min="5649" max="5903" width="9.1796875" style="57"/>
    <col min="5904" max="5904" width="9.1796875" style="57" customWidth="1"/>
    <col min="5905" max="6159" width="9.1796875" style="57"/>
    <col min="6160" max="6160" width="9.1796875" style="57" customWidth="1"/>
    <col min="6161" max="6415" width="9.1796875" style="57"/>
    <col min="6416" max="6416" width="9.1796875" style="57" customWidth="1"/>
    <col min="6417" max="6671" width="9.1796875" style="57"/>
    <col min="6672" max="6672" width="9.1796875" style="57" customWidth="1"/>
    <col min="6673" max="6927" width="9.1796875" style="57"/>
    <col min="6928" max="6928" width="9.1796875" style="57" customWidth="1"/>
    <col min="6929" max="7183" width="9.1796875" style="57"/>
    <col min="7184" max="7184" width="9.1796875" style="57" customWidth="1"/>
    <col min="7185" max="7439" width="9.1796875" style="57"/>
    <col min="7440" max="7440" width="9.1796875" style="57" customWidth="1"/>
    <col min="7441" max="7695" width="9.1796875" style="57"/>
    <col min="7696" max="7696" width="9.1796875" style="57" customWidth="1"/>
    <col min="7697" max="7951" width="9.1796875" style="57"/>
    <col min="7952" max="7952" width="9.1796875" style="57" customWidth="1"/>
    <col min="7953" max="8207" width="9.1796875" style="57"/>
    <col min="8208" max="8208" width="9.1796875" style="57" customWidth="1"/>
    <col min="8209" max="8463" width="9.1796875" style="57"/>
    <col min="8464" max="8464" width="9.1796875" style="57" customWidth="1"/>
    <col min="8465" max="8719" width="9.1796875" style="57"/>
    <col min="8720" max="8720" width="9.1796875" style="57" customWidth="1"/>
    <col min="8721" max="8975" width="9.1796875" style="57"/>
    <col min="8976" max="8976" width="9.1796875" style="57" customWidth="1"/>
    <col min="8977" max="9231" width="9.1796875" style="57"/>
    <col min="9232" max="9232" width="9.1796875" style="57" customWidth="1"/>
    <col min="9233" max="9487" width="9.1796875" style="57"/>
    <col min="9488" max="9488" width="9.1796875" style="57" customWidth="1"/>
    <col min="9489" max="9743" width="9.1796875" style="57"/>
    <col min="9744" max="9744" width="9.1796875" style="57" customWidth="1"/>
    <col min="9745" max="9999" width="9.1796875" style="57"/>
    <col min="10000" max="10000" width="9.1796875" style="57" customWidth="1"/>
    <col min="10001" max="10255" width="9.1796875" style="57"/>
    <col min="10256" max="10256" width="9.1796875" style="57" customWidth="1"/>
    <col min="10257" max="10511" width="9.1796875" style="57"/>
    <col min="10512" max="10512" width="9.1796875" style="57" customWidth="1"/>
    <col min="10513" max="10767" width="9.1796875" style="57"/>
    <col min="10768" max="10768" width="9.1796875" style="57" customWidth="1"/>
    <col min="10769" max="11023" width="9.1796875" style="57"/>
    <col min="11024" max="11024" width="9.1796875" style="57" customWidth="1"/>
    <col min="11025" max="11279" width="9.1796875" style="57"/>
    <col min="11280" max="11280" width="9.1796875" style="57" customWidth="1"/>
    <col min="11281" max="11535" width="9.1796875" style="57"/>
    <col min="11536" max="11536" width="9.1796875" style="57" customWidth="1"/>
    <col min="11537" max="11791" width="9.1796875" style="57"/>
    <col min="11792" max="11792" width="9.1796875" style="57" customWidth="1"/>
    <col min="11793" max="12047" width="9.1796875" style="57"/>
    <col min="12048" max="12048" width="9.1796875" style="57" customWidth="1"/>
    <col min="12049" max="12303" width="9.1796875" style="57"/>
    <col min="12304" max="12304" width="9.1796875" style="57" customWidth="1"/>
    <col min="12305" max="12559" width="9.1796875" style="57"/>
    <col min="12560" max="12560" width="9.1796875" style="57" customWidth="1"/>
    <col min="12561" max="12815" width="9.1796875" style="57"/>
    <col min="12816" max="12816" width="9.1796875" style="57" customWidth="1"/>
    <col min="12817" max="13071" width="9.1796875" style="57"/>
    <col min="13072" max="13072" width="9.1796875" style="57" customWidth="1"/>
    <col min="13073" max="13327" width="9.1796875" style="57"/>
    <col min="13328" max="13328" width="9.1796875" style="57" customWidth="1"/>
    <col min="13329" max="13583" width="9.1796875" style="57"/>
    <col min="13584" max="13584" width="9.1796875" style="57" customWidth="1"/>
    <col min="13585" max="13839" width="9.1796875" style="57"/>
    <col min="13840" max="13840" width="9.1796875" style="57" customWidth="1"/>
    <col min="13841" max="14095" width="9.1796875" style="57"/>
    <col min="14096" max="14096" width="9.1796875" style="57" customWidth="1"/>
    <col min="14097" max="14351" width="9.1796875" style="57"/>
    <col min="14352" max="14352" width="9.1796875" style="57" customWidth="1"/>
    <col min="14353" max="14607" width="9.1796875" style="57"/>
    <col min="14608" max="14608" width="9.1796875" style="57" customWidth="1"/>
    <col min="14609" max="14863" width="9.1796875" style="57"/>
    <col min="14864" max="14864" width="9.1796875" style="57" customWidth="1"/>
    <col min="14865" max="15119" width="9.1796875" style="57"/>
    <col min="15120" max="15120" width="9.1796875" style="57" customWidth="1"/>
    <col min="15121" max="15375" width="9.1796875" style="57"/>
    <col min="15376" max="15376" width="9.1796875" style="57" customWidth="1"/>
    <col min="15377" max="15631" width="9.1796875" style="57"/>
    <col min="15632" max="15632" width="9.1796875" style="57" customWidth="1"/>
    <col min="15633" max="15887" width="9.1796875" style="57"/>
    <col min="15888" max="15888" width="9.1796875" style="57" customWidth="1"/>
    <col min="15889" max="16143" width="9.1796875" style="57"/>
    <col min="16144" max="16144" width="9.1796875" style="57" customWidth="1"/>
    <col min="16145" max="16384" width="9.1796875" style="57"/>
  </cols>
  <sheetData>
    <row r="1" spans="1:26" ht="15.5" x14ac:dyDescent="0.35">
      <c r="A1" s="58" t="s">
        <v>39</v>
      </c>
      <c r="B1" s="58"/>
      <c r="G1" s="67" t="s">
        <v>120</v>
      </c>
      <c r="I1" s="99">
        <v>43840</v>
      </c>
    </row>
    <row r="2" spans="1:26" ht="13" x14ac:dyDescent="0.3">
      <c r="G2" s="67" t="s">
        <v>121</v>
      </c>
      <c r="I2" s="67" t="s">
        <v>122</v>
      </c>
      <c r="R2" s="59" t="s">
        <v>8</v>
      </c>
      <c r="T2" s="59" t="s">
        <v>24</v>
      </c>
      <c r="Z2" s="59" t="s">
        <v>40</v>
      </c>
    </row>
    <row r="3" spans="1:26" x14ac:dyDescent="0.25">
      <c r="G3" s="67" t="s">
        <v>123</v>
      </c>
      <c r="I3" s="67" t="s">
        <v>124</v>
      </c>
    </row>
    <row r="4" spans="1:26" x14ac:dyDescent="0.25">
      <c r="C4" s="5" t="s">
        <v>16</v>
      </c>
      <c r="D4" s="5"/>
      <c r="E4" s="62">
        <v>2</v>
      </c>
      <c r="R4" s="5" t="s">
        <v>0</v>
      </c>
      <c r="Z4" s="69" t="s">
        <v>129</v>
      </c>
    </row>
    <row r="5" spans="1:26" x14ac:dyDescent="0.25">
      <c r="C5" s="5" t="s">
        <v>1</v>
      </c>
      <c r="D5" s="5"/>
      <c r="E5" s="61">
        <v>3.5</v>
      </c>
      <c r="R5" s="5" t="s">
        <v>0</v>
      </c>
      <c r="Z5" s="69" t="s">
        <v>129</v>
      </c>
    </row>
    <row r="6" spans="1:26" x14ac:dyDescent="0.25">
      <c r="C6" s="5" t="s">
        <v>51</v>
      </c>
      <c r="D6" s="5"/>
      <c r="E6" s="62">
        <v>0</v>
      </c>
      <c r="R6" s="5" t="s">
        <v>0</v>
      </c>
      <c r="Z6" s="69" t="s">
        <v>129</v>
      </c>
    </row>
    <row r="8" spans="1:26" ht="14" x14ac:dyDescent="0.3">
      <c r="B8" s="68" t="s">
        <v>116</v>
      </c>
    </row>
    <row r="9" spans="1:26" x14ac:dyDescent="0.25">
      <c r="C9" s="67" t="s">
        <v>46</v>
      </c>
    </row>
    <row r="10" spans="1:26" x14ac:dyDescent="0.25">
      <c r="C10" s="5" t="s">
        <v>47</v>
      </c>
      <c r="D10" s="5"/>
      <c r="E10" s="100">
        <v>684.89</v>
      </c>
      <c r="R10" s="5" t="s">
        <v>55</v>
      </c>
      <c r="T10" s="67" t="s">
        <v>128</v>
      </c>
      <c r="Z10" s="77" t="s">
        <v>52</v>
      </c>
    </row>
    <row r="11" spans="1:26" x14ac:dyDescent="0.25">
      <c r="C11" s="5" t="s">
        <v>48</v>
      </c>
      <c r="D11" s="5"/>
      <c r="E11" s="100">
        <v>278.75</v>
      </c>
      <c r="R11" s="5" t="s">
        <v>55</v>
      </c>
      <c r="T11" s="67" t="s">
        <v>128</v>
      </c>
      <c r="Z11" s="77" t="s">
        <v>52</v>
      </c>
    </row>
    <row r="13" spans="1:26" ht="14" x14ac:dyDescent="0.3">
      <c r="B13" s="68"/>
      <c r="C13" s="67" t="s">
        <v>54</v>
      </c>
      <c r="F13" s="5"/>
    </row>
    <row r="14" spans="1:26" x14ac:dyDescent="0.25">
      <c r="F14" s="70">
        <v>2018</v>
      </c>
      <c r="G14" s="70">
        <f t="shared" ref="G14" si="0">F14+1</f>
        <v>2019</v>
      </c>
      <c r="H14" s="70">
        <f t="shared" ref="H14" si="1">G14+1</f>
        <v>2020</v>
      </c>
      <c r="I14" s="70">
        <f t="shared" ref="I14" si="2">H14+1</f>
        <v>2021</v>
      </c>
      <c r="J14" s="70">
        <f t="shared" ref="J14" si="3">I14+1</f>
        <v>2022</v>
      </c>
      <c r="K14" s="70">
        <f t="shared" ref="K14" si="4">J14+1</f>
        <v>2023</v>
      </c>
      <c r="L14" s="70">
        <f t="shared" ref="L14" si="5">K14+1</f>
        <v>2024</v>
      </c>
      <c r="M14" s="70">
        <f t="shared" ref="M14" si="6">L14+1</f>
        <v>2025</v>
      </c>
      <c r="N14" s="70">
        <f t="shared" ref="N14:P14" si="7">M14+1</f>
        <v>2026</v>
      </c>
      <c r="O14" s="70">
        <f t="shared" ref="O14" si="8">N14+1</f>
        <v>2027</v>
      </c>
      <c r="P14" s="70">
        <f t="shared" si="7"/>
        <v>2028</v>
      </c>
      <c r="Z14" s="67"/>
    </row>
    <row r="15" spans="1:26" x14ac:dyDescent="0.25">
      <c r="C15" s="67" t="s">
        <v>113</v>
      </c>
      <c r="F15" s="62">
        <v>150</v>
      </c>
      <c r="G15" s="62">
        <v>150</v>
      </c>
      <c r="H15" s="62">
        <v>150</v>
      </c>
      <c r="I15" s="62">
        <v>150</v>
      </c>
      <c r="J15" s="62">
        <v>150</v>
      </c>
      <c r="K15" s="62">
        <v>150</v>
      </c>
      <c r="L15" s="62">
        <v>150</v>
      </c>
      <c r="M15" s="62">
        <v>150</v>
      </c>
      <c r="N15" s="62">
        <v>150</v>
      </c>
      <c r="O15" s="62">
        <v>150</v>
      </c>
      <c r="P15" s="62">
        <v>150</v>
      </c>
      <c r="R15" s="67" t="s">
        <v>115</v>
      </c>
      <c r="T15" s="67" t="s">
        <v>132</v>
      </c>
    </row>
    <row r="16" spans="1:26" x14ac:dyDescent="0.25">
      <c r="C16" s="67" t="s">
        <v>114</v>
      </c>
      <c r="F16" s="62">
        <v>30</v>
      </c>
      <c r="G16" s="62">
        <v>30</v>
      </c>
      <c r="H16" s="62">
        <v>30</v>
      </c>
      <c r="I16" s="62">
        <v>30</v>
      </c>
      <c r="J16" s="62">
        <v>40</v>
      </c>
      <c r="K16" s="62">
        <v>50</v>
      </c>
      <c r="L16" s="62">
        <v>50</v>
      </c>
      <c r="M16" s="62">
        <v>50</v>
      </c>
      <c r="N16" s="62">
        <v>50</v>
      </c>
      <c r="O16" s="62">
        <v>50</v>
      </c>
      <c r="P16" s="62">
        <v>50</v>
      </c>
      <c r="R16" s="67" t="s">
        <v>115</v>
      </c>
      <c r="Z16" s="67"/>
    </row>
    <row r="17" spans="2:26" x14ac:dyDescent="0.25">
      <c r="C17" s="67" t="s">
        <v>118</v>
      </c>
      <c r="E17" s="90"/>
      <c r="F17" s="90">
        <f>IF(F16&gt;$F16,(F16-$F16),0)</f>
        <v>0</v>
      </c>
      <c r="G17" s="90">
        <f>IF(G16&gt;$F16,(G16-$F16),0)</f>
        <v>0</v>
      </c>
      <c r="H17" s="90">
        <f>IF(H16&gt;$F16,(H16-$F16),0)</f>
        <v>0</v>
      </c>
      <c r="I17" s="90">
        <f t="shared" ref="I17:P17" si="9">IF(I16&gt;$F16,(I16-$F16),0)</f>
        <v>0</v>
      </c>
      <c r="J17" s="90">
        <f t="shared" si="9"/>
        <v>10</v>
      </c>
      <c r="K17" s="90">
        <f t="shared" si="9"/>
        <v>20</v>
      </c>
      <c r="L17" s="90">
        <f t="shared" si="9"/>
        <v>20</v>
      </c>
      <c r="M17" s="90">
        <f t="shared" si="9"/>
        <v>20</v>
      </c>
      <c r="N17" s="90">
        <f t="shared" si="9"/>
        <v>20</v>
      </c>
      <c r="O17" s="90">
        <f t="shared" si="9"/>
        <v>20</v>
      </c>
      <c r="P17" s="90">
        <f t="shared" si="9"/>
        <v>20</v>
      </c>
      <c r="R17" s="67" t="s">
        <v>115</v>
      </c>
      <c r="Z17" s="67"/>
    </row>
    <row r="18" spans="2:26" x14ac:dyDescent="0.25">
      <c r="C18" s="67" t="s">
        <v>117</v>
      </c>
      <c r="E18" s="90"/>
      <c r="F18" s="90">
        <f>F15-F16</f>
        <v>120</v>
      </c>
      <c r="G18" s="90">
        <f t="shared" ref="G18:O18" si="10">G15-G16</f>
        <v>120</v>
      </c>
      <c r="H18" s="90">
        <f t="shared" si="10"/>
        <v>120</v>
      </c>
      <c r="I18" s="90">
        <f t="shared" si="10"/>
        <v>120</v>
      </c>
      <c r="J18" s="90">
        <f t="shared" si="10"/>
        <v>110</v>
      </c>
      <c r="K18" s="90">
        <f t="shared" si="10"/>
        <v>100</v>
      </c>
      <c r="L18" s="90">
        <f t="shared" si="10"/>
        <v>100</v>
      </c>
      <c r="M18" s="90">
        <f t="shared" si="10"/>
        <v>100</v>
      </c>
      <c r="N18" s="90">
        <f t="shared" si="10"/>
        <v>100</v>
      </c>
      <c r="O18" s="90">
        <f t="shared" si="10"/>
        <v>100</v>
      </c>
      <c r="P18" s="90">
        <f>P15-P16</f>
        <v>100</v>
      </c>
      <c r="R18" s="67" t="s">
        <v>115</v>
      </c>
      <c r="Z18" s="67"/>
    </row>
    <row r="19" spans="2:26" ht="14" x14ac:dyDescent="0.3">
      <c r="B19" s="68"/>
      <c r="C19" s="5" t="s">
        <v>60</v>
      </c>
      <c r="D19" s="5"/>
      <c r="E19" s="5"/>
      <c r="F19" s="5">
        <f>((F18+F17)/1000)*2.31</f>
        <v>0.2772</v>
      </c>
      <c r="G19" s="5">
        <f t="shared" ref="G19:O19" si="11">((G18+G17)/1000)*2.31</f>
        <v>0.2772</v>
      </c>
      <c r="H19" s="5">
        <f t="shared" si="11"/>
        <v>0.2772</v>
      </c>
      <c r="I19" s="5">
        <f t="shared" si="11"/>
        <v>0.2772</v>
      </c>
      <c r="J19" s="5">
        <f t="shared" si="11"/>
        <v>0.2772</v>
      </c>
      <c r="K19" s="5">
        <f t="shared" si="11"/>
        <v>0.2772</v>
      </c>
      <c r="L19" s="5">
        <f t="shared" si="11"/>
        <v>0.2772</v>
      </c>
      <c r="M19" s="5">
        <f t="shared" si="11"/>
        <v>0.2772</v>
      </c>
      <c r="N19" s="5">
        <f t="shared" si="11"/>
        <v>0.2772</v>
      </c>
      <c r="O19" s="5">
        <f t="shared" si="11"/>
        <v>0.2772</v>
      </c>
      <c r="P19" s="5">
        <f>((P18+P17)/1000)*2.31</f>
        <v>0.2772</v>
      </c>
      <c r="Q19" s="67"/>
      <c r="R19" s="5" t="s">
        <v>57</v>
      </c>
      <c r="T19" s="57" t="s">
        <v>130</v>
      </c>
      <c r="Z19" s="77" t="s">
        <v>131</v>
      </c>
    </row>
    <row r="20" spans="2:26" ht="14" x14ac:dyDescent="0.3">
      <c r="B20" s="68"/>
      <c r="C20" s="5" t="s">
        <v>61</v>
      </c>
      <c r="D20" s="5"/>
      <c r="E20" s="5"/>
      <c r="F20" s="5">
        <f t="shared" ref="F20:P20" si="12">(F18/1000)*14/10^3</f>
        <v>1.6799999999999999E-3</v>
      </c>
      <c r="G20" s="5">
        <f t="shared" si="12"/>
        <v>1.6799999999999999E-3</v>
      </c>
      <c r="H20" s="5">
        <f t="shared" si="12"/>
        <v>1.6799999999999999E-3</v>
      </c>
      <c r="I20" s="5">
        <f t="shared" si="12"/>
        <v>1.6799999999999999E-3</v>
      </c>
      <c r="J20" s="5">
        <f t="shared" si="12"/>
        <v>1.5400000000000001E-3</v>
      </c>
      <c r="K20" s="5">
        <f t="shared" si="12"/>
        <v>1.4000000000000002E-3</v>
      </c>
      <c r="L20" s="5">
        <f t="shared" si="12"/>
        <v>1.4000000000000002E-3</v>
      </c>
      <c r="M20" s="5">
        <f t="shared" si="12"/>
        <v>1.4000000000000002E-3</v>
      </c>
      <c r="N20" s="5">
        <f t="shared" si="12"/>
        <v>1.4000000000000002E-3</v>
      </c>
      <c r="O20" s="5">
        <f t="shared" si="12"/>
        <v>1.4000000000000002E-3</v>
      </c>
      <c r="P20" s="5">
        <f t="shared" si="12"/>
        <v>1.4000000000000002E-3</v>
      </c>
      <c r="R20" s="5" t="s">
        <v>62</v>
      </c>
      <c r="Z20" s="67" t="s">
        <v>64</v>
      </c>
    </row>
    <row r="21" spans="2:26" x14ac:dyDescent="0.25">
      <c r="C21" s="5" t="s">
        <v>12</v>
      </c>
      <c r="F21" s="64">
        <v>1.5</v>
      </c>
      <c r="I21" s="5"/>
      <c r="J21" s="5"/>
      <c r="K21" s="5"/>
      <c r="R21" s="67" t="s">
        <v>25</v>
      </c>
      <c r="Z21" s="69" t="s">
        <v>133</v>
      </c>
    </row>
    <row r="22" spans="2:26" x14ac:dyDescent="0.25">
      <c r="C22" s="5" t="s">
        <v>36</v>
      </c>
      <c r="F22" s="64">
        <v>0.1139</v>
      </c>
      <c r="G22" s="69"/>
      <c r="I22" s="5"/>
      <c r="J22" s="5"/>
      <c r="K22" s="5"/>
      <c r="R22" s="67" t="s">
        <v>62</v>
      </c>
      <c r="T22" s="67" t="s">
        <v>137</v>
      </c>
      <c r="Z22" s="69" t="s">
        <v>129</v>
      </c>
    </row>
    <row r="23" spans="2:26" x14ac:dyDescent="0.25">
      <c r="C23" s="5"/>
      <c r="F23" s="5"/>
      <c r="I23" s="5"/>
      <c r="J23" s="5"/>
      <c r="K23" s="5"/>
      <c r="Z23" s="69"/>
    </row>
    <row r="24" spans="2:26" x14ac:dyDescent="0.25">
      <c r="C24" s="5"/>
      <c r="F24" s="5"/>
      <c r="G24" s="69"/>
      <c r="I24" s="5"/>
      <c r="J24" s="5"/>
      <c r="K24" s="5"/>
    </row>
    <row r="25" spans="2:26" ht="13" x14ac:dyDescent="0.3">
      <c r="C25" s="4"/>
      <c r="D25" s="5"/>
      <c r="F25" s="70">
        <v>2018</v>
      </c>
      <c r="G25" s="70">
        <f t="shared" ref="G25:P25" si="13">F25+1</f>
        <v>2019</v>
      </c>
      <c r="H25" s="70">
        <f t="shared" si="13"/>
        <v>2020</v>
      </c>
      <c r="I25" s="70">
        <f t="shared" si="13"/>
        <v>2021</v>
      </c>
      <c r="J25" s="70">
        <f t="shared" si="13"/>
        <v>2022</v>
      </c>
      <c r="K25" s="70">
        <f t="shared" si="13"/>
        <v>2023</v>
      </c>
      <c r="L25" s="70">
        <f t="shared" si="13"/>
        <v>2024</v>
      </c>
      <c r="M25" s="70">
        <f t="shared" si="13"/>
        <v>2025</v>
      </c>
      <c r="N25" s="70">
        <f t="shared" si="13"/>
        <v>2026</v>
      </c>
      <c r="O25" s="70">
        <f t="shared" si="13"/>
        <v>2027</v>
      </c>
      <c r="P25" s="70">
        <f t="shared" si="13"/>
        <v>2028</v>
      </c>
    </row>
    <row r="26" spans="2:26" x14ac:dyDescent="0.25">
      <c r="C26" s="5" t="s">
        <v>112</v>
      </c>
      <c r="D26" s="5"/>
      <c r="E26" s="5"/>
      <c r="F26" s="101">
        <v>0</v>
      </c>
      <c r="G26" s="17">
        <f>F26</f>
        <v>0</v>
      </c>
      <c r="H26" s="17">
        <f>G26</f>
        <v>0</v>
      </c>
      <c r="I26" s="17">
        <f>H26</f>
        <v>0</v>
      </c>
      <c r="J26" s="17">
        <f t="shared" ref="J26:P26" si="14">I26</f>
        <v>0</v>
      </c>
      <c r="K26" s="17">
        <f t="shared" si="14"/>
        <v>0</v>
      </c>
      <c r="L26" s="17">
        <f t="shared" si="14"/>
        <v>0</v>
      </c>
      <c r="M26" s="17">
        <f t="shared" si="14"/>
        <v>0</v>
      </c>
      <c r="N26" s="17">
        <f t="shared" si="14"/>
        <v>0</v>
      </c>
      <c r="O26" s="17">
        <f t="shared" si="14"/>
        <v>0</v>
      </c>
      <c r="P26" s="17">
        <f t="shared" si="14"/>
        <v>0</v>
      </c>
      <c r="R26" s="67" t="s">
        <v>0</v>
      </c>
      <c r="T26" s="67" t="s">
        <v>134</v>
      </c>
      <c r="Z26" s="69" t="s">
        <v>119</v>
      </c>
    </row>
    <row r="27" spans="2:26" x14ac:dyDescent="0.25">
      <c r="C27" s="5" t="s">
        <v>14</v>
      </c>
      <c r="D27" s="5"/>
      <c r="E27" s="5"/>
      <c r="F27" s="72">
        <f>F21</f>
        <v>1.5</v>
      </c>
      <c r="G27" s="18">
        <f>F27*(1+F26)</f>
        <v>1.5</v>
      </c>
      <c r="H27" s="18">
        <f>G27*(1+G26)</f>
        <v>1.5</v>
      </c>
      <c r="I27" s="18">
        <f t="shared" ref="I27:N27" si="15">H27*(1+H26)</f>
        <v>1.5</v>
      </c>
      <c r="J27" s="18">
        <f t="shared" si="15"/>
        <v>1.5</v>
      </c>
      <c r="K27" s="18">
        <f t="shared" si="15"/>
        <v>1.5</v>
      </c>
      <c r="L27" s="18">
        <f t="shared" si="15"/>
        <v>1.5</v>
      </c>
      <c r="M27" s="18">
        <f t="shared" si="15"/>
        <v>1.5</v>
      </c>
      <c r="N27" s="18">
        <f t="shared" si="15"/>
        <v>1.5</v>
      </c>
      <c r="O27" s="18">
        <f>N27*(1+N26)</f>
        <v>1.5</v>
      </c>
      <c r="P27" s="18">
        <f>O27*(1+O26)</f>
        <v>1.5</v>
      </c>
      <c r="R27" s="67" t="s">
        <v>25</v>
      </c>
    </row>
    <row r="28" spans="2:26" x14ac:dyDescent="0.25">
      <c r="C28" s="5" t="s">
        <v>37</v>
      </c>
      <c r="D28" s="5"/>
      <c r="E28" s="5"/>
      <c r="F28" s="101">
        <v>0</v>
      </c>
      <c r="G28" s="101">
        <v>0</v>
      </c>
      <c r="H28" s="101">
        <v>0</v>
      </c>
      <c r="I28" s="101">
        <v>0</v>
      </c>
      <c r="J28" s="71">
        <f>I28</f>
        <v>0</v>
      </c>
      <c r="K28" s="71">
        <f t="shared" ref="K28:P28" si="16">J28</f>
        <v>0</v>
      </c>
      <c r="L28" s="71">
        <f t="shared" si="16"/>
        <v>0</v>
      </c>
      <c r="M28" s="71">
        <f t="shared" si="16"/>
        <v>0</v>
      </c>
      <c r="N28" s="71">
        <f t="shared" si="16"/>
        <v>0</v>
      </c>
      <c r="O28" s="71">
        <f t="shared" si="16"/>
        <v>0</v>
      </c>
      <c r="P28" s="71">
        <f t="shared" si="16"/>
        <v>0</v>
      </c>
      <c r="R28" s="67" t="s">
        <v>0</v>
      </c>
      <c r="T28" s="67" t="s">
        <v>136</v>
      </c>
      <c r="Z28" s="69" t="s">
        <v>129</v>
      </c>
    </row>
    <row r="29" spans="2:26" x14ac:dyDescent="0.25">
      <c r="C29" s="5" t="s">
        <v>38</v>
      </c>
      <c r="D29" s="5"/>
      <c r="E29" s="5"/>
      <c r="F29" s="66">
        <f>F22</f>
        <v>0.1139</v>
      </c>
      <c r="G29" s="18">
        <f>F29*(1+F28)</f>
        <v>0.1139</v>
      </c>
      <c r="H29" s="18">
        <f t="shared" ref="H29:P29" si="17">G29*(1+G28)</f>
        <v>0.1139</v>
      </c>
      <c r="I29" s="18">
        <f t="shared" si="17"/>
        <v>0.1139</v>
      </c>
      <c r="J29" s="18">
        <f t="shared" si="17"/>
        <v>0.1139</v>
      </c>
      <c r="K29" s="18">
        <f t="shared" si="17"/>
        <v>0.1139</v>
      </c>
      <c r="L29" s="18">
        <f t="shared" si="17"/>
        <v>0.1139</v>
      </c>
      <c r="M29" s="18">
        <f t="shared" si="17"/>
        <v>0.1139</v>
      </c>
      <c r="N29" s="18">
        <f t="shared" si="17"/>
        <v>0.1139</v>
      </c>
      <c r="O29" s="18">
        <f t="shared" si="17"/>
        <v>0.1139</v>
      </c>
      <c r="P29" s="18">
        <f t="shared" si="17"/>
        <v>0.1139</v>
      </c>
      <c r="R29" s="67" t="s">
        <v>45</v>
      </c>
    </row>
    <row r="30" spans="2:26" ht="15.5" x14ac:dyDescent="0.35">
      <c r="C30" s="5"/>
      <c r="D30" s="5"/>
      <c r="E30" s="5"/>
      <c r="F30" s="79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2:26" x14ac:dyDescent="0.25">
      <c r="C31" s="67" t="s">
        <v>92</v>
      </c>
      <c r="E31" s="103">
        <f>2.346/1000</f>
        <v>2.346E-3</v>
      </c>
      <c r="F31" s="67" t="s">
        <v>94</v>
      </c>
      <c r="Z31" s="67" t="s">
        <v>138</v>
      </c>
    </row>
    <row r="32" spans="2:26" x14ac:dyDescent="0.25">
      <c r="E32" s="104">
        <f>10.67/10^6</f>
        <v>1.0669999999999999E-5</v>
      </c>
      <c r="F32" s="67" t="s">
        <v>93</v>
      </c>
      <c r="Z32" s="67" t="s">
        <v>138</v>
      </c>
    </row>
    <row r="33" spans="3:26" x14ac:dyDescent="0.25">
      <c r="E33" s="102">
        <f>E34/D46</f>
        <v>5.7630597014925372E-2</v>
      </c>
      <c r="F33" s="67" t="s">
        <v>107</v>
      </c>
      <c r="T33" s="67" t="s">
        <v>139</v>
      </c>
      <c r="Z33" s="67" t="s">
        <v>138</v>
      </c>
    </row>
    <row r="34" spans="3:26" x14ac:dyDescent="0.25">
      <c r="E34" s="102">
        <v>3.089</v>
      </c>
      <c r="F34" s="67" t="s">
        <v>108</v>
      </c>
      <c r="I34" s="67"/>
      <c r="Z34" s="57" t="s">
        <v>109</v>
      </c>
    </row>
    <row r="36" spans="3:26" x14ac:dyDescent="0.25">
      <c r="C36" s="67" t="s">
        <v>135</v>
      </c>
    </row>
    <row r="37" spans="3:26" x14ac:dyDescent="0.25">
      <c r="D37" s="57">
        <v>33.700000000000003</v>
      </c>
      <c r="E37" s="67" t="s">
        <v>67</v>
      </c>
      <c r="H37" s="67" t="s">
        <v>152</v>
      </c>
    </row>
    <row r="38" spans="3:26" x14ac:dyDescent="0.25">
      <c r="D38" s="83">
        <f>D37/3.8</f>
        <v>8.8684210526315805</v>
      </c>
      <c r="E38" s="67" t="s">
        <v>68</v>
      </c>
      <c r="H38" s="57">
        <f>33.7/169</f>
        <v>0.19940828402366867</v>
      </c>
    </row>
    <row r="40" spans="3:26" x14ac:dyDescent="0.25">
      <c r="D40" s="57">
        <v>1</v>
      </c>
      <c r="E40" s="67" t="s">
        <v>71</v>
      </c>
      <c r="H40" s="67" t="s">
        <v>147</v>
      </c>
    </row>
    <row r="41" spans="3:26" x14ac:dyDescent="0.25">
      <c r="D41" s="57">
        <v>4.7750000000000001E-2</v>
      </c>
      <c r="E41" s="67" t="s">
        <v>69</v>
      </c>
      <c r="H41" s="67" t="s">
        <v>148</v>
      </c>
      <c r="K41" s="77" t="s">
        <v>149</v>
      </c>
    </row>
    <row r="42" spans="3:26" x14ac:dyDescent="0.25">
      <c r="D42" s="83">
        <f>D43/100</f>
        <v>0.20899999999999999</v>
      </c>
      <c r="E42" s="67" t="s">
        <v>70</v>
      </c>
      <c r="H42" s="67" t="s">
        <v>150</v>
      </c>
      <c r="K42" s="57">
        <f>0.25*0.62</f>
        <v>0.155</v>
      </c>
      <c r="L42" s="57">
        <f>0.33*0.62</f>
        <v>0.2046</v>
      </c>
    </row>
    <row r="43" spans="3:26" x14ac:dyDescent="0.25">
      <c r="C43" s="106">
        <f>D43*0.11</f>
        <v>2.2989999999999999</v>
      </c>
      <c r="D43" s="84">
        <v>20.9</v>
      </c>
      <c r="E43" s="67" t="s">
        <v>33</v>
      </c>
      <c r="G43" s="106"/>
      <c r="H43" s="67" t="s">
        <v>151</v>
      </c>
    </row>
    <row r="45" spans="3:26" x14ac:dyDescent="0.25">
      <c r="D45" s="57">
        <v>2.5670000000000002</v>
      </c>
      <c r="E45" s="67" t="s">
        <v>98</v>
      </c>
      <c r="F45" s="57" t="s">
        <v>111</v>
      </c>
      <c r="I45" s="57">
        <v>3.5870000000000002</v>
      </c>
      <c r="J45" s="67" t="s">
        <v>105</v>
      </c>
      <c r="Z45" s="57" t="s">
        <v>111</v>
      </c>
    </row>
    <row r="46" spans="3:26" x14ac:dyDescent="0.25">
      <c r="D46" s="57">
        <v>53.6</v>
      </c>
      <c r="E46" s="67" t="s">
        <v>99</v>
      </c>
      <c r="F46" s="77" t="s">
        <v>110</v>
      </c>
      <c r="I46" s="57">
        <v>38.700000000000003</v>
      </c>
      <c r="J46" s="67" t="s">
        <v>106</v>
      </c>
    </row>
    <row r="47" spans="3:26" x14ac:dyDescent="0.25">
      <c r="D47" s="97">
        <f>D45*D46</f>
        <v>137.59120000000001</v>
      </c>
      <c r="E47" s="67" t="s">
        <v>100</v>
      </c>
      <c r="I47" s="97">
        <f>I45*I46</f>
        <v>138.8169</v>
      </c>
      <c r="J47" s="67" t="s">
        <v>100</v>
      </c>
    </row>
    <row r="48" spans="3:26" x14ac:dyDescent="0.25">
      <c r="D48" s="96">
        <f>D47/1000</f>
        <v>0.13759120000000002</v>
      </c>
      <c r="E48" s="67" t="s">
        <v>101</v>
      </c>
    </row>
    <row r="49" spans="4:5" x14ac:dyDescent="0.25">
      <c r="D49" s="83">
        <f>1/D48</f>
        <v>7.2679066684497249</v>
      </c>
      <c r="E49" s="67" t="s">
        <v>104</v>
      </c>
    </row>
    <row r="51" spans="4:5" x14ac:dyDescent="0.25">
      <c r="D51" s="62"/>
      <c r="E51" s="67" t="s">
        <v>141</v>
      </c>
    </row>
    <row r="52" spans="4:5" x14ac:dyDescent="0.25">
      <c r="D52" s="102"/>
      <c r="E52" s="67" t="s">
        <v>140</v>
      </c>
    </row>
  </sheetData>
  <hyperlinks>
    <hyperlink ref="Z10" r:id="rId1" display="http://orbit.gvrd.bc.ca/orbit/llisapi.dll/open/17263087"/>
    <hyperlink ref="Z11" r:id="rId2" display="http://orbit.gvrd.bc.ca/orbit/llisapi.dll/open/17263087"/>
    <hyperlink ref="Z19" r:id="rId3"/>
    <hyperlink ref="F46" r:id="rId4"/>
    <hyperlink ref="Z26" r:id="rId5" display="http://orbit.gvrd.bc.ca/orbit/llisapi.dll/open/6097083"/>
    <hyperlink ref="Z21" r:id="rId6" display="http://orbit.gvrd.bc.ca/orbit/llisapi.dll/open/6097083"/>
    <hyperlink ref="Z4" r:id="rId7" display="http://orbit.gvrd.bc.ca/orbit/llisapi.dll/open/3486591"/>
    <hyperlink ref="Z5" r:id="rId8" display="http://orbit.gvrd.bc.ca/orbit/llisapi.dll/open/3486591"/>
    <hyperlink ref="Z6" r:id="rId9" display="http://orbit.gvrd.bc.ca/orbit/llisapi.dll/open/3486591"/>
    <hyperlink ref="Z22" r:id="rId10" display="http://orbit.gvrd.bc.ca/orbit/llisapi.dll/open/3486591"/>
    <hyperlink ref="Z28" r:id="rId11" display="http://orbit.gvrd.bc.ca/orbit/llisapi.dll/open/3486591"/>
    <hyperlink ref="K41" r:id="rId12"/>
  </hyperlinks>
  <pageMargins left="0.75" right="0.75" top="1" bottom="1" header="0.5" footer="0.5"/>
  <pageSetup scale="78" orientation="landscape" verticalDpi="300" r:id="rId1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197"/>
  <sheetViews>
    <sheetView zoomScale="85" zoomScaleNormal="85" workbookViewId="0">
      <selection activeCell="M1" sqref="M1"/>
    </sheetView>
  </sheetViews>
  <sheetFormatPr defaultColWidth="9.1796875" defaultRowHeight="12.5" outlineLevelRow="2" x14ac:dyDescent="0.25"/>
  <cols>
    <col min="1" max="1" width="9.7265625" customWidth="1"/>
    <col min="2" max="2" width="8.54296875" customWidth="1"/>
    <col min="3" max="3" width="12.7265625" customWidth="1"/>
    <col min="4" max="4" width="10.1796875" customWidth="1"/>
    <col min="5" max="5" width="14.7265625" customWidth="1"/>
    <col min="6" max="6" width="19" bestFit="1" customWidth="1"/>
    <col min="7" max="7" width="12.453125" customWidth="1"/>
    <col min="8" max="8" width="13" customWidth="1"/>
    <col min="9" max="11" width="12" bestFit="1" customWidth="1"/>
    <col min="12" max="12" width="14.54296875" customWidth="1"/>
    <col min="13" max="13" width="12" bestFit="1" customWidth="1"/>
    <col min="14" max="15" width="11.54296875" bestFit="1" customWidth="1"/>
    <col min="16" max="16" width="4.54296875" style="2" customWidth="1"/>
    <col min="17" max="17" width="12.26953125" style="2" bestFit="1" customWidth="1"/>
    <col min="18" max="18" width="9.1796875" style="2"/>
    <col min="19" max="19" width="3.81640625" style="2" customWidth="1"/>
    <col min="20" max="25" width="9.1796875" style="2"/>
    <col min="26" max="26" width="14.453125" style="2" bestFit="1" customWidth="1"/>
    <col min="27" max="16384" width="9.1796875" style="2"/>
  </cols>
  <sheetData>
    <row r="1" spans="1:19" ht="25" x14ac:dyDescent="0.5">
      <c r="A1" s="93" t="s">
        <v>143</v>
      </c>
      <c r="L1" s="1" t="s">
        <v>53</v>
      </c>
      <c r="M1" s="107">
        <v>43840</v>
      </c>
      <c r="S1" s="3"/>
    </row>
    <row r="2" spans="1:19" x14ac:dyDescent="0.25">
      <c r="S2" s="3"/>
    </row>
    <row r="3" spans="1:19" x14ac:dyDescent="0.25">
      <c r="A3" t="s">
        <v>154</v>
      </c>
      <c r="S3" s="3"/>
    </row>
    <row r="4" spans="1:19" x14ac:dyDescent="0.25">
      <c r="A4" s="60" t="s">
        <v>89</v>
      </c>
      <c r="B4" s="6"/>
      <c r="C4" s="6"/>
      <c r="D4" s="2"/>
      <c r="E4" s="2"/>
      <c r="F4" s="62">
        <v>20000</v>
      </c>
      <c r="G4" s="6" t="s">
        <v>26</v>
      </c>
      <c r="H4" s="6"/>
      <c r="I4" s="6"/>
      <c r="J4" s="6"/>
      <c r="K4" s="6"/>
      <c r="S4" s="3"/>
    </row>
    <row r="5" spans="1:19" x14ac:dyDescent="0.25">
      <c r="S5" s="3"/>
    </row>
    <row r="6" spans="1:19" ht="13" x14ac:dyDescent="0.3">
      <c r="A6" s="4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S6" s="3"/>
    </row>
    <row r="7" spans="1:19" ht="13" hidden="1" outlineLevel="1" x14ac:dyDescent="0.3">
      <c r="A7" s="4"/>
      <c r="B7" s="5" t="s">
        <v>16</v>
      </c>
      <c r="C7" s="5"/>
      <c r="D7" s="2"/>
      <c r="E7" s="49">
        <f>Parameters!E4</f>
        <v>2</v>
      </c>
      <c r="F7" s="73" t="s">
        <v>0</v>
      </c>
      <c r="G7" s="5"/>
      <c r="H7" s="5"/>
      <c r="I7" s="5"/>
      <c r="J7" s="5"/>
      <c r="K7" s="5"/>
      <c r="L7" s="5"/>
      <c r="M7" s="5"/>
      <c r="N7" s="5"/>
      <c r="O7" s="5"/>
      <c r="S7" s="3"/>
    </row>
    <row r="8" spans="1:19" ht="13" hidden="1" outlineLevel="1" x14ac:dyDescent="0.3">
      <c r="A8" s="4"/>
      <c r="B8" s="5" t="s">
        <v>1</v>
      </c>
      <c r="C8" s="5"/>
      <c r="D8" s="2"/>
      <c r="E8" s="49">
        <f>Parameters!E5</f>
        <v>3.5</v>
      </c>
      <c r="F8" s="73" t="s">
        <v>0</v>
      </c>
      <c r="G8" s="5"/>
      <c r="H8" s="5"/>
      <c r="I8" s="5"/>
      <c r="J8" s="5"/>
      <c r="K8" s="5"/>
      <c r="L8" s="5"/>
      <c r="M8" s="5"/>
      <c r="N8" s="5"/>
      <c r="O8" s="5"/>
      <c r="S8" s="3"/>
    </row>
    <row r="9" spans="1:19" ht="13" hidden="1" outlineLevel="1" x14ac:dyDescent="0.3">
      <c r="A9" s="4"/>
      <c r="B9" s="5" t="s">
        <v>51</v>
      </c>
      <c r="C9" s="5"/>
      <c r="D9" s="2"/>
      <c r="E9" s="49">
        <f>Parameters!E6</f>
        <v>0</v>
      </c>
      <c r="F9" s="73" t="s">
        <v>0</v>
      </c>
      <c r="G9" s="5"/>
      <c r="H9" s="5"/>
      <c r="I9" s="5"/>
      <c r="J9" s="5"/>
      <c r="K9" s="5"/>
      <c r="L9" s="5"/>
      <c r="M9" s="5"/>
      <c r="N9" s="5"/>
      <c r="O9" s="5"/>
      <c r="S9" s="3"/>
    </row>
    <row r="10" spans="1:19" ht="13" hidden="1" outlineLevel="1" x14ac:dyDescent="0.3">
      <c r="A10" s="4"/>
      <c r="B10" s="5" t="s">
        <v>58</v>
      </c>
      <c r="C10" s="5"/>
      <c r="D10" s="5"/>
      <c r="E10" s="74">
        <f>IF(D29&gt;0,Parameters!$F$19,0)</f>
        <v>0.2772</v>
      </c>
      <c r="F10" s="5" t="s">
        <v>59</v>
      </c>
      <c r="G10" s="5"/>
      <c r="H10" s="5"/>
      <c r="I10" s="5"/>
      <c r="J10" s="5"/>
      <c r="K10" s="5"/>
      <c r="L10" s="5"/>
      <c r="M10" s="5"/>
      <c r="N10" s="5"/>
      <c r="O10" s="5"/>
      <c r="S10" s="3"/>
    </row>
    <row r="11" spans="1:19" ht="13" hidden="1" outlineLevel="1" x14ac:dyDescent="0.3">
      <c r="A11" s="4"/>
      <c r="B11" s="5" t="s">
        <v>86</v>
      </c>
      <c r="C11" s="5"/>
      <c r="D11" s="5"/>
      <c r="E11" s="80">
        <f>IF(D32&gt;0,Parameters!$F$20,0)</f>
        <v>0</v>
      </c>
      <c r="F11" s="5" t="s">
        <v>87</v>
      </c>
      <c r="G11" s="5"/>
      <c r="H11" s="5"/>
      <c r="I11" s="5"/>
      <c r="J11" s="5"/>
      <c r="K11" s="5"/>
      <c r="L11" s="5"/>
      <c r="M11" s="5"/>
      <c r="N11" s="5"/>
      <c r="O11" s="5"/>
      <c r="S11" s="3"/>
    </row>
    <row r="12" spans="1:19" ht="13" hidden="1" outlineLevel="1" x14ac:dyDescent="0.3">
      <c r="A12" s="4"/>
      <c r="B12" s="5" t="s">
        <v>12</v>
      </c>
      <c r="C12" s="5"/>
      <c r="D12" s="5"/>
      <c r="E12" s="74">
        <f>Parameters!F21</f>
        <v>1.5</v>
      </c>
      <c r="F12" s="73" t="s">
        <v>25</v>
      </c>
      <c r="G12" s="5"/>
      <c r="H12" s="5"/>
      <c r="I12" s="5"/>
      <c r="J12" s="5"/>
      <c r="K12" s="5"/>
      <c r="L12" s="5"/>
      <c r="M12" s="5"/>
      <c r="N12" s="5"/>
      <c r="O12" s="5"/>
      <c r="S12" s="3"/>
    </row>
    <row r="13" spans="1:19" ht="13" hidden="1" outlineLevel="1" x14ac:dyDescent="0.3">
      <c r="A13" s="4"/>
      <c r="B13" s="5" t="s">
        <v>36</v>
      </c>
      <c r="C13" s="5"/>
      <c r="D13" s="5"/>
      <c r="E13" s="49">
        <f>Parameters!F22</f>
        <v>0.1139</v>
      </c>
      <c r="F13" s="73" t="s">
        <v>45</v>
      </c>
      <c r="G13" s="5"/>
      <c r="H13" s="5"/>
      <c r="I13" s="5"/>
      <c r="J13" s="5"/>
      <c r="K13" s="5"/>
      <c r="L13" s="5"/>
      <c r="M13" s="5"/>
      <c r="N13" s="5"/>
      <c r="O13" s="5"/>
      <c r="S13" s="3"/>
    </row>
    <row r="14" spans="1:19" ht="13" hidden="1" outlineLevel="1" x14ac:dyDescent="0.3">
      <c r="A14" s="4"/>
      <c r="B14" s="5"/>
      <c r="C14" s="5"/>
      <c r="D14" s="5"/>
      <c r="E14" s="5"/>
      <c r="F14" s="73"/>
      <c r="G14" s="5"/>
      <c r="H14" s="5"/>
      <c r="I14" s="5"/>
      <c r="J14" s="5"/>
      <c r="K14" s="5"/>
      <c r="L14" s="5"/>
      <c r="M14" s="5"/>
      <c r="N14" s="5"/>
      <c r="O14" s="5"/>
      <c r="S14" s="3"/>
    </row>
    <row r="15" spans="1:19" ht="13" hidden="1" outlineLevel="1" x14ac:dyDescent="0.3">
      <c r="A15" s="4"/>
      <c r="B15" s="5"/>
      <c r="C15" s="5"/>
      <c r="D15" s="5"/>
      <c r="E15" s="75">
        <v>2018</v>
      </c>
      <c r="F15" s="76">
        <f t="shared" ref="F15:G15" si="0">E15+1</f>
        <v>2019</v>
      </c>
      <c r="G15" s="76">
        <f t="shared" si="0"/>
        <v>2020</v>
      </c>
      <c r="H15" s="76">
        <f t="shared" ref="H15" si="1">G15+1</f>
        <v>2021</v>
      </c>
      <c r="I15" s="76">
        <f t="shared" ref="I15" si="2">H15+1</f>
        <v>2022</v>
      </c>
      <c r="J15" s="76">
        <f t="shared" ref="J15" si="3">I15+1</f>
        <v>2023</v>
      </c>
      <c r="K15" s="76">
        <f t="shared" ref="K15" si="4">J15+1</f>
        <v>2024</v>
      </c>
      <c r="L15" s="76">
        <f t="shared" ref="L15" si="5">K15+1</f>
        <v>2025</v>
      </c>
      <c r="M15" s="76">
        <f t="shared" ref="M15" si="6">L15+1</f>
        <v>2026</v>
      </c>
      <c r="N15" s="76">
        <f t="shared" ref="N15" si="7">M15+1</f>
        <v>2027</v>
      </c>
      <c r="O15" s="76">
        <f t="shared" ref="O15" si="8">N15+1</f>
        <v>2028</v>
      </c>
      <c r="S15" s="3"/>
    </row>
    <row r="16" spans="1:19" ht="15.5" hidden="1" outlineLevel="1" x14ac:dyDescent="0.35">
      <c r="A16" s="5" t="s">
        <v>13</v>
      </c>
      <c r="B16" s="5"/>
      <c r="C16" s="5"/>
      <c r="D16" s="5"/>
      <c r="E16" s="48">
        <f>Parameters!F26</f>
        <v>0</v>
      </c>
      <c r="F16" s="17">
        <f>E16</f>
        <v>0</v>
      </c>
      <c r="G16" s="17">
        <f>F16</f>
        <v>0</v>
      </c>
      <c r="H16" s="17">
        <f t="shared" ref="H16:O16" si="9">G16</f>
        <v>0</v>
      </c>
      <c r="I16" s="17">
        <f t="shared" si="9"/>
        <v>0</v>
      </c>
      <c r="J16" s="17">
        <f t="shared" si="9"/>
        <v>0</v>
      </c>
      <c r="K16" s="17">
        <f t="shared" si="9"/>
        <v>0</v>
      </c>
      <c r="L16" s="17">
        <f t="shared" si="9"/>
        <v>0</v>
      </c>
      <c r="M16" s="17">
        <f t="shared" si="9"/>
        <v>0</v>
      </c>
      <c r="N16" s="17">
        <f t="shared" si="9"/>
        <v>0</v>
      </c>
      <c r="O16" s="17">
        <f t="shared" si="9"/>
        <v>0</v>
      </c>
      <c r="S16" s="3"/>
    </row>
    <row r="17" spans="1:19" hidden="1" outlineLevel="1" x14ac:dyDescent="0.25">
      <c r="A17" s="5" t="s">
        <v>14</v>
      </c>
      <c r="B17" s="5"/>
      <c r="C17" s="5"/>
      <c r="D17" s="5"/>
      <c r="E17" s="5"/>
      <c r="F17" s="18">
        <f>E12*(1+E$16)</f>
        <v>1.5</v>
      </c>
      <c r="G17" s="18">
        <f t="shared" ref="G17:O17" si="10">F17*(1+G$16)</f>
        <v>1.5</v>
      </c>
      <c r="H17" s="18">
        <f t="shared" si="10"/>
        <v>1.5</v>
      </c>
      <c r="I17" s="18">
        <f t="shared" si="10"/>
        <v>1.5</v>
      </c>
      <c r="J17" s="18">
        <f t="shared" si="10"/>
        <v>1.5</v>
      </c>
      <c r="K17" s="18">
        <f t="shared" si="10"/>
        <v>1.5</v>
      </c>
      <c r="L17" s="18">
        <f t="shared" si="10"/>
        <v>1.5</v>
      </c>
      <c r="M17" s="18">
        <f t="shared" si="10"/>
        <v>1.5</v>
      </c>
      <c r="N17" s="18">
        <f t="shared" si="10"/>
        <v>1.5</v>
      </c>
      <c r="O17" s="18">
        <f t="shared" si="10"/>
        <v>1.5</v>
      </c>
      <c r="S17" s="3"/>
    </row>
    <row r="18" spans="1:19" ht="15.5" hidden="1" outlineLevel="1" x14ac:dyDescent="0.35">
      <c r="A18" s="5" t="s">
        <v>37</v>
      </c>
      <c r="B18" s="5"/>
      <c r="C18" s="5"/>
      <c r="D18" s="5"/>
      <c r="E18" s="48">
        <f>Parameters!F28</f>
        <v>0</v>
      </c>
      <c r="F18" s="48">
        <f>Parameters!G28</f>
        <v>0</v>
      </c>
      <c r="G18" s="48">
        <f>Parameters!H28</f>
        <v>0</v>
      </c>
      <c r="H18" s="48">
        <f>Parameters!I28</f>
        <v>0</v>
      </c>
      <c r="I18" s="17">
        <f>H18</f>
        <v>0</v>
      </c>
      <c r="J18" s="17">
        <f t="shared" ref="J18" si="11">I18</f>
        <v>0</v>
      </c>
      <c r="K18" s="17">
        <f t="shared" ref="K18" si="12">J18</f>
        <v>0</v>
      </c>
      <c r="L18" s="17">
        <f t="shared" ref="L18" si="13">K18</f>
        <v>0</v>
      </c>
      <c r="M18" s="17">
        <f t="shared" ref="M18" si="14">L18</f>
        <v>0</v>
      </c>
      <c r="N18" s="17">
        <f t="shared" ref="N18" si="15">M18</f>
        <v>0</v>
      </c>
      <c r="O18" s="2"/>
      <c r="S18" s="3"/>
    </row>
    <row r="19" spans="1:19" hidden="1" outlineLevel="1" x14ac:dyDescent="0.25">
      <c r="A19" s="5" t="s">
        <v>38</v>
      </c>
      <c r="B19" s="5"/>
      <c r="C19" s="5"/>
      <c r="D19" s="5"/>
      <c r="E19" s="66"/>
      <c r="F19" s="18">
        <f>E13*(1+E$18)</f>
        <v>0.1139</v>
      </c>
      <c r="G19" s="18">
        <f t="shared" ref="G19:O19" si="16">F19*(1+F$18)</f>
        <v>0.1139</v>
      </c>
      <c r="H19" s="18">
        <f t="shared" si="16"/>
        <v>0.1139</v>
      </c>
      <c r="I19" s="18">
        <f t="shared" si="16"/>
        <v>0.1139</v>
      </c>
      <c r="J19" s="18">
        <f t="shared" si="16"/>
        <v>0.1139</v>
      </c>
      <c r="K19" s="18">
        <f t="shared" si="16"/>
        <v>0.1139</v>
      </c>
      <c r="L19" s="18">
        <f t="shared" si="16"/>
        <v>0.1139</v>
      </c>
      <c r="M19" s="18">
        <f t="shared" si="16"/>
        <v>0.1139</v>
      </c>
      <c r="N19" s="18">
        <f t="shared" si="16"/>
        <v>0.1139</v>
      </c>
      <c r="O19" s="18">
        <f t="shared" si="16"/>
        <v>0.1139</v>
      </c>
      <c r="S19" s="3"/>
    </row>
    <row r="20" spans="1:19" collapsed="1" x14ac:dyDescent="0.25">
      <c r="S20" s="3"/>
    </row>
    <row r="21" spans="1:19" ht="20" x14ac:dyDescent="0.4">
      <c r="A21" s="65" t="s">
        <v>74</v>
      </c>
      <c r="H21" s="1"/>
      <c r="L21" s="2"/>
      <c r="M21" s="2"/>
      <c r="S21" s="3"/>
    </row>
    <row r="22" spans="1:19" ht="13" x14ac:dyDescent="0.3">
      <c r="H22" s="1"/>
      <c r="S22" s="3"/>
    </row>
    <row r="23" spans="1:19" ht="13" hidden="1" outlineLevel="1" x14ac:dyDescent="0.3">
      <c r="A23" s="4" t="s">
        <v>41</v>
      </c>
      <c r="B23" s="5"/>
      <c r="C23" s="5"/>
      <c r="D23" s="5"/>
      <c r="E23" s="5"/>
      <c r="F23" s="5"/>
      <c r="G23" s="5"/>
      <c r="H23" s="5"/>
      <c r="I23" s="5"/>
      <c r="J23" s="5"/>
      <c r="K23" s="5"/>
      <c r="S23" s="3"/>
    </row>
    <row r="24" spans="1:19" hidden="1" outlineLevel="2" x14ac:dyDescent="0.25">
      <c r="A24" s="5" t="s">
        <v>27</v>
      </c>
      <c r="B24" s="6"/>
      <c r="C24" s="6"/>
      <c r="D24" s="61">
        <f>3.8*100/(20*1.61)</f>
        <v>11.801242236024844</v>
      </c>
      <c r="E24" s="6" t="s">
        <v>34</v>
      </c>
      <c r="F24" s="92">
        <v>0.7</v>
      </c>
      <c r="G24" s="6" t="s">
        <v>29</v>
      </c>
      <c r="H24" s="6"/>
      <c r="I24" s="63">
        <v>1</v>
      </c>
      <c r="J24" s="6" t="s">
        <v>79</v>
      </c>
      <c r="K24" s="6"/>
      <c r="S24" s="3"/>
    </row>
    <row r="25" spans="1:19" hidden="1" outlineLevel="2" x14ac:dyDescent="0.25">
      <c r="A25" s="5" t="s">
        <v>28</v>
      </c>
      <c r="B25" s="6"/>
      <c r="C25" s="6"/>
      <c r="D25" s="61">
        <f>3.8*100/(38*1.61)</f>
        <v>6.2111801242236018</v>
      </c>
      <c r="E25" s="6"/>
      <c r="F25" s="92">
        <v>0.3</v>
      </c>
      <c r="G25" t="s">
        <v>30</v>
      </c>
      <c r="H25" s="6"/>
      <c r="I25" s="63">
        <v>0</v>
      </c>
      <c r="J25" t="s">
        <v>80</v>
      </c>
      <c r="K25" s="6"/>
      <c r="S25" s="3"/>
    </row>
    <row r="26" spans="1:19" hidden="1" outlineLevel="2" x14ac:dyDescent="0.25">
      <c r="A26" s="5" t="s">
        <v>85</v>
      </c>
      <c r="B26" s="5"/>
      <c r="C26" s="5"/>
      <c r="D26" s="61">
        <f>(20*0.5+38*0.5)</f>
        <v>29</v>
      </c>
      <c r="E26" s="5" t="s">
        <v>88</v>
      </c>
      <c r="F26" s="5"/>
      <c r="G26" s="2"/>
      <c r="H26" s="2"/>
      <c r="I26" s="63">
        <v>0</v>
      </c>
      <c r="J26" t="s">
        <v>97</v>
      </c>
      <c r="K26" s="5"/>
      <c r="S26" s="3"/>
    </row>
    <row r="27" spans="1:19" hidden="1" outlineLevel="2" x14ac:dyDescent="0.25">
      <c r="A27" s="5" t="s">
        <v>81</v>
      </c>
      <c r="B27" s="5"/>
      <c r="C27" s="5"/>
      <c r="D27" s="91">
        <f>(D26/3.8)*1.61</f>
        <v>12.286842105263158</v>
      </c>
      <c r="E27" s="5" t="s">
        <v>83</v>
      </c>
      <c r="F27" s="5"/>
      <c r="G27" s="2"/>
      <c r="H27" s="2"/>
      <c r="I27" s="2"/>
      <c r="J27" s="2"/>
      <c r="K27" s="5"/>
      <c r="S27" s="3"/>
    </row>
    <row r="28" spans="1:19" hidden="1" outlineLevel="2" x14ac:dyDescent="0.25">
      <c r="A28" s="5"/>
      <c r="B28" s="5"/>
      <c r="C28" s="5"/>
      <c r="D28" s="91">
        <f>100/D27</f>
        <v>8.1387877489826508</v>
      </c>
      <c r="E28" s="5" t="s">
        <v>84</v>
      </c>
      <c r="F28" s="5"/>
      <c r="G28" s="2"/>
      <c r="H28" s="2"/>
      <c r="I28" s="2"/>
      <c r="J28" s="2"/>
      <c r="K28" s="5"/>
      <c r="S28" s="3"/>
    </row>
    <row r="29" spans="1:19" hidden="1" outlineLevel="2" x14ac:dyDescent="0.25">
      <c r="A29" s="5" t="s">
        <v>21</v>
      </c>
      <c r="B29" s="5"/>
      <c r="C29" s="5"/>
      <c r="D29" s="7">
        <f>F4*I24*D28/100</f>
        <v>1627.7575497965302</v>
      </c>
      <c r="E29" s="5" t="s">
        <v>11</v>
      </c>
      <c r="F29" s="5"/>
      <c r="G29" s="2"/>
      <c r="H29" s="2"/>
      <c r="I29" s="2"/>
      <c r="J29" s="2"/>
      <c r="K29" s="5"/>
      <c r="S29" s="3"/>
    </row>
    <row r="30" spans="1:19" hidden="1" outlineLevel="2" x14ac:dyDescent="0.25">
      <c r="A30" s="5" t="s">
        <v>82</v>
      </c>
      <c r="B30" s="5"/>
      <c r="C30" s="5"/>
      <c r="D30" s="61">
        <v>100</v>
      </c>
      <c r="E30" s="5" t="s">
        <v>73</v>
      </c>
      <c r="F30" s="5"/>
      <c r="G30" s="2"/>
      <c r="H30" s="2"/>
      <c r="I30" s="2"/>
      <c r="J30" s="2"/>
      <c r="K30" s="5"/>
      <c r="S30" s="3"/>
    </row>
    <row r="31" spans="1:19" hidden="1" outlineLevel="2" x14ac:dyDescent="0.25">
      <c r="A31" s="5" t="s">
        <v>96</v>
      </c>
      <c r="B31" s="6"/>
      <c r="C31" s="6"/>
      <c r="D31" s="86">
        <f>IF(D30&gt;0,((I25*Parameters!$D$42/D30)),0)</f>
        <v>0</v>
      </c>
      <c r="E31" s="6" t="s">
        <v>72</v>
      </c>
      <c r="F31" s="5"/>
      <c r="G31" s="5"/>
      <c r="H31" s="5"/>
      <c r="I31" s="5"/>
      <c r="J31" s="5"/>
      <c r="K31" s="5"/>
      <c r="L31" s="5"/>
      <c r="M31" s="5"/>
      <c r="N31" s="5"/>
      <c r="O31" s="5"/>
      <c r="S31" s="3"/>
    </row>
    <row r="32" spans="1:19" hidden="1" outlineLevel="2" x14ac:dyDescent="0.25">
      <c r="A32" s="5" t="s">
        <v>32</v>
      </c>
      <c r="B32" s="5"/>
      <c r="C32" s="5"/>
      <c r="D32" s="85">
        <f>F4*I25*(D31)</f>
        <v>0</v>
      </c>
      <c r="E32" s="5" t="s">
        <v>35</v>
      </c>
      <c r="F32" s="5"/>
      <c r="G32" s="5"/>
      <c r="H32" s="5"/>
      <c r="I32" s="5"/>
      <c r="J32" s="5"/>
      <c r="K32" s="5"/>
      <c r="L32" s="5"/>
      <c r="M32" s="5"/>
      <c r="N32" s="5"/>
      <c r="O32" s="5"/>
      <c r="S32" s="3"/>
    </row>
    <row r="33" spans="1:19" hidden="1" outlineLevel="2" x14ac:dyDescent="0.25">
      <c r="A33" s="5" t="s">
        <v>102</v>
      </c>
      <c r="B33" s="5"/>
      <c r="C33" s="5"/>
      <c r="D33" s="61">
        <v>23</v>
      </c>
      <c r="E33" s="5" t="s">
        <v>73</v>
      </c>
      <c r="F33" s="5"/>
      <c r="G33" s="2"/>
      <c r="H33" s="2"/>
      <c r="I33" s="2"/>
      <c r="J33" s="2"/>
      <c r="K33" s="5"/>
      <c r="S33" s="3"/>
    </row>
    <row r="34" spans="1:19" hidden="1" outlineLevel="2" x14ac:dyDescent="0.25">
      <c r="A34" s="5"/>
      <c r="B34" s="5"/>
      <c r="C34" s="5"/>
      <c r="D34" s="91">
        <f>D33*1.61</f>
        <v>37.03</v>
      </c>
      <c r="E34" s="5" t="s">
        <v>103</v>
      </c>
      <c r="F34" s="5"/>
      <c r="G34" s="2"/>
      <c r="H34" s="2"/>
      <c r="I34" s="2"/>
      <c r="J34" s="2"/>
      <c r="K34" s="5"/>
      <c r="S34" s="3"/>
    </row>
    <row r="35" spans="1:19" hidden="1" outlineLevel="2" x14ac:dyDescent="0.25">
      <c r="A35" s="5" t="s">
        <v>58</v>
      </c>
      <c r="B35" s="5"/>
      <c r="C35" s="5"/>
      <c r="D35" s="81">
        <f>IF(D29&gt;0,$D$29*$E$10,$D$32*$E$11)</f>
        <v>451.21439280359817</v>
      </c>
      <c r="E35" s="73" t="s">
        <v>63</v>
      </c>
      <c r="F35" s="2"/>
      <c r="G35" s="5"/>
      <c r="H35" s="5"/>
      <c r="I35" s="5"/>
      <c r="J35" s="5"/>
      <c r="K35" s="5"/>
      <c r="L35" s="5"/>
      <c r="M35" s="5"/>
      <c r="N35" s="5"/>
      <c r="O35" s="5"/>
      <c r="S35" s="3"/>
    </row>
    <row r="36" spans="1:19" hidden="1" outlineLevel="1" collapsed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S36" s="3"/>
    </row>
    <row r="37" spans="1:19" ht="13" hidden="1" outlineLevel="1" x14ac:dyDescent="0.3">
      <c r="A37" s="8" t="s">
        <v>43</v>
      </c>
      <c r="B37" s="6"/>
      <c r="C37" s="6"/>
      <c r="D37" s="6"/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S37" s="3"/>
    </row>
    <row r="38" spans="1:19" hidden="1" outlineLevel="2" x14ac:dyDescent="0.25">
      <c r="A38" s="6"/>
      <c r="B38" s="5" t="s">
        <v>125</v>
      </c>
      <c r="C38" s="5"/>
      <c r="D38" s="6"/>
      <c r="E38" s="11">
        <v>19000</v>
      </c>
      <c r="F38" s="12" t="s">
        <v>126</v>
      </c>
      <c r="H38" s="13"/>
      <c r="I38" s="16"/>
      <c r="J38" s="14"/>
      <c r="K38" s="14"/>
      <c r="L38" s="14"/>
      <c r="M38" s="14"/>
      <c r="N38" s="14"/>
      <c r="O38" s="14"/>
      <c r="S38" s="3"/>
    </row>
    <row r="39" spans="1:19" hidden="1" outlineLevel="2" x14ac:dyDescent="0.25">
      <c r="A39" s="6"/>
      <c r="B39" s="5" t="s">
        <v>65</v>
      </c>
      <c r="C39" s="5"/>
      <c r="D39" s="6"/>
      <c r="E39" s="94">
        <f>E38</f>
        <v>19000</v>
      </c>
      <c r="F39" s="12" t="s">
        <v>127</v>
      </c>
      <c r="H39" s="13"/>
      <c r="I39" s="16"/>
      <c r="J39" s="14"/>
      <c r="K39" s="14"/>
      <c r="L39" s="14"/>
      <c r="M39" s="14"/>
      <c r="N39" s="14"/>
      <c r="O39" s="14"/>
      <c r="S39" s="3"/>
    </row>
    <row r="40" spans="1:19" hidden="1" outlineLevel="2" x14ac:dyDescent="0.25">
      <c r="A40" s="6"/>
      <c r="B40" s="5" t="s">
        <v>20</v>
      </c>
      <c r="C40" s="5"/>
      <c r="D40" s="6"/>
      <c r="E40" s="15"/>
      <c r="F40" s="13">
        <f>E38+F41</f>
        <v>19380</v>
      </c>
      <c r="G40" s="13">
        <f t="shared" ref="G40:O40" si="17">F40+G41</f>
        <v>19767.599999999999</v>
      </c>
      <c r="H40" s="13">
        <f t="shared" si="17"/>
        <v>20162.951999999997</v>
      </c>
      <c r="I40" s="13">
        <f t="shared" si="17"/>
        <v>20566.211039999998</v>
      </c>
      <c r="J40" s="13">
        <f t="shared" si="17"/>
        <v>20977.535260799999</v>
      </c>
      <c r="K40" s="13">
        <f t="shared" si="17"/>
        <v>21397.085966015999</v>
      </c>
      <c r="L40" s="13">
        <f t="shared" si="17"/>
        <v>21825.027685336318</v>
      </c>
      <c r="M40" s="13">
        <f t="shared" si="17"/>
        <v>22261.528239043044</v>
      </c>
      <c r="N40" s="13">
        <f t="shared" si="17"/>
        <v>22706.758803823905</v>
      </c>
      <c r="O40" s="13">
        <f t="shared" si="17"/>
        <v>23160.893979900382</v>
      </c>
      <c r="S40" s="3"/>
    </row>
    <row r="41" spans="1:19" hidden="1" outlineLevel="2" x14ac:dyDescent="0.25">
      <c r="A41" s="6"/>
      <c r="B41" s="5" t="s">
        <v>19</v>
      </c>
      <c r="C41" s="5"/>
      <c r="D41" s="6"/>
      <c r="E41" s="15"/>
      <c r="F41" s="13">
        <f>E38*(1+$E7/100)-E38</f>
        <v>380</v>
      </c>
      <c r="G41" s="13">
        <f t="shared" ref="G41:O41" si="18">F40*(1+$E7/100)-F40</f>
        <v>387.59999999999854</v>
      </c>
      <c r="H41" s="13">
        <f t="shared" si="18"/>
        <v>395.35199999999895</v>
      </c>
      <c r="I41" s="13">
        <f t="shared" si="18"/>
        <v>403.25904000000082</v>
      </c>
      <c r="J41" s="13">
        <f t="shared" si="18"/>
        <v>411.32422080000106</v>
      </c>
      <c r="K41" s="13">
        <f t="shared" si="18"/>
        <v>419.55070521599919</v>
      </c>
      <c r="L41" s="13">
        <f t="shared" si="18"/>
        <v>427.94171932031895</v>
      </c>
      <c r="M41" s="13">
        <f t="shared" si="18"/>
        <v>436.50055370672635</v>
      </c>
      <c r="N41" s="13">
        <f t="shared" si="18"/>
        <v>445.23056478086073</v>
      </c>
      <c r="O41" s="13">
        <f t="shared" si="18"/>
        <v>454.13517607647736</v>
      </c>
      <c r="S41" s="3"/>
    </row>
    <row r="42" spans="1:19" hidden="1" outlineLevel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S42" s="3"/>
    </row>
    <row r="43" spans="1:19" ht="13" hidden="1" outlineLevel="1" x14ac:dyDescent="0.3">
      <c r="A43" s="8" t="s">
        <v>156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S43" s="3"/>
    </row>
    <row r="44" spans="1:19" hidden="1" outlineLevel="2" x14ac:dyDescent="0.25">
      <c r="A44" s="5"/>
      <c r="B44" s="5"/>
      <c r="C44" s="5"/>
      <c r="D44" s="5"/>
      <c r="E44" s="78">
        <f>IF(D26&gt;0,Parameters!$E$10,Parameters!$E$11)</f>
        <v>684.89</v>
      </c>
      <c r="F44" s="12" t="s">
        <v>56</v>
      </c>
      <c r="G44" s="5"/>
      <c r="H44" s="5"/>
      <c r="I44" s="5"/>
      <c r="J44" s="5"/>
      <c r="K44" s="5"/>
      <c r="L44" s="5"/>
      <c r="M44" s="5"/>
      <c r="N44" s="5"/>
      <c r="O44" s="5"/>
      <c r="S44" s="3"/>
    </row>
    <row r="45" spans="1:19" hidden="1" outlineLevel="2" x14ac:dyDescent="0.25">
      <c r="A45" s="5"/>
      <c r="B45" s="5"/>
      <c r="C45" s="5"/>
      <c r="D45" s="5"/>
      <c r="E45" s="78">
        <f>E44*(1+E9/100)^(F49-2013)</f>
        <v>684.89</v>
      </c>
      <c r="F45" s="12" t="s">
        <v>44</v>
      </c>
      <c r="G45" s="5"/>
      <c r="H45" s="5"/>
      <c r="I45" s="5"/>
      <c r="J45" s="5"/>
      <c r="K45" s="5"/>
      <c r="L45" s="5"/>
      <c r="M45" s="5"/>
      <c r="N45" s="5"/>
      <c r="O45" s="5"/>
      <c r="S45" s="3"/>
    </row>
    <row r="46" spans="1:19" ht="13" hidden="1" outlineLevel="1" collapsed="1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82"/>
      <c r="M46" s="5"/>
      <c r="N46" s="5"/>
      <c r="O46" s="5"/>
      <c r="S46" s="3"/>
    </row>
    <row r="47" spans="1:19" ht="13.5" hidden="1" outlineLevel="1" thickBot="1" x14ac:dyDescent="0.35">
      <c r="A47" s="19" t="s">
        <v>144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S47" s="3"/>
    </row>
    <row r="48" spans="1:19" hidden="1" outlineLevel="1" x14ac:dyDescent="0.25">
      <c r="A48" s="2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S48" s="3"/>
    </row>
    <row r="49" spans="1:19" ht="13" hidden="1" outlineLevel="1" x14ac:dyDescent="0.3">
      <c r="A49" s="21"/>
      <c r="B49" s="6"/>
      <c r="C49" s="6"/>
      <c r="D49" s="23" t="s">
        <v>2</v>
      </c>
      <c r="E49" s="24">
        <f>E15</f>
        <v>2018</v>
      </c>
      <c r="F49" s="24">
        <f t="shared" ref="F49:G50" si="19">E49+1</f>
        <v>2019</v>
      </c>
      <c r="G49" s="24">
        <f t="shared" si="19"/>
        <v>2020</v>
      </c>
      <c r="H49" s="24">
        <f t="shared" ref="H49:H50" si="20">G49+1</f>
        <v>2021</v>
      </c>
      <c r="I49" s="24">
        <f t="shared" ref="I49" si="21">H49+1</f>
        <v>2022</v>
      </c>
      <c r="J49" s="24">
        <f t="shared" ref="J49" si="22">I49+1</f>
        <v>2023</v>
      </c>
      <c r="K49" s="24">
        <f t="shared" ref="K49" si="23">J49+1</f>
        <v>2024</v>
      </c>
      <c r="L49" s="24">
        <f t="shared" ref="L49:L50" si="24">K49+1</f>
        <v>2025</v>
      </c>
      <c r="M49" s="24">
        <f t="shared" ref="M49:M50" si="25">L49+1</f>
        <v>2026</v>
      </c>
      <c r="N49" s="24">
        <f t="shared" ref="N49:N50" si="26">M49+1</f>
        <v>2027</v>
      </c>
      <c r="O49" s="24">
        <f t="shared" ref="O49:O50" si="27">N49+1</f>
        <v>2028</v>
      </c>
      <c r="Q49" s="1" t="s">
        <v>91</v>
      </c>
      <c r="S49" s="3"/>
    </row>
    <row r="50" spans="1:19" hidden="1" outlineLevel="1" x14ac:dyDescent="0.25">
      <c r="A50" s="21"/>
      <c r="B50" s="6"/>
      <c r="C50" s="6"/>
      <c r="D50" s="23" t="s">
        <v>3</v>
      </c>
      <c r="E50" s="25">
        <v>0</v>
      </c>
      <c r="F50" s="25">
        <f t="shared" ref="F50" si="28">E50+1</f>
        <v>1</v>
      </c>
      <c r="G50" s="25">
        <f t="shared" si="19"/>
        <v>2</v>
      </c>
      <c r="H50" s="25">
        <f t="shared" si="20"/>
        <v>3</v>
      </c>
      <c r="I50" s="25">
        <f>H50+1</f>
        <v>4</v>
      </c>
      <c r="J50" s="25">
        <f>I50+1</f>
        <v>5</v>
      </c>
      <c r="K50" s="25">
        <f>J50+1</f>
        <v>6</v>
      </c>
      <c r="L50" s="25">
        <f t="shared" si="24"/>
        <v>7</v>
      </c>
      <c r="M50" s="25">
        <f t="shared" si="25"/>
        <v>8</v>
      </c>
      <c r="N50" s="25">
        <f t="shared" si="26"/>
        <v>9</v>
      </c>
      <c r="O50" s="25">
        <f t="shared" si="27"/>
        <v>10</v>
      </c>
      <c r="Q50" s="87"/>
      <c r="S50" s="3"/>
    </row>
    <row r="51" spans="1:19" hidden="1" outlineLevel="1" x14ac:dyDescent="0.25">
      <c r="A51" s="21"/>
      <c r="B51" s="6"/>
      <c r="C51" s="6"/>
      <c r="D51" s="6"/>
      <c r="E51" s="25" t="s">
        <v>15</v>
      </c>
      <c r="F51" s="25" t="s">
        <v>15</v>
      </c>
      <c r="G51" s="25" t="s">
        <v>15</v>
      </c>
      <c r="H51" s="25" t="s">
        <v>15</v>
      </c>
      <c r="I51" s="25" t="s">
        <v>15</v>
      </c>
      <c r="J51" s="25" t="s">
        <v>15</v>
      </c>
      <c r="K51" s="25" t="s">
        <v>15</v>
      </c>
      <c r="L51" s="25" t="s">
        <v>15</v>
      </c>
      <c r="M51" s="25" t="s">
        <v>15</v>
      </c>
      <c r="N51" s="25" t="s">
        <v>15</v>
      </c>
      <c r="O51" s="25" t="s">
        <v>15</v>
      </c>
      <c r="Q51" s="87"/>
      <c r="S51" s="3"/>
    </row>
    <row r="52" spans="1:19" hidden="1" outlineLevel="1" x14ac:dyDescent="0.25">
      <c r="A52" s="21"/>
      <c r="B52" s="6"/>
      <c r="C52" s="6"/>
      <c r="D52" s="6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Q52" s="87"/>
      <c r="S52" s="3"/>
    </row>
    <row r="53" spans="1:19" ht="13" hidden="1" outlineLevel="1" x14ac:dyDescent="0.3">
      <c r="A53" s="26" t="s">
        <v>145</v>
      </c>
      <c r="B53" s="27"/>
      <c r="C53" s="27"/>
      <c r="D53" s="27"/>
      <c r="E53" s="28"/>
      <c r="F53" s="45"/>
      <c r="G53" s="45"/>
      <c r="H53" s="45"/>
      <c r="I53" s="45"/>
      <c r="J53" s="45"/>
      <c r="K53" s="45"/>
      <c r="L53" s="45"/>
      <c r="M53" s="45"/>
      <c r="N53" s="45"/>
      <c r="O53" s="45"/>
      <c r="Q53" s="87"/>
      <c r="S53" s="3"/>
    </row>
    <row r="54" spans="1:19" hidden="1" outlineLevel="1" x14ac:dyDescent="0.25">
      <c r="A54" s="29"/>
      <c r="B54" s="30" t="s">
        <v>22</v>
      </c>
      <c r="C54" s="30"/>
      <c r="D54" s="30"/>
      <c r="E54" s="34">
        <f>-E38</f>
        <v>-19000</v>
      </c>
      <c r="F54" s="34"/>
      <c r="G54" s="45"/>
      <c r="H54" s="45"/>
      <c r="I54" s="45"/>
      <c r="J54" s="45"/>
      <c r="K54" s="45"/>
      <c r="L54" s="45"/>
      <c r="M54" s="45"/>
      <c r="N54" s="45"/>
      <c r="O54" s="45"/>
      <c r="Q54" s="87">
        <f>SUM(E54:O54)</f>
        <v>-19000</v>
      </c>
      <c r="S54" s="3"/>
    </row>
    <row r="55" spans="1:19" ht="13" hidden="1" outlineLevel="1" x14ac:dyDescent="0.3">
      <c r="A55" s="32"/>
      <c r="B55" s="30" t="s">
        <v>23</v>
      </c>
      <c r="C55" s="30"/>
      <c r="D55" s="30"/>
      <c r="E55" s="33"/>
      <c r="F55" s="34">
        <f t="shared" ref="F55:O55" si="29">-($D$29*F17)</f>
        <v>-2441.6363246947953</v>
      </c>
      <c r="G55" s="34">
        <f t="shared" si="29"/>
        <v>-2441.6363246947953</v>
      </c>
      <c r="H55" s="34">
        <f t="shared" si="29"/>
        <v>-2441.6363246947953</v>
      </c>
      <c r="I55" s="34">
        <f t="shared" si="29"/>
        <v>-2441.6363246947953</v>
      </c>
      <c r="J55" s="34">
        <f t="shared" si="29"/>
        <v>-2441.6363246947953</v>
      </c>
      <c r="K55" s="34">
        <f t="shared" si="29"/>
        <v>-2441.6363246947953</v>
      </c>
      <c r="L55" s="34">
        <f t="shared" si="29"/>
        <v>-2441.6363246947953</v>
      </c>
      <c r="M55" s="34">
        <f t="shared" si="29"/>
        <v>-2441.6363246947953</v>
      </c>
      <c r="N55" s="34">
        <f t="shared" si="29"/>
        <v>-2441.6363246947953</v>
      </c>
      <c r="O55" s="34">
        <f t="shared" si="29"/>
        <v>-2441.6363246947953</v>
      </c>
      <c r="Q55" s="87">
        <f t="shared" ref="Q55:Q61" si="30">SUM(F55:O55)</f>
        <v>-24416.363246947953</v>
      </c>
      <c r="S55" s="3"/>
    </row>
    <row r="56" spans="1:19" ht="13" hidden="1" outlineLevel="1" x14ac:dyDescent="0.3">
      <c r="A56" s="32"/>
      <c r="B56" s="30" t="s">
        <v>31</v>
      </c>
      <c r="C56" s="30"/>
      <c r="D56" s="30"/>
      <c r="E56" s="33"/>
      <c r="F56" s="34">
        <f t="shared" ref="F56:O56" si="31">-($D$32*F19)</f>
        <v>0</v>
      </c>
      <c r="G56" s="34">
        <f t="shared" si="31"/>
        <v>0</v>
      </c>
      <c r="H56" s="34">
        <f t="shared" si="31"/>
        <v>0</v>
      </c>
      <c r="I56" s="34">
        <f t="shared" si="31"/>
        <v>0</v>
      </c>
      <c r="J56" s="34">
        <f t="shared" si="31"/>
        <v>0</v>
      </c>
      <c r="K56" s="34">
        <f t="shared" si="31"/>
        <v>0</v>
      </c>
      <c r="L56" s="34">
        <f t="shared" si="31"/>
        <v>0</v>
      </c>
      <c r="M56" s="34">
        <f t="shared" si="31"/>
        <v>0</v>
      </c>
      <c r="N56" s="34">
        <f t="shared" si="31"/>
        <v>0</v>
      </c>
      <c r="O56" s="34">
        <f t="shared" si="31"/>
        <v>0</v>
      </c>
      <c r="Q56" s="87">
        <f t="shared" si="30"/>
        <v>0</v>
      </c>
      <c r="S56" s="3"/>
    </row>
    <row r="57" spans="1:19" ht="13" hidden="1" outlineLevel="1" x14ac:dyDescent="0.3">
      <c r="A57" s="32"/>
      <c r="B57" s="30" t="s">
        <v>49</v>
      </c>
      <c r="C57" s="30"/>
      <c r="D57" s="30"/>
      <c r="E57" s="33"/>
      <c r="F57" s="34">
        <f>-E45</f>
        <v>-684.89</v>
      </c>
      <c r="G57" s="34">
        <f>F57*(1+$E$9/100)</f>
        <v>-684.89</v>
      </c>
      <c r="H57" s="34">
        <f t="shared" ref="H57:O57" si="32">G57*(1+$E$9/100)</f>
        <v>-684.89</v>
      </c>
      <c r="I57" s="34">
        <f t="shared" si="32"/>
        <v>-684.89</v>
      </c>
      <c r="J57" s="34">
        <f t="shared" si="32"/>
        <v>-684.89</v>
      </c>
      <c r="K57" s="34">
        <f t="shared" si="32"/>
        <v>-684.89</v>
      </c>
      <c r="L57" s="34">
        <f t="shared" si="32"/>
        <v>-684.89</v>
      </c>
      <c r="M57" s="34">
        <f t="shared" si="32"/>
        <v>-684.89</v>
      </c>
      <c r="N57" s="34">
        <f t="shared" si="32"/>
        <v>-684.89</v>
      </c>
      <c r="O57" s="34">
        <f t="shared" si="32"/>
        <v>-684.89</v>
      </c>
      <c r="Q57" s="87">
        <f t="shared" si="30"/>
        <v>-6848.9000000000015</v>
      </c>
      <c r="S57" s="3"/>
    </row>
    <row r="58" spans="1:19" hidden="1" outlineLevel="1" x14ac:dyDescent="0.25">
      <c r="A58" s="29"/>
      <c r="B58" s="30"/>
      <c r="C58" s="30"/>
      <c r="D58" s="30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Q58" s="87"/>
      <c r="S58" s="3"/>
    </row>
    <row r="59" spans="1:19" ht="13" hidden="1" outlineLevel="1" x14ac:dyDescent="0.3">
      <c r="A59" s="32" t="s">
        <v>4</v>
      </c>
      <c r="B59" s="30"/>
      <c r="C59" s="30"/>
      <c r="D59" s="30"/>
      <c r="E59" s="35">
        <f t="shared" ref="E59:O59" si="33">SUM(E54:E57)</f>
        <v>-19000</v>
      </c>
      <c r="F59" s="35">
        <f t="shared" si="33"/>
        <v>-3126.5263246947952</v>
      </c>
      <c r="G59" s="35">
        <f t="shared" si="33"/>
        <v>-3126.5263246947952</v>
      </c>
      <c r="H59" s="35">
        <f t="shared" si="33"/>
        <v>-3126.5263246947952</v>
      </c>
      <c r="I59" s="35">
        <f t="shared" si="33"/>
        <v>-3126.5263246947952</v>
      </c>
      <c r="J59" s="35">
        <f t="shared" si="33"/>
        <v>-3126.5263246947952</v>
      </c>
      <c r="K59" s="35">
        <f t="shared" si="33"/>
        <v>-3126.5263246947952</v>
      </c>
      <c r="L59" s="35">
        <f t="shared" si="33"/>
        <v>-3126.5263246947952</v>
      </c>
      <c r="M59" s="35">
        <f t="shared" si="33"/>
        <v>-3126.5263246947952</v>
      </c>
      <c r="N59" s="35">
        <f t="shared" si="33"/>
        <v>-3126.5263246947952</v>
      </c>
      <c r="O59" s="35">
        <f t="shared" si="33"/>
        <v>-3126.5263246947952</v>
      </c>
      <c r="Q59" s="87">
        <f t="shared" si="30"/>
        <v>-31265.263246947947</v>
      </c>
      <c r="S59" s="3"/>
    </row>
    <row r="60" spans="1:19" ht="13" hidden="1" outlineLevel="1" x14ac:dyDescent="0.3">
      <c r="A60" s="26"/>
      <c r="B60" s="27"/>
      <c r="C60" s="27"/>
      <c r="D60" s="27"/>
      <c r="E60" s="28"/>
      <c r="F60" s="28"/>
      <c r="G60" s="28"/>
      <c r="H60" s="35"/>
      <c r="I60" s="35"/>
      <c r="J60" s="35"/>
      <c r="K60" s="35"/>
      <c r="L60" s="35"/>
      <c r="M60" s="35"/>
      <c r="N60" s="35"/>
      <c r="O60" s="35"/>
      <c r="Q60" s="87"/>
      <c r="S60" s="3"/>
    </row>
    <row r="61" spans="1:19" ht="13.5" hidden="1" outlineLevel="1" thickBot="1" x14ac:dyDescent="0.35">
      <c r="A61" s="36" t="s">
        <v>5</v>
      </c>
      <c r="B61" s="37"/>
      <c r="C61" s="37"/>
      <c r="D61" s="37"/>
      <c r="E61" s="38">
        <f>E59</f>
        <v>-19000</v>
      </c>
      <c r="F61" s="38">
        <f>E61+F59</f>
        <v>-22126.526324694794</v>
      </c>
      <c r="G61" s="38">
        <f t="shared" ref="G61:O61" si="34">F61+G59</f>
        <v>-25253.052649389589</v>
      </c>
      <c r="H61" s="38">
        <f t="shared" si="34"/>
        <v>-28379.578974084383</v>
      </c>
      <c r="I61" s="38">
        <f t="shared" si="34"/>
        <v>-31506.105298779177</v>
      </c>
      <c r="J61" s="38">
        <f t="shared" si="34"/>
        <v>-34632.631623473972</v>
      </c>
      <c r="K61" s="38">
        <f t="shared" si="34"/>
        <v>-37759.157948168766</v>
      </c>
      <c r="L61" s="38">
        <f t="shared" si="34"/>
        <v>-40885.68427286356</v>
      </c>
      <c r="M61" s="38">
        <f t="shared" si="34"/>
        <v>-44012.210597558354</v>
      </c>
      <c r="N61" s="38">
        <f t="shared" si="34"/>
        <v>-47138.736922253149</v>
      </c>
      <c r="O61" s="38">
        <f t="shared" si="34"/>
        <v>-50265.263246947943</v>
      </c>
      <c r="Q61" s="87">
        <f t="shared" si="30"/>
        <v>-361958.94785821368</v>
      </c>
      <c r="S61" s="3"/>
    </row>
    <row r="62" spans="1:19" ht="13" hidden="1" outlineLevel="1" x14ac:dyDescent="0.3">
      <c r="A62" s="8"/>
      <c r="B62" s="6"/>
      <c r="C62" s="6"/>
      <c r="D62" s="6"/>
      <c r="E62" s="9"/>
      <c r="F62" s="47"/>
      <c r="G62" s="47"/>
      <c r="H62" s="47"/>
      <c r="I62" s="47"/>
      <c r="J62" s="47"/>
      <c r="K62" s="47"/>
      <c r="L62" s="47"/>
      <c r="M62" s="47"/>
      <c r="N62" s="47"/>
      <c r="O62" s="47"/>
      <c r="Q62" s="87"/>
      <c r="S62" s="3"/>
    </row>
    <row r="63" spans="1:19" ht="13" hidden="1" outlineLevel="1" x14ac:dyDescent="0.3">
      <c r="A63" s="8"/>
      <c r="B63" s="6"/>
      <c r="C63" s="6"/>
      <c r="D63" s="6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Q63" s="50" t="s">
        <v>18</v>
      </c>
      <c r="S63" s="3"/>
    </row>
    <row r="64" spans="1:19" ht="13" hidden="1" outlineLevel="1" x14ac:dyDescent="0.3">
      <c r="A64" s="51" t="s">
        <v>142</v>
      </c>
      <c r="B64" s="52"/>
      <c r="C64" s="52"/>
      <c r="D64" s="52"/>
      <c r="E64" s="113">
        <f t="shared" ref="E64:O64" si="35">E59/(1+$E8/100)^E50</f>
        <v>-19000</v>
      </c>
      <c r="F64" s="113">
        <f t="shared" si="35"/>
        <v>-3020.7983813476285</v>
      </c>
      <c r="G64" s="113">
        <f>G59/(1+$E8/100)^G50</f>
        <v>-2918.6457790798345</v>
      </c>
      <c r="H64" s="113">
        <f t="shared" si="35"/>
        <v>-2819.9476126375216</v>
      </c>
      <c r="I64" s="113">
        <f t="shared" si="35"/>
        <v>-2724.5870653502625</v>
      </c>
      <c r="J64" s="113">
        <f t="shared" si="35"/>
        <v>-2632.4512708698189</v>
      </c>
      <c r="K64" s="113">
        <f t="shared" si="35"/>
        <v>-2543.431179584366</v>
      </c>
      <c r="L64" s="113">
        <f t="shared" si="35"/>
        <v>-2457.4214295501124</v>
      </c>
      <c r="M64" s="113">
        <f t="shared" si="35"/>
        <v>-2374.3202217875487</v>
      </c>
      <c r="N64" s="113">
        <f t="shared" si="35"/>
        <v>-2294.0291997947334</v>
      </c>
      <c r="O64" s="113">
        <f t="shared" si="35"/>
        <v>-2216.4533331350081</v>
      </c>
      <c r="Q64" s="46">
        <f>SUM(E64:O64)</f>
        <v>-45002.085473136845</v>
      </c>
      <c r="S64" s="3"/>
    </row>
    <row r="65" spans="1:19" ht="13" hidden="1" outlineLevel="1" thickBot="1" x14ac:dyDescent="0.3">
      <c r="S65" s="3"/>
    </row>
    <row r="66" spans="1:19" ht="13.5" hidden="1" outlineLevel="1" thickBot="1" x14ac:dyDescent="0.35">
      <c r="A66" s="19" t="s">
        <v>6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S66" s="3"/>
    </row>
    <row r="67" spans="1:19" hidden="1" outlineLevel="1" x14ac:dyDescent="0.25">
      <c r="A67" s="21"/>
      <c r="B67" s="6"/>
      <c r="C67" s="6"/>
      <c r="D67" s="6"/>
      <c r="E67" s="6"/>
      <c r="F67" s="6"/>
      <c r="G67" s="39"/>
      <c r="H67" s="6"/>
      <c r="I67" s="6"/>
      <c r="J67" s="6"/>
      <c r="K67" s="6"/>
      <c r="L67" s="6"/>
      <c r="M67" s="6"/>
      <c r="N67" s="6"/>
      <c r="O67" s="6"/>
      <c r="S67" s="3"/>
    </row>
    <row r="68" spans="1:19" ht="13" hidden="1" outlineLevel="1" x14ac:dyDescent="0.3">
      <c r="A68" s="40" t="s">
        <v>7</v>
      </c>
      <c r="B68" s="40"/>
      <c r="C68" s="40"/>
      <c r="D68" s="41"/>
      <c r="E68" s="42"/>
      <c r="F68" s="42" t="s">
        <v>17</v>
      </c>
      <c r="G68" s="43" t="s">
        <v>8</v>
      </c>
      <c r="H68" s="6"/>
      <c r="I68" s="6"/>
      <c r="J68" s="6"/>
      <c r="K68" s="6"/>
      <c r="L68" s="6"/>
      <c r="M68" s="6"/>
      <c r="N68" s="6"/>
      <c r="O68" s="6"/>
      <c r="S68" s="3"/>
    </row>
    <row r="69" spans="1:19" ht="20" hidden="1" outlineLevel="1" x14ac:dyDescent="0.4">
      <c r="A69" s="53" t="s">
        <v>9</v>
      </c>
      <c r="B69" s="54"/>
      <c r="C69" s="54"/>
      <c r="D69" s="55"/>
      <c r="E69" s="56"/>
      <c r="F69" s="56">
        <f>NPV((E8/100), F59:O59)+E59</f>
        <v>-45002.085473136831</v>
      </c>
      <c r="G69" s="6" t="s">
        <v>15</v>
      </c>
      <c r="H69" s="6"/>
      <c r="I69" s="6"/>
      <c r="J69" s="2"/>
      <c r="K69" s="8"/>
      <c r="L69" s="6"/>
      <c r="M69" s="6"/>
      <c r="N69" s="6"/>
      <c r="O69" s="6"/>
      <c r="S69" s="3"/>
    </row>
    <row r="70" spans="1:19" ht="13" hidden="1" outlineLevel="1" x14ac:dyDescent="0.3">
      <c r="A70" s="8"/>
      <c r="D70" s="2"/>
      <c r="E70" s="47"/>
      <c r="F70" s="47"/>
      <c r="G70" s="6"/>
      <c r="H70" s="6"/>
      <c r="S70" s="3"/>
    </row>
    <row r="71" spans="1:19" hidden="1" outlineLevel="1" x14ac:dyDescent="0.25">
      <c r="S71" s="3"/>
    </row>
    <row r="72" spans="1:19" hidden="1" outlineLevel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idden="1" outlineLevel="1" x14ac:dyDescent="0.25">
      <c r="S73" s="3"/>
    </row>
    <row r="74" spans="1:19" ht="20" collapsed="1" x14ac:dyDescent="0.4">
      <c r="A74" s="65" t="s">
        <v>66</v>
      </c>
      <c r="H74" s="1"/>
      <c r="L74" s="2"/>
      <c r="M74" s="2"/>
      <c r="S74" s="3"/>
    </row>
    <row r="75" spans="1:19" ht="13" x14ac:dyDescent="0.3">
      <c r="H75" s="1"/>
      <c r="S75" s="3"/>
    </row>
    <row r="76" spans="1:19" ht="13" hidden="1" outlineLevel="1" x14ac:dyDescent="0.3">
      <c r="A76" s="4" t="s">
        <v>41</v>
      </c>
      <c r="B76" s="5"/>
      <c r="C76" s="5"/>
      <c r="D76" s="5"/>
      <c r="E76" s="5"/>
      <c r="F76" s="5"/>
      <c r="G76" s="5"/>
      <c r="H76" s="5"/>
      <c r="I76" s="5"/>
      <c r="J76" s="5"/>
      <c r="K76" s="5"/>
      <c r="S76" s="3"/>
    </row>
    <row r="77" spans="1:19" hidden="1" outlineLevel="2" x14ac:dyDescent="0.25">
      <c r="A77" s="5" t="s">
        <v>85</v>
      </c>
      <c r="B77" s="6"/>
      <c r="C77" s="6"/>
      <c r="D77" s="61">
        <f>(43*0.5+59*0.5)</f>
        <v>51</v>
      </c>
      <c r="E77" s="6" t="s">
        <v>34</v>
      </c>
      <c r="F77" s="92">
        <v>0.7</v>
      </c>
      <c r="G77" s="6" t="s">
        <v>29</v>
      </c>
      <c r="H77" s="6"/>
      <c r="I77" s="63">
        <v>1</v>
      </c>
      <c r="J77" s="6" t="s">
        <v>79</v>
      </c>
      <c r="K77" s="6"/>
      <c r="S77" s="3"/>
    </row>
    <row r="78" spans="1:19" hidden="1" outlineLevel="2" x14ac:dyDescent="0.25">
      <c r="A78" s="5" t="s">
        <v>81</v>
      </c>
      <c r="B78" s="5"/>
      <c r="C78" s="5"/>
      <c r="D78" s="91">
        <f>(D77/3.8)*1.61</f>
        <v>21.607894736842109</v>
      </c>
      <c r="E78" s="5" t="s">
        <v>83</v>
      </c>
      <c r="F78" s="92">
        <v>0.3</v>
      </c>
      <c r="G78" t="s">
        <v>30</v>
      </c>
      <c r="H78" s="6"/>
      <c r="I78" s="63">
        <v>0</v>
      </c>
      <c r="J78" t="s">
        <v>80</v>
      </c>
      <c r="K78" s="6"/>
      <c r="S78" s="3"/>
    </row>
    <row r="79" spans="1:19" hidden="1" outlineLevel="2" x14ac:dyDescent="0.25">
      <c r="A79" s="5"/>
      <c r="B79" s="5"/>
      <c r="C79" s="5"/>
      <c r="D79" s="91">
        <f>100/D78</f>
        <v>4.6279381317744477</v>
      </c>
      <c r="E79" s="5" t="s">
        <v>84</v>
      </c>
      <c r="K79" s="6"/>
      <c r="S79" s="3"/>
    </row>
    <row r="80" spans="1:19" hidden="1" outlineLevel="2" x14ac:dyDescent="0.25">
      <c r="A80" s="5" t="s">
        <v>82</v>
      </c>
      <c r="B80" s="5"/>
      <c r="C80" s="5"/>
      <c r="D80" s="61">
        <v>105</v>
      </c>
      <c r="E80" s="5" t="s">
        <v>73</v>
      </c>
      <c r="F80" s="5"/>
      <c r="G80" s="2"/>
      <c r="H80" s="2"/>
      <c r="I80" s="5"/>
      <c r="J80" s="5"/>
      <c r="K80" s="5"/>
      <c r="S80" s="3"/>
    </row>
    <row r="81" spans="1:19" hidden="1" outlineLevel="2" x14ac:dyDescent="0.25">
      <c r="A81" s="5" t="s">
        <v>21</v>
      </c>
      <c r="B81" s="5"/>
      <c r="C81" s="5"/>
      <c r="D81" s="7">
        <f>$F$4*I77*D79/100</f>
        <v>925.58762635488949</v>
      </c>
      <c r="E81" s="5" t="s">
        <v>11</v>
      </c>
      <c r="F81" s="5"/>
      <c r="G81" s="2"/>
      <c r="H81" s="2"/>
      <c r="I81" s="2"/>
      <c r="J81" s="2"/>
      <c r="K81" s="5"/>
      <c r="S81" s="3"/>
    </row>
    <row r="82" spans="1:19" hidden="1" outlineLevel="2" x14ac:dyDescent="0.25">
      <c r="A82" s="5" t="s">
        <v>96</v>
      </c>
      <c r="B82" s="6"/>
      <c r="C82" s="6"/>
      <c r="D82" s="86">
        <f>IF(D80&gt;0,((I78*Parameters!$D$42/D80)),0)</f>
        <v>0</v>
      </c>
      <c r="E82" s="6" t="s">
        <v>72</v>
      </c>
      <c r="F82" s="5"/>
      <c r="G82" s="2"/>
      <c r="H82" s="2"/>
      <c r="I82" s="2"/>
      <c r="J82" s="2"/>
      <c r="K82" s="5"/>
      <c r="S82" s="3"/>
    </row>
    <row r="83" spans="1:19" hidden="1" outlineLevel="2" x14ac:dyDescent="0.25">
      <c r="A83" s="5" t="s">
        <v>32</v>
      </c>
      <c r="B83" s="5"/>
      <c r="C83" s="5"/>
      <c r="D83" s="85">
        <f>$F$4*I78*(D82)</f>
        <v>0</v>
      </c>
      <c r="E83" s="5" t="s">
        <v>35</v>
      </c>
      <c r="F83" s="5"/>
      <c r="G83" s="5"/>
      <c r="H83" s="5"/>
      <c r="I83" s="5"/>
      <c r="J83" s="5"/>
      <c r="K83" s="5"/>
      <c r="L83" s="5"/>
      <c r="M83" s="5"/>
      <c r="N83" s="5"/>
      <c r="O83" s="5"/>
      <c r="S83" s="3"/>
    </row>
    <row r="84" spans="1:19" hidden="1" outlineLevel="2" x14ac:dyDescent="0.25">
      <c r="A84" s="5" t="s">
        <v>58</v>
      </c>
      <c r="B84" s="5"/>
      <c r="C84" s="5"/>
      <c r="D84" s="81">
        <f>IF(D81&gt;0,$D$81*$E$10,$D$83*$E$11)</f>
        <v>256.57289002557536</v>
      </c>
      <c r="E84" s="73" t="s">
        <v>63</v>
      </c>
      <c r="F84" s="2"/>
      <c r="G84" s="5"/>
      <c r="H84" s="5"/>
      <c r="I84" s="5"/>
      <c r="J84" s="5"/>
      <c r="K84" s="5"/>
      <c r="L84" s="5"/>
      <c r="M84" s="5"/>
      <c r="N84" s="5"/>
      <c r="O84" s="5"/>
      <c r="S84" s="3"/>
    </row>
    <row r="85" spans="1:19" hidden="1" outlineLevel="1" collapsed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S85" s="3"/>
    </row>
    <row r="86" spans="1:19" ht="13" hidden="1" outlineLevel="1" x14ac:dyDescent="0.3">
      <c r="A86" s="8" t="s">
        <v>43</v>
      </c>
      <c r="B86" s="6"/>
      <c r="C86" s="6"/>
      <c r="D86" s="6"/>
      <c r="E86" s="9"/>
      <c r="F86" s="10"/>
      <c r="G86" s="10"/>
      <c r="H86" s="10"/>
      <c r="I86" s="10"/>
      <c r="J86" s="10"/>
      <c r="K86" s="10"/>
      <c r="L86" s="10"/>
      <c r="M86" s="10"/>
      <c r="N86" s="10"/>
      <c r="O86" s="10"/>
      <c r="S86" s="3"/>
    </row>
    <row r="87" spans="1:19" hidden="1" outlineLevel="1" x14ac:dyDescent="0.25">
      <c r="A87" s="6"/>
      <c r="B87" s="5" t="s">
        <v>125</v>
      </c>
      <c r="C87" s="5"/>
      <c r="D87" s="6"/>
      <c r="E87" s="11">
        <v>31990</v>
      </c>
      <c r="F87" s="12" t="s">
        <v>44</v>
      </c>
      <c r="H87" s="13"/>
      <c r="I87" s="16"/>
      <c r="J87" s="14"/>
      <c r="K87" s="14"/>
      <c r="L87" s="14"/>
      <c r="M87" s="14"/>
      <c r="N87" s="14"/>
      <c r="O87" s="14"/>
      <c r="S87" s="3"/>
    </row>
    <row r="88" spans="1:19" hidden="1" outlineLevel="1" x14ac:dyDescent="0.25">
      <c r="A88" s="6"/>
      <c r="B88" s="5" t="s">
        <v>65</v>
      </c>
      <c r="C88" s="5"/>
      <c r="D88" s="6"/>
      <c r="E88" s="94">
        <f>E87</f>
        <v>31990</v>
      </c>
      <c r="F88" s="12" t="s">
        <v>90</v>
      </c>
      <c r="H88" s="13"/>
      <c r="I88" s="16"/>
      <c r="J88" s="14"/>
      <c r="K88" s="14"/>
      <c r="L88" s="14"/>
      <c r="M88" s="14"/>
      <c r="N88" s="14"/>
      <c r="O88" s="14"/>
      <c r="S88" s="3"/>
    </row>
    <row r="89" spans="1:19" hidden="1" outlineLevel="2" x14ac:dyDescent="0.25">
      <c r="A89" s="6"/>
      <c r="B89" s="5" t="s">
        <v>20</v>
      </c>
      <c r="C89" s="5"/>
      <c r="D89" s="6"/>
      <c r="E89" s="15"/>
      <c r="F89" s="13">
        <f>E87+F90</f>
        <v>32629.8</v>
      </c>
      <c r="G89" s="13">
        <f t="shared" ref="G89" si="36">F89+G90</f>
        <v>33282.396000000001</v>
      </c>
      <c r="H89" s="13">
        <f t="shared" ref="H89" si="37">G89+H90</f>
        <v>33948.043920000004</v>
      </c>
      <c r="I89" s="13">
        <f t="shared" ref="I89" si="38">H89+I90</f>
        <v>34627.004798400005</v>
      </c>
      <c r="J89" s="13">
        <f t="shared" ref="J89" si="39">I89+J90</f>
        <v>35319.544894368002</v>
      </c>
      <c r="K89" s="13">
        <f t="shared" ref="K89" si="40">J89+K90</f>
        <v>36025.935792255361</v>
      </c>
      <c r="L89" s="13">
        <f t="shared" ref="L89" si="41">K89+L90</f>
        <v>36746.454508100469</v>
      </c>
      <c r="M89" s="13">
        <f t="shared" ref="M89" si="42">L89+M90</f>
        <v>37481.383598262481</v>
      </c>
      <c r="N89" s="13">
        <f t="shared" ref="N89" si="43">M89+N90</f>
        <v>38231.011270227733</v>
      </c>
      <c r="O89" s="13">
        <f t="shared" ref="O89" si="44">N89+O90</f>
        <v>38995.631495632289</v>
      </c>
      <c r="S89" s="3"/>
    </row>
    <row r="90" spans="1:19" hidden="1" outlineLevel="2" x14ac:dyDescent="0.25">
      <c r="A90" s="6"/>
      <c r="B90" s="5" t="s">
        <v>19</v>
      </c>
      <c r="C90" s="5"/>
      <c r="D90" s="6"/>
      <c r="E90" s="15"/>
      <c r="F90" s="13">
        <f>E87*(1+$E7/100)-E87</f>
        <v>639.79999999999927</v>
      </c>
      <c r="G90" s="13">
        <f t="shared" ref="G90:O90" si="45">F89*(1+$E7/100)-F89</f>
        <v>652.59600000000137</v>
      </c>
      <c r="H90" s="13">
        <f t="shared" si="45"/>
        <v>665.64792000000307</v>
      </c>
      <c r="I90" s="13">
        <f t="shared" si="45"/>
        <v>678.96087840000109</v>
      </c>
      <c r="J90" s="13">
        <f t="shared" si="45"/>
        <v>692.54009596799733</v>
      </c>
      <c r="K90" s="13">
        <f t="shared" si="45"/>
        <v>706.39089788735873</v>
      </c>
      <c r="L90" s="13">
        <f t="shared" si="45"/>
        <v>720.51871584510809</v>
      </c>
      <c r="M90" s="13">
        <f t="shared" si="45"/>
        <v>734.92909016201156</v>
      </c>
      <c r="N90" s="13">
        <f t="shared" si="45"/>
        <v>749.62767196525238</v>
      </c>
      <c r="O90" s="13">
        <f t="shared" si="45"/>
        <v>764.62022540455655</v>
      </c>
      <c r="S90" s="3"/>
    </row>
    <row r="91" spans="1:19" hidden="1" outlineLevel="1" collapsed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S91" s="3"/>
    </row>
    <row r="92" spans="1:19" ht="13" hidden="1" outlineLevel="1" x14ac:dyDescent="0.3">
      <c r="A92" s="8" t="s">
        <v>50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S92" s="3"/>
    </row>
    <row r="93" spans="1:19" hidden="1" outlineLevel="1" x14ac:dyDescent="0.25">
      <c r="A93" s="5"/>
      <c r="B93" s="5"/>
      <c r="C93" s="5"/>
      <c r="D93" s="5"/>
      <c r="E93" s="78">
        <f>IF(D80&gt;0,Parameters!$E$10,Parameters!$E$11)</f>
        <v>684.89</v>
      </c>
      <c r="F93" s="12" t="s">
        <v>56</v>
      </c>
      <c r="G93" s="5"/>
      <c r="H93" s="5"/>
      <c r="I93" s="5"/>
      <c r="J93" s="5"/>
      <c r="K93" s="5"/>
      <c r="L93" s="5"/>
      <c r="M93" s="5"/>
      <c r="N93" s="5"/>
      <c r="O93" s="5"/>
      <c r="S93" s="3"/>
    </row>
    <row r="94" spans="1:19" hidden="1" outlineLevel="1" x14ac:dyDescent="0.25">
      <c r="A94" s="5"/>
      <c r="B94" s="5"/>
      <c r="C94" s="5"/>
      <c r="D94" s="5"/>
      <c r="E94" s="78">
        <f>E93*(1+E$9/100)^(F98-2013)</f>
        <v>684.89</v>
      </c>
      <c r="F94" s="12" t="s">
        <v>44</v>
      </c>
      <c r="G94" s="5"/>
      <c r="H94" s="5"/>
      <c r="I94" s="5"/>
      <c r="J94" s="5"/>
      <c r="K94" s="5"/>
      <c r="L94" s="5"/>
      <c r="M94" s="5"/>
      <c r="N94" s="5"/>
      <c r="O94" s="5"/>
      <c r="S94" s="3"/>
    </row>
    <row r="95" spans="1:19" ht="13" hidden="1" outlineLevel="1" thickBot="1" x14ac:dyDescent="0.3">
      <c r="S95" s="3"/>
    </row>
    <row r="96" spans="1:19" ht="13.5" hidden="1" outlineLevel="1" thickBot="1" x14ac:dyDescent="0.35">
      <c r="A96" s="19" t="s">
        <v>144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S96" s="3"/>
    </row>
    <row r="97" spans="1:19" hidden="1" outlineLevel="1" x14ac:dyDescent="0.25">
      <c r="A97" s="2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S97" s="3"/>
    </row>
    <row r="98" spans="1:19" ht="13" hidden="1" outlineLevel="1" x14ac:dyDescent="0.3">
      <c r="A98" s="21"/>
      <c r="B98" s="6"/>
      <c r="C98" s="6"/>
      <c r="D98" s="23" t="s">
        <v>2</v>
      </c>
      <c r="E98" s="24">
        <f>E15</f>
        <v>2018</v>
      </c>
      <c r="F98" s="24">
        <f t="shared" ref="F98:G99" si="46">E98+1</f>
        <v>2019</v>
      </c>
      <c r="G98" s="24">
        <f t="shared" si="46"/>
        <v>2020</v>
      </c>
      <c r="H98" s="24">
        <f t="shared" ref="H98:H99" si="47">G98+1</f>
        <v>2021</v>
      </c>
      <c r="I98" s="24">
        <f t="shared" ref="I98" si="48">H98+1</f>
        <v>2022</v>
      </c>
      <c r="J98" s="24">
        <f t="shared" ref="J98" si="49">I98+1</f>
        <v>2023</v>
      </c>
      <c r="K98" s="24">
        <f t="shared" ref="K98" si="50">J98+1</f>
        <v>2024</v>
      </c>
      <c r="L98" s="24">
        <f t="shared" ref="L98:L99" si="51">K98+1</f>
        <v>2025</v>
      </c>
      <c r="M98" s="24">
        <f t="shared" ref="M98:M99" si="52">L98+1</f>
        <v>2026</v>
      </c>
      <c r="N98" s="24">
        <f t="shared" ref="N98:N99" si="53">M98+1</f>
        <v>2027</v>
      </c>
      <c r="O98" s="24">
        <f t="shared" ref="O98:O99" si="54">N98+1</f>
        <v>2028</v>
      </c>
      <c r="Q98" s="1" t="s">
        <v>91</v>
      </c>
      <c r="S98" s="3"/>
    </row>
    <row r="99" spans="1:19" hidden="1" outlineLevel="1" x14ac:dyDescent="0.25">
      <c r="A99" s="21"/>
      <c r="B99" s="6"/>
      <c r="C99" s="6"/>
      <c r="D99" s="23" t="s">
        <v>3</v>
      </c>
      <c r="E99" s="25">
        <v>0</v>
      </c>
      <c r="F99" s="25">
        <f t="shared" ref="F99" si="55">E99+1</f>
        <v>1</v>
      </c>
      <c r="G99" s="25">
        <f t="shared" si="46"/>
        <v>2</v>
      </c>
      <c r="H99" s="25">
        <f t="shared" si="47"/>
        <v>3</v>
      </c>
      <c r="I99" s="25">
        <f>H99+1</f>
        <v>4</v>
      </c>
      <c r="J99" s="25">
        <f>I99+1</f>
        <v>5</v>
      </c>
      <c r="K99" s="25">
        <f>J99+1</f>
        <v>6</v>
      </c>
      <c r="L99" s="25">
        <f t="shared" si="51"/>
        <v>7</v>
      </c>
      <c r="M99" s="25">
        <f t="shared" si="52"/>
        <v>8</v>
      </c>
      <c r="N99" s="25">
        <f t="shared" si="53"/>
        <v>9</v>
      </c>
      <c r="O99" s="25">
        <f t="shared" si="54"/>
        <v>10</v>
      </c>
      <c r="Q99" s="87"/>
      <c r="S99" s="3"/>
    </row>
    <row r="100" spans="1:19" hidden="1" outlineLevel="1" x14ac:dyDescent="0.25">
      <c r="A100" s="21"/>
      <c r="B100" s="6"/>
      <c r="C100" s="6"/>
      <c r="D100" s="6"/>
      <c r="E100" s="25" t="s">
        <v>15</v>
      </c>
      <c r="F100" s="25" t="s">
        <v>15</v>
      </c>
      <c r="G100" s="25" t="s">
        <v>15</v>
      </c>
      <c r="H100" s="25" t="s">
        <v>15</v>
      </c>
      <c r="I100" s="25" t="s">
        <v>15</v>
      </c>
      <c r="J100" s="25" t="s">
        <v>15</v>
      </c>
      <c r="K100" s="25" t="s">
        <v>15</v>
      </c>
      <c r="L100" s="25" t="s">
        <v>15</v>
      </c>
      <c r="M100" s="25" t="s">
        <v>15</v>
      </c>
      <c r="N100" s="25" t="s">
        <v>15</v>
      </c>
      <c r="O100" s="25" t="s">
        <v>15</v>
      </c>
      <c r="Q100" s="87"/>
      <c r="S100" s="3"/>
    </row>
    <row r="101" spans="1:19" hidden="1" outlineLevel="1" x14ac:dyDescent="0.25">
      <c r="A101" s="21"/>
      <c r="B101" s="6"/>
      <c r="C101" s="6"/>
      <c r="D101" s="6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Q101" s="87"/>
      <c r="S101" s="3"/>
    </row>
    <row r="102" spans="1:19" ht="13" hidden="1" outlineLevel="1" x14ac:dyDescent="0.3">
      <c r="A102" s="26" t="s">
        <v>145</v>
      </c>
      <c r="B102" s="27"/>
      <c r="C102" s="27"/>
      <c r="D102" s="27"/>
      <c r="E102" s="28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Q102" s="87"/>
      <c r="S102" s="3"/>
    </row>
    <row r="103" spans="1:19" hidden="1" outlineLevel="1" x14ac:dyDescent="0.25">
      <c r="A103" s="29"/>
      <c r="B103" s="30" t="s">
        <v>22</v>
      </c>
      <c r="C103" s="30"/>
      <c r="D103" s="30"/>
      <c r="E103" s="34">
        <f>-E87</f>
        <v>-31990</v>
      </c>
      <c r="F103" s="34"/>
      <c r="G103" s="45"/>
      <c r="H103" s="45"/>
      <c r="I103" s="45"/>
      <c r="J103" s="45"/>
      <c r="K103" s="45"/>
      <c r="L103" s="45"/>
      <c r="M103" s="45"/>
      <c r="N103" s="45"/>
      <c r="O103" s="45"/>
      <c r="Q103" s="87">
        <f>SUM(E103:O103)</f>
        <v>-31990</v>
      </c>
      <c r="S103" s="3"/>
    </row>
    <row r="104" spans="1:19" ht="13" hidden="1" outlineLevel="1" x14ac:dyDescent="0.3">
      <c r="A104" s="32"/>
      <c r="B104" s="30" t="s">
        <v>23</v>
      </c>
      <c r="C104" s="30"/>
      <c r="D104" s="30"/>
      <c r="E104" s="33"/>
      <c r="F104" s="34">
        <f t="shared" ref="F104:O104" si="56">-($D81*F17)</f>
        <v>-1388.3814395323343</v>
      </c>
      <c r="G104" s="34">
        <f t="shared" si="56"/>
        <v>-1388.3814395323343</v>
      </c>
      <c r="H104" s="34">
        <f t="shared" si="56"/>
        <v>-1388.3814395323343</v>
      </c>
      <c r="I104" s="34">
        <f t="shared" si="56"/>
        <v>-1388.3814395323343</v>
      </c>
      <c r="J104" s="34">
        <f t="shared" si="56"/>
        <v>-1388.3814395323343</v>
      </c>
      <c r="K104" s="34">
        <f t="shared" si="56"/>
        <v>-1388.3814395323343</v>
      </c>
      <c r="L104" s="34">
        <f t="shared" si="56"/>
        <v>-1388.3814395323343</v>
      </c>
      <c r="M104" s="34">
        <f t="shared" si="56"/>
        <v>-1388.3814395323343</v>
      </c>
      <c r="N104" s="34">
        <f t="shared" si="56"/>
        <v>-1388.3814395323343</v>
      </c>
      <c r="O104" s="34">
        <f t="shared" si="56"/>
        <v>-1388.3814395323343</v>
      </c>
      <c r="Q104" s="87">
        <f t="shared" ref="Q104:Q106" si="57">SUM(F104:O104)</f>
        <v>-13883.814395323345</v>
      </c>
      <c r="S104" s="3"/>
    </row>
    <row r="105" spans="1:19" ht="13" hidden="1" outlineLevel="1" x14ac:dyDescent="0.3">
      <c r="A105" s="32"/>
      <c r="B105" s="30" t="s">
        <v>31</v>
      </c>
      <c r="C105" s="30"/>
      <c r="D105" s="30"/>
      <c r="E105" s="33"/>
      <c r="F105" s="34">
        <f t="shared" ref="F105:O105" si="58">-($D$83*F19)</f>
        <v>0</v>
      </c>
      <c r="G105" s="34">
        <f t="shared" si="58"/>
        <v>0</v>
      </c>
      <c r="H105" s="34">
        <f t="shared" si="58"/>
        <v>0</v>
      </c>
      <c r="I105" s="34">
        <f t="shared" si="58"/>
        <v>0</v>
      </c>
      <c r="J105" s="34">
        <f t="shared" si="58"/>
        <v>0</v>
      </c>
      <c r="K105" s="34">
        <f t="shared" si="58"/>
        <v>0</v>
      </c>
      <c r="L105" s="34">
        <f t="shared" si="58"/>
        <v>0</v>
      </c>
      <c r="M105" s="34">
        <f t="shared" si="58"/>
        <v>0</v>
      </c>
      <c r="N105" s="34">
        <f t="shared" si="58"/>
        <v>0</v>
      </c>
      <c r="O105" s="34">
        <f t="shared" si="58"/>
        <v>0</v>
      </c>
      <c r="Q105" s="87">
        <f t="shared" si="57"/>
        <v>0</v>
      </c>
      <c r="S105" s="3"/>
    </row>
    <row r="106" spans="1:19" ht="13" hidden="1" outlineLevel="1" x14ac:dyDescent="0.3">
      <c r="A106" s="32"/>
      <c r="B106" s="30" t="s">
        <v>49</v>
      </c>
      <c r="C106" s="30"/>
      <c r="D106" s="30"/>
      <c r="E106" s="33"/>
      <c r="F106" s="34">
        <f>-E94</f>
        <v>-684.89</v>
      </c>
      <c r="G106" s="34">
        <f>F106*(1+$E$9/100)</f>
        <v>-684.89</v>
      </c>
      <c r="H106" s="34">
        <f>G106*(1+$E$9/100)</f>
        <v>-684.89</v>
      </c>
      <c r="I106" s="34">
        <f t="shared" ref="I106:O106" si="59">H106*(1+$E$9/100)</f>
        <v>-684.89</v>
      </c>
      <c r="J106" s="34">
        <f t="shared" si="59"/>
        <v>-684.89</v>
      </c>
      <c r="K106" s="34">
        <f t="shared" si="59"/>
        <v>-684.89</v>
      </c>
      <c r="L106" s="34">
        <f t="shared" si="59"/>
        <v>-684.89</v>
      </c>
      <c r="M106" s="34">
        <f t="shared" si="59"/>
        <v>-684.89</v>
      </c>
      <c r="N106" s="34">
        <f t="shared" si="59"/>
        <v>-684.89</v>
      </c>
      <c r="O106" s="34">
        <f t="shared" si="59"/>
        <v>-684.89</v>
      </c>
      <c r="Q106" s="87">
        <f t="shared" si="57"/>
        <v>-6848.9000000000015</v>
      </c>
      <c r="S106" s="3"/>
    </row>
    <row r="107" spans="1:19" hidden="1" outlineLevel="1" x14ac:dyDescent="0.25">
      <c r="A107" s="29"/>
      <c r="B107" s="30"/>
      <c r="C107" s="30"/>
      <c r="D107" s="30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Q107" s="87"/>
      <c r="S107" s="3"/>
    </row>
    <row r="108" spans="1:19" ht="13" hidden="1" outlineLevel="1" x14ac:dyDescent="0.3">
      <c r="A108" s="32" t="s">
        <v>4</v>
      </c>
      <c r="B108" s="30"/>
      <c r="C108" s="30"/>
      <c r="D108" s="30"/>
      <c r="E108" s="35">
        <f t="shared" ref="E108:O108" si="60">SUM(E103:E106)</f>
        <v>-31990</v>
      </c>
      <c r="F108" s="35">
        <f t="shared" si="60"/>
        <v>-2073.2714395323342</v>
      </c>
      <c r="G108" s="35">
        <f t="shared" si="60"/>
        <v>-2073.2714395323342</v>
      </c>
      <c r="H108" s="35">
        <f t="shared" si="60"/>
        <v>-2073.2714395323342</v>
      </c>
      <c r="I108" s="35">
        <f t="shared" si="60"/>
        <v>-2073.2714395323342</v>
      </c>
      <c r="J108" s="35">
        <f t="shared" si="60"/>
        <v>-2073.2714395323342</v>
      </c>
      <c r="K108" s="35">
        <f t="shared" si="60"/>
        <v>-2073.2714395323342</v>
      </c>
      <c r="L108" s="35">
        <f t="shared" si="60"/>
        <v>-2073.2714395323342</v>
      </c>
      <c r="M108" s="35">
        <f t="shared" si="60"/>
        <v>-2073.2714395323342</v>
      </c>
      <c r="N108" s="35">
        <f t="shared" si="60"/>
        <v>-2073.2714395323342</v>
      </c>
      <c r="O108" s="35">
        <f t="shared" si="60"/>
        <v>-2073.2714395323342</v>
      </c>
      <c r="Q108" s="87">
        <f t="shared" ref="Q108" si="61">SUM(F108:O108)</f>
        <v>-20732.714395323343</v>
      </c>
      <c r="S108" s="3"/>
    </row>
    <row r="109" spans="1:19" ht="13" hidden="1" outlineLevel="1" x14ac:dyDescent="0.3">
      <c r="A109" s="26"/>
      <c r="B109" s="27"/>
      <c r="C109" s="27"/>
      <c r="D109" s="27"/>
      <c r="E109" s="28"/>
      <c r="F109" s="28"/>
      <c r="G109" s="28"/>
      <c r="H109" s="35"/>
      <c r="I109" s="35"/>
      <c r="J109" s="35"/>
      <c r="K109" s="35"/>
      <c r="L109" s="35"/>
      <c r="M109" s="35"/>
      <c r="N109" s="35"/>
      <c r="O109" s="35"/>
      <c r="Q109" s="87"/>
      <c r="S109" s="3"/>
    </row>
    <row r="110" spans="1:19" ht="13.5" hidden="1" outlineLevel="1" thickBot="1" x14ac:dyDescent="0.35">
      <c r="A110" s="36" t="s">
        <v>5</v>
      </c>
      <c r="B110" s="37"/>
      <c r="C110" s="37"/>
      <c r="D110" s="37"/>
      <c r="E110" s="116">
        <f>E108</f>
        <v>-31990</v>
      </c>
      <c r="F110" s="38">
        <f>E110+F108</f>
        <v>-34063.271439532335</v>
      </c>
      <c r="G110" s="38">
        <f t="shared" ref="G110" si="62">F110+G108</f>
        <v>-36136.542879064669</v>
      </c>
      <c r="H110" s="38">
        <f t="shared" ref="H110" si="63">G110+H108</f>
        <v>-38209.814318597004</v>
      </c>
      <c r="I110" s="38">
        <f t="shared" ref="I110" si="64">H110+I108</f>
        <v>-40283.085758129339</v>
      </c>
      <c r="J110" s="38">
        <f t="shared" ref="J110" si="65">I110+J108</f>
        <v>-42356.357197661673</v>
      </c>
      <c r="K110" s="38">
        <f t="shared" ref="K110" si="66">J110+K108</f>
        <v>-44429.628637194008</v>
      </c>
      <c r="L110" s="38">
        <f t="shared" ref="L110" si="67">K110+L108</f>
        <v>-46502.900076726342</v>
      </c>
      <c r="M110" s="38">
        <f t="shared" ref="M110" si="68">L110+M108</f>
        <v>-48576.171516258677</v>
      </c>
      <c r="N110" s="38">
        <f t="shared" ref="N110" si="69">M110+N108</f>
        <v>-50649.442955791012</v>
      </c>
      <c r="O110" s="38">
        <f t="shared" ref="O110" si="70">N110+O108</f>
        <v>-52722.714395323346</v>
      </c>
      <c r="Q110" s="87">
        <f t="shared" ref="Q110" si="71">SUM(F110:O110)</f>
        <v>-433929.9291742784</v>
      </c>
      <c r="S110" s="3"/>
    </row>
    <row r="111" spans="1:19" ht="13" hidden="1" outlineLevel="1" x14ac:dyDescent="0.3">
      <c r="A111" s="8" t="s">
        <v>155</v>
      </c>
      <c r="B111" s="6"/>
      <c r="C111" s="6"/>
      <c r="D111" s="6"/>
      <c r="E111" s="9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S111" s="3"/>
    </row>
    <row r="112" spans="1:19" ht="13" hidden="1" outlineLevel="1" x14ac:dyDescent="0.3">
      <c r="A112" s="8"/>
      <c r="B112" s="6"/>
      <c r="C112" s="6"/>
      <c r="D112" s="6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Q112" s="50" t="s">
        <v>18</v>
      </c>
      <c r="S112" s="3"/>
    </row>
    <row r="113" spans="1:19" ht="13" hidden="1" outlineLevel="1" x14ac:dyDescent="0.3">
      <c r="A113" s="51" t="s">
        <v>142</v>
      </c>
      <c r="B113" s="52"/>
      <c r="C113" s="52"/>
      <c r="D113" s="52"/>
      <c r="E113" s="113">
        <f t="shared" ref="E113:O113" si="72">E108/(1+$E8/100)^E99</f>
        <v>-31990</v>
      </c>
      <c r="F113" s="113">
        <f t="shared" si="72"/>
        <v>-2003.160811142352</v>
      </c>
      <c r="G113" s="113">
        <f t="shared" si="72"/>
        <v>-1935.4210735674899</v>
      </c>
      <c r="H113" s="113">
        <f t="shared" si="72"/>
        <v>-1869.9720517560293</v>
      </c>
      <c r="I113" s="113">
        <f t="shared" si="72"/>
        <v>-1806.7362818898832</v>
      </c>
      <c r="J113" s="113">
        <f t="shared" si="72"/>
        <v>-1745.6389197003707</v>
      </c>
      <c r="K113" s="113">
        <f t="shared" si="72"/>
        <v>-1686.6076518844159</v>
      </c>
      <c r="L113" s="113">
        <f t="shared" si="72"/>
        <v>-1629.572610516344</v>
      </c>
      <c r="M113" s="113">
        <f t="shared" si="72"/>
        <v>-1574.4662903539559</v>
      </c>
      <c r="N113" s="113">
        <f t="shared" si="72"/>
        <v>-1521.2234689410204</v>
      </c>
      <c r="O113" s="113">
        <f t="shared" si="72"/>
        <v>-1469.7811294116141</v>
      </c>
      <c r="Q113" s="46">
        <f>SUM(E113:O113)</f>
        <v>-49232.580289163474</v>
      </c>
      <c r="S113" s="3"/>
    </row>
    <row r="114" spans="1:19" ht="13" hidden="1" outlineLevel="1" thickBot="1" x14ac:dyDescent="0.3">
      <c r="S114" s="3"/>
    </row>
    <row r="115" spans="1:19" ht="13.5" hidden="1" outlineLevel="1" thickBot="1" x14ac:dyDescent="0.35">
      <c r="A115" s="19" t="s">
        <v>6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S115" s="3"/>
    </row>
    <row r="116" spans="1:19" hidden="1" outlineLevel="1" x14ac:dyDescent="0.25">
      <c r="A116" s="21"/>
      <c r="B116" s="6"/>
      <c r="C116" s="6"/>
      <c r="D116" s="6"/>
      <c r="E116" s="6"/>
      <c r="F116" s="6"/>
      <c r="G116" s="39"/>
      <c r="H116" s="6"/>
      <c r="I116" s="6"/>
      <c r="J116" s="6"/>
      <c r="K116" s="6"/>
      <c r="L116" s="6"/>
      <c r="M116" s="6"/>
      <c r="N116" s="6"/>
      <c r="O116" s="6"/>
      <c r="S116" s="3"/>
    </row>
    <row r="117" spans="1:19" ht="13" hidden="1" outlineLevel="1" x14ac:dyDescent="0.3">
      <c r="A117" s="40" t="s">
        <v>7</v>
      </c>
      <c r="B117" s="40"/>
      <c r="C117" s="40"/>
      <c r="D117" s="41"/>
      <c r="E117" s="42"/>
      <c r="F117" s="42" t="s">
        <v>17</v>
      </c>
      <c r="G117" s="43" t="s">
        <v>8</v>
      </c>
      <c r="H117" s="6"/>
      <c r="I117" s="6"/>
      <c r="J117" s="6"/>
      <c r="K117" s="6"/>
      <c r="L117" s="6"/>
      <c r="M117" s="6"/>
      <c r="N117" s="6"/>
      <c r="O117" s="6"/>
      <c r="S117" s="3"/>
    </row>
    <row r="118" spans="1:19" ht="20" hidden="1" outlineLevel="1" x14ac:dyDescent="0.4">
      <c r="A118" s="53" t="s">
        <v>9</v>
      </c>
      <c r="B118" s="54"/>
      <c r="C118" s="54"/>
      <c r="D118" s="55"/>
      <c r="E118" s="56"/>
      <c r="F118" s="56">
        <f>NPV((E$8/100), F108:O108)+E108</f>
        <v>-49232.580289163481</v>
      </c>
      <c r="G118" s="6" t="s">
        <v>15</v>
      </c>
      <c r="H118" s="6"/>
      <c r="I118" s="6"/>
      <c r="J118" s="2"/>
      <c r="K118" s="8"/>
      <c r="L118" s="6"/>
      <c r="M118" s="6"/>
      <c r="N118" s="6"/>
      <c r="O118" s="6"/>
      <c r="S118" s="3"/>
    </row>
    <row r="119" spans="1:19" hidden="1" outlineLevel="1" x14ac:dyDescent="0.25">
      <c r="S119" s="3"/>
    </row>
    <row r="120" spans="1:19" hidden="1" outlineLevel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idden="1" outlineLevel="1" x14ac:dyDescent="0.25">
      <c r="S121" s="3"/>
    </row>
    <row r="122" spans="1:19" ht="20" collapsed="1" x14ac:dyDescent="0.4">
      <c r="A122" s="65" t="s">
        <v>146</v>
      </c>
      <c r="H122" s="1"/>
      <c r="L122" s="2"/>
      <c r="M122" s="2"/>
      <c r="S122" s="3"/>
    </row>
    <row r="123" spans="1:19" ht="13" x14ac:dyDescent="0.3">
      <c r="H123" s="1"/>
      <c r="S123" s="3"/>
    </row>
    <row r="124" spans="1:19" ht="13" hidden="1" outlineLevel="1" x14ac:dyDescent="0.3">
      <c r="A124" s="4" t="s">
        <v>41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S124" s="3"/>
    </row>
    <row r="125" spans="1:19" hidden="1" outlineLevel="2" x14ac:dyDescent="0.25">
      <c r="A125" s="5" t="s">
        <v>85</v>
      </c>
      <c r="B125" s="6"/>
      <c r="C125" s="6"/>
      <c r="D125" s="61">
        <f>(43*0.5+59*0.5)</f>
        <v>51</v>
      </c>
      <c r="E125" s="6" t="s">
        <v>34</v>
      </c>
      <c r="F125" s="92">
        <v>0.7</v>
      </c>
      <c r="G125" s="6" t="s">
        <v>29</v>
      </c>
      <c r="H125" s="6"/>
      <c r="I125" s="63">
        <v>0.2</v>
      </c>
      <c r="J125" s="6" t="s">
        <v>79</v>
      </c>
      <c r="K125" s="6"/>
      <c r="S125" s="3"/>
    </row>
    <row r="126" spans="1:19" hidden="1" outlineLevel="2" x14ac:dyDescent="0.25">
      <c r="A126" s="2"/>
      <c r="B126" s="2"/>
      <c r="C126" s="2"/>
      <c r="D126" s="2"/>
      <c r="E126" s="2"/>
      <c r="F126" s="92">
        <v>0.3</v>
      </c>
      <c r="G126" t="s">
        <v>30</v>
      </c>
      <c r="H126" s="6"/>
      <c r="I126" s="63">
        <v>0.8</v>
      </c>
      <c r="J126" t="s">
        <v>80</v>
      </c>
      <c r="K126" s="6"/>
      <c r="S126" s="3"/>
    </row>
    <row r="127" spans="1:19" hidden="1" outlineLevel="2" x14ac:dyDescent="0.25">
      <c r="A127" s="5" t="s">
        <v>82</v>
      </c>
      <c r="B127" s="5"/>
      <c r="C127" s="5"/>
      <c r="D127" s="61">
        <v>42</v>
      </c>
      <c r="E127" s="5" t="s">
        <v>73</v>
      </c>
      <c r="F127" s="5"/>
      <c r="G127" s="2"/>
      <c r="H127" s="2"/>
      <c r="I127" s="5"/>
      <c r="J127" s="5"/>
      <c r="K127" s="5"/>
      <c r="S127" s="3"/>
    </row>
    <row r="128" spans="1:19" hidden="1" outlineLevel="2" x14ac:dyDescent="0.25">
      <c r="A128" s="5" t="s">
        <v>81</v>
      </c>
      <c r="B128" s="5"/>
      <c r="C128" s="5"/>
      <c r="D128" s="91">
        <f>(D127/3.8)*1.61</f>
        <v>17.794736842105262</v>
      </c>
      <c r="E128" s="5" t="s">
        <v>83</v>
      </c>
      <c r="F128" s="5"/>
      <c r="G128" s="2"/>
      <c r="H128" s="2"/>
      <c r="I128" s="5"/>
      <c r="J128" s="5"/>
      <c r="K128" s="5"/>
      <c r="S128" s="3"/>
    </row>
    <row r="129" spans="1:19" hidden="1" outlineLevel="2" x14ac:dyDescent="0.25">
      <c r="A129" s="5"/>
      <c r="B129" s="5"/>
      <c r="C129" s="5"/>
      <c r="D129" s="91">
        <f>100/D128</f>
        <v>5.6196391600118307</v>
      </c>
      <c r="E129" s="5" t="s">
        <v>84</v>
      </c>
      <c r="K129" s="6"/>
      <c r="S129" s="3"/>
    </row>
    <row r="130" spans="1:19" hidden="1" outlineLevel="2" x14ac:dyDescent="0.25">
      <c r="A130" s="5" t="s">
        <v>21</v>
      </c>
      <c r="B130" s="5"/>
      <c r="C130" s="5"/>
      <c r="D130" s="7">
        <f>$F$4*I125*D129/100</f>
        <v>224.78556640047321</v>
      </c>
      <c r="E130" s="5" t="s">
        <v>11</v>
      </c>
      <c r="F130" s="5"/>
      <c r="G130" s="2"/>
      <c r="H130" s="2"/>
      <c r="I130" s="2"/>
      <c r="J130" s="2"/>
      <c r="K130" s="5"/>
      <c r="S130" s="3"/>
    </row>
    <row r="131" spans="1:19" hidden="1" outlineLevel="2" x14ac:dyDescent="0.25">
      <c r="A131" s="5" t="s">
        <v>82</v>
      </c>
      <c r="B131" s="5"/>
      <c r="C131" s="5"/>
      <c r="D131" s="61">
        <v>105</v>
      </c>
      <c r="E131" s="5" t="s">
        <v>73</v>
      </c>
      <c r="F131" s="5"/>
      <c r="G131" s="2"/>
      <c r="H131" s="2"/>
      <c r="I131" s="2"/>
      <c r="J131" s="2"/>
      <c r="K131" s="5"/>
      <c r="S131" s="3"/>
    </row>
    <row r="132" spans="1:19" hidden="1" outlineLevel="2" x14ac:dyDescent="0.25">
      <c r="A132" s="5" t="s">
        <v>96</v>
      </c>
      <c r="B132" s="6"/>
      <c r="C132" s="6"/>
      <c r="D132" s="108">
        <f>IF(D131&gt;0,((Parameters!$D$42)),0)</f>
        <v>0.20899999999999999</v>
      </c>
      <c r="E132" s="6" t="s">
        <v>72</v>
      </c>
      <c r="F132" s="98" t="s">
        <v>153</v>
      </c>
      <c r="G132" s="105"/>
      <c r="H132" s="2"/>
      <c r="I132" s="2"/>
      <c r="J132" s="2"/>
      <c r="K132" s="5"/>
      <c r="S132" s="3"/>
    </row>
    <row r="133" spans="1:19" hidden="1" outlineLevel="2" x14ac:dyDescent="0.25">
      <c r="A133" s="5" t="s">
        <v>32</v>
      </c>
      <c r="B133" s="5"/>
      <c r="C133" s="5"/>
      <c r="D133" s="85">
        <f>$F$4*I126*(D132)</f>
        <v>3344</v>
      </c>
      <c r="E133" s="5" t="s">
        <v>35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S133" s="3"/>
    </row>
    <row r="134" spans="1:19" hidden="1" outlineLevel="2" x14ac:dyDescent="0.25">
      <c r="A134" s="5" t="s">
        <v>58</v>
      </c>
      <c r="B134" s="5"/>
      <c r="C134" s="5"/>
      <c r="D134" s="81">
        <f>D130*E10+D133*E11</f>
        <v>62.310559006211179</v>
      </c>
      <c r="E134" s="73" t="s">
        <v>63</v>
      </c>
      <c r="F134" s="105"/>
      <c r="G134" s="5"/>
      <c r="H134" s="5"/>
      <c r="I134" s="5"/>
      <c r="J134" s="5"/>
      <c r="K134" s="5"/>
      <c r="L134" s="5"/>
      <c r="M134" s="5"/>
      <c r="N134" s="5"/>
      <c r="O134" s="5"/>
      <c r="S134" s="3"/>
    </row>
    <row r="135" spans="1:19" hidden="1" outlineLevel="1" collapsed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S135" s="3"/>
    </row>
    <row r="136" spans="1:19" ht="13" hidden="1" outlineLevel="1" x14ac:dyDescent="0.3">
      <c r="A136" s="8" t="s">
        <v>43</v>
      </c>
      <c r="B136" s="6"/>
      <c r="C136" s="6"/>
      <c r="D136" s="6"/>
      <c r="E136" s="9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S136" s="3"/>
    </row>
    <row r="137" spans="1:19" hidden="1" outlineLevel="1" x14ac:dyDescent="0.25">
      <c r="A137" s="6"/>
      <c r="B137" s="5" t="s">
        <v>125</v>
      </c>
      <c r="C137" s="5"/>
      <c r="D137" s="6"/>
      <c r="E137" s="11">
        <v>38000</v>
      </c>
      <c r="F137" s="12" t="s">
        <v>44</v>
      </c>
      <c r="H137" s="13"/>
      <c r="I137" s="16"/>
      <c r="J137" s="14"/>
      <c r="K137" s="14"/>
      <c r="L137" s="14"/>
      <c r="M137" s="14"/>
      <c r="N137" s="14"/>
      <c r="O137" s="14"/>
      <c r="S137" s="3"/>
    </row>
    <row r="138" spans="1:19" hidden="1" outlineLevel="1" x14ac:dyDescent="0.25">
      <c r="A138" s="6"/>
      <c r="B138" s="5" t="s">
        <v>65</v>
      </c>
      <c r="C138" s="5"/>
      <c r="D138" s="6"/>
      <c r="E138" s="94">
        <f>E137</f>
        <v>38000</v>
      </c>
      <c r="F138" s="12" t="s">
        <v>90</v>
      </c>
      <c r="H138" s="13"/>
      <c r="I138" s="16"/>
      <c r="J138" s="14"/>
      <c r="K138" s="14"/>
      <c r="L138" s="14"/>
      <c r="M138" s="14"/>
      <c r="N138" s="14"/>
      <c r="O138" s="14"/>
      <c r="S138" s="3"/>
    </row>
    <row r="139" spans="1:19" hidden="1" outlineLevel="2" x14ac:dyDescent="0.25">
      <c r="A139" s="6"/>
      <c r="B139" s="5" t="s">
        <v>20</v>
      </c>
      <c r="C139" s="5"/>
      <c r="D139" s="6"/>
      <c r="E139" s="15"/>
      <c r="F139" s="13">
        <f>E137+F140</f>
        <v>38760</v>
      </c>
      <c r="G139" s="13">
        <f t="shared" ref="G139" si="73">F139+G140</f>
        <v>39535.199999999997</v>
      </c>
      <c r="H139" s="13">
        <f t="shared" ref="H139" si="74">G139+H140</f>
        <v>40325.903999999995</v>
      </c>
      <c r="I139" s="13">
        <f t="shared" ref="I139" si="75">H139+I140</f>
        <v>41132.422079999997</v>
      </c>
      <c r="J139" s="13">
        <f t="shared" ref="J139" si="76">I139+J140</f>
        <v>41955.070521599999</v>
      </c>
      <c r="K139" s="13">
        <f t="shared" ref="K139" si="77">J139+K140</f>
        <v>42794.171932031997</v>
      </c>
      <c r="L139" s="13">
        <f t="shared" ref="L139" si="78">K139+L140</f>
        <v>43650.055370672635</v>
      </c>
      <c r="M139" s="13">
        <f t="shared" ref="M139" si="79">L139+M140</f>
        <v>44523.056478086088</v>
      </c>
      <c r="N139" s="13">
        <f t="shared" ref="N139" si="80">M139+N140</f>
        <v>45413.517607647809</v>
      </c>
      <c r="O139" s="13">
        <f t="shared" ref="O139" si="81">N139+O140</f>
        <v>46321.787959800764</v>
      </c>
      <c r="S139" s="3"/>
    </row>
    <row r="140" spans="1:19" hidden="1" outlineLevel="2" x14ac:dyDescent="0.25">
      <c r="A140" s="6"/>
      <c r="B140" s="5" t="s">
        <v>19</v>
      </c>
      <c r="C140" s="5"/>
      <c r="D140" s="6"/>
      <c r="E140" s="15"/>
      <c r="F140" s="13">
        <f>E137*(1+$E7/100)-E137</f>
        <v>760</v>
      </c>
      <c r="G140" s="13">
        <f t="shared" ref="G140:O140" si="82">F139*(1+$E7/100)-F139</f>
        <v>775.19999999999709</v>
      </c>
      <c r="H140" s="13">
        <f t="shared" si="82"/>
        <v>790.7039999999979</v>
      </c>
      <c r="I140" s="13">
        <f t="shared" si="82"/>
        <v>806.51808000000165</v>
      </c>
      <c r="J140" s="13">
        <f t="shared" si="82"/>
        <v>822.64844160000212</v>
      </c>
      <c r="K140" s="13">
        <f t="shared" si="82"/>
        <v>839.10141043199837</v>
      </c>
      <c r="L140" s="13">
        <f t="shared" si="82"/>
        <v>855.88343864063791</v>
      </c>
      <c r="M140" s="13">
        <f t="shared" si="82"/>
        <v>873.0011074134527</v>
      </c>
      <c r="N140" s="13">
        <f t="shared" si="82"/>
        <v>890.46112956172146</v>
      </c>
      <c r="O140" s="13">
        <f t="shared" si="82"/>
        <v>908.27035215295473</v>
      </c>
      <c r="S140" s="3"/>
    </row>
    <row r="141" spans="1:19" hidden="1" outlineLevel="1" collapsed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S141" s="3"/>
    </row>
    <row r="142" spans="1:19" ht="13" hidden="1" outlineLevel="1" x14ac:dyDescent="0.3">
      <c r="A142" s="8" t="s">
        <v>50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S142" s="3"/>
    </row>
    <row r="143" spans="1:19" hidden="1" outlineLevel="1" x14ac:dyDescent="0.25">
      <c r="A143" s="5"/>
      <c r="B143" s="5"/>
      <c r="C143" s="5"/>
      <c r="D143" s="5"/>
      <c r="E143" s="114">
        <f>IF(D127&gt;0,Parameters!$E$10,Parameters!$E$11)</f>
        <v>684.89</v>
      </c>
      <c r="F143" s="12" t="s">
        <v>56</v>
      </c>
      <c r="G143" s="5"/>
      <c r="H143" s="5"/>
      <c r="I143" s="5"/>
      <c r="J143" s="5"/>
      <c r="K143" s="5"/>
      <c r="L143" s="5"/>
      <c r="M143" s="5"/>
      <c r="N143" s="5"/>
      <c r="O143" s="5"/>
      <c r="S143" s="3"/>
    </row>
    <row r="144" spans="1:19" hidden="1" outlineLevel="1" x14ac:dyDescent="0.25">
      <c r="A144" s="5"/>
      <c r="B144" s="5"/>
      <c r="C144" s="5"/>
      <c r="D144" s="5"/>
      <c r="E144" s="114">
        <f>E143*(1+E$9/100)^(F148-2013)</f>
        <v>684.89</v>
      </c>
      <c r="F144" s="12" t="s">
        <v>44</v>
      </c>
      <c r="G144" s="5"/>
      <c r="H144" s="5"/>
      <c r="I144" s="5"/>
      <c r="J144" s="5"/>
      <c r="K144" s="5"/>
      <c r="L144" s="5"/>
      <c r="M144" s="5"/>
      <c r="N144" s="5"/>
      <c r="O144" s="5"/>
      <c r="S144" s="3"/>
    </row>
    <row r="145" spans="1:19" ht="13" hidden="1" outlineLevel="1" thickBot="1" x14ac:dyDescent="0.3">
      <c r="S145" s="3"/>
    </row>
    <row r="146" spans="1:19" ht="13.5" hidden="1" outlineLevel="1" thickBot="1" x14ac:dyDescent="0.35">
      <c r="A146" s="19" t="s">
        <v>144</v>
      </c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S146" s="3"/>
    </row>
    <row r="147" spans="1:19" hidden="1" outlineLevel="1" x14ac:dyDescent="0.25">
      <c r="A147" s="2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S147" s="3"/>
    </row>
    <row r="148" spans="1:19" ht="13" hidden="1" outlineLevel="1" x14ac:dyDescent="0.3">
      <c r="A148" s="21"/>
      <c r="B148" s="6"/>
      <c r="C148" s="6"/>
      <c r="D148" s="23" t="s">
        <v>2</v>
      </c>
      <c r="E148" s="24">
        <f>E15</f>
        <v>2018</v>
      </c>
      <c r="F148" s="24">
        <f>E148+1</f>
        <v>2019</v>
      </c>
      <c r="G148" s="24">
        <f t="shared" ref="F148:G149" si="83">F148+1</f>
        <v>2020</v>
      </c>
      <c r="H148" s="24">
        <f t="shared" ref="H148:H149" si="84">G148+1</f>
        <v>2021</v>
      </c>
      <c r="I148" s="24">
        <f t="shared" ref="I148" si="85">H148+1</f>
        <v>2022</v>
      </c>
      <c r="J148" s="24">
        <f t="shared" ref="J148" si="86">I148+1</f>
        <v>2023</v>
      </c>
      <c r="K148" s="24">
        <f t="shared" ref="K148" si="87">J148+1</f>
        <v>2024</v>
      </c>
      <c r="L148" s="24">
        <f t="shared" ref="L148:L149" si="88">K148+1</f>
        <v>2025</v>
      </c>
      <c r="M148" s="24">
        <f t="shared" ref="M148:M149" si="89">L148+1</f>
        <v>2026</v>
      </c>
      <c r="N148" s="24">
        <f t="shared" ref="N148:N149" si="90">M148+1</f>
        <v>2027</v>
      </c>
      <c r="O148" s="24">
        <f t="shared" ref="O148:O149" si="91">N148+1</f>
        <v>2028</v>
      </c>
      <c r="Q148" s="1" t="s">
        <v>91</v>
      </c>
      <c r="S148" s="3"/>
    </row>
    <row r="149" spans="1:19" hidden="1" outlineLevel="1" x14ac:dyDescent="0.25">
      <c r="A149" s="21"/>
      <c r="B149" s="6"/>
      <c r="C149" s="6"/>
      <c r="D149" s="23" t="s">
        <v>3</v>
      </c>
      <c r="E149" s="25">
        <v>0</v>
      </c>
      <c r="F149" s="25">
        <f t="shared" si="83"/>
        <v>1</v>
      </c>
      <c r="G149" s="25">
        <f t="shared" si="83"/>
        <v>2</v>
      </c>
      <c r="H149" s="25">
        <f t="shared" si="84"/>
        <v>3</v>
      </c>
      <c r="I149" s="25">
        <f>H149+1</f>
        <v>4</v>
      </c>
      <c r="J149" s="25">
        <f>I149+1</f>
        <v>5</v>
      </c>
      <c r="K149" s="25">
        <f>J149+1</f>
        <v>6</v>
      </c>
      <c r="L149" s="25">
        <f t="shared" si="88"/>
        <v>7</v>
      </c>
      <c r="M149" s="25">
        <f t="shared" si="89"/>
        <v>8</v>
      </c>
      <c r="N149" s="25">
        <f t="shared" si="90"/>
        <v>9</v>
      </c>
      <c r="O149" s="25">
        <f t="shared" si="91"/>
        <v>10</v>
      </c>
      <c r="Q149" s="87"/>
      <c r="S149" s="3"/>
    </row>
    <row r="150" spans="1:19" hidden="1" outlineLevel="1" x14ac:dyDescent="0.25">
      <c r="A150" s="21"/>
      <c r="B150" s="6"/>
      <c r="C150" s="6"/>
      <c r="D150" s="6"/>
      <c r="E150" s="25" t="s">
        <v>15</v>
      </c>
      <c r="F150" s="25" t="s">
        <v>15</v>
      </c>
      <c r="G150" s="25" t="s">
        <v>15</v>
      </c>
      <c r="H150" s="25" t="s">
        <v>15</v>
      </c>
      <c r="I150" s="25" t="s">
        <v>15</v>
      </c>
      <c r="J150" s="25" t="s">
        <v>15</v>
      </c>
      <c r="K150" s="25" t="s">
        <v>15</v>
      </c>
      <c r="L150" s="25" t="s">
        <v>15</v>
      </c>
      <c r="M150" s="25" t="s">
        <v>15</v>
      </c>
      <c r="N150" s="25" t="s">
        <v>15</v>
      </c>
      <c r="O150" s="25" t="s">
        <v>15</v>
      </c>
      <c r="Q150" s="87"/>
      <c r="S150" s="3"/>
    </row>
    <row r="151" spans="1:19" hidden="1" outlineLevel="1" x14ac:dyDescent="0.25">
      <c r="A151" s="21"/>
      <c r="B151" s="6"/>
      <c r="C151" s="6"/>
      <c r="D151" s="6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Q151" s="87"/>
      <c r="S151" s="3"/>
    </row>
    <row r="152" spans="1:19" ht="13" hidden="1" outlineLevel="1" x14ac:dyDescent="0.3">
      <c r="A152" s="26" t="s">
        <v>145</v>
      </c>
      <c r="B152" s="27"/>
      <c r="C152" s="27"/>
      <c r="D152" s="27"/>
      <c r="E152" s="28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Q152" s="87"/>
      <c r="S152" s="3"/>
    </row>
    <row r="153" spans="1:19" hidden="1" outlineLevel="1" x14ac:dyDescent="0.25">
      <c r="A153" s="29"/>
      <c r="B153" s="30" t="s">
        <v>22</v>
      </c>
      <c r="C153" s="30"/>
      <c r="D153" s="30"/>
      <c r="E153" s="31">
        <f>-E137</f>
        <v>-38000</v>
      </c>
      <c r="F153" s="115"/>
      <c r="G153" s="45"/>
      <c r="H153" s="45"/>
      <c r="I153" s="45"/>
      <c r="J153" s="45"/>
      <c r="K153" s="45"/>
      <c r="L153" s="45"/>
      <c r="M153" s="45"/>
      <c r="N153" s="45"/>
      <c r="O153" s="45"/>
      <c r="Q153" s="87">
        <f>SUM(E153:O153)</f>
        <v>-38000</v>
      </c>
      <c r="S153" s="3"/>
    </row>
    <row r="154" spans="1:19" ht="13" hidden="1" outlineLevel="1" x14ac:dyDescent="0.3">
      <c r="A154" s="32"/>
      <c r="B154" s="30" t="s">
        <v>23</v>
      </c>
      <c r="C154" s="30"/>
      <c r="D154" s="30"/>
      <c r="E154" s="33"/>
      <c r="F154" s="34">
        <f t="shared" ref="F154:O154" si="92">-($D$130*F$17)</f>
        <v>-337.17834960070979</v>
      </c>
      <c r="G154" s="34">
        <f t="shared" si="92"/>
        <v>-337.17834960070979</v>
      </c>
      <c r="H154" s="34">
        <f t="shared" si="92"/>
        <v>-337.17834960070979</v>
      </c>
      <c r="I154" s="34">
        <f t="shared" si="92"/>
        <v>-337.17834960070979</v>
      </c>
      <c r="J154" s="34">
        <f t="shared" si="92"/>
        <v>-337.17834960070979</v>
      </c>
      <c r="K154" s="34">
        <f t="shared" si="92"/>
        <v>-337.17834960070979</v>
      </c>
      <c r="L154" s="34">
        <f t="shared" si="92"/>
        <v>-337.17834960070979</v>
      </c>
      <c r="M154" s="34">
        <f t="shared" si="92"/>
        <v>-337.17834960070979</v>
      </c>
      <c r="N154" s="34">
        <f t="shared" si="92"/>
        <v>-337.17834960070979</v>
      </c>
      <c r="O154" s="34">
        <f t="shared" si="92"/>
        <v>-337.17834960070979</v>
      </c>
      <c r="Q154" s="87">
        <f t="shared" ref="Q154:Q156" si="93">SUM(F154:O154)</f>
        <v>-3371.7834960070973</v>
      </c>
      <c r="S154" s="3"/>
    </row>
    <row r="155" spans="1:19" ht="13" hidden="1" outlineLevel="1" x14ac:dyDescent="0.3">
      <c r="A155" s="32"/>
      <c r="B155" s="30" t="s">
        <v>31</v>
      </c>
      <c r="C155" s="30"/>
      <c r="D155" s="30"/>
      <c r="E155" s="33"/>
      <c r="F155" s="34">
        <f t="shared" ref="F155:O155" si="94">-($D$133*F$19)</f>
        <v>-380.88159999999999</v>
      </c>
      <c r="G155" s="34">
        <f t="shared" si="94"/>
        <v>-380.88159999999999</v>
      </c>
      <c r="H155" s="34">
        <f t="shared" si="94"/>
        <v>-380.88159999999999</v>
      </c>
      <c r="I155" s="34">
        <f t="shared" si="94"/>
        <v>-380.88159999999999</v>
      </c>
      <c r="J155" s="34">
        <f t="shared" si="94"/>
        <v>-380.88159999999999</v>
      </c>
      <c r="K155" s="34">
        <f t="shared" si="94"/>
        <v>-380.88159999999999</v>
      </c>
      <c r="L155" s="34">
        <f t="shared" si="94"/>
        <v>-380.88159999999999</v>
      </c>
      <c r="M155" s="34">
        <f t="shared" si="94"/>
        <v>-380.88159999999999</v>
      </c>
      <c r="N155" s="34">
        <f t="shared" si="94"/>
        <v>-380.88159999999999</v>
      </c>
      <c r="O155" s="34">
        <f t="shared" si="94"/>
        <v>-380.88159999999999</v>
      </c>
      <c r="Q155" s="87">
        <f t="shared" si="93"/>
        <v>-3808.8160000000007</v>
      </c>
      <c r="S155" s="3"/>
    </row>
    <row r="156" spans="1:19" ht="13" hidden="1" outlineLevel="1" x14ac:dyDescent="0.3">
      <c r="A156" s="32"/>
      <c r="B156" s="30" t="s">
        <v>49</v>
      </c>
      <c r="C156" s="30"/>
      <c r="D156" s="30"/>
      <c r="E156" s="33"/>
      <c r="F156" s="34">
        <f>-E144</f>
        <v>-684.89</v>
      </c>
      <c r="G156" s="34">
        <f>F156*(1+$E$9/100)</f>
        <v>-684.89</v>
      </c>
      <c r="H156" s="34">
        <f>G156*(1+$E$9/100)</f>
        <v>-684.89</v>
      </c>
      <c r="I156" s="34">
        <f t="shared" ref="I156:O156" si="95">H156*(1+$E$9/100)</f>
        <v>-684.89</v>
      </c>
      <c r="J156" s="34">
        <f t="shared" si="95"/>
        <v>-684.89</v>
      </c>
      <c r="K156" s="34">
        <f t="shared" si="95"/>
        <v>-684.89</v>
      </c>
      <c r="L156" s="34">
        <f t="shared" si="95"/>
        <v>-684.89</v>
      </c>
      <c r="M156" s="34">
        <f t="shared" si="95"/>
        <v>-684.89</v>
      </c>
      <c r="N156" s="34">
        <f t="shared" si="95"/>
        <v>-684.89</v>
      </c>
      <c r="O156" s="34">
        <f t="shared" si="95"/>
        <v>-684.89</v>
      </c>
      <c r="Q156" s="87">
        <f t="shared" si="93"/>
        <v>-6848.9000000000015</v>
      </c>
      <c r="S156" s="3"/>
    </row>
    <row r="157" spans="1:19" hidden="1" outlineLevel="1" x14ac:dyDescent="0.25">
      <c r="A157" s="29"/>
      <c r="B157" s="30"/>
      <c r="C157" s="30"/>
      <c r="D157" s="30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Q157" s="87"/>
      <c r="S157" s="3"/>
    </row>
    <row r="158" spans="1:19" ht="13" hidden="1" outlineLevel="1" x14ac:dyDescent="0.3">
      <c r="A158" s="32" t="s">
        <v>4</v>
      </c>
      <c r="B158" s="30"/>
      <c r="C158" s="30"/>
      <c r="D158" s="30"/>
      <c r="E158" s="35">
        <f t="shared" ref="E158:O158" si="96">SUM(E153:E156)</f>
        <v>-38000</v>
      </c>
      <c r="F158" s="35">
        <f t="shared" si="96"/>
        <v>-1402.9499496007097</v>
      </c>
      <c r="G158" s="35">
        <f t="shared" si="96"/>
        <v>-1402.9499496007097</v>
      </c>
      <c r="H158" s="35">
        <f t="shared" si="96"/>
        <v>-1402.9499496007097</v>
      </c>
      <c r="I158" s="35">
        <f t="shared" si="96"/>
        <v>-1402.9499496007097</v>
      </c>
      <c r="J158" s="35">
        <f t="shared" si="96"/>
        <v>-1402.9499496007097</v>
      </c>
      <c r="K158" s="35">
        <f t="shared" si="96"/>
        <v>-1402.9499496007097</v>
      </c>
      <c r="L158" s="35">
        <f t="shared" si="96"/>
        <v>-1402.9499496007097</v>
      </c>
      <c r="M158" s="35">
        <f t="shared" si="96"/>
        <v>-1402.9499496007097</v>
      </c>
      <c r="N158" s="35">
        <f t="shared" si="96"/>
        <v>-1402.9499496007097</v>
      </c>
      <c r="O158" s="35">
        <f t="shared" si="96"/>
        <v>-1402.9499496007097</v>
      </c>
      <c r="Q158" s="87">
        <f t="shared" ref="Q158" si="97">SUM(F158:O158)</f>
        <v>-14029.4994960071</v>
      </c>
      <c r="S158" s="3"/>
    </row>
    <row r="159" spans="1:19" ht="13" hidden="1" outlineLevel="1" x14ac:dyDescent="0.3">
      <c r="A159" s="26"/>
      <c r="B159" s="27"/>
      <c r="C159" s="27"/>
      <c r="D159" s="27"/>
      <c r="E159" s="28"/>
      <c r="F159" s="28"/>
      <c r="G159" s="28"/>
      <c r="H159" s="35"/>
      <c r="I159" s="35"/>
      <c r="J159" s="35"/>
      <c r="K159" s="35"/>
      <c r="L159" s="35"/>
      <c r="M159" s="35"/>
      <c r="N159" s="35"/>
      <c r="O159" s="35"/>
      <c r="Q159" s="87"/>
      <c r="S159" s="3"/>
    </row>
    <row r="160" spans="1:19" ht="13.5" hidden="1" outlineLevel="1" thickBot="1" x14ac:dyDescent="0.35">
      <c r="A160" s="36" t="s">
        <v>5</v>
      </c>
      <c r="B160" s="37"/>
      <c r="C160" s="37"/>
      <c r="D160" s="37"/>
      <c r="E160" s="38">
        <f>E158</f>
        <v>-38000</v>
      </c>
      <c r="F160" s="38">
        <f>E160+F158</f>
        <v>-39402.949949600712</v>
      </c>
      <c r="G160" s="38">
        <f t="shared" ref="G160" si="98">F160+G158</f>
        <v>-40805.899899201424</v>
      </c>
      <c r="H160" s="38">
        <f t="shared" ref="H160" si="99">G160+H158</f>
        <v>-42208.849848802136</v>
      </c>
      <c r="I160" s="38">
        <f t="shared" ref="I160" si="100">H160+I158</f>
        <v>-43611.799798402848</v>
      </c>
      <c r="J160" s="38">
        <f t="shared" ref="J160" si="101">I160+J158</f>
        <v>-45014.74974800356</v>
      </c>
      <c r="K160" s="38">
        <f t="shared" ref="K160" si="102">J160+K158</f>
        <v>-46417.699697604272</v>
      </c>
      <c r="L160" s="38">
        <f t="shared" ref="L160" si="103">K160+L158</f>
        <v>-47820.649647204984</v>
      </c>
      <c r="M160" s="38">
        <f t="shared" ref="M160" si="104">L160+M158</f>
        <v>-49223.599596805696</v>
      </c>
      <c r="N160" s="38">
        <f t="shared" ref="N160" si="105">M160+N158</f>
        <v>-50626.549546406408</v>
      </c>
      <c r="O160" s="38">
        <f t="shared" ref="O160" si="106">N160+O158</f>
        <v>-52029.49949600712</v>
      </c>
      <c r="Q160" s="87">
        <f t="shared" ref="Q160" si="107">SUM(F160:O160)</f>
        <v>-457162.24722803914</v>
      </c>
      <c r="S160" s="3"/>
    </row>
    <row r="161" spans="1:19" ht="13" hidden="1" outlineLevel="1" x14ac:dyDescent="0.3">
      <c r="A161" s="8"/>
      <c r="B161" s="6"/>
      <c r="C161" s="6"/>
      <c r="D161" s="6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S161" s="3"/>
    </row>
    <row r="162" spans="1:19" ht="13" hidden="1" outlineLevel="1" x14ac:dyDescent="0.3">
      <c r="A162" s="8"/>
      <c r="B162" s="6"/>
      <c r="C162" s="6"/>
      <c r="D162" s="6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Q162" s="50" t="s">
        <v>18</v>
      </c>
      <c r="S162" s="3"/>
    </row>
    <row r="163" spans="1:19" ht="13" hidden="1" outlineLevel="1" x14ac:dyDescent="0.3">
      <c r="A163" s="51" t="s">
        <v>142</v>
      </c>
      <c r="B163" s="52"/>
      <c r="C163" s="52"/>
      <c r="D163" s="52"/>
      <c r="E163" s="113">
        <f>E160/(1+$E66/100)^E149</f>
        <v>-38000</v>
      </c>
      <c r="F163" s="113">
        <f>F158/(1+$E$8/100)^F149</f>
        <v>-1355.5071976818451</v>
      </c>
      <c r="G163" s="113">
        <f t="shared" ref="G163:O163" si="108">G158/(1+$E$8/100)^G149</f>
        <v>-1309.6687900307684</v>
      </c>
      <c r="H163" s="113">
        <f t="shared" si="108"/>
        <v>-1265.3804734596797</v>
      </c>
      <c r="I163" s="113">
        <f t="shared" si="108"/>
        <v>-1222.5898294296424</v>
      </c>
      <c r="J163" s="113">
        <f t="shared" si="108"/>
        <v>-1181.2462120093164</v>
      </c>
      <c r="K163" s="113">
        <f t="shared" si="108"/>
        <v>-1141.3006879317065</v>
      </c>
      <c r="L163" s="113">
        <f t="shared" si="108"/>
        <v>-1102.7059786779776</v>
      </c>
      <c r="M163" s="113">
        <f t="shared" si="108"/>
        <v>-1065.4164045197851</v>
      </c>
      <c r="N163" s="113">
        <f t="shared" si="108"/>
        <v>-1029.3878304538989</v>
      </c>
      <c r="O163" s="113">
        <f t="shared" si="108"/>
        <v>-994.57761396511978</v>
      </c>
      <c r="Q163" s="46">
        <f>SUM(E163:O163)</f>
        <v>-49667.781018159731</v>
      </c>
      <c r="S163" s="3"/>
    </row>
    <row r="164" spans="1:19" ht="13" hidden="1" outlineLevel="1" thickBot="1" x14ac:dyDescent="0.3">
      <c r="S164" s="3"/>
    </row>
    <row r="165" spans="1:19" ht="13.5" hidden="1" outlineLevel="1" thickBot="1" x14ac:dyDescent="0.35">
      <c r="A165" s="19" t="s">
        <v>6</v>
      </c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S165" s="3"/>
    </row>
    <row r="166" spans="1:19" hidden="1" outlineLevel="1" x14ac:dyDescent="0.25">
      <c r="A166" s="21"/>
      <c r="B166" s="6"/>
      <c r="C166" s="6"/>
      <c r="D166" s="6"/>
      <c r="E166" s="6"/>
      <c r="F166" s="6"/>
      <c r="G166" s="39"/>
      <c r="H166" s="6"/>
      <c r="I166" s="6"/>
      <c r="J166" s="6"/>
      <c r="K166" s="6"/>
      <c r="L166" s="6"/>
      <c r="M166" s="6"/>
      <c r="N166" s="6"/>
      <c r="O166" s="6"/>
      <c r="S166" s="3"/>
    </row>
    <row r="167" spans="1:19" ht="13" hidden="1" outlineLevel="1" x14ac:dyDescent="0.3">
      <c r="A167" s="40" t="s">
        <v>7</v>
      </c>
      <c r="B167" s="40"/>
      <c r="C167" s="40"/>
      <c r="D167" s="41"/>
      <c r="E167" s="42"/>
      <c r="F167" s="42" t="s">
        <v>17</v>
      </c>
      <c r="G167" s="43" t="s">
        <v>8</v>
      </c>
      <c r="H167" s="6"/>
      <c r="I167" s="6"/>
      <c r="J167" s="6"/>
      <c r="K167" s="6"/>
      <c r="L167" s="6"/>
      <c r="M167" s="6"/>
      <c r="N167" s="6"/>
      <c r="O167" s="6"/>
      <c r="S167" s="3"/>
    </row>
    <row r="168" spans="1:19" ht="20" hidden="1" outlineLevel="1" x14ac:dyDescent="0.4">
      <c r="A168" s="53" t="s">
        <v>9</v>
      </c>
      <c r="B168" s="54"/>
      <c r="C168" s="54"/>
      <c r="D168" s="55"/>
      <c r="E168" s="56"/>
      <c r="F168" s="56">
        <f xml:space="preserve"> NPV((E$8/100),F158:O158)+E158</f>
        <v>-49667.781018159745</v>
      </c>
      <c r="G168" s="6" t="s">
        <v>15</v>
      </c>
      <c r="H168" s="6"/>
      <c r="I168" s="6"/>
      <c r="J168" s="2"/>
      <c r="K168" s="8"/>
      <c r="L168" s="6"/>
      <c r="M168" s="6"/>
      <c r="N168" s="6"/>
      <c r="O168" s="6"/>
      <c r="S168" s="3"/>
    </row>
    <row r="169" spans="1:19" ht="13" hidden="1" outlineLevel="1" x14ac:dyDescent="0.3">
      <c r="A169" s="8"/>
      <c r="D169" s="2"/>
      <c r="E169" s="47"/>
      <c r="F169" s="47"/>
      <c r="G169" s="6"/>
      <c r="H169" s="6"/>
      <c r="S169" s="3"/>
    </row>
    <row r="170" spans="1:19" hidden="1" outlineLevel="1" x14ac:dyDescent="0.25">
      <c r="S170" s="3"/>
    </row>
    <row r="171" spans="1:19" hidden="1" outlineLevel="1" x14ac:dyDescent="0.25">
      <c r="A171" t="s">
        <v>10</v>
      </c>
      <c r="E171" s="44"/>
      <c r="S171" s="3"/>
    </row>
    <row r="172" spans="1:19" hidden="1" outlineLevel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idden="1" outlineLevel="1" x14ac:dyDescent="0.25">
      <c r="S173" s="3"/>
    </row>
    <row r="174" spans="1:19" hidden="1" outlineLevel="1" x14ac:dyDescent="0.25">
      <c r="S174" s="3"/>
    </row>
    <row r="175" spans="1:19" hidden="1" outlineLevel="1" x14ac:dyDescent="0.25">
      <c r="S175" s="3"/>
    </row>
    <row r="176" spans="1:19" hidden="1" outlineLevel="1" x14ac:dyDescent="0.25">
      <c r="S176" s="3"/>
    </row>
    <row r="177" spans="1:19" ht="20" collapsed="1" x14ac:dyDescent="0.4">
      <c r="A177" s="65" t="s">
        <v>95</v>
      </c>
      <c r="S177" s="3"/>
    </row>
    <row r="178" spans="1:19" hidden="1" outlineLevel="1" x14ac:dyDescent="0.25">
      <c r="S178" s="3"/>
    </row>
    <row r="179" spans="1:19" hidden="1" outlineLevel="1" x14ac:dyDescent="0.25">
      <c r="C179" s="2"/>
      <c r="D179" s="2"/>
      <c r="E179" s="40" t="s">
        <v>75</v>
      </c>
      <c r="F179" s="40" t="s">
        <v>76</v>
      </c>
      <c r="G179" s="40" t="s">
        <v>77</v>
      </c>
      <c r="H179" s="41"/>
      <c r="S179" s="3"/>
    </row>
    <row r="180" spans="1:19" hidden="1" outlineLevel="1" x14ac:dyDescent="0.25">
      <c r="B180" t="s">
        <v>22</v>
      </c>
      <c r="C180" s="2"/>
      <c r="D180" s="2"/>
      <c r="E180" s="88">
        <f>Q54</f>
        <v>-19000</v>
      </c>
      <c r="F180" s="88">
        <f>Q103</f>
        <v>-31990</v>
      </c>
      <c r="G180" s="88">
        <f>Q153</f>
        <v>-38000</v>
      </c>
      <c r="S180" s="3"/>
    </row>
    <row r="181" spans="1:19" hidden="1" outlineLevel="1" x14ac:dyDescent="0.25">
      <c r="C181" s="2"/>
      <c r="D181" s="2"/>
      <c r="E181" s="88"/>
      <c r="F181" s="88"/>
      <c r="G181" s="88"/>
      <c r="S181" s="3"/>
    </row>
    <row r="182" spans="1:19" hidden="1" outlineLevel="1" x14ac:dyDescent="0.25">
      <c r="C182" s="2"/>
      <c r="D182" s="2"/>
      <c r="E182" s="88"/>
      <c r="F182" s="88"/>
      <c r="G182" s="88"/>
      <c r="S182" s="3"/>
    </row>
    <row r="183" spans="1:19" hidden="1" outlineLevel="1" x14ac:dyDescent="0.25">
      <c r="B183" t="s">
        <v>23</v>
      </c>
      <c r="C183" s="2"/>
      <c r="D183" s="2"/>
      <c r="E183" s="88">
        <f>Q55</f>
        <v>-24416.363246947953</v>
      </c>
      <c r="F183" s="88">
        <f>Q104</f>
        <v>-13883.814395323345</v>
      </c>
      <c r="G183" s="88">
        <f>Q154</f>
        <v>-3371.7834960070973</v>
      </c>
      <c r="S183" s="3"/>
    </row>
    <row r="184" spans="1:19" hidden="1" outlineLevel="1" x14ac:dyDescent="0.25">
      <c r="B184" t="s">
        <v>31</v>
      </c>
      <c r="C184" s="2"/>
      <c r="D184" s="2"/>
      <c r="E184" s="88">
        <f>Q56</f>
        <v>0</v>
      </c>
      <c r="F184" s="88">
        <f>Q105</f>
        <v>0</v>
      </c>
      <c r="G184" s="88">
        <f>Q155</f>
        <v>-3808.8160000000007</v>
      </c>
      <c r="S184" s="3"/>
    </row>
    <row r="185" spans="1:19" hidden="1" outlineLevel="1" x14ac:dyDescent="0.25">
      <c r="B185" t="s">
        <v>49</v>
      </c>
      <c r="C185" s="2"/>
      <c r="D185" s="2"/>
      <c r="E185" s="88">
        <f>Q57</f>
        <v>-6848.9000000000015</v>
      </c>
      <c r="F185" s="88">
        <f>Q106</f>
        <v>-6848.9000000000015</v>
      </c>
      <c r="G185" s="88">
        <f>Q156</f>
        <v>-6848.9000000000015</v>
      </c>
      <c r="S185" s="3"/>
    </row>
    <row r="186" spans="1:19" hidden="1" outlineLevel="1" x14ac:dyDescent="0.25">
      <c r="C186" s="2"/>
      <c r="D186" s="2"/>
      <c r="E186" s="88"/>
      <c r="F186" s="88"/>
      <c r="G186" s="88"/>
      <c r="S186" s="3"/>
    </row>
    <row r="187" spans="1:19" hidden="1" outlineLevel="1" x14ac:dyDescent="0.25">
      <c r="B187" t="s">
        <v>78</v>
      </c>
      <c r="C187" s="2"/>
      <c r="D187" s="2"/>
      <c r="E187" s="89">
        <f>SUM(E180:E185)</f>
        <v>-50265.26324694795</v>
      </c>
      <c r="F187" s="89">
        <f>SUM(F180:F185)</f>
        <v>-52722.714395323346</v>
      </c>
      <c r="G187" s="89">
        <f>SUM(G180:G185)</f>
        <v>-52029.499496007098</v>
      </c>
      <c r="S187" s="3"/>
    </row>
    <row r="188" spans="1:19" hidden="1" outlineLevel="1" x14ac:dyDescent="0.25">
      <c r="S188" s="3"/>
    </row>
    <row r="189" spans="1:19" ht="15.5" hidden="1" outlineLevel="1" x14ac:dyDescent="0.35">
      <c r="B189" s="109"/>
      <c r="C189" s="110"/>
      <c r="D189" s="110"/>
      <c r="E189" s="111"/>
      <c r="F189" s="111"/>
      <c r="G189" s="111"/>
      <c r="S189" s="3"/>
    </row>
    <row r="190" spans="1:19" ht="15.5" hidden="1" outlineLevel="1" x14ac:dyDescent="0.35">
      <c r="B190" s="109" t="s">
        <v>9</v>
      </c>
      <c r="C190" s="110"/>
      <c r="D190" s="110"/>
      <c r="E190" s="112">
        <f>F69</f>
        <v>-45002.085473136831</v>
      </c>
      <c r="F190" s="112">
        <f>F118</f>
        <v>-49232.580289163481</v>
      </c>
      <c r="G190" s="112">
        <f>F168</f>
        <v>-49667.781018159745</v>
      </c>
      <c r="S190" s="3"/>
    </row>
    <row r="191" spans="1:19" hidden="1" outlineLevel="1" x14ac:dyDescent="0.25">
      <c r="E191" s="95"/>
      <c r="F191" s="95"/>
      <c r="G191" s="95"/>
      <c r="S191" s="3"/>
    </row>
    <row r="192" spans="1:19" hidden="1" outlineLevel="1" x14ac:dyDescent="0.25">
      <c r="S192" s="3"/>
    </row>
    <row r="193" spans="5:19" hidden="1" outlineLevel="1" x14ac:dyDescent="0.25">
      <c r="E193" s="87"/>
      <c r="S193" s="3"/>
    </row>
    <row r="194" spans="5:19" collapsed="1" x14ac:dyDescent="0.25">
      <c r="S194" s="3"/>
    </row>
    <row r="195" spans="5:19" x14ac:dyDescent="0.25">
      <c r="S195" s="3"/>
    </row>
    <row r="196" spans="5:19" x14ac:dyDescent="0.25">
      <c r="S196" s="3"/>
    </row>
    <row r="197" spans="5:19" x14ac:dyDescent="0.25">
      <c r="S197" s="3"/>
    </row>
  </sheetData>
  <pageMargins left="0.5" right="0.5" top="1.1499999999999999" bottom="1" header="0.5" footer="0.5"/>
  <pageSetup paperSize="17" orientation="landscape" cellComments="asDisplayed" r:id="rId1"/>
  <headerFooter alignWithMargins="0">
    <oddFooter>&amp;R&amp;Z&amp;F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Parameters</vt:lpstr>
      <vt:lpstr>LD sedans</vt:lpstr>
      <vt:lpstr>'LD sedans'!Print_Area</vt:lpstr>
      <vt:lpstr>Parameters!Print_Area</vt:lpstr>
    </vt:vector>
  </TitlesOfParts>
  <Company>Metro Vancouver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Carmichael</dc:creator>
  <cp:lastModifiedBy>Jeff Carmichael</cp:lastModifiedBy>
  <cp:lastPrinted>2014-04-09T00:15:44Z</cp:lastPrinted>
  <dcterms:created xsi:type="dcterms:W3CDTF">2013-02-25T19:17:39Z</dcterms:created>
  <dcterms:modified xsi:type="dcterms:W3CDTF">2023-01-22T20:04:49Z</dcterms:modified>
</cp:coreProperties>
</file>