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armich\Desktop\"/>
    </mc:Choice>
  </mc:AlternateContent>
  <bookViews>
    <workbookView xWindow="0" yWindow="0" windowWidth="15360" windowHeight="7755" tabRatio="641" activeTab="1"/>
  </bookViews>
  <sheets>
    <sheet name="Parameters" sheetId="5" r:id="rId1"/>
    <sheet name="LD sedans" sheetId="2" r:id="rId2"/>
  </sheets>
  <definedNames>
    <definedName name="_xlnm.Print_Area" localSheetId="1">'LD sedans'!$A$21:$O$73</definedName>
    <definedName name="_xlnm.Print_Area" localSheetId="0">Parameters!$D$2:$T$30</definedName>
  </definedNames>
  <calcPr calcId="162913"/>
</workbook>
</file>

<file path=xl/calcChain.xml><?xml version="1.0" encoding="utf-8"?>
<calcChain xmlns="http://schemas.openxmlformats.org/spreadsheetml/2006/main">
  <c r="E174" i="2" l="1"/>
  <c r="E175" i="2"/>
  <c r="E176" i="2"/>
  <c r="E119" i="2"/>
  <c r="E120" i="2"/>
  <c r="E121" i="2"/>
  <c r="E157" i="2" l="1"/>
  <c r="F157" i="2" s="1"/>
  <c r="E102" i="2"/>
  <c r="F102" i="2" s="1"/>
  <c r="E49" i="2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Q162" i="2"/>
  <c r="E107" i="2"/>
  <c r="E54" i="2"/>
  <c r="E59" i="2" s="1"/>
  <c r="E68" i="2" s="1"/>
  <c r="F50" i="2"/>
  <c r="F103" i="2"/>
  <c r="G103" i="2" s="1"/>
  <c r="H103" i="2" s="1"/>
  <c r="I103" i="2" s="1"/>
  <c r="J103" i="2" s="1"/>
  <c r="K103" i="2" s="1"/>
  <c r="L103" i="2" s="1"/>
  <c r="M103" i="2" s="1"/>
  <c r="N103" i="2" s="1"/>
  <c r="O103" i="2" s="1"/>
  <c r="F158" i="2"/>
  <c r="E162" i="2"/>
  <c r="G102" i="2" l="1"/>
  <c r="H102" i="2" s="1"/>
  <c r="I102" i="2" s="1"/>
  <c r="J102" i="2" s="1"/>
  <c r="K102" i="2" s="1"/>
  <c r="L102" i="2" s="1"/>
  <c r="M102" i="2" s="1"/>
  <c r="N102" i="2" s="1"/>
  <c r="O102" i="2" s="1"/>
  <c r="E167" i="2"/>
  <c r="E173" i="2"/>
  <c r="E112" i="2"/>
  <c r="E122" i="2" s="1"/>
  <c r="E118" i="2"/>
  <c r="G50" i="2"/>
  <c r="F118" i="2"/>
  <c r="F173" i="2"/>
  <c r="Q107" i="2"/>
  <c r="E61" i="2"/>
  <c r="Q54" i="2"/>
  <c r="E16" i="2"/>
  <c r="E18" i="2"/>
  <c r="F18" i="2"/>
  <c r="G18" i="2"/>
  <c r="E114" i="2" l="1"/>
  <c r="E169" i="2"/>
  <c r="E177" i="2"/>
  <c r="H50" i="2"/>
  <c r="G173" i="2"/>
  <c r="G118" i="2"/>
  <c r="E7" i="2"/>
  <c r="F149" i="2" s="1"/>
  <c r="D137" i="2"/>
  <c r="D138" i="2" s="1"/>
  <c r="D139" i="2" s="1"/>
  <c r="E12" i="2"/>
  <c r="F17" i="2" s="1"/>
  <c r="D141" i="2"/>
  <c r="D142" i="2" s="1"/>
  <c r="E13" i="2"/>
  <c r="F19" i="2" s="1"/>
  <c r="E152" i="2"/>
  <c r="E153" i="2" s="1"/>
  <c r="E9" i="2"/>
  <c r="E8" i="2"/>
  <c r="F16" i="2"/>
  <c r="G16" i="2" s="1"/>
  <c r="H16" i="2" s="1"/>
  <c r="I16" i="2" s="1"/>
  <c r="J16" i="2" s="1"/>
  <c r="K16" i="2" s="1"/>
  <c r="L16" i="2" s="1"/>
  <c r="M16" i="2" s="1"/>
  <c r="N16" i="2" s="1"/>
  <c r="O16" i="2" s="1"/>
  <c r="G158" i="2"/>
  <c r="H158" i="2" s="1"/>
  <c r="I158" i="2" s="1"/>
  <c r="J158" i="2" s="1"/>
  <c r="K158" i="2" s="1"/>
  <c r="L158" i="2" s="1"/>
  <c r="M158" i="2" s="1"/>
  <c r="N158" i="2" s="1"/>
  <c r="O158" i="2" s="1"/>
  <c r="H18" i="2"/>
  <c r="I18" i="2" s="1"/>
  <c r="J18" i="2" s="1"/>
  <c r="K18" i="2" s="1"/>
  <c r="L18" i="2" s="1"/>
  <c r="M18" i="2" s="1"/>
  <c r="N18" i="2" s="1"/>
  <c r="E39" i="2"/>
  <c r="E147" i="2"/>
  <c r="D81" i="2"/>
  <c r="D82" i="2" s="1"/>
  <c r="D83" i="2" s="1"/>
  <c r="D85" i="2" s="1"/>
  <c r="D86" i="2"/>
  <c r="D87" i="2" s="1"/>
  <c r="E97" i="2"/>
  <c r="E98" i="2" s="1"/>
  <c r="E92" i="2"/>
  <c r="D26" i="2"/>
  <c r="E44" i="2" s="1"/>
  <c r="E45" i="2" s="1"/>
  <c r="F57" i="2" s="1"/>
  <c r="D31" i="2"/>
  <c r="D32" i="2" s="1"/>
  <c r="H38" i="5"/>
  <c r="C43" i="5"/>
  <c r="L42" i="5"/>
  <c r="K42" i="5"/>
  <c r="D42" i="5"/>
  <c r="G157" i="2"/>
  <c r="H157" i="2" s="1"/>
  <c r="I157" i="2" s="1"/>
  <c r="J157" i="2" s="1"/>
  <c r="K157" i="2" s="1"/>
  <c r="L157" i="2" s="1"/>
  <c r="M157" i="2" s="1"/>
  <c r="N157" i="2" s="1"/>
  <c r="O157" i="2" s="1"/>
  <c r="D134" i="2"/>
  <c r="I17" i="5"/>
  <c r="J17" i="5"/>
  <c r="K17" i="5"/>
  <c r="L17" i="5"/>
  <c r="M17" i="5"/>
  <c r="N17" i="5"/>
  <c r="O17" i="5"/>
  <c r="P17" i="5"/>
  <c r="H17" i="5"/>
  <c r="G17" i="5"/>
  <c r="F17" i="5"/>
  <c r="F18" i="5"/>
  <c r="F19" i="5"/>
  <c r="F15" i="2"/>
  <c r="G15" i="2" s="1"/>
  <c r="H15" i="2" s="1"/>
  <c r="I15" i="2" s="1"/>
  <c r="J15" i="2" s="1"/>
  <c r="K15" i="2" s="1"/>
  <c r="L15" i="2" s="1"/>
  <c r="M15" i="2" s="1"/>
  <c r="N15" i="2" s="1"/>
  <c r="O15" i="2" s="1"/>
  <c r="P18" i="5"/>
  <c r="P19" i="5"/>
  <c r="F20" i="5"/>
  <c r="G18" i="5"/>
  <c r="G20" i="5"/>
  <c r="H18" i="5"/>
  <c r="H19" i="5"/>
  <c r="I18" i="5"/>
  <c r="J18" i="5"/>
  <c r="J20" i="5"/>
  <c r="K18" i="5"/>
  <c r="K20" i="5"/>
  <c r="L18" i="5"/>
  <c r="L20" i="5"/>
  <c r="M18" i="5"/>
  <c r="N18" i="5"/>
  <c r="N20" i="5"/>
  <c r="O18" i="5"/>
  <c r="O20" i="5"/>
  <c r="P20" i="5"/>
  <c r="G14" i="5"/>
  <c r="H14" i="5"/>
  <c r="I14" i="5"/>
  <c r="J14" i="5"/>
  <c r="K14" i="5"/>
  <c r="L14" i="5"/>
  <c r="M14" i="5"/>
  <c r="N14" i="5"/>
  <c r="O14" i="5"/>
  <c r="P14" i="5"/>
  <c r="G19" i="5"/>
  <c r="M19" i="5"/>
  <c r="I19" i="5"/>
  <c r="I20" i="5"/>
  <c r="L19" i="5"/>
  <c r="M20" i="5"/>
  <c r="H20" i="5"/>
  <c r="O19" i="5"/>
  <c r="K19" i="5"/>
  <c r="N19" i="5"/>
  <c r="J19" i="5"/>
  <c r="E33" i="5"/>
  <c r="D47" i="5"/>
  <c r="I47" i="5"/>
  <c r="D34" i="2"/>
  <c r="D48" i="5"/>
  <c r="E31" i="5"/>
  <c r="E32" i="5"/>
  <c r="D49" i="5"/>
  <c r="D25" i="2"/>
  <c r="D24" i="2"/>
  <c r="D38" i="5"/>
  <c r="F27" i="5"/>
  <c r="G27" i="5"/>
  <c r="H27" i="5" s="1"/>
  <c r="G26" i="5"/>
  <c r="H26" i="5" s="1"/>
  <c r="I26" i="5" s="1"/>
  <c r="J26" i="5" s="1"/>
  <c r="K26" i="5" s="1"/>
  <c r="L26" i="5" s="1"/>
  <c r="M26" i="5" s="1"/>
  <c r="N26" i="5" s="1"/>
  <c r="O26" i="5" s="1"/>
  <c r="P26" i="5" s="1"/>
  <c r="J28" i="5"/>
  <c r="K28" i="5" s="1"/>
  <c r="L28" i="5" s="1"/>
  <c r="M28" i="5" s="1"/>
  <c r="N28" i="5" s="1"/>
  <c r="O28" i="5" s="1"/>
  <c r="P28" i="5" s="1"/>
  <c r="F29" i="5"/>
  <c r="G29" i="5"/>
  <c r="H29" i="5" s="1"/>
  <c r="I29" i="5" s="1"/>
  <c r="J29" i="5" s="1"/>
  <c r="K29" i="5" s="1"/>
  <c r="G25" i="5"/>
  <c r="H25" i="5"/>
  <c r="I25" i="5"/>
  <c r="J25" i="5"/>
  <c r="K25" i="5"/>
  <c r="L25" i="5"/>
  <c r="M25" i="5"/>
  <c r="N25" i="5"/>
  <c r="O25" i="5"/>
  <c r="P25" i="5"/>
  <c r="I27" i="5" l="1"/>
  <c r="J27" i="5" s="1"/>
  <c r="I50" i="2"/>
  <c r="H118" i="2"/>
  <c r="H173" i="2"/>
  <c r="G64" i="2"/>
  <c r="H64" i="2"/>
  <c r="F64" i="2"/>
  <c r="E67" i="2"/>
  <c r="E64" i="2"/>
  <c r="E65" i="2"/>
  <c r="E66" i="2"/>
  <c r="F94" i="2"/>
  <c r="F93" i="2" s="1"/>
  <c r="E11" i="2"/>
  <c r="G57" i="2"/>
  <c r="H57" i="2" s="1"/>
  <c r="I57" i="2" s="1"/>
  <c r="J57" i="2" s="1"/>
  <c r="K57" i="2" s="1"/>
  <c r="L57" i="2" s="1"/>
  <c r="M57" i="2" s="1"/>
  <c r="N57" i="2" s="1"/>
  <c r="O57" i="2" s="1"/>
  <c r="F41" i="2"/>
  <c r="F40" i="2" s="1"/>
  <c r="G41" i="2" s="1"/>
  <c r="F110" i="2"/>
  <c r="D27" i="2"/>
  <c r="D28" i="2" s="1"/>
  <c r="D29" i="2" s="1"/>
  <c r="E194" i="2"/>
  <c r="F165" i="2"/>
  <c r="F164" i="2"/>
  <c r="F175" i="2" s="1"/>
  <c r="F163" i="2"/>
  <c r="G19" i="2"/>
  <c r="H19" i="2" s="1"/>
  <c r="F56" i="2"/>
  <c r="F66" i="2" s="1"/>
  <c r="L29" i="5"/>
  <c r="M29" i="5" s="1"/>
  <c r="N29" i="5" s="1"/>
  <c r="O29" i="5" s="1"/>
  <c r="P29" i="5" s="1"/>
  <c r="F109" i="2"/>
  <c r="F120" i="2" s="1"/>
  <c r="K27" i="5"/>
  <c r="L27" i="5" s="1"/>
  <c r="M27" i="5" s="1"/>
  <c r="N27" i="5" s="1"/>
  <c r="O27" i="5" s="1"/>
  <c r="P27" i="5" s="1"/>
  <c r="G17" i="2"/>
  <c r="G108" i="2" s="1"/>
  <c r="G119" i="2" s="1"/>
  <c r="F108" i="2"/>
  <c r="F148" i="2"/>
  <c r="F176" i="2" l="1"/>
  <c r="G165" i="2"/>
  <c r="H165" i="2" s="1"/>
  <c r="I165" i="2" s="1"/>
  <c r="J165" i="2" s="1"/>
  <c r="K165" i="2" s="1"/>
  <c r="L165" i="2" s="1"/>
  <c r="M165" i="2" s="1"/>
  <c r="N165" i="2" s="1"/>
  <c r="O165" i="2" s="1"/>
  <c r="F121" i="2"/>
  <c r="G110" i="2"/>
  <c r="H110" i="2" s="1"/>
  <c r="I110" i="2" s="1"/>
  <c r="J110" i="2" s="1"/>
  <c r="K110" i="2" s="1"/>
  <c r="L110" i="2" s="1"/>
  <c r="M110" i="2" s="1"/>
  <c r="N110" i="2" s="1"/>
  <c r="O110" i="2" s="1"/>
  <c r="J50" i="2"/>
  <c r="I118" i="2"/>
  <c r="I173" i="2"/>
  <c r="I64" i="2"/>
  <c r="F119" i="2"/>
  <c r="F112" i="2"/>
  <c r="F174" i="2"/>
  <c r="F167" i="2"/>
  <c r="F177" i="2" s="1"/>
  <c r="G67" i="2"/>
  <c r="F67" i="2"/>
  <c r="G109" i="2"/>
  <c r="G120" i="2" s="1"/>
  <c r="F55" i="2"/>
  <c r="E10" i="2"/>
  <c r="D143" i="2" s="1"/>
  <c r="G164" i="2"/>
  <c r="G175" i="2" s="1"/>
  <c r="G56" i="2"/>
  <c r="G66" i="2" s="1"/>
  <c r="G55" i="2"/>
  <c r="G65" i="2" s="1"/>
  <c r="H17" i="2"/>
  <c r="H163" i="2" s="1"/>
  <c r="H174" i="2" s="1"/>
  <c r="G163" i="2"/>
  <c r="G174" i="2" s="1"/>
  <c r="G40" i="2"/>
  <c r="H41" i="2" s="1"/>
  <c r="G94" i="2"/>
  <c r="G149" i="2"/>
  <c r="H56" i="2"/>
  <c r="H66" i="2" s="1"/>
  <c r="H164" i="2"/>
  <c r="H175" i="2" s="1"/>
  <c r="H109" i="2"/>
  <c r="H120" i="2" s="1"/>
  <c r="I19" i="2"/>
  <c r="G121" i="2" l="1"/>
  <c r="G176" i="2"/>
  <c r="K50" i="2"/>
  <c r="J118" i="2"/>
  <c r="J173" i="2"/>
  <c r="J64" i="2"/>
  <c r="F122" i="2"/>
  <c r="H176" i="2"/>
  <c r="H121" i="2"/>
  <c r="F59" i="2"/>
  <c r="F65" i="2"/>
  <c r="H67" i="2"/>
  <c r="F169" i="2"/>
  <c r="I17" i="2"/>
  <c r="J17" i="2" s="1"/>
  <c r="F114" i="2"/>
  <c r="D88" i="2"/>
  <c r="H55" i="2"/>
  <c r="D35" i="2"/>
  <c r="G59" i="2"/>
  <c r="G68" i="2" s="1"/>
  <c r="G167" i="2"/>
  <c r="G177" i="2" s="1"/>
  <c r="H108" i="2"/>
  <c r="H119" i="2" s="1"/>
  <c r="H40" i="2"/>
  <c r="I41" i="2" s="1"/>
  <c r="G148" i="2"/>
  <c r="H149" i="2" s="1"/>
  <c r="G112" i="2"/>
  <c r="G122" i="2" s="1"/>
  <c r="I164" i="2"/>
  <c r="I175" i="2" s="1"/>
  <c r="J19" i="2"/>
  <c r="I56" i="2"/>
  <c r="I66" i="2" s="1"/>
  <c r="I109" i="2"/>
  <c r="I120" i="2" s="1"/>
  <c r="G93" i="2"/>
  <c r="F61" i="2" l="1"/>
  <c r="G61" i="2" s="1"/>
  <c r="F68" i="2"/>
  <c r="L50" i="2"/>
  <c r="K118" i="2"/>
  <c r="K173" i="2"/>
  <c r="K64" i="2"/>
  <c r="H167" i="2"/>
  <c r="H177" i="2" s="1"/>
  <c r="I176" i="2"/>
  <c r="I121" i="2"/>
  <c r="H59" i="2"/>
  <c r="H68" i="2" s="1"/>
  <c r="H65" i="2"/>
  <c r="I67" i="2"/>
  <c r="I163" i="2"/>
  <c r="I174" i="2" s="1"/>
  <c r="I55" i="2"/>
  <c r="I65" i="2" s="1"/>
  <c r="I108" i="2"/>
  <c r="I119" i="2" s="1"/>
  <c r="G114" i="2"/>
  <c r="H148" i="2"/>
  <c r="I149" i="2" s="1"/>
  <c r="H94" i="2"/>
  <c r="G169" i="2"/>
  <c r="K19" i="2"/>
  <c r="J56" i="2"/>
  <c r="J66" i="2" s="1"/>
  <c r="J164" i="2"/>
  <c r="J175" i="2" s="1"/>
  <c r="J109" i="2"/>
  <c r="J120" i="2" s="1"/>
  <c r="J163" i="2"/>
  <c r="J174" i="2" s="1"/>
  <c r="K17" i="2"/>
  <c r="J108" i="2"/>
  <c r="J119" i="2" s="1"/>
  <c r="J55" i="2"/>
  <c r="J65" i="2" s="1"/>
  <c r="I40" i="2"/>
  <c r="M50" i="2" l="1"/>
  <c r="L173" i="2"/>
  <c r="L118" i="2"/>
  <c r="L64" i="2"/>
  <c r="H169" i="2"/>
  <c r="J176" i="2"/>
  <c r="I59" i="2"/>
  <c r="J121" i="2"/>
  <c r="H61" i="2"/>
  <c r="J67" i="2"/>
  <c r="I167" i="2"/>
  <c r="I177" i="2" s="1"/>
  <c r="I148" i="2"/>
  <c r="J149" i="2" s="1"/>
  <c r="H93" i="2"/>
  <c r="I94" i="2" s="1"/>
  <c r="I112" i="2" s="1"/>
  <c r="I122" i="2" s="1"/>
  <c r="L17" i="2"/>
  <c r="K108" i="2"/>
  <c r="K119" i="2" s="1"/>
  <c r="K55" i="2"/>
  <c r="K65" i="2" s="1"/>
  <c r="K163" i="2"/>
  <c r="K174" i="2" s="1"/>
  <c r="K109" i="2"/>
  <c r="K120" i="2" s="1"/>
  <c r="K56" i="2"/>
  <c r="K66" i="2" s="1"/>
  <c r="K164" i="2"/>
  <c r="K175" i="2" s="1"/>
  <c r="L19" i="2"/>
  <c r="H112" i="2"/>
  <c r="J41" i="2"/>
  <c r="J167" i="2" l="1"/>
  <c r="J177" i="2" s="1"/>
  <c r="I68" i="2"/>
  <c r="N50" i="2"/>
  <c r="M173" i="2"/>
  <c r="M118" i="2"/>
  <c r="M64" i="2"/>
  <c r="I61" i="2"/>
  <c r="H122" i="2"/>
  <c r="K176" i="2"/>
  <c r="K121" i="2"/>
  <c r="K67" i="2"/>
  <c r="I169" i="2"/>
  <c r="I93" i="2"/>
  <c r="J94" i="2" s="1"/>
  <c r="H114" i="2"/>
  <c r="J59" i="2"/>
  <c r="J68" i="2" s="1"/>
  <c r="J148" i="2"/>
  <c r="J40" i="2"/>
  <c r="L164" i="2"/>
  <c r="L175" i="2" s="1"/>
  <c r="M19" i="2"/>
  <c r="L56" i="2"/>
  <c r="L66" i="2" s="1"/>
  <c r="L109" i="2"/>
  <c r="L120" i="2" s="1"/>
  <c r="L108" i="2"/>
  <c r="L119" i="2" s="1"/>
  <c r="L55" i="2"/>
  <c r="L65" i="2" s="1"/>
  <c r="M17" i="2"/>
  <c r="L163" i="2"/>
  <c r="L174" i="2" s="1"/>
  <c r="J169" i="2" l="1"/>
  <c r="O50" i="2"/>
  <c r="N173" i="2"/>
  <c r="N118" i="2"/>
  <c r="N64" i="2"/>
  <c r="L176" i="2"/>
  <c r="L121" i="2"/>
  <c r="L67" i="2"/>
  <c r="J93" i="2"/>
  <c r="K94" i="2" s="1"/>
  <c r="K112" i="2" s="1"/>
  <c r="K122" i="2" s="1"/>
  <c r="K149" i="2"/>
  <c r="J61" i="2"/>
  <c r="K41" i="2"/>
  <c r="J112" i="2"/>
  <c r="M163" i="2"/>
  <c r="M174" i="2" s="1"/>
  <c r="N17" i="2"/>
  <c r="M108" i="2"/>
  <c r="M119" i="2" s="1"/>
  <c r="M55" i="2"/>
  <c r="M65" i="2" s="1"/>
  <c r="M164" i="2"/>
  <c r="M175" i="2" s="1"/>
  <c r="M109" i="2"/>
  <c r="M120" i="2" s="1"/>
  <c r="N19" i="2"/>
  <c r="M56" i="2"/>
  <c r="M66" i="2" s="1"/>
  <c r="I114" i="2"/>
  <c r="O173" i="2" l="1"/>
  <c r="O118" i="2"/>
  <c r="O64" i="2"/>
  <c r="Q64" i="2" s="1"/>
  <c r="J122" i="2"/>
  <c r="M176" i="2"/>
  <c r="M121" i="2"/>
  <c r="M67" i="2"/>
  <c r="J114" i="2"/>
  <c r="K114" i="2" s="1"/>
  <c r="K40" i="2"/>
  <c r="L41" i="2" s="1"/>
  <c r="K148" i="2"/>
  <c r="L149" i="2" s="1"/>
  <c r="L167" i="2" s="1"/>
  <c r="L177" i="2" s="1"/>
  <c r="K93" i="2"/>
  <c r="L94" i="2" s="1"/>
  <c r="L112" i="2" s="1"/>
  <c r="L122" i="2" s="1"/>
  <c r="K59" i="2"/>
  <c r="N164" i="2"/>
  <c r="N175" i="2" s="1"/>
  <c r="N56" i="2"/>
  <c r="N66" i="2" s="1"/>
  <c r="O19" i="2"/>
  <c r="N109" i="2"/>
  <c r="N120" i="2" s="1"/>
  <c r="N163" i="2"/>
  <c r="N174" i="2" s="1"/>
  <c r="O17" i="2"/>
  <c r="N108" i="2"/>
  <c r="N119" i="2" s="1"/>
  <c r="N55" i="2"/>
  <c r="N65" i="2" s="1"/>
  <c r="K167" i="2"/>
  <c r="K177" i="2" s="1"/>
  <c r="K68" i="2" l="1"/>
  <c r="N176" i="2"/>
  <c r="N121" i="2"/>
  <c r="N67" i="2"/>
  <c r="L59" i="2"/>
  <c r="L68" i="2" s="1"/>
  <c r="L114" i="2"/>
  <c r="O109" i="2"/>
  <c r="O120" i="2" s="1"/>
  <c r="O56" i="2"/>
  <c r="O164" i="2"/>
  <c r="O175" i="2" s="1"/>
  <c r="K169" i="2"/>
  <c r="K61" i="2"/>
  <c r="L93" i="2"/>
  <c r="L148" i="2"/>
  <c r="L40" i="2"/>
  <c r="O163" i="2"/>
  <c r="O174" i="2" s="1"/>
  <c r="O108" i="2"/>
  <c r="O55" i="2"/>
  <c r="O119" i="2" l="1"/>
  <c r="Q119" i="2" s="1"/>
  <c r="F197" i="2" s="1"/>
  <c r="Q164" i="2"/>
  <c r="Q174" i="2"/>
  <c r="G197" i="2" s="1"/>
  <c r="Q163" i="2"/>
  <c r="Q173" i="2"/>
  <c r="O176" i="2"/>
  <c r="Q176" i="2" s="1"/>
  <c r="G199" i="2" s="1"/>
  <c r="Q108" i="2"/>
  <c r="Q118" i="2"/>
  <c r="F194" i="2" s="1"/>
  <c r="Q109" i="2"/>
  <c r="Q110" i="2"/>
  <c r="Q56" i="2"/>
  <c r="O66" i="2"/>
  <c r="Q66" i="2" s="1"/>
  <c r="E198" i="2" s="1"/>
  <c r="Q55" i="2"/>
  <c r="O65" i="2"/>
  <c r="Q65" i="2" s="1"/>
  <c r="O67" i="2"/>
  <c r="Q67" i="2" s="1"/>
  <c r="E199" i="2" s="1"/>
  <c r="Q57" i="2"/>
  <c r="M149" i="2"/>
  <c r="M167" i="2" s="1"/>
  <c r="M177" i="2" s="1"/>
  <c r="M41" i="2"/>
  <c r="M94" i="2"/>
  <c r="L169" i="2"/>
  <c r="L61" i="2"/>
  <c r="Q165" i="2" l="1"/>
  <c r="E197" i="2"/>
  <c r="R68" i="2"/>
  <c r="O121" i="2"/>
  <c r="Q121" i="2" s="1"/>
  <c r="F199" i="2" s="1"/>
  <c r="G194" i="2"/>
  <c r="O112" i="2"/>
  <c r="Q175" i="2"/>
  <c r="G198" i="2" s="1"/>
  <c r="Q120" i="2"/>
  <c r="F198" i="2" s="1"/>
  <c r="M169" i="2"/>
  <c r="M148" i="2"/>
  <c r="N149" i="2" s="1"/>
  <c r="N167" i="2" s="1"/>
  <c r="N177" i="2" s="1"/>
  <c r="M59" i="2"/>
  <c r="M93" i="2"/>
  <c r="N94" i="2" s="1"/>
  <c r="N112" i="2" s="1"/>
  <c r="N122" i="2" s="1"/>
  <c r="M40" i="2"/>
  <c r="N41" i="2" s="1"/>
  <c r="M112" i="2"/>
  <c r="M122" i="2" s="1"/>
  <c r="M68" i="2" l="1"/>
  <c r="O125" i="2"/>
  <c r="O122" i="2"/>
  <c r="Q122" i="2" s="1"/>
  <c r="F127" i="2"/>
  <c r="M61" i="2"/>
  <c r="N59" i="2"/>
  <c r="N68" i="2" s="1"/>
  <c r="N148" i="2"/>
  <c r="M114" i="2"/>
  <c r="N93" i="2"/>
  <c r="N40" i="2"/>
  <c r="N169" i="2"/>
  <c r="N61" i="2" l="1"/>
  <c r="O94" i="2"/>
  <c r="O149" i="2"/>
  <c r="N114" i="2"/>
  <c r="O41" i="2"/>
  <c r="O148" i="2" l="1"/>
  <c r="O40" i="2"/>
  <c r="O167" i="2"/>
  <c r="O177" i="2" s="1"/>
  <c r="G201" i="2"/>
  <c r="F201" i="2"/>
  <c r="O59" i="2"/>
  <c r="E201" i="2"/>
  <c r="O93" i="2"/>
  <c r="O68" i="2" l="1"/>
  <c r="Q68" i="2" s="1"/>
  <c r="F73" i="2"/>
  <c r="Q177" i="2"/>
  <c r="F182" i="2"/>
  <c r="Q112" i="2"/>
  <c r="O114" i="2"/>
  <c r="Q114" i="2" s="1"/>
  <c r="Q59" i="2"/>
  <c r="O61" i="2"/>
  <c r="Q61" i="2" s="1"/>
  <c r="Q167" i="2"/>
  <c r="O169" i="2"/>
  <c r="Q169" i="2" s="1"/>
  <c r="F204" i="2" l="1"/>
  <c r="G204" i="2"/>
  <c r="E204" i="2"/>
</calcChain>
</file>

<file path=xl/comments1.xml><?xml version="1.0" encoding="utf-8"?>
<comments xmlns="http://schemas.openxmlformats.org/spreadsheetml/2006/main">
  <authors>
    <author>Jeff Carmichael</author>
  </authors>
  <commentList>
    <comment ref="E44" authorId="0" shapeId="0">
      <text>
        <r>
          <rPr>
            <sz val="9"/>
            <color indexed="81"/>
            <rFont val="Tahoma"/>
            <family val="2"/>
          </rPr>
          <t xml:space="preserve">This formula assumes that combustion engine maintenance costs apply if fuel is used (if cell D7 is &gt;0).
</t>
        </r>
      </text>
    </comment>
    <comment ref="E97" authorId="0" shapeId="0">
      <text>
        <r>
          <rPr>
            <sz val="9"/>
            <color indexed="81"/>
            <rFont val="Tahoma"/>
            <family val="2"/>
          </rPr>
          <t xml:space="preserve">This formula assumes that combustion engine maintenance costs apply if fuel is used (if cell D7 is &gt;0).
</t>
        </r>
      </text>
    </comment>
    <comment ref="E152" authorId="0" shapeId="0">
      <text>
        <r>
          <rPr>
            <sz val="9"/>
            <color indexed="81"/>
            <rFont val="Tahoma"/>
            <family val="2"/>
          </rPr>
          <t xml:space="preserve">This formula assumes that combustion engine maintenance costs apply if fuel is used (if cell D7 is &gt;0).
</t>
        </r>
      </text>
    </comment>
  </commentList>
</comments>
</file>

<file path=xl/sharedStrings.xml><?xml version="1.0" encoding="utf-8"?>
<sst xmlns="http://schemas.openxmlformats.org/spreadsheetml/2006/main" count="347" uniqueCount="161">
  <si>
    <t>%</t>
  </si>
  <si>
    <t>Discount rate</t>
  </si>
  <si>
    <t>Year</t>
  </si>
  <si>
    <t>Years in service</t>
  </si>
  <si>
    <t>NET CASHFLOW</t>
  </si>
  <si>
    <t>CUMULATIVE CASHFLOW</t>
  </si>
  <si>
    <t>FINANCIAL PERFORMANCE</t>
  </si>
  <si>
    <t>Project life</t>
  </si>
  <si>
    <t>Units</t>
  </si>
  <si>
    <t>Net Present Value</t>
  </si>
  <si>
    <t>Notes:</t>
  </si>
  <si>
    <t>liters/yr</t>
  </si>
  <si>
    <t>Gasoline cost</t>
  </si>
  <si>
    <t>Gasoline price escalation</t>
  </si>
  <si>
    <t>Gasoline purchase price ($/liter)</t>
  </si>
  <si>
    <t>$</t>
  </si>
  <si>
    <t>reinvestment interest</t>
  </si>
  <si>
    <t>10 year</t>
  </si>
  <si>
    <t>Sum</t>
  </si>
  <si>
    <t>Annual foregone interest</t>
  </si>
  <si>
    <t>Capital plus interest</t>
  </si>
  <si>
    <t>Est fuel use</t>
  </si>
  <si>
    <t>Upfront cost</t>
  </si>
  <si>
    <t>Gasoline purchases</t>
  </si>
  <si>
    <t>Notes</t>
  </si>
  <si>
    <t>$/liter</t>
  </si>
  <si>
    <t>km/yr</t>
  </si>
  <si>
    <t>Est city fuel efficiency</t>
  </si>
  <si>
    <t>Est highway fuel efficiency</t>
  </si>
  <si>
    <t>% of mileage city</t>
  </si>
  <si>
    <t>% of mileage highway</t>
  </si>
  <si>
    <t>Electricity purchases</t>
  </si>
  <si>
    <t>Est electricity use</t>
  </si>
  <si>
    <t>kWh / 100 km</t>
  </si>
  <si>
    <t>liters / 100 km</t>
  </si>
  <si>
    <t>kWh/yr</t>
  </si>
  <si>
    <t>Electricity cost</t>
  </si>
  <si>
    <t>Electricity price escalation</t>
  </si>
  <si>
    <t>Electricity purchase price ($/kWh)</t>
  </si>
  <si>
    <t>Fuel Prices and Other Parameters</t>
  </si>
  <si>
    <t>Source</t>
  </si>
  <si>
    <t>INPUT DATA FOR VEHICLE</t>
  </si>
  <si>
    <t>GENERAL PARAMETERS (ENTERED ON PARAMETERS WORKSHEET)</t>
  </si>
  <si>
    <t>VEHICLE CAPITAL COSTS ($K)</t>
  </si>
  <si>
    <t>$, in 2016 dollars</t>
  </si>
  <si>
    <t>$/kWh</t>
  </si>
  <si>
    <t xml:space="preserve">Annual maintenance cost estimates: </t>
  </si>
  <si>
    <t>Internal combustion engine</t>
  </si>
  <si>
    <t>Electric engine</t>
  </si>
  <si>
    <t>Maintenance</t>
  </si>
  <si>
    <t>VEHICLE OPERATING COSTS ($)</t>
  </si>
  <si>
    <t>O&amp;M inflation rate</t>
  </si>
  <si>
    <t>FVRD Electric Vehicle Business Case (17263087)</t>
  </si>
  <si>
    <t>Last Updated:</t>
  </si>
  <si>
    <t>Greenhouse gas emissions price</t>
  </si>
  <si>
    <t>$/year in 2013</t>
  </si>
  <si>
    <t>$, in 2013 dollars</t>
  </si>
  <si>
    <t>$/litre gasoline</t>
  </si>
  <si>
    <t>Greenhouse gas emissions cost</t>
  </si>
  <si>
    <t>$/litre gasoline (assumed constant)</t>
  </si>
  <si>
    <t>GHG emissions cost: gasoline</t>
  </si>
  <si>
    <t>GHG emissions cost: electricity</t>
  </si>
  <si>
    <t>$/kWh electricity</t>
  </si>
  <si>
    <t>$/yr</t>
  </si>
  <si>
    <t>From Conor Reynolds: 14 tonnes per GWh:  14*$150=$2,100 per GWh = $0.0021 per kWh</t>
  </si>
  <si>
    <t xml:space="preserve">8 year depreciation costs </t>
  </si>
  <si>
    <t>Vehicle 2: Toyota Prius</t>
  </si>
  <si>
    <t>kwh elec = one gallon gasoline</t>
  </si>
  <si>
    <t>kwh elec = one liter gasoline</t>
  </si>
  <si>
    <t>km/kWh</t>
  </si>
  <si>
    <t>kWh/km</t>
  </si>
  <si>
    <t>MPGe equals:</t>
  </si>
  <si>
    <t>kWh / km</t>
  </si>
  <si>
    <t>miles per gallon equivalent. From USEPA rating for vehicle.</t>
  </si>
  <si>
    <t>Vehicle 1: 2016 Nissan Sentra</t>
  </si>
  <si>
    <t>Nissan Sentra</t>
  </si>
  <si>
    <t>Toyota Prius</t>
  </si>
  <si>
    <t>Chevy Volt</t>
  </si>
  <si>
    <t>Total undiscounted</t>
  </si>
  <si>
    <t>% of mileage gasoline</t>
  </si>
  <si>
    <t>% of mileage electric</t>
  </si>
  <si>
    <t>Est combined (city/highway)  gas MPGe</t>
  </si>
  <si>
    <t>Est combined (city/highway) electric MPGe</t>
  </si>
  <si>
    <t>km/liter</t>
  </si>
  <si>
    <t>liters/100 km</t>
  </si>
  <si>
    <t>Est combined (city/highway)  gas MPG</t>
  </si>
  <si>
    <t>Greenhouse gas emissions cost: elec</t>
  </si>
  <si>
    <t>$/KWh elec (assumed constant)</t>
  </si>
  <si>
    <t>miles per gallon.  From USEPA rating for vehicle. Assuming 50/50 city/highway.</t>
  </si>
  <si>
    <t>Est average annual mileage</t>
  </si>
  <si>
    <t>$, in 2016 dollars. Function not in use (assumes no remaining asset value).</t>
  </si>
  <si>
    <t>10-yr Sum</t>
  </si>
  <si>
    <t>GHG emissions:</t>
  </si>
  <si>
    <t>tonnes CO2e per kWh electricity</t>
  </si>
  <si>
    <t>tonnes CO2e per liter gasoline</t>
  </si>
  <si>
    <t>Summary</t>
  </si>
  <si>
    <t>Est electricity efficiency</t>
  </si>
  <si>
    <t>% of mileage CNG</t>
  </si>
  <si>
    <t>kg of natural gas per 1 gasoline gallon equivalent</t>
  </si>
  <si>
    <t>MJ / kg natural gas</t>
  </si>
  <si>
    <t>MJ / GGE</t>
  </si>
  <si>
    <t>GJ / GGE</t>
  </si>
  <si>
    <t>Est combined (city/highway) CNG MPGe</t>
  </si>
  <si>
    <t>km per gallon equivalent</t>
  </si>
  <si>
    <t>GGE / GJ</t>
  </si>
  <si>
    <t>m3 per GGE</t>
  </si>
  <si>
    <t>MJ / m3</t>
  </si>
  <si>
    <t>tonnes CO2e per GJ natural gas</t>
  </si>
  <si>
    <t>tonnes CO2e per kg natural gas</t>
  </si>
  <si>
    <t>http://www2.gov.bc.ca/assets/gov/environment/climate-change/policy-legislation-and-responses/carbon-neutral-government/measure-page/2016-2017_bc_best_practices_methodology_for_quantifying_ghg_emissions.pdf</t>
  </si>
  <si>
    <t>http://www.natural-gas.com.au/about/references.html</t>
  </si>
  <si>
    <t>https://en.wikipedia.org/wiki/Gasoline_gallon_equivalent#Compressed_natural_gas</t>
  </si>
  <si>
    <t>Gasoline price escalation (14 yr historical average)</t>
  </si>
  <si>
    <t>GHG emissions price</t>
  </si>
  <si>
    <t>Carbon tax</t>
  </si>
  <si>
    <t>$/tonne GHGe</t>
  </si>
  <si>
    <t>Prices and Price Projections</t>
  </si>
  <si>
    <t>Remaining additional GHG emissions price</t>
  </si>
  <si>
    <t>Future expected additional carbon tax</t>
  </si>
  <si>
    <t>"20180412 - Fuel Prices 2002-2017 - from NRCan" http://orbit.gvrd.bc.ca/orbit/llisapi.dll/open/6097083</t>
  </si>
  <si>
    <t>Last updated:</t>
  </si>
  <si>
    <t>By:</t>
  </si>
  <si>
    <t>J.Carmichael</t>
  </si>
  <si>
    <t>Items:</t>
  </si>
  <si>
    <t>Gasoline price, Diesel price, Gas inflation</t>
  </si>
  <si>
    <t>Initial capital (2018 dollars)</t>
  </si>
  <si>
    <t>$, in 2018 dollars</t>
  </si>
  <si>
    <t>$, in 2018 dollars. Function not in use (assumes no remaining asset value).</t>
  </si>
  <si>
    <t>Not in use yet. 2014 study, so data is likely from 2013 operations.</t>
  </si>
  <si>
    <t>"Metro Vancouver Business Case Standard Economic Assumptions Unit Conversions and Energy Prices": 3486591</t>
  </si>
  <si>
    <t xml:space="preserve">2.31 kg CO2 per liter gasoline: </t>
  </si>
  <si>
    <t>http://people.exeter.ac.uk/TWDavies/energy_conversion/Calculation%20of%20CO2%20emissions%20from%20fuels.htm</t>
  </si>
  <si>
    <t>As per Carbon Price Policy</t>
  </si>
  <si>
    <t>"20190402 - Fuel Prices 2002-2018 - from NRCan": 6097083</t>
  </si>
  <si>
    <t>Average since 2003</t>
  </si>
  <si>
    <t>Conversions:</t>
  </si>
  <si>
    <t>BC Hydro requested rate increases (2 years into future); past average (further)</t>
  </si>
  <si>
    <t>Assuming Small General Service Rate (may vary by charging site)</t>
  </si>
  <si>
    <t>AQCC</t>
  </si>
  <si>
    <t>THIS VALUE MAY NOT BE CORRECT.</t>
  </si>
  <si>
    <t>not in use</t>
  </si>
  <si>
    <t>parameter from other source document to be entered here</t>
  </si>
  <si>
    <t>Discounted Net Costs</t>
  </si>
  <si>
    <t>Light Duty Vehicle (sedans) Analysis Tool</t>
  </si>
  <si>
    <t>Costs and Benefits</t>
  </si>
  <si>
    <t>CASH FLOW COSTS</t>
  </si>
  <si>
    <t>Vehicle 3: Chevy Volt</t>
  </si>
  <si>
    <t>Reference data:</t>
  </si>
  <si>
    <t>3-4 miles per kWh</t>
  </si>
  <si>
    <t>https://www.chevybolt.org/threads/how-many-m-kwh-are-you-getting.6810/</t>
  </si>
  <si>
    <t>0.25 - 0.33 kWh per mile</t>
  </si>
  <si>
    <t>0.155 - 0.204 kWh per km</t>
  </si>
  <si>
    <t>So 33.7 kWh should yield 105 miles = 169 km.</t>
  </si>
  <si>
    <t>Converted in Parameters sheet.</t>
  </si>
  <si>
    <t xml:space="preserve">This tool estimates the  life cycle cost of vehicles in this vehicle class (sedans). </t>
  </si>
  <si>
    <t>Discounted costs</t>
  </si>
  <si>
    <t>VEHICLE MAINTENANCE COSTS ($)</t>
  </si>
  <si>
    <t>Discounted Costs</t>
  </si>
  <si>
    <t>Discounted total:</t>
  </si>
  <si>
    <t>Check the results assuming 15,000 km/yr, as a sensitivity analysis.</t>
  </si>
  <si>
    <t>$, in 2019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</si>
</sst>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* #,##0_-;\-* #,##0_-;_-* &quot;-&quot;??_-;_-@_-"/>
    <numFmt numFmtId="168" formatCode="_-&quot;$&quot;* #,##0_-;\-&quot;$&quot;* #,##0_-;_-&quot;$&quot;* &quot;-&quot;??_-;_-@_-"/>
    <numFmt numFmtId="169" formatCode="0.0%"/>
    <numFmt numFmtId="170" formatCode="0.000"/>
    <numFmt numFmtId="171" formatCode="_-* #,##0.0_-;\-* #,##0.0_-;_-* &quot;-&quot;??_-;_-@_-"/>
    <numFmt numFmtId="172" formatCode="_-* #,##0.000_-;\-* #,##0.000_-;_-* &quot;-&quot;??_-;_-@_-"/>
    <numFmt numFmtId="173" formatCode="0.0000"/>
    <numFmt numFmtId="174" formatCode="0.0"/>
    <numFmt numFmtId="175" formatCode="_(* #,##0_);_(* \(#,##0\);_(* &quot;-&quot;??_);_(@_)"/>
    <numFmt numFmtId="176" formatCode="_-* #,##0.0000_-;\-* #,##0.0000_-;_-* &quot;-&quot;??_-;_-@_-"/>
    <numFmt numFmtId="177" formatCode="_-* #,##0.0000000_-;\-* #,##0.0000000_-;_-* &quot;-&quot;??_-;_-@_-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2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9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ont="0" applyFill="0" applyBorder="0" applyAlignment="0" applyProtection="0">
      <alignment horizontal="left"/>
    </xf>
    <xf numFmtId="15" fontId="10" fillId="0" borderId="0" applyFont="0" applyFill="0" applyBorder="0" applyAlignment="0" applyProtection="0"/>
    <xf numFmtId="4" fontId="10" fillId="0" borderId="0" applyFont="0" applyFill="0" applyBorder="0" applyAlignment="0" applyProtection="0"/>
    <xf numFmtId="0" fontId="11" fillId="0" borderId="14">
      <alignment horizontal="center"/>
    </xf>
    <xf numFmtId="3" fontId="10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0" fontId="0" fillId="0" borderId="0" xfId="0" applyFill="1"/>
    <xf numFmtId="0" fontId="0" fillId="2" borderId="0" xfId="0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167" fontId="0" fillId="0" borderId="0" xfId="1" applyNumberFormat="1" applyFont="1" applyFill="1" applyBorder="1"/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8" fontId="0" fillId="3" borderId="0" xfId="2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8" fontId="0" fillId="0" borderId="0" xfId="2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left"/>
    </xf>
    <xf numFmtId="169" fontId="5" fillId="0" borderId="0" xfId="0" applyNumberFormat="1" applyFont="1" applyFill="1" applyBorder="1"/>
    <xf numFmtId="170" fontId="0" fillId="0" borderId="0" xfId="0" applyNumberFormat="1" applyFill="1" applyBorder="1"/>
    <xf numFmtId="0" fontId="3" fillId="4" borderId="1" xfId="0" applyFont="1" applyFill="1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3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/>
    <xf numFmtId="0" fontId="0" fillId="0" borderId="7" xfId="0" applyBorder="1"/>
    <xf numFmtId="1" fontId="3" fillId="0" borderId="8" xfId="0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1" fontId="0" fillId="0" borderId="8" xfId="0" applyNumberFormat="1" applyFill="1" applyBorder="1" applyAlignment="1">
      <alignment horizontal="center"/>
    </xf>
    <xf numFmtId="0" fontId="3" fillId="0" borderId="6" xfId="0" applyFont="1" applyFill="1" applyBorder="1"/>
    <xf numFmtId="1" fontId="3" fillId="0" borderId="8" xfId="0" applyNumberFormat="1" applyFont="1" applyFill="1" applyBorder="1" applyAlignment="1">
      <alignment horizontal="center"/>
    </xf>
    <xf numFmtId="164" fontId="2" fillId="0" borderId="8" xfId="2" applyNumberFormat="1" applyFont="1" applyFill="1" applyBorder="1" applyAlignment="1">
      <alignment horizontal="center"/>
    </xf>
    <xf numFmtId="168" fontId="3" fillId="0" borderId="8" xfId="2" applyNumberFormat="1" applyFont="1" applyBorder="1" applyAlignment="1">
      <alignment horizontal="center"/>
    </xf>
    <xf numFmtId="0" fontId="3" fillId="0" borderId="9" xfId="0" applyFont="1" applyBorder="1"/>
    <xf numFmtId="0" fontId="0" fillId="0" borderId="10" xfId="0" applyBorder="1"/>
    <xf numFmtId="164" fontId="3" fillId="0" borderId="11" xfId="2" applyNumberFormat="1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3" xfId="0" applyFill="1" applyBorder="1"/>
    <xf numFmtId="0" fontId="3" fillId="0" borderId="13" xfId="0" applyFont="1" applyBorder="1"/>
    <xf numFmtId="0" fontId="3" fillId="0" borderId="13" xfId="0" applyFont="1" applyFill="1" applyBorder="1"/>
    <xf numFmtId="1" fontId="0" fillId="0" borderId="0" xfId="0" applyNumberFormat="1"/>
    <xf numFmtId="164" fontId="2" fillId="0" borderId="8" xfId="2" applyNumberFormat="1" applyFont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169" fontId="4" fillId="5" borderId="0" xfId="3" applyNumberFormat="1" applyFont="1" applyFill="1" applyBorder="1"/>
    <xf numFmtId="0" fontId="0" fillId="5" borderId="0" xfId="0" applyFill="1" applyBorder="1"/>
    <xf numFmtId="0" fontId="3" fillId="0" borderId="0" xfId="0" applyFont="1" applyFill="1"/>
    <xf numFmtId="0" fontId="0" fillId="0" borderId="15" xfId="0" applyFont="1" applyBorder="1"/>
    <xf numFmtId="0" fontId="0" fillId="0" borderId="7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Fill="1"/>
    <xf numFmtId="164" fontId="7" fillId="0" borderId="0" xfId="2" applyNumberFormat="1" applyFont="1" applyBorder="1" applyAlignment="1">
      <alignment horizontal="center"/>
    </xf>
    <xf numFmtId="0" fontId="9" fillId="0" borderId="0" xfId="4"/>
    <xf numFmtId="0" fontId="6" fillId="0" borderId="0" xfId="4" applyFont="1"/>
    <xf numFmtId="0" fontId="3" fillId="0" borderId="0" xfId="4" applyFont="1"/>
    <xf numFmtId="0" fontId="0" fillId="0" borderId="0" xfId="0" applyFont="1" applyFill="1" applyBorder="1"/>
    <xf numFmtId="171" fontId="0" fillId="3" borderId="0" xfId="1" applyNumberFormat="1" applyFont="1" applyFill="1" applyBorder="1" applyAlignment="1">
      <alignment horizontal="center"/>
    </xf>
    <xf numFmtId="167" fontId="0" fillId="3" borderId="0" xfId="1" applyNumberFormat="1" applyFont="1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43" fontId="0" fillId="3" borderId="0" xfId="1" applyNumberFormat="1" applyFont="1" applyFill="1" applyBorder="1" applyAlignment="1">
      <alignment horizontal="center"/>
    </xf>
    <xf numFmtId="0" fontId="7" fillId="0" borderId="0" xfId="0" applyFont="1"/>
    <xf numFmtId="172" fontId="0" fillId="0" borderId="0" xfId="0" applyNumberFormat="1" applyFill="1" applyBorder="1"/>
    <xf numFmtId="0" fontId="0" fillId="0" borderId="0" xfId="4" applyFont="1"/>
    <xf numFmtId="0" fontId="12" fillId="0" borderId="0" xfId="4" applyFont="1"/>
    <xf numFmtId="0" fontId="13" fillId="0" borderId="0" xfId="58" applyAlignment="1">
      <alignment vertical="center"/>
    </xf>
    <xf numFmtId="0" fontId="0" fillId="0" borderId="0" xfId="0" applyFont="1" applyBorder="1" applyAlignment="1">
      <alignment horizontal="center"/>
    </xf>
    <xf numFmtId="169" fontId="9" fillId="0" borderId="0" xfId="4" applyNumberFormat="1"/>
    <xf numFmtId="0" fontId="0" fillId="0" borderId="0" xfId="0" applyFill="1" applyBorder="1" applyAlignment="1">
      <alignment horizontal="center"/>
    </xf>
    <xf numFmtId="2" fontId="0" fillId="5" borderId="0" xfId="0" applyNumberFormat="1" applyFill="1" applyBorder="1"/>
    <xf numFmtId="0" fontId="3" fillId="0" borderId="13" xfId="0" applyFont="1" applyFill="1" applyBorder="1" applyAlignment="1"/>
    <xf numFmtId="0" fontId="3" fillId="0" borderId="13" xfId="0" applyFont="1" applyBorder="1" applyAlignment="1"/>
    <xf numFmtId="0" fontId="13" fillId="0" borderId="0" xfId="58"/>
    <xf numFmtId="168" fontId="0" fillId="0" borderId="0" xfId="2" applyNumberFormat="1" applyFont="1" applyFill="1" applyBorder="1"/>
    <xf numFmtId="169" fontId="4" fillId="0" borderId="0" xfId="3" applyNumberFormat="1" applyFont="1" applyFill="1" applyBorder="1"/>
    <xf numFmtId="173" fontId="0" fillId="5" borderId="0" xfId="0" applyNumberFormat="1" applyFill="1" applyBorder="1"/>
    <xf numFmtId="1" fontId="0" fillId="0" borderId="0" xfId="0" applyNumberFormat="1" applyFill="1" applyBorder="1"/>
    <xf numFmtId="43" fontId="0" fillId="0" borderId="0" xfId="1" applyFont="1" applyFill="1" applyBorder="1"/>
    <xf numFmtId="174" fontId="9" fillId="0" borderId="0" xfId="4" applyNumberFormat="1"/>
    <xf numFmtId="167" fontId="9" fillId="0" borderId="0" xfId="1" applyNumberFormat="1" applyFont="1"/>
    <xf numFmtId="175" fontId="0" fillId="0" borderId="0" xfId="1" applyNumberFormat="1" applyFont="1" applyFill="1" applyBorder="1"/>
    <xf numFmtId="176" fontId="0" fillId="0" borderId="0" xfId="1" applyNumberFormat="1" applyFont="1" applyFill="1" applyBorder="1" applyAlignment="1">
      <alignment horizontal="center"/>
    </xf>
    <xf numFmtId="168" fontId="0" fillId="0" borderId="0" xfId="2" applyNumberFormat="1" applyFont="1"/>
    <xf numFmtId="168" fontId="0" fillId="0" borderId="0" xfId="0" applyNumberFormat="1"/>
    <xf numFmtId="168" fontId="0" fillId="0" borderId="16" xfId="0" applyNumberFormat="1" applyBorder="1"/>
    <xf numFmtId="167" fontId="0" fillId="0" borderId="0" xfId="1" applyNumberFormat="1" applyFont="1" applyFill="1" applyBorder="1" applyAlignment="1">
      <alignment horizontal="center"/>
    </xf>
    <xf numFmtId="171" fontId="0" fillId="0" borderId="0" xfId="1" applyNumberFormat="1" applyFont="1" applyFill="1" applyBorder="1" applyAlignment="1">
      <alignment horizontal="center"/>
    </xf>
    <xf numFmtId="9" fontId="0" fillId="6" borderId="0" xfId="3" applyFont="1" applyFill="1" applyBorder="1" applyAlignment="1">
      <alignment horizontal="center"/>
    </xf>
    <xf numFmtId="0" fontId="15" fillId="0" borderId="0" xfId="0" applyFont="1"/>
    <xf numFmtId="167" fontId="0" fillId="6" borderId="0" xfId="1" applyNumberFormat="1" applyFont="1" applyFill="1" applyBorder="1" applyAlignment="1">
      <alignment horizontal="center"/>
    </xf>
    <xf numFmtId="175" fontId="0" fillId="0" borderId="0" xfId="0" applyNumberFormat="1"/>
    <xf numFmtId="170" fontId="9" fillId="0" borderId="0" xfId="4" applyNumberFormat="1"/>
    <xf numFmtId="1" fontId="9" fillId="0" borderId="0" xfId="4" applyNumberFormat="1"/>
    <xf numFmtId="166" fontId="0" fillId="0" borderId="0" xfId="0" applyNumberFormat="1" applyFill="1" applyBorder="1"/>
    <xf numFmtId="15" fontId="9" fillId="0" borderId="0" xfId="4" applyNumberFormat="1"/>
    <xf numFmtId="43" fontId="0" fillId="6" borderId="0" xfId="1" applyNumberFormat="1" applyFont="1" applyFill="1" applyBorder="1" applyAlignment="1">
      <alignment horizontal="center"/>
    </xf>
    <xf numFmtId="0" fontId="9" fillId="6" borderId="0" xfId="4" applyFill="1"/>
    <xf numFmtId="176" fontId="0" fillId="3" borderId="0" xfId="1" applyNumberFormat="1" applyFont="1" applyFill="1" applyBorder="1" applyAlignment="1">
      <alignment horizontal="center"/>
    </xf>
    <xf numFmtId="177" fontId="0" fillId="3" borderId="0" xfId="1" applyNumberFormat="1" applyFont="1" applyFill="1" applyBorder="1" applyAlignment="1">
      <alignment horizontal="center"/>
    </xf>
    <xf numFmtId="166" fontId="0" fillId="0" borderId="0" xfId="0" applyNumberFormat="1" applyFill="1"/>
    <xf numFmtId="166" fontId="9" fillId="0" borderId="0" xfId="4" applyNumberFormat="1"/>
    <xf numFmtId="14" fontId="0" fillId="0" borderId="0" xfId="0" applyNumberFormat="1" applyAlignment="1">
      <alignment horizontal="right"/>
    </xf>
    <xf numFmtId="43" fontId="0" fillId="0" borderId="0" xfId="1" applyNumberFormat="1" applyFont="1" applyFill="1" applyBorder="1" applyAlignment="1">
      <alignment horizontal="center"/>
    </xf>
    <xf numFmtId="0" fontId="6" fillId="0" borderId="0" xfId="0" applyFont="1"/>
    <xf numFmtId="0" fontId="4" fillId="0" borderId="0" xfId="0" applyFont="1"/>
    <xf numFmtId="164" fontId="4" fillId="0" borderId="0" xfId="0" applyNumberFormat="1" applyFont="1"/>
    <xf numFmtId="164" fontId="6" fillId="0" borderId="0" xfId="0" applyNumberFormat="1" applyFont="1"/>
    <xf numFmtId="164" fontId="2" fillId="0" borderId="7" xfId="2" applyNumberFormat="1" applyFont="1" applyFill="1" applyBorder="1" applyAlignment="1">
      <alignment horizontal="center"/>
    </xf>
    <xf numFmtId="168" fontId="0" fillId="7" borderId="0" xfId="2" applyNumberFormat="1" applyFont="1" applyFill="1" applyBorder="1"/>
    <xf numFmtId="168" fontId="2" fillId="0" borderId="8" xfId="2" applyNumberFormat="1" applyFont="1" applyFill="1" applyBorder="1" applyAlignment="1">
      <alignment horizontal="center"/>
    </xf>
    <xf numFmtId="168" fontId="3" fillId="0" borderId="11" xfId="2" applyNumberFormat="1" applyFont="1" applyBorder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9" fontId="0" fillId="5" borderId="0" xfId="3" applyFont="1" applyFill="1" applyBorder="1"/>
    <xf numFmtId="169" fontId="0" fillId="5" borderId="0" xfId="3" applyNumberFormat="1" applyFont="1" applyFill="1" applyBorder="1"/>
    <xf numFmtId="168" fontId="0" fillId="0" borderId="0" xfId="0" applyNumberFormat="1" applyFill="1"/>
    <xf numFmtId="167" fontId="0" fillId="0" borderId="0" xfId="0" applyNumberFormat="1" applyBorder="1"/>
    <xf numFmtId="169" fontId="16" fillId="3" borderId="0" xfId="3" applyNumberFormat="1" applyFont="1" applyFill="1" applyBorder="1" applyAlignment="1">
      <alignment horizontal="center"/>
    </xf>
    <xf numFmtId="9" fontId="2" fillId="3" borderId="0" xfId="3" applyFont="1" applyFill="1" applyBorder="1" applyAlignment="1">
      <alignment horizontal="center"/>
    </xf>
    <xf numFmtId="169" fontId="2" fillId="3" borderId="0" xfId="3" applyNumberFormat="1" applyFont="1" applyFill="1" applyBorder="1" applyAlignment="1">
      <alignment horizontal="center"/>
    </xf>
    <xf numFmtId="43" fontId="2" fillId="0" borderId="0" xfId="0" applyNumberFormat="1" applyFont="1" applyFill="1" applyBorder="1"/>
    <xf numFmtId="170" fontId="2" fillId="0" borderId="0" xfId="0" applyNumberFormat="1" applyFont="1" applyFill="1" applyBorder="1"/>
  </cellXfs>
  <cellStyles count="59">
    <cellStyle name="Comma" xfId="1" builtinId="3"/>
    <cellStyle name="Comma 2" xfId="8"/>
    <cellStyle name="Comma 2 2" xfId="9"/>
    <cellStyle name="Comma 2 2 2" xfId="10"/>
    <cellStyle name="Comma 2 3" xfId="11"/>
    <cellStyle name="Comma 3" xfId="12"/>
    <cellStyle name="Comma 3 2" xfId="13"/>
    <cellStyle name="Comma 3 2 2" xfId="14"/>
    <cellStyle name="Comma 4" xfId="15"/>
    <cellStyle name="Comma 4 2" xfId="16"/>
    <cellStyle name="Comma 4 2 2" xfId="17"/>
    <cellStyle name="Currency" xfId="2" builtinId="4"/>
    <cellStyle name="Currency 2" xfId="5"/>
    <cellStyle name="Currency 2 2" xfId="6"/>
    <cellStyle name="Currency 2 3" xfId="18"/>
    <cellStyle name="Currency 3" xfId="19"/>
    <cellStyle name="Currency 4" xfId="20"/>
    <cellStyle name="Hyperlink" xfId="58" builtinId="8"/>
    <cellStyle name="Normal" xfId="0" builtinId="0"/>
    <cellStyle name="Normal 2" xfId="4"/>
    <cellStyle name="Normal 2 2" xfId="21"/>
    <cellStyle name="Normal 2 2 2" xfId="22"/>
    <cellStyle name="Normal 2 2 3" xfId="23"/>
    <cellStyle name="Normal 2 3" xfId="24"/>
    <cellStyle name="Normal 2 4" xfId="25"/>
    <cellStyle name="Normal 2 5" xfId="26"/>
    <cellStyle name="Normal 2 6" xfId="27"/>
    <cellStyle name="Normal 2 7" xfId="28"/>
    <cellStyle name="Normal 2 8" xfId="29"/>
    <cellStyle name="Normal 2 9" xfId="30"/>
    <cellStyle name="Normal 3 2" xfId="31"/>
    <cellStyle name="Normal 3 3" xfId="32"/>
    <cellStyle name="Normal 3 4" xfId="33"/>
    <cellStyle name="Normal 3 5" xfId="34"/>
    <cellStyle name="Normal 3 6" xfId="35"/>
    <cellStyle name="Normal 3 7" xfId="36"/>
    <cellStyle name="Normal 4 2" xfId="37"/>
    <cellStyle name="Normal 4 3" xfId="38"/>
    <cellStyle name="Normal 4 4" xfId="39"/>
    <cellStyle name="Normal 4 5" xfId="40"/>
    <cellStyle name="Normal 4 6" xfId="41"/>
    <cellStyle name="Normal 4 7" xfId="42"/>
    <cellStyle name="Normal 5 2" xfId="43"/>
    <cellStyle name="Normal 5 3" xfId="44"/>
    <cellStyle name="Normal 5 4" xfId="45"/>
    <cellStyle name="Normal 5 5" xfId="46"/>
    <cellStyle name="Normal 5 6" xfId="47"/>
    <cellStyle name="Normal 5 7" xfId="48"/>
    <cellStyle name="Normal 6" xfId="49"/>
    <cellStyle name="Normal 7" xfId="50"/>
    <cellStyle name="Percent" xfId="3" builtinId="5"/>
    <cellStyle name="Percent 2" xfId="7"/>
    <cellStyle name="Percent 2 2" xfId="51"/>
    <cellStyle name="Percent 3" xfId="52"/>
    <cellStyle name="PSChar" xfId="53"/>
    <cellStyle name="PSDate" xfId="54"/>
    <cellStyle name="PSDec" xfId="55"/>
    <cellStyle name="PSHeading" xfId="56"/>
    <cellStyle name="PSInt" xfId="57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Life</a:t>
            </a:r>
            <a:r>
              <a:rPr lang="en-CA" baseline="0"/>
              <a:t> Cycle Costs and Revenues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15161115064698"/>
          <c:y val="0.15649789029535865"/>
          <c:w val="0.74808842772204498"/>
          <c:h val="0.423666899232532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'LD sedans'!$B$194</c:f>
              <c:strCache>
                <c:ptCount val="1"/>
                <c:pt idx="0">
                  <c:v>Upfront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'LD sedans'!$E$193:$G$193</c:f>
              <c:strCache>
                <c:ptCount val="3"/>
                <c:pt idx="0">
                  <c:v>Nissan Sentra</c:v>
                </c:pt>
                <c:pt idx="1">
                  <c:v>Toyota Prius</c:v>
                </c:pt>
                <c:pt idx="2">
                  <c:v>Chevy Volt</c:v>
                </c:pt>
              </c:strCache>
            </c:strRef>
          </c:cat>
          <c:val>
            <c:numRef>
              <c:f>'LD sedans'!$E$194:$G$194</c:f>
              <c:numCache>
                <c:formatCode>_-"$"* #,##0_-;\-"$"* #,##0_-;_-"$"* "-"??_-;_-@_-</c:formatCode>
                <c:ptCount val="3"/>
                <c:pt idx="0">
                  <c:v>-19000</c:v>
                </c:pt>
                <c:pt idx="1">
                  <c:v>-31990</c:v>
                </c:pt>
                <c:pt idx="2">
                  <c:v>-38000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94C-AAE2-CEB023694E19}"/>
            </c:ext>
          </c:extLst>
        </c:ser>
        <c:ser>
          <c:idx val="3"/>
          <c:order val="1"/>
          <c:tx>
            <c:strRef>
              <c:f>'LD sedans'!$B$197</c:f>
              <c:strCache>
                <c:ptCount val="1"/>
                <c:pt idx="0">
                  <c:v>Gasoline purchases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'LD sedans'!$E$193:$G$193</c:f>
              <c:strCache>
                <c:ptCount val="3"/>
                <c:pt idx="0">
                  <c:v>Nissan Sentra</c:v>
                </c:pt>
                <c:pt idx="1">
                  <c:v>Toyota Prius</c:v>
                </c:pt>
                <c:pt idx="2">
                  <c:v>Chevy Volt</c:v>
                </c:pt>
              </c:strCache>
            </c:strRef>
          </c:cat>
          <c:val>
            <c:numRef>
              <c:f>'LD sedans'!$E$197:$G$197</c:f>
              <c:numCache>
                <c:formatCode>_-"$"* #,##0_-;\-"$"* #,##0_-;_-"$"* "-"??_-;_-@_-</c:formatCode>
                <c:ptCount val="3"/>
                <c:pt idx="0">
                  <c:v>-26878.035815761355</c:v>
                </c:pt>
                <c:pt idx="1">
                  <c:v>-15283.588993276062</c:v>
                </c:pt>
                <c:pt idx="2">
                  <c:v>-3711.7287555099019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C-494C-AAE2-CEB023694E19}"/>
            </c:ext>
          </c:extLst>
        </c:ser>
        <c:ser>
          <c:idx val="4"/>
          <c:order val="2"/>
          <c:tx>
            <c:strRef>
              <c:f>'LD sedans'!$B$198</c:f>
              <c:strCache>
                <c:ptCount val="1"/>
                <c:pt idx="0">
                  <c:v>Electricity purchases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'LD sedans'!$E$193:$G$193</c:f>
              <c:strCache>
                <c:ptCount val="3"/>
                <c:pt idx="0">
                  <c:v>Nissan Sentra</c:v>
                </c:pt>
                <c:pt idx="1">
                  <c:v>Toyota Prius</c:v>
                </c:pt>
                <c:pt idx="2">
                  <c:v>Chevy Volt</c:v>
                </c:pt>
              </c:strCache>
            </c:strRef>
          </c:cat>
          <c:val>
            <c:numRef>
              <c:f>'LD sedans'!$E$198:$G$198</c:f>
              <c:numCache>
                <c:formatCode>_-"$"* #,##0_-;\-"$"* #,##0_-;_-"$"*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-3584.2145397864897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0C-494C-AAE2-CEB023694E19}"/>
            </c:ext>
          </c:extLst>
        </c:ser>
        <c:ser>
          <c:idx val="6"/>
          <c:order val="3"/>
          <c:tx>
            <c:strRef>
              <c:f>'LD sedans'!$B$199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'LD sedans'!$E$193:$G$193</c:f>
              <c:strCache>
                <c:ptCount val="3"/>
                <c:pt idx="0">
                  <c:v>Nissan Sentra</c:v>
                </c:pt>
                <c:pt idx="1">
                  <c:v>Toyota Prius</c:v>
                </c:pt>
                <c:pt idx="2">
                  <c:v>Chevy Volt</c:v>
                </c:pt>
              </c:strCache>
            </c:strRef>
          </c:cat>
          <c:val>
            <c:numRef>
              <c:f>'LD sedans'!$E$199:$G$199</c:f>
              <c:numCache>
                <c:formatCode>_-"$"* #,##0_-;\-"$"* #,##0_-;_-"$"* "-"??_-;_-@_-</c:formatCode>
                <c:ptCount val="3"/>
                <c:pt idx="0">
                  <c:v>-6984.4536905846344</c:v>
                </c:pt>
                <c:pt idx="1">
                  <c:v>-6984.4536905846344</c:v>
                </c:pt>
                <c:pt idx="2">
                  <c:v>-6984.4536905846344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0C-494C-AAE2-CEB023694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566456"/>
        <c:axId val="290015072"/>
      </c:barChart>
      <c:catAx>
        <c:axId val="21756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15072"/>
        <c:crosses val="autoZero"/>
        <c:auto val="1"/>
        <c:lblAlgn val="ctr"/>
        <c:lblOffset val="100"/>
        <c:noMultiLvlLbl val="0"/>
      </c:catAx>
      <c:valAx>
        <c:axId val="290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6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58785764024395"/>
          <c:y val="0.62235888235489545"/>
          <c:w val="0.62854020798420596"/>
          <c:h val="0.35232466194890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190</xdr:row>
      <xdr:rowOff>85726</xdr:rowOff>
    </xdr:from>
    <xdr:to>
      <xdr:col>12</xdr:col>
      <xdr:colOff>657225</xdr:colOff>
      <xdr:row>206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rbit.gvrd.bc.ca/orbit/llisapi.dll/open/348659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people.exeter.ac.uk/TWDavies/energy_conversion/Calculation%20of%20CO2%20emissions%20from%20fuels.htm" TargetMode="External"/><Relationship Id="rId7" Type="http://schemas.openxmlformats.org/officeDocument/2006/relationships/hyperlink" Target="http://orbit.gvrd.bc.ca/orbit/llisapi.dll/open/3486591" TargetMode="External"/><Relationship Id="rId12" Type="http://schemas.openxmlformats.org/officeDocument/2006/relationships/hyperlink" Target="https://www.chevybolt.org/threads/how-many-m-kwh-are-you-getting.6810/" TargetMode="External"/><Relationship Id="rId2" Type="http://schemas.openxmlformats.org/officeDocument/2006/relationships/hyperlink" Target="http://orbit.gvrd.bc.ca/orbit/llisapi.dll/open/17263087" TargetMode="External"/><Relationship Id="rId1" Type="http://schemas.openxmlformats.org/officeDocument/2006/relationships/hyperlink" Target="http://orbit.gvrd.bc.ca/orbit/llisapi.dll/open/17263087" TargetMode="External"/><Relationship Id="rId6" Type="http://schemas.openxmlformats.org/officeDocument/2006/relationships/hyperlink" Target="http://orbit.gvrd.bc.ca/orbit/llisapi.dll/open/6097083" TargetMode="External"/><Relationship Id="rId11" Type="http://schemas.openxmlformats.org/officeDocument/2006/relationships/hyperlink" Target="http://orbit.gvrd.bc.ca/orbit/llisapi.dll/open/3486591" TargetMode="External"/><Relationship Id="rId5" Type="http://schemas.openxmlformats.org/officeDocument/2006/relationships/hyperlink" Target="http://orbit.gvrd.bc.ca/orbit/llisapi.dll/open/6097083" TargetMode="External"/><Relationship Id="rId10" Type="http://schemas.openxmlformats.org/officeDocument/2006/relationships/hyperlink" Target="http://orbit.gvrd.bc.ca/orbit/llisapi.dll/open/3486591" TargetMode="External"/><Relationship Id="rId4" Type="http://schemas.openxmlformats.org/officeDocument/2006/relationships/hyperlink" Target="http://www.natural-gas.com.au/about/references.html" TargetMode="External"/><Relationship Id="rId9" Type="http://schemas.openxmlformats.org/officeDocument/2006/relationships/hyperlink" Target="http://orbit.gvrd.bc.ca/orbit/llisapi.dll/open/348659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Z52"/>
  <sheetViews>
    <sheetView zoomScale="70" zoomScaleNormal="70" workbookViewId="0">
      <selection activeCell="K34" sqref="K34"/>
    </sheetView>
  </sheetViews>
  <sheetFormatPr defaultRowHeight="12.75" x14ac:dyDescent="0.2"/>
  <cols>
    <col min="1" max="2" width="2.85546875" style="57" customWidth="1"/>
    <col min="3" max="3" width="18.5703125" style="57" customWidth="1"/>
    <col min="4" max="4" width="9.140625" style="57"/>
    <col min="5" max="5" width="11" style="57" bestFit="1" customWidth="1"/>
    <col min="6" max="6" width="15.28515625" style="57" bestFit="1" customWidth="1"/>
    <col min="7" max="10" width="9.140625" style="57"/>
    <col min="11" max="11" width="7.42578125" style="57" customWidth="1"/>
    <col min="12" max="16" width="7.42578125" style="57" bestFit="1" customWidth="1"/>
    <col min="17" max="17" width="9.140625" style="57"/>
    <col min="18" max="18" width="15.5703125" style="57" customWidth="1"/>
    <col min="19" max="19" width="1.85546875" style="57" customWidth="1"/>
    <col min="20" max="24" width="9.140625" style="57"/>
    <col min="25" max="25" width="3.5703125" style="57" customWidth="1"/>
    <col min="26" max="271" width="9.140625" style="57"/>
    <col min="272" max="272" width="9.140625" style="57" customWidth="1"/>
    <col min="273" max="527" width="9.140625" style="57"/>
    <col min="528" max="528" width="9.140625" style="57" customWidth="1"/>
    <col min="529" max="783" width="9.140625" style="57"/>
    <col min="784" max="784" width="9.140625" style="57" customWidth="1"/>
    <col min="785" max="1039" width="9.140625" style="57"/>
    <col min="1040" max="1040" width="9.140625" style="57" customWidth="1"/>
    <col min="1041" max="1295" width="9.140625" style="57"/>
    <col min="1296" max="1296" width="9.140625" style="57" customWidth="1"/>
    <col min="1297" max="1551" width="9.140625" style="57"/>
    <col min="1552" max="1552" width="9.140625" style="57" customWidth="1"/>
    <col min="1553" max="1807" width="9.140625" style="57"/>
    <col min="1808" max="1808" width="9.140625" style="57" customWidth="1"/>
    <col min="1809" max="2063" width="9.140625" style="57"/>
    <col min="2064" max="2064" width="9.140625" style="57" customWidth="1"/>
    <col min="2065" max="2319" width="9.140625" style="57"/>
    <col min="2320" max="2320" width="9.140625" style="57" customWidth="1"/>
    <col min="2321" max="2575" width="9.140625" style="57"/>
    <col min="2576" max="2576" width="9.140625" style="57" customWidth="1"/>
    <col min="2577" max="2831" width="9.140625" style="57"/>
    <col min="2832" max="2832" width="9.140625" style="57" customWidth="1"/>
    <col min="2833" max="3087" width="9.140625" style="57"/>
    <col min="3088" max="3088" width="9.140625" style="57" customWidth="1"/>
    <col min="3089" max="3343" width="9.140625" style="57"/>
    <col min="3344" max="3344" width="9.140625" style="57" customWidth="1"/>
    <col min="3345" max="3599" width="9.140625" style="57"/>
    <col min="3600" max="3600" width="9.140625" style="57" customWidth="1"/>
    <col min="3601" max="3855" width="9.140625" style="57"/>
    <col min="3856" max="3856" width="9.140625" style="57" customWidth="1"/>
    <col min="3857" max="4111" width="9.140625" style="57"/>
    <col min="4112" max="4112" width="9.140625" style="57" customWidth="1"/>
    <col min="4113" max="4367" width="9.140625" style="57"/>
    <col min="4368" max="4368" width="9.140625" style="57" customWidth="1"/>
    <col min="4369" max="4623" width="9.140625" style="57"/>
    <col min="4624" max="4624" width="9.140625" style="57" customWidth="1"/>
    <col min="4625" max="4879" width="9.140625" style="57"/>
    <col min="4880" max="4880" width="9.140625" style="57" customWidth="1"/>
    <col min="4881" max="5135" width="9.140625" style="57"/>
    <col min="5136" max="5136" width="9.140625" style="57" customWidth="1"/>
    <col min="5137" max="5391" width="9.140625" style="57"/>
    <col min="5392" max="5392" width="9.140625" style="57" customWidth="1"/>
    <col min="5393" max="5647" width="9.140625" style="57"/>
    <col min="5648" max="5648" width="9.140625" style="57" customWidth="1"/>
    <col min="5649" max="5903" width="9.140625" style="57"/>
    <col min="5904" max="5904" width="9.140625" style="57" customWidth="1"/>
    <col min="5905" max="6159" width="9.140625" style="57"/>
    <col min="6160" max="6160" width="9.140625" style="57" customWidth="1"/>
    <col min="6161" max="6415" width="9.140625" style="57"/>
    <col min="6416" max="6416" width="9.140625" style="57" customWidth="1"/>
    <col min="6417" max="6671" width="9.140625" style="57"/>
    <col min="6672" max="6672" width="9.140625" style="57" customWidth="1"/>
    <col min="6673" max="6927" width="9.140625" style="57"/>
    <col min="6928" max="6928" width="9.140625" style="57" customWidth="1"/>
    <col min="6929" max="7183" width="9.140625" style="57"/>
    <col min="7184" max="7184" width="9.140625" style="57" customWidth="1"/>
    <col min="7185" max="7439" width="9.140625" style="57"/>
    <col min="7440" max="7440" width="9.140625" style="57" customWidth="1"/>
    <col min="7441" max="7695" width="9.140625" style="57"/>
    <col min="7696" max="7696" width="9.140625" style="57" customWidth="1"/>
    <col min="7697" max="7951" width="9.140625" style="57"/>
    <col min="7952" max="7952" width="9.140625" style="57" customWidth="1"/>
    <col min="7953" max="8207" width="9.140625" style="57"/>
    <col min="8208" max="8208" width="9.140625" style="57" customWidth="1"/>
    <col min="8209" max="8463" width="9.140625" style="57"/>
    <col min="8464" max="8464" width="9.140625" style="57" customWidth="1"/>
    <col min="8465" max="8719" width="9.140625" style="57"/>
    <col min="8720" max="8720" width="9.140625" style="57" customWidth="1"/>
    <col min="8721" max="8975" width="9.140625" style="57"/>
    <col min="8976" max="8976" width="9.140625" style="57" customWidth="1"/>
    <col min="8977" max="9231" width="9.140625" style="57"/>
    <col min="9232" max="9232" width="9.140625" style="57" customWidth="1"/>
    <col min="9233" max="9487" width="9.140625" style="57"/>
    <col min="9488" max="9488" width="9.140625" style="57" customWidth="1"/>
    <col min="9489" max="9743" width="9.140625" style="57"/>
    <col min="9744" max="9744" width="9.140625" style="57" customWidth="1"/>
    <col min="9745" max="9999" width="9.140625" style="57"/>
    <col min="10000" max="10000" width="9.140625" style="57" customWidth="1"/>
    <col min="10001" max="10255" width="9.140625" style="57"/>
    <col min="10256" max="10256" width="9.140625" style="57" customWidth="1"/>
    <col min="10257" max="10511" width="9.140625" style="57"/>
    <col min="10512" max="10512" width="9.140625" style="57" customWidth="1"/>
    <col min="10513" max="10767" width="9.140625" style="57"/>
    <col min="10768" max="10768" width="9.140625" style="57" customWidth="1"/>
    <col min="10769" max="11023" width="9.140625" style="57"/>
    <col min="11024" max="11024" width="9.140625" style="57" customWidth="1"/>
    <col min="11025" max="11279" width="9.140625" style="57"/>
    <col min="11280" max="11280" width="9.140625" style="57" customWidth="1"/>
    <col min="11281" max="11535" width="9.140625" style="57"/>
    <col min="11536" max="11536" width="9.140625" style="57" customWidth="1"/>
    <col min="11537" max="11791" width="9.140625" style="57"/>
    <col min="11792" max="11792" width="9.140625" style="57" customWidth="1"/>
    <col min="11793" max="12047" width="9.140625" style="57"/>
    <col min="12048" max="12048" width="9.140625" style="57" customWidth="1"/>
    <col min="12049" max="12303" width="9.140625" style="57"/>
    <col min="12304" max="12304" width="9.140625" style="57" customWidth="1"/>
    <col min="12305" max="12559" width="9.140625" style="57"/>
    <col min="12560" max="12560" width="9.140625" style="57" customWidth="1"/>
    <col min="12561" max="12815" width="9.140625" style="57"/>
    <col min="12816" max="12816" width="9.140625" style="57" customWidth="1"/>
    <col min="12817" max="13071" width="9.140625" style="57"/>
    <col min="13072" max="13072" width="9.140625" style="57" customWidth="1"/>
    <col min="13073" max="13327" width="9.140625" style="57"/>
    <col min="13328" max="13328" width="9.140625" style="57" customWidth="1"/>
    <col min="13329" max="13583" width="9.140625" style="57"/>
    <col min="13584" max="13584" width="9.140625" style="57" customWidth="1"/>
    <col min="13585" max="13839" width="9.140625" style="57"/>
    <col min="13840" max="13840" width="9.140625" style="57" customWidth="1"/>
    <col min="13841" max="14095" width="9.140625" style="57"/>
    <col min="14096" max="14096" width="9.140625" style="57" customWidth="1"/>
    <col min="14097" max="14351" width="9.140625" style="57"/>
    <col min="14352" max="14352" width="9.140625" style="57" customWidth="1"/>
    <col min="14353" max="14607" width="9.140625" style="57"/>
    <col min="14608" max="14608" width="9.140625" style="57" customWidth="1"/>
    <col min="14609" max="14863" width="9.140625" style="57"/>
    <col min="14864" max="14864" width="9.140625" style="57" customWidth="1"/>
    <col min="14865" max="15119" width="9.140625" style="57"/>
    <col min="15120" max="15120" width="9.140625" style="57" customWidth="1"/>
    <col min="15121" max="15375" width="9.140625" style="57"/>
    <col min="15376" max="15376" width="9.140625" style="57" customWidth="1"/>
    <col min="15377" max="15631" width="9.140625" style="57"/>
    <col min="15632" max="15632" width="9.140625" style="57" customWidth="1"/>
    <col min="15633" max="15887" width="9.140625" style="57"/>
    <col min="15888" max="15888" width="9.140625" style="57" customWidth="1"/>
    <col min="15889" max="16143" width="9.140625" style="57"/>
    <col min="16144" max="16144" width="9.140625" style="57" customWidth="1"/>
    <col min="16145" max="16384" width="9.140625" style="57"/>
  </cols>
  <sheetData>
    <row r="1" spans="1:26" ht="15.75" x14ac:dyDescent="0.25">
      <c r="A1" s="58" t="s">
        <v>39</v>
      </c>
      <c r="B1" s="58"/>
      <c r="G1" s="67" t="s">
        <v>120</v>
      </c>
      <c r="I1" s="98">
        <v>43579</v>
      </c>
    </row>
    <row r="2" spans="1:26" x14ac:dyDescent="0.2">
      <c r="G2" s="67" t="s">
        <v>121</v>
      </c>
      <c r="I2" s="67" t="s">
        <v>122</v>
      </c>
      <c r="R2" s="59" t="s">
        <v>8</v>
      </c>
      <c r="T2" s="59" t="s">
        <v>24</v>
      </c>
      <c r="Z2" s="59" t="s">
        <v>40</v>
      </c>
    </row>
    <row r="3" spans="1:26" x14ac:dyDescent="0.2">
      <c r="G3" s="67" t="s">
        <v>123</v>
      </c>
      <c r="I3" s="67" t="s">
        <v>124</v>
      </c>
    </row>
    <row r="4" spans="1:26" x14ac:dyDescent="0.2">
      <c r="C4" s="5" t="s">
        <v>16</v>
      </c>
      <c r="D4" s="5"/>
      <c r="E4" s="63">
        <v>0</v>
      </c>
      <c r="R4" s="5" t="s">
        <v>0</v>
      </c>
      <c r="Z4" s="69" t="s">
        <v>129</v>
      </c>
    </row>
    <row r="5" spans="1:26" x14ac:dyDescent="0.2">
      <c r="C5" s="5" t="s">
        <v>1</v>
      </c>
      <c r="D5" s="5"/>
      <c r="E5" s="120">
        <v>3.5000000000000003E-2</v>
      </c>
      <c r="R5" s="5" t="s">
        <v>0</v>
      </c>
      <c r="Z5" s="69" t="s">
        <v>129</v>
      </c>
    </row>
    <row r="6" spans="1:26" x14ac:dyDescent="0.2">
      <c r="C6" s="5" t="s">
        <v>51</v>
      </c>
      <c r="D6" s="5"/>
      <c r="E6" s="121">
        <v>0.02</v>
      </c>
      <c r="R6" s="5" t="s">
        <v>0</v>
      </c>
      <c r="Z6" s="69" t="s">
        <v>129</v>
      </c>
    </row>
    <row r="8" spans="1:26" ht="15" x14ac:dyDescent="0.25">
      <c r="B8" s="68" t="s">
        <v>116</v>
      </c>
    </row>
    <row r="9" spans="1:26" x14ac:dyDescent="0.2">
      <c r="C9" s="67" t="s">
        <v>46</v>
      </c>
    </row>
    <row r="10" spans="1:26" x14ac:dyDescent="0.2">
      <c r="C10" s="5" t="s">
        <v>47</v>
      </c>
      <c r="D10" s="5"/>
      <c r="E10" s="99">
        <v>684.89</v>
      </c>
      <c r="R10" s="5" t="s">
        <v>55</v>
      </c>
      <c r="T10" s="67" t="s">
        <v>128</v>
      </c>
      <c r="Z10" s="76" t="s">
        <v>52</v>
      </c>
    </row>
    <row r="11" spans="1:26" x14ac:dyDescent="0.2">
      <c r="C11" s="5" t="s">
        <v>48</v>
      </c>
      <c r="D11" s="5"/>
      <c r="E11" s="99">
        <v>278.75</v>
      </c>
      <c r="R11" s="5" t="s">
        <v>55</v>
      </c>
      <c r="T11" s="67" t="s">
        <v>128</v>
      </c>
      <c r="Z11" s="76" t="s">
        <v>52</v>
      </c>
    </row>
    <row r="13" spans="1:26" ht="15" x14ac:dyDescent="0.25">
      <c r="B13" s="68"/>
      <c r="C13" s="67" t="s">
        <v>54</v>
      </c>
      <c r="F13" s="5"/>
    </row>
    <row r="14" spans="1:26" x14ac:dyDescent="0.2">
      <c r="F14" s="70">
        <v>2018</v>
      </c>
      <c r="G14" s="70">
        <f t="shared" ref="G14" si="0">F14+1</f>
        <v>2019</v>
      </c>
      <c r="H14" s="70">
        <f t="shared" ref="H14" si="1">G14+1</f>
        <v>2020</v>
      </c>
      <c r="I14" s="70">
        <f t="shared" ref="I14" si="2">H14+1</f>
        <v>2021</v>
      </c>
      <c r="J14" s="70">
        <f t="shared" ref="J14" si="3">I14+1</f>
        <v>2022</v>
      </c>
      <c r="K14" s="70">
        <f t="shared" ref="K14" si="4">J14+1</f>
        <v>2023</v>
      </c>
      <c r="L14" s="70">
        <f t="shared" ref="L14" si="5">K14+1</f>
        <v>2024</v>
      </c>
      <c r="M14" s="70">
        <f t="shared" ref="M14" si="6">L14+1</f>
        <v>2025</v>
      </c>
      <c r="N14" s="70">
        <f t="shared" ref="N14:P14" si="7">M14+1</f>
        <v>2026</v>
      </c>
      <c r="O14" s="70">
        <f t="shared" ref="O14" si="8">N14+1</f>
        <v>2027</v>
      </c>
      <c r="P14" s="70">
        <f t="shared" si="7"/>
        <v>2028</v>
      </c>
      <c r="Z14" s="67"/>
    </row>
    <row r="15" spans="1:26" x14ac:dyDescent="0.2">
      <c r="C15" s="67" t="s">
        <v>113</v>
      </c>
      <c r="F15" s="62">
        <v>150</v>
      </c>
      <c r="G15" s="62">
        <v>150</v>
      </c>
      <c r="H15" s="62">
        <v>150</v>
      </c>
      <c r="I15" s="62">
        <v>150</v>
      </c>
      <c r="J15" s="62">
        <v>150</v>
      </c>
      <c r="K15" s="62">
        <v>150</v>
      </c>
      <c r="L15" s="62">
        <v>150</v>
      </c>
      <c r="M15" s="62">
        <v>150</v>
      </c>
      <c r="N15" s="62">
        <v>150</v>
      </c>
      <c r="O15" s="62">
        <v>150</v>
      </c>
      <c r="P15" s="62">
        <v>150</v>
      </c>
      <c r="R15" s="67" t="s">
        <v>115</v>
      </c>
      <c r="T15" s="67" t="s">
        <v>132</v>
      </c>
    </row>
    <row r="16" spans="1:26" x14ac:dyDescent="0.2">
      <c r="C16" s="67" t="s">
        <v>114</v>
      </c>
      <c r="F16" s="62">
        <v>30</v>
      </c>
      <c r="G16" s="62">
        <v>30</v>
      </c>
      <c r="H16" s="62">
        <v>30</v>
      </c>
      <c r="I16" s="62">
        <v>30</v>
      </c>
      <c r="J16" s="62">
        <v>40</v>
      </c>
      <c r="K16" s="62">
        <v>50</v>
      </c>
      <c r="L16" s="62">
        <v>50</v>
      </c>
      <c r="M16" s="62">
        <v>50</v>
      </c>
      <c r="N16" s="62">
        <v>50</v>
      </c>
      <c r="O16" s="62">
        <v>50</v>
      </c>
      <c r="P16" s="62">
        <v>50</v>
      </c>
      <c r="R16" s="67" t="s">
        <v>115</v>
      </c>
      <c r="Z16" s="67"/>
    </row>
    <row r="17" spans="2:26" x14ac:dyDescent="0.2">
      <c r="C17" s="67" t="s">
        <v>118</v>
      </c>
      <c r="E17" s="89"/>
      <c r="F17" s="89">
        <f>IF(F16&gt;$F16,(F16-$F16),0)</f>
        <v>0</v>
      </c>
      <c r="G17" s="89">
        <f>IF(G16&gt;$F16,(G16-$F16),0)</f>
        <v>0</v>
      </c>
      <c r="H17" s="89">
        <f>IF(H16&gt;$F16,(H16-$F16),0)</f>
        <v>0</v>
      </c>
      <c r="I17" s="89">
        <f t="shared" ref="I17:P17" si="9">IF(I16&gt;$F16,(I16-$F16),0)</f>
        <v>0</v>
      </c>
      <c r="J17" s="89">
        <f t="shared" si="9"/>
        <v>10</v>
      </c>
      <c r="K17" s="89">
        <f t="shared" si="9"/>
        <v>20</v>
      </c>
      <c r="L17" s="89">
        <f t="shared" si="9"/>
        <v>20</v>
      </c>
      <c r="M17" s="89">
        <f t="shared" si="9"/>
        <v>20</v>
      </c>
      <c r="N17" s="89">
        <f t="shared" si="9"/>
        <v>20</v>
      </c>
      <c r="O17" s="89">
        <f t="shared" si="9"/>
        <v>20</v>
      </c>
      <c r="P17" s="89">
        <f t="shared" si="9"/>
        <v>20</v>
      </c>
      <c r="R17" s="67" t="s">
        <v>115</v>
      </c>
      <c r="Z17" s="67"/>
    </row>
    <row r="18" spans="2:26" x14ac:dyDescent="0.2">
      <c r="C18" s="67" t="s">
        <v>117</v>
      </c>
      <c r="E18" s="89"/>
      <c r="F18" s="89">
        <f>F15-F16</f>
        <v>120</v>
      </c>
      <c r="G18" s="89">
        <f t="shared" ref="G18:O18" si="10">G15-G16</f>
        <v>120</v>
      </c>
      <c r="H18" s="89">
        <f t="shared" si="10"/>
        <v>120</v>
      </c>
      <c r="I18" s="89">
        <f t="shared" si="10"/>
        <v>120</v>
      </c>
      <c r="J18" s="89">
        <f t="shared" si="10"/>
        <v>110</v>
      </c>
      <c r="K18" s="89">
        <f t="shared" si="10"/>
        <v>100</v>
      </c>
      <c r="L18" s="89">
        <f t="shared" si="10"/>
        <v>100</v>
      </c>
      <c r="M18" s="89">
        <f t="shared" si="10"/>
        <v>100</v>
      </c>
      <c r="N18" s="89">
        <f t="shared" si="10"/>
        <v>100</v>
      </c>
      <c r="O18" s="89">
        <f t="shared" si="10"/>
        <v>100</v>
      </c>
      <c r="P18" s="89">
        <f>P15-P16</f>
        <v>100</v>
      </c>
      <c r="R18" s="67" t="s">
        <v>115</v>
      </c>
      <c r="Z18" s="67"/>
    </row>
    <row r="19" spans="2:26" ht="15" x14ac:dyDescent="0.25">
      <c r="B19" s="68"/>
      <c r="C19" s="5" t="s">
        <v>60</v>
      </c>
      <c r="D19" s="5"/>
      <c r="E19" s="5"/>
      <c r="F19" s="5">
        <f>((F18+F17)/1000)*2.31</f>
        <v>0.2772</v>
      </c>
      <c r="G19" s="5">
        <f t="shared" ref="G19:O19" si="11">((G18+G17)/1000)*2.31</f>
        <v>0.2772</v>
      </c>
      <c r="H19" s="5">
        <f t="shared" si="11"/>
        <v>0.2772</v>
      </c>
      <c r="I19" s="5">
        <f t="shared" si="11"/>
        <v>0.2772</v>
      </c>
      <c r="J19" s="5">
        <f t="shared" si="11"/>
        <v>0.2772</v>
      </c>
      <c r="K19" s="5">
        <f t="shared" si="11"/>
        <v>0.2772</v>
      </c>
      <c r="L19" s="5">
        <f t="shared" si="11"/>
        <v>0.2772</v>
      </c>
      <c r="M19" s="5">
        <f t="shared" si="11"/>
        <v>0.2772</v>
      </c>
      <c r="N19" s="5">
        <f t="shared" si="11"/>
        <v>0.2772</v>
      </c>
      <c r="O19" s="5">
        <f t="shared" si="11"/>
        <v>0.2772</v>
      </c>
      <c r="P19" s="5">
        <f>((P18+P17)/1000)*2.31</f>
        <v>0.2772</v>
      </c>
      <c r="Q19" s="67"/>
      <c r="R19" s="5" t="s">
        <v>57</v>
      </c>
      <c r="T19" s="57" t="s">
        <v>130</v>
      </c>
      <c r="Z19" s="76" t="s">
        <v>131</v>
      </c>
    </row>
    <row r="20" spans="2:26" ht="15" x14ac:dyDescent="0.25">
      <c r="B20" s="68"/>
      <c r="C20" s="5" t="s">
        <v>61</v>
      </c>
      <c r="D20" s="5"/>
      <c r="E20" s="5"/>
      <c r="F20" s="5">
        <f t="shared" ref="F20:P20" si="12">(F18/1000)*14/10^3</f>
        <v>1.6799999999999999E-3</v>
      </c>
      <c r="G20" s="5">
        <f t="shared" si="12"/>
        <v>1.6799999999999999E-3</v>
      </c>
      <c r="H20" s="5">
        <f t="shared" si="12"/>
        <v>1.6799999999999999E-3</v>
      </c>
      <c r="I20" s="5">
        <f t="shared" si="12"/>
        <v>1.6799999999999999E-3</v>
      </c>
      <c r="J20" s="5">
        <f t="shared" si="12"/>
        <v>1.5400000000000001E-3</v>
      </c>
      <c r="K20" s="5">
        <f t="shared" si="12"/>
        <v>1.4000000000000002E-3</v>
      </c>
      <c r="L20" s="5">
        <f t="shared" si="12"/>
        <v>1.4000000000000002E-3</v>
      </c>
      <c r="M20" s="5">
        <f t="shared" si="12"/>
        <v>1.4000000000000002E-3</v>
      </c>
      <c r="N20" s="5">
        <f t="shared" si="12"/>
        <v>1.4000000000000002E-3</v>
      </c>
      <c r="O20" s="5">
        <f t="shared" si="12"/>
        <v>1.4000000000000002E-3</v>
      </c>
      <c r="P20" s="5">
        <f t="shared" si="12"/>
        <v>1.4000000000000002E-3</v>
      </c>
      <c r="R20" s="5" t="s">
        <v>62</v>
      </c>
      <c r="Z20" s="67" t="s">
        <v>64</v>
      </c>
    </row>
    <row r="21" spans="2:26" x14ac:dyDescent="0.2">
      <c r="C21" s="5" t="s">
        <v>12</v>
      </c>
      <c r="F21" s="64">
        <v>1.5</v>
      </c>
      <c r="I21" s="5"/>
      <c r="J21" s="5"/>
      <c r="K21" s="5"/>
      <c r="R21" s="67" t="s">
        <v>25</v>
      </c>
      <c r="Z21" s="69" t="s">
        <v>133</v>
      </c>
    </row>
    <row r="22" spans="2:26" x14ac:dyDescent="0.2">
      <c r="C22" s="5" t="s">
        <v>36</v>
      </c>
      <c r="F22" s="64">
        <v>0.1139</v>
      </c>
      <c r="G22" s="69"/>
      <c r="I22" s="5"/>
      <c r="J22" s="5"/>
      <c r="K22" s="5"/>
      <c r="R22" s="67" t="s">
        <v>62</v>
      </c>
      <c r="T22" s="67" t="s">
        <v>137</v>
      </c>
      <c r="Z22" s="69" t="s">
        <v>129</v>
      </c>
    </row>
    <row r="23" spans="2:26" x14ac:dyDescent="0.2">
      <c r="C23" s="5"/>
      <c r="F23" s="5"/>
      <c r="I23" s="5"/>
      <c r="J23" s="5"/>
      <c r="K23" s="5"/>
      <c r="Z23" s="69"/>
    </row>
    <row r="24" spans="2:26" x14ac:dyDescent="0.2">
      <c r="C24" s="5"/>
      <c r="F24" s="5"/>
      <c r="G24" s="69"/>
      <c r="I24" s="5"/>
      <c r="J24" s="5"/>
      <c r="K24" s="5"/>
    </row>
    <row r="25" spans="2:26" x14ac:dyDescent="0.2">
      <c r="C25" s="4"/>
      <c r="D25" s="5"/>
      <c r="F25" s="70">
        <v>2018</v>
      </c>
      <c r="G25" s="70">
        <f t="shared" ref="G25:P25" si="13">F25+1</f>
        <v>2019</v>
      </c>
      <c r="H25" s="70">
        <f t="shared" si="13"/>
        <v>2020</v>
      </c>
      <c r="I25" s="70">
        <f t="shared" si="13"/>
        <v>2021</v>
      </c>
      <c r="J25" s="70">
        <f t="shared" si="13"/>
        <v>2022</v>
      </c>
      <c r="K25" s="70">
        <f t="shared" si="13"/>
        <v>2023</v>
      </c>
      <c r="L25" s="70">
        <f t="shared" si="13"/>
        <v>2024</v>
      </c>
      <c r="M25" s="70">
        <f t="shared" si="13"/>
        <v>2025</v>
      </c>
      <c r="N25" s="70">
        <f t="shared" si="13"/>
        <v>2026</v>
      </c>
      <c r="O25" s="70">
        <f t="shared" si="13"/>
        <v>2027</v>
      </c>
      <c r="P25" s="70">
        <f t="shared" si="13"/>
        <v>2028</v>
      </c>
    </row>
    <row r="26" spans="2:26" x14ac:dyDescent="0.2">
      <c r="C26" s="5" t="s">
        <v>112</v>
      </c>
      <c r="D26" s="5"/>
      <c r="E26" s="5"/>
      <c r="F26" s="122">
        <v>5.2999999999999999E-2</v>
      </c>
      <c r="G26" s="17">
        <f>F26</f>
        <v>5.2999999999999999E-2</v>
      </c>
      <c r="H26" s="17">
        <f>G26</f>
        <v>5.2999999999999999E-2</v>
      </c>
      <c r="I26" s="17">
        <f>H26</f>
        <v>5.2999999999999999E-2</v>
      </c>
      <c r="J26" s="17">
        <f t="shared" ref="J26:P26" si="14">I26</f>
        <v>5.2999999999999999E-2</v>
      </c>
      <c r="K26" s="17">
        <f t="shared" si="14"/>
        <v>5.2999999999999999E-2</v>
      </c>
      <c r="L26" s="17">
        <f t="shared" si="14"/>
        <v>5.2999999999999999E-2</v>
      </c>
      <c r="M26" s="17">
        <f t="shared" si="14"/>
        <v>5.2999999999999999E-2</v>
      </c>
      <c r="N26" s="17">
        <f t="shared" si="14"/>
        <v>5.2999999999999999E-2</v>
      </c>
      <c r="O26" s="17">
        <f t="shared" si="14"/>
        <v>5.2999999999999999E-2</v>
      </c>
      <c r="P26" s="17">
        <f t="shared" si="14"/>
        <v>5.2999999999999999E-2</v>
      </c>
      <c r="R26" s="67" t="s">
        <v>0</v>
      </c>
      <c r="T26" s="67" t="s">
        <v>134</v>
      </c>
      <c r="Z26" s="69" t="s">
        <v>119</v>
      </c>
    </row>
    <row r="27" spans="2:26" x14ac:dyDescent="0.2">
      <c r="C27" s="5" t="s">
        <v>14</v>
      </c>
      <c r="D27" s="5"/>
      <c r="E27" s="5"/>
      <c r="F27" s="123">
        <f>F21</f>
        <v>1.5</v>
      </c>
      <c r="G27" s="124">
        <f>F27*(1+F26)</f>
        <v>1.5794999999999999</v>
      </c>
      <c r="H27" s="124">
        <f>G27*(1+G26)</f>
        <v>1.6632134999999999</v>
      </c>
      <c r="I27" s="124">
        <f t="shared" ref="I27:N27" si="15">H27*(1+H26)</f>
        <v>1.7513638154999998</v>
      </c>
      <c r="J27" s="18">
        <f t="shared" si="15"/>
        <v>1.8441860977214997</v>
      </c>
      <c r="K27" s="18">
        <f t="shared" si="15"/>
        <v>1.9419279609007389</v>
      </c>
      <c r="L27" s="18">
        <f t="shared" si="15"/>
        <v>2.0448501428284778</v>
      </c>
      <c r="M27" s="18">
        <f t="shared" si="15"/>
        <v>2.153227200398387</v>
      </c>
      <c r="N27" s="18">
        <f t="shared" si="15"/>
        <v>2.2673482420195015</v>
      </c>
      <c r="O27" s="18">
        <f>N27*(1+N26)</f>
        <v>2.3875176988465348</v>
      </c>
      <c r="P27" s="18">
        <f>O27*(1+O26)</f>
        <v>2.5140561368854009</v>
      </c>
      <c r="R27" s="67" t="s">
        <v>25</v>
      </c>
    </row>
    <row r="28" spans="2:26" x14ac:dyDescent="0.2">
      <c r="C28" s="5" t="s">
        <v>37</v>
      </c>
      <c r="D28" s="5"/>
      <c r="E28" s="5"/>
      <c r="F28" s="122">
        <v>3.5000000000000003E-2</v>
      </c>
      <c r="G28" s="122">
        <v>1.7999999999999999E-2</v>
      </c>
      <c r="H28" s="122">
        <v>7.0000000000000001E-3</v>
      </c>
      <c r="I28" s="122">
        <v>2.5999999999999999E-2</v>
      </c>
      <c r="J28" s="71">
        <f>I28</f>
        <v>2.5999999999999999E-2</v>
      </c>
      <c r="K28" s="71">
        <f t="shared" ref="K28:P28" si="16">J28</f>
        <v>2.5999999999999999E-2</v>
      </c>
      <c r="L28" s="71">
        <f t="shared" si="16"/>
        <v>2.5999999999999999E-2</v>
      </c>
      <c r="M28" s="71">
        <f t="shared" si="16"/>
        <v>2.5999999999999999E-2</v>
      </c>
      <c r="N28" s="71">
        <f t="shared" si="16"/>
        <v>2.5999999999999999E-2</v>
      </c>
      <c r="O28" s="71">
        <f t="shared" si="16"/>
        <v>2.5999999999999999E-2</v>
      </c>
      <c r="P28" s="71">
        <f t="shared" si="16"/>
        <v>2.5999999999999999E-2</v>
      </c>
      <c r="R28" s="67" t="s">
        <v>0</v>
      </c>
      <c r="T28" s="67" t="s">
        <v>136</v>
      </c>
      <c r="Z28" s="69" t="s">
        <v>129</v>
      </c>
    </row>
    <row r="29" spans="2:26" x14ac:dyDescent="0.2">
      <c r="C29" s="5" t="s">
        <v>38</v>
      </c>
      <c r="D29" s="5"/>
      <c r="E29" s="5"/>
      <c r="F29" s="66">
        <f>F22</f>
        <v>0.1139</v>
      </c>
      <c r="G29" s="18">
        <f>F29*(1+F28)</f>
        <v>0.11788649999999999</v>
      </c>
      <c r="H29" s="18">
        <f t="shared" ref="H29:P29" si="17">G29*(1+G28)</f>
        <v>0.120008457</v>
      </c>
      <c r="I29" s="18">
        <f t="shared" si="17"/>
        <v>0.12084851619899999</v>
      </c>
      <c r="J29" s="18">
        <f t="shared" si="17"/>
        <v>0.12399057762017399</v>
      </c>
      <c r="K29" s="18">
        <f t="shared" si="17"/>
        <v>0.12721433263829851</v>
      </c>
      <c r="L29" s="18">
        <f t="shared" si="17"/>
        <v>0.13052190528689428</v>
      </c>
      <c r="M29" s="18">
        <f t="shared" si="17"/>
        <v>0.13391547482435354</v>
      </c>
      <c r="N29" s="18">
        <f t="shared" si="17"/>
        <v>0.13739727716978672</v>
      </c>
      <c r="O29" s="18">
        <f t="shared" si="17"/>
        <v>0.14096960637620118</v>
      </c>
      <c r="P29" s="18">
        <f t="shared" si="17"/>
        <v>0.14463481614198243</v>
      </c>
      <c r="R29" s="67" t="s">
        <v>45</v>
      </c>
    </row>
    <row r="30" spans="2:26" ht="15" x14ac:dyDescent="0.2">
      <c r="C30" s="5"/>
      <c r="D30" s="5"/>
      <c r="E30" s="5"/>
      <c r="F30" s="78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2:26" x14ac:dyDescent="0.2">
      <c r="C31" s="67" t="s">
        <v>92</v>
      </c>
      <c r="E31" s="101">
        <f>2.346/1000</f>
        <v>2.346E-3</v>
      </c>
      <c r="F31" s="67" t="s">
        <v>94</v>
      </c>
      <c r="Z31" s="67" t="s">
        <v>138</v>
      </c>
    </row>
    <row r="32" spans="2:26" x14ac:dyDescent="0.2">
      <c r="E32" s="102">
        <f>10.67/10^6</f>
        <v>1.0669999999999999E-5</v>
      </c>
      <c r="F32" s="67" t="s">
        <v>93</v>
      </c>
      <c r="Z32" s="67" t="s">
        <v>138</v>
      </c>
    </row>
    <row r="33" spans="3:26" x14ac:dyDescent="0.2">
      <c r="E33" s="100">
        <f>E34/D46</f>
        <v>5.7630597014925372E-2</v>
      </c>
      <c r="F33" s="67" t="s">
        <v>107</v>
      </c>
      <c r="T33" s="67" t="s">
        <v>139</v>
      </c>
      <c r="Z33" s="67" t="s">
        <v>138</v>
      </c>
    </row>
    <row r="34" spans="3:26" x14ac:dyDescent="0.2">
      <c r="E34" s="100">
        <v>3.089</v>
      </c>
      <c r="F34" s="67" t="s">
        <v>108</v>
      </c>
      <c r="I34" s="67"/>
      <c r="Z34" s="57" t="s">
        <v>109</v>
      </c>
    </row>
    <row r="36" spans="3:26" x14ac:dyDescent="0.2">
      <c r="C36" s="67" t="s">
        <v>135</v>
      </c>
    </row>
    <row r="37" spans="3:26" x14ac:dyDescent="0.2">
      <c r="D37" s="57">
        <v>33.700000000000003</v>
      </c>
      <c r="E37" s="67" t="s">
        <v>67</v>
      </c>
      <c r="H37" s="67" t="s">
        <v>152</v>
      </c>
    </row>
    <row r="38" spans="3:26" x14ac:dyDescent="0.2">
      <c r="D38" s="82">
        <f>D37/3.8</f>
        <v>8.8684210526315805</v>
      </c>
      <c r="E38" s="67" t="s">
        <v>68</v>
      </c>
      <c r="H38" s="57">
        <f>33.7/169</f>
        <v>0.19940828402366867</v>
      </c>
    </row>
    <row r="40" spans="3:26" x14ac:dyDescent="0.2">
      <c r="D40" s="57">
        <v>1</v>
      </c>
      <c r="E40" s="67" t="s">
        <v>71</v>
      </c>
      <c r="H40" s="67" t="s">
        <v>147</v>
      </c>
    </row>
    <row r="41" spans="3:26" x14ac:dyDescent="0.2">
      <c r="D41" s="57">
        <v>4.7750000000000001E-2</v>
      </c>
      <c r="E41" s="67" t="s">
        <v>69</v>
      </c>
      <c r="H41" s="67" t="s">
        <v>148</v>
      </c>
      <c r="K41" s="76" t="s">
        <v>149</v>
      </c>
    </row>
    <row r="42" spans="3:26" x14ac:dyDescent="0.2">
      <c r="D42" s="82">
        <f>D43/100</f>
        <v>0.20899999999999999</v>
      </c>
      <c r="E42" s="67" t="s">
        <v>70</v>
      </c>
      <c r="H42" s="67" t="s">
        <v>150</v>
      </c>
      <c r="K42" s="57">
        <f>0.25*0.62</f>
        <v>0.155</v>
      </c>
      <c r="L42" s="57">
        <f>0.33*0.62</f>
        <v>0.2046</v>
      </c>
    </row>
    <row r="43" spans="3:26" x14ac:dyDescent="0.2">
      <c r="C43" s="104">
        <f>D43*0.11</f>
        <v>2.2989999999999999</v>
      </c>
      <c r="D43" s="83">
        <v>20.9</v>
      </c>
      <c r="E43" s="67" t="s">
        <v>33</v>
      </c>
      <c r="G43" s="104"/>
      <c r="H43" s="67" t="s">
        <v>151</v>
      </c>
    </row>
    <row r="45" spans="3:26" x14ac:dyDescent="0.2">
      <c r="D45" s="57">
        <v>2.5670000000000002</v>
      </c>
      <c r="E45" s="67" t="s">
        <v>98</v>
      </c>
      <c r="F45" s="57" t="s">
        <v>111</v>
      </c>
      <c r="I45" s="57">
        <v>3.5870000000000002</v>
      </c>
      <c r="J45" s="67" t="s">
        <v>105</v>
      </c>
      <c r="Z45" s="57" t="s">
        <v>111</v>
      </c>
    </row>
    <row r="46" spans="3:26" x14ac:dyDescent="0.2">
      <c r="D46" s="57">
        <v>53.6</v>
      </c>
      <c r="E46" s="67" t="s">
        <v>99</v>
      </c>
      <c r="F46" s="76" t="s">
        <v>110</v>
      </c>
      <c r="I46" s="57">
        <v>38.700000000000003</v>
      </c>
      <c r="J46" s="67" t="s">
        <v>106</v>
      </c>
    </row>
    <row r="47" spans="3:26" x14ac:dyDescent="0.2">
      <c r="D47" s="96">
        <f>D45*D46</f>
        <v>137.59120000000001</v>
      </c>
      <c r="E47" s="67" t="s">
        <v>100</v>
      </c>
      <c r="I47" s="96">
        <f>I45*I46</f>
        <v>138.8169</v>
      </c>
      <c r="J47" s="67" t="s">
        <v>100</v>
      </c>
    </row>
    <row r="48" spans="3:26" x14ac:dyDescent="0.2">
      <c r="D48" s="95">
        <f>D47/1000</f>
        <v>0.13759120000000002</v>
      </c>
      <c r="E48" s="67" t="s">
        <v>101</v>
      </c>
    </row>
    <row r="49" spans="4:5" x14ac:dyDescent="0.2">
      <c r="D49" s="82">
        <f>1/D48</f>
        <v>7.2679066684497249</v>
      </c>
      <c r="E49" s="67" t="s">
        <v>104</v>
      </c>
    </row>
    <row r="51" spans="4:5" x14ac:dyDescent="0.2">
      <c r="D51" s="62"/>
      <c r="E51" s="67" t="s">
        <v>141</v>
      </c>
    </row>
    <row r="52" spans="4:5" x14ac:dyDescent="0.2">
      <c r="D52" s="100"/>
      <c r="E52" s="67" t="s">
        <v>140</v>
      </c>
    </row>
  </sheetData>
  <hyperlinks>
    <hyperlink ref="Z10" r:id="rId1" display="http://orbit.gvrd.bc.ca/orbit/llisapi.dll/open/17263087"/>
    <hyperlink ref="Z11" r:id="rId2" display="http://orbit.gvrd.bc.ca/orbit/llisapi.dll/open/17263087"/>
    <hyperlink ref="Z19" r:id="rId3"/>
    <hyperlink ref="F46" r:id="rId4"/>
    <hyperlink ref="Z26" r:id="rId5" display="http://orbit.gvrd.bc.ca/orbit/llisapi.dll/open/6097083"/>
    <hyperlink ref="Z21" r:id="rId6" display="http://orbit.gvrd.bc.ca/orbit/llisapi.dll/open/6097083"/>
    <hyperlink ref="Z4" r:id="rId7" display="http://orbit.gvrd.bc.ca/orbit/llisapi.dll/open/3486591"/>
    <hyperlink ref="Z5" r:id="rId8" display="http://orbit.gvrd.bc.ca/orbit/llisapi.dll/open/3486591"/>
    <hyperlink ref="Z6" r:id="rId9" display="http://orbit.gvrd.bc.ca/orbit/llisapi.dll/open/3486591"/>
    <hyperlink ref="Z22" r:id="rId10" display="http://orbit.gvrd.bc.ca/orbit/llisapi.dll/open/3486591"/>
    <hyperlink ref="Z28" r:id="rId11" display="http://orbit.gvrd.bc.ca/orbit/llisapi.dll/open/3486591"/>
    <hyperlink ref="K41" r:id="rId12"/>
  </hyperlinks>
  <pageMargins left="0.75" right="0.75" top="1" bottom="1" header="0.5" footer="0.5"/>
  <pageSetup scale="78" orientation="landscape" verticalDpi="300" r:id="rId1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11"/>
  <sheetViews>
    <sheetView tabSelected="1" zoomScale="85" zoomScaleNormal="85" workbookViewId="0">
      <selection activeCell="F211" sqref="F211"/>
    </sheetView>
  </sheetViews>
  <sheetFormatPr defaultRowHeight="12.75" outlineLevelRow="2" x14ac:dyDescent="0.2"/>
  <cols>
    <col min="1" max="1" width="9.7109375" customWidth="1"/>
    <col min="2" max="2" width="8.5703125" customWidth="1"/>
    <col min="3" max="3" width="12.7109375" customWidth="1"/>
    <col min="4" max="4" width="10.140625" customWidth="1"/>
    <col min="5" max="5" width="14.7109375" customWidth="1"/>
    <col min="6" max="6" width="19" bestFit="1" customWidth="1"/>
    <col min="7" max="7" width="12.42578125" customWidth="1"/>
    <col min="8" max="8" width="13" customWidth="1"/>
    <col min="9" max="11" width="12" bestFit="1" customWidth="1"/>
    <col min="12" max="12" width="14.5703125" customWidth="1"/>
    <col min="13" max="13" width="12" bestFit="1" customWidth="1"/>
    <col min="14" max="15" width="11.5703125" bestFit="1" customWidth="1"/>
    <col min="16" max="16" width="4.5703125" style="2" customWidth="1"/>
    <col min="17" max="17" width="12.28515625" style="2" bestFit="1" customWidth="1"/>
    <col min="18" max="18" width="11.7109375" style="2" customWidth="1"/>
    <col min="19" max="19" width="3.85546875" style="2" customWidth="1"/>
    <col min="20" max="25" width="9.140625" style="2"/>
    <col min="26" max="26" width="14.42578125" style="2" bestFit="1" customWidth="1"/>
    <col min="27" max="16384" width="9.140625" style="2"/>
  </cols>
  <sheetData>
    <row r="1" spans="1:19" ht="26.25" x14ac:dyDescent="0.4">
      <c r="A1" s="92" t="s">
        <v>143</v>
      </c>
      <c r="L1" s="1" t="s">
        <v>53</v>
      </c>
      <c r="M1" s="105">
        <v>44889</v>
      </c>
      <c r="S1" s="3"/>
    </row>
    <row r="2" spans="1:19" x14ac:dyDescent="0.2">
      <c r="S2" s="3"/>
    </row>
    <row r="3" spans="1:19" x14ac:dyDescent="0.2">
      <c r="A3" t="s">
        <v>154</v>
      </c>
      <c r="S3" s="3"/>
    </row>
    <row r="4" spans="1:19" x14ac:dyDescent="0.2">
      <c r="A4" s="60" t="s">
        <v>89</v>
      </c>
      <c r="B4" s="6"/>
      <c r="C4" s="6"/>
      <c r="D4" s="2"/>
      <c r="E4" s="2"/>
      <c r="F4" s="62">
        <v>20000</v>
      </c>
      <c r="G4" s="6" t="s">
        <v>26</v>
      </c>
      <c r="H4" s="6"/>
      <c r="I4" s="6" t="s">
        <v>159</v>
      </c>
      <c r="J4" s="6"/>
      <c r="K4" s="6"/>
      <c r="S4" s="3"/>
    </row>
    <row r="5" spans="1:19" x14ac:dyDescent="0.2">
      <c r="S5" s="3"/>
    </row>
    <row r="6" spans="1:19" x14ac:dyDescent="0.2">
      <c r="A6" s="4" t="s">
        <v>42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S6" s="3"/>
    </row>
    <row r="7" spans="1:19" hidden="1" outlineLevel="1" x14ac:dyDescent="0.2">
      <c r="A7" s="4"/>
      <c r="B7" s="5" t="s">
        <v>16</v>
      </c>
      <c r="C7" s="5"/>
      <c r="D7" s="2"/>
      <c r="E7" s="117">
        <f>Parameters!E4</f>
        <v>0</v>
      </c>
      <c r="F7" s="72" t="s">
        <v>0</v>
      </c>
      <c r="G7" s="5"/>
      <c r="H7" s="5"/>
      <c r="I7" s="5"/>
      <c r="J7" s="5"/>
      <c r="K7" s="5"/>
      <c r="L7" s="5"/>
      <c r="M7" s="5"/>
      <c r="N7" s="5"/>
      <c r="O7" s="5"/>
      <c r="S7" s="3"/>
    </row>
    <row r="8" spans="1:19" hidden="1" outlineLevel="1" x14ac:dyDescent="0.2">
      <c r="A8" s="4"/>
      <c r="B8" s="5" t="s">
        <v>1</v>
      </c>
      <c r="C8" s="5"/>
      <c r="D8" s="2"/>
      <c r="E8" s="117">
        <f>Parameters!E5</f>
        <v>3.5000000000000003E-2</v>
      </c>
      <c r="F8" s="72" t="s">
        <v>0</v>
      </c>
      <c r="G8" s="5"/>
      <c r="H8" s="5"/>
      <c r="I8" s="5"/>
      <c r="J8" s="5"/>
      <c r="K8" s="5"/>
      <c r="L8" s="5"/>
      <c r="M8" s="5"/>
      <c r="N8" s="5"/>
      <c r="O8" s="5"/>
      <c r="S8" s="3"/>
    </row>
    <row r="9" spans="1:19" hidden="1" outlineLevel="1" x14ac:dyDescent="0.2">
      <c r="A9" s="4"/>
      <c r="B9" s="5" t="s">
        <v>51</v>
      </c>
      <c r="C9" s="5"/>
      <c r="D9" s="2"/>
      <c r="E9" s="116">
        <f>Parameters!E6</f>
        <v>0.02</v>
      </c>
      <c r="F9" s="72" t="s">
        <v>0</v>
      </c>
      <c r="G9" s="5"/>
      <c r="H9" s="5"/>
      <c r="I9" s="5"/>
      <c r="J9" s="5"/>
      <c r="K9" s="5"/>
      <c r="L9" s="5"/>
      <c r="M9" s="5"/>
      <c r="N9" s="5"/>
      <c r="O9" s="5"/>
      <c r="S9" s="3"/>
    </row>
    <row r="10" spans="1:19" hidden="1" outlineLevel="1" x14ac:dyDescent="0.2">
      <c r="A10" s="4"/>
      <c r="B10" s="5" t="s">
        <v>58</v>
      </c>
      <c r="C10" s="5"/>
      <c r="D10" s="5"/>
      <c r="E10" s="73">
        <f>IF(D29&gt;0,Parameters!$F$19,0)</f>
        <v>0.2772</v>
      </c>
      <c r="F10" s="5" t="s">
        <v>59</v>
      </c>
      <c r="G10" s="5"/>
      <c r="H10" s="5"/>
      <c r="I10" s="5"/>
      <c r="J10" s="5"/>
      <c r="K10" s="5"/>
      <c r="L10" s="5"/>
      <c r="M10" s="5"/>
      <c r="N10" s="5"/>
      <c r="O10" s="5"/>
      <c r="S10" s="3"/>
    </row>
    <row r="11" spans="1:19" hidden="1" outlineLevel="1" x14ac:dyDescent="0.2">
      <c r="A11" s="4"/>
      <c r="B11" s="5" t="s">
        <v>86</v>
      </c>
      <c r="C11" s="5"/>
      <c r="D11" s="5"/>
      <c r="E11" s="79">
        <f>IF(D32&gt;0,Parameters!$F$20,0)</f>
        <v>0</v>
      </c>
      <c r="F11" s="5" t="s">
        <v>87</v>
      </c>
      <c r="G11" s="5"/>
      <c r="H11" s="5"/>
      <c r="I11" s="5"/>
      <c r="J11" s="5"/>
      <c r="K11" s="5"/>
      <c r="L11" s="5"/>
      <c r="M11" s="5"/>
      <c r="N11" s="5"/>
      <c r="O11" s="5"/>
      <c r="S11" s="3"/>
    </row>
    <row r="12" spans="1:19" hidden="1" outlineLevel="1" x14ac:dyDescent="0.2">
      <c r="A12" s="4"/>
      <c r="B12" s="5" t="s">
        <v>12</v>
      </c>
      <c r="C12" s="5"/>
      <c r="D12" s="5"/>
      <c r="E12" s="73">
        <f>Parameters!F21</f>
        <v>1.5</v>
      </c>
      <c r="F12" s="72" t="s">
        <v>25</v>
      </c>
      <c r="G12" s="5"/>
      <c r="H12" s="5"/>
      <c r="I12" s="5"/>
      <c r="J12" s="5"/>
      <c r="K12" s="5"/>
      <c r="L12" s="5"/>
      <c r="M12" s="5"/>
      <c r="N12" s="5"/>
      <c r="O12" s="5"/>
      <c r="S12" s="3"/>
    </row>
    <row r="13" spans="1:19" hidden="1" outlineLevel="1" x14ac:dyDescent="0.2">
      <c r="A13" s="4"/>
      <c r="B13" s="5" t="s">
        <v>36</v>
      </c>
      <c r="C13" s="5"/>
      <c r="D13" s="5"/>
      <c r="E13" s="49">
        <f>Parameters!F22</f>
        <v>0.1139</v>
      </c>
      <c r="F13" s="72" t="s">
        <v>45</v>
      </c>
      <c r="G13" s="5"/>
      <c r="H13" s="5"/>
      <c r="I13" s="5"/>
      <c r="J13" s="5"/>
      <c r="K13" s="5"/>
      <c r="L13" s="5"/>
      <c r="M13" s="5"/>
      <c r="N13" s="5"/>
      <c r="O13" s="5"/>
      <c r="S13" s="3"/>
    </row>
    <row r="14" spans="1:19" hidden="1" outlineLevel="1" x14ac:dyDescent="0.2">
      <c r="A14" s="4"/>
      <c r="B14" s="5"/>
      <c r="C14" s="5"/>
      <c r="D14" s="5"/>
      <c r="E14" s="5"/>
      <c r="F14" s="72"/>
      <c r="G14" s="5"/>
      <c r="H14" s="5"/>
      <c r="I14" s="5"/>
      <c r="J14" s="5"/>
      <c r="K14" s="5"/>
      <c r="L14" s="5"/>
      <c r="M14" s="5"/>
      <c r="N14" s="5"/>
      <c r="O14" s="5"/>
      <c r="S14" s="3"/>
    </row>
    <row r="15" spans="1:19" hidden="1" outlineLevel="1" x14ac:dyDescent="0.2">
      <c r="A15" s="4"/>
      <c r="B15" s="5"/>
      <c r="C15" s="5"/>
      <c r="D15" s="5"/>
      <c r="E15" s="74">
        <v>2018</v>
      </c>
      <c r="F15" s="75">
        <f t="shared" ref="F15:G15" si="0">E15+1</f>
        <v>2019</v>
      </c>
      <c r="G15" s="75">
        <f t="shared" si="0"/>
        <v>2020</v>
      </c>
      <c r="H15" s="75">
        <f t="shared" ref="H15" si="1">G15+1</f>
        <v>2021</v>
      </c>
      <c r="I15" s="75">
        <f t="shared" ref="I15" si="2">H15+1</f>
        <v>2022</v>
      </c>
      <c r="J15" s="75">
        <f t="shared" ref="J15" si="3">I15+1</f>
        <v>2023</v>
      </c>
      <c r="K15" s="75">
        <f t="shared" ref="K15" si="4">J15+1</f>
        <v>2024</v>
      </c>
      <c r="L15" s="75">
        <f t="shared" ref="L15" si="5">K15+1</f>
        <v>2025</v>
      </c>
      <c r="M15" s="75">
        <f t="shared" ref="M15" si="6">L15+1</f>
        <v>2026</v>
      </c>
      <c r="N15" s="75">
        <f t="shared" ref="N15" si="7">M15+1</f>
        <v>2027</v>
      </c>
      <c r="O15" s="75">
        <f t="shared" ref="O15" si="8">N15+1</f>
        <v>2028</v>
      </c>
      <c r="S15" s="3"/>
    </row>
    <row r="16" spans="1:19" ht="15" hidden="1" outlineLevel="1" x14ac:dyDescent="0.2">
      <c r="A16" s="5" t="s">
        <v>13</v>
      </c>
      <c r="B16" s="5"/>
      <c r="C16" s="5"/>
      <c r="D16" s="5"/>
      <c r="E16" s="48">
        <f>Parameters!F26</f>
        <v>5.2999999999999999E-2</v>
      </c>
      <c r="F16" s="17">
        <f>E16</f>
        <v>5.2999999999999999E-2</v>
      </c>
      <c r="G16" s="17">
        <f>F16</f>
        <v>5.2999999999999999E-2</v>
      </c>
      <c r="H16" s="17">
        <f t="shared" ref="H16:O16" si="9">G16</f>
        <v>5.2999999999999999E-2</v>
      </c>
      <c r="I16" s="17">
        <f t="shared" si="9"/>
        <v>5.2999999999999999E-2</v>
      </c>
      <c r="J16" s="17">
        <f t="shared" si="9"/>
        <v>5.2999999999999999E-2</v>
      </c>
      <c r="K16" s="17">
        <f t="shared" si="9"/>
        <v>5.2999999999999999E-2</v>
      </c>
      <c r="L16" s="17">
        <f t="shared" si="9"/>
        <v>5.2999999999999999E-2</v>
      </c>
      <c r="M16" s="17">
        <f t="shared" si="9"/>
        <v>5.2999999999999999E-2</v>
      </c>
      <c r="N16" s="17">
        <f t="shared" si="9"/>
        <v>5.2999999999999999E-2</v>
      </c>
      <c r="O16" s="17">
        <f t="shared" si="9"/>
        <v>5.2999999999999999E-2</v>
      </c>
      <c r="S16" s="3"/>
    </row>
    <row r="17" spans="1:19" hidden="1" outlineLevel="1" x14ac:dyDescent="0.2">
      <c r="A17" s="5" t="s">
        <v>14</v>
      </c>
      <c r="B17" s="5"/>
      <c r="C17" s="5"/>
      <c r="D17" s="5"/>
      <c r="E17" s="5"/>
      <c r="F17" s="18">
        <f>E12*(1+E$16)</f>
        <v>1.5794999999999999</v>
      </c>
      <c r="G17" s="18">
        <f t="shared" ref="G17:O17" si="10">F17*(1+G$16)</f>
        <v>1.6632134999999999</v>
      </c>
      <c r="H17" s="18">
        <f t="shared" si="10"/>
        <v>1.7513638154999998</v>
      </c>
      <c r="I17" s="18">
        <f t="shared" si="10"/>
        <v>1.8441860977214997</v>
      </c>
      <c r="J17" s="18">
        <f t="shared" si="10"/>
        <v>1.9419279609007389</v>
      </c>
      <c r="K17" s="18">
        <f t="shared" si="10"/>
        <v>2.0448501428284778</v>
      </c>
      <c r="L17" s="18">
        <f t="shared" si="10"/>
        <v>2.153227200398387</v>
      </c>
      <c r="M17" s="18">
        <f t="shared" si="10"/>
        <v>2.2673482420195015</v>
      </c>
      <c r="N17" s="18">
        <f t="shared" si="10"/>
        <v>2.3875176988465348</v>
      </c>
      <c r="O17" s="18">
        <f t="shared" si="10"/>
        <v>2.5140561368854009</v>
      </c>
      <c r="S17" s="3"/>
    </row>
    <row r="18" spans="1:19" ht="15" hidden="1" outlineLevel="1" x14ac:dyDescent="0.2">
      <c r="A18" s="5" t="s">
        <v>37</v>
      </c>
      <c r="B18" s="5"/>
      <c r="C18" s="5"/>
      <c r="D18" s="5"/>
      <c r="E18" s="48">
        <f>Parameters!F28</f>
        <v>3.5000000000000003E-2</v>
      </c>
      <c r="F18" s="48">
        <f>Parameters!G28</f>
        <v>1.7999999999999999E-2</v>
      </c>
      <c r="G18" s="48">
        <f>Parameters!H28</f>
        <v>7.0000000000000001E-3</v>
      </c>
      <c r="H18" s="48">
        <f>Parameters!I28</f>
        <v>2.5999999999999999E-2</v>
      </c>
      <c r="I18" s="17">
        <f>H18</f>
        <v>2.5999999999999999E-2</v>
      </c>
      <c r="J18" s="17">
        <f t="shared" ref="J18" si="11">I18</f>
        <v>2.5999999999999999E-2</v>
      </c>
      <c r="K18" s="17">
        <f t="shared" ref="K18" si="12">J18</f>
        <v>2.5999999999999999E-2</v>
      </c>
      <c r="L18" s="17">
        <f t="shared" ref="L18" si="13">K18</f>
        <v>2.5999999999999999E-2</v>
      </c>
      <c r="M18" s="17">
        <f t="shared" ref="M18" si="14">L18</f>
        <v>2.5999999999999999E-2</v>
      </c>
      <c r="N18" s="17">
        <f t="shared" ref="N18" si="15">M18</f>
        <v>2.5999999999999999E-2</v>
      </c>
      <c r="O18" s="2"/>
      <c r="S18" s="3"/>
    </row>
    <row r="19" spans="1:19" hidden="1" outlineLevel="1" x14ac:dyDescent="0.2">
      <c r="A19" s="5" t="s">
        <v>38</v>
      </c>
      <c r="B19" s="5"/>
      <c r="C19" s="5"/>
      <c r="D19" s="5"/>
      <c r="E19" s="66"/>
      <c r="F19" s="18">
        <f>E13*(1+E$18)</f>
        <v>0.11788649999999999</v>
      </c>
      <c r="G19" s="18">
        <f t="shared" ref="G19:O19" si="16">F19*(1+F$18)</f>
        <v>0.120008457</v>
      </c>
      <c r="H19" s="18">
        <f t="shared" si="16"/>
        <v>0.12084851619899999</v>
      </c>
      <c r="I19" s="18">
        <f t="shared" si="16"/>
        <v>0.12399057762017399</v>
      </c>
      <c r="J19" s="18">
        <f t="shared" si="16"/>
        <v>0.12721433263829851</v>
      </c>
      <c r="K19" s="18">
        <f t="shared" si="16"/>
        <v>0.13052190528689428</v>
      </c>
      <c r="L19" s="18">
        <f t="shared" si="16"/>
        <v>0.13391547482435354</v>
      </c>
      <c r="M19" s="18">
        <f t="shared" si="16"/>
        <v>0.13739727716978672</v>
      </c>
      <c r="N19" s="18">
        <f t="shared" si="16"/>
        <v>0.14096960637620118</v>
      </c>
      <c r="O19" s="18">
        <f t="shared" si="16"/>
        <v>0.14463481614198243</v>
      </c>
      <c r="S19" s="3"/>
    </row>
    <row r="20" spans="1:19" collapsed="1" x14ac:dyDescent="0.2">
      <c r="S20" s="3"/>
    </row>
    <row r="21" spans="1:19" ht="20.25" x14ac:dyDescent="0.3">
      <c r="A21" s="65" t="s">
        <v>74</v>
      </c>
      <c r="H21" s="1"/>
      <c r="L21" s="2"/>
      <c r="M21" s="2"/>
      <c r="S21" s="3"/>
    </row>
    <row r="22" spans="1:19" x14ac:dyDescent="0.2">
      <c r="H22" s="1"/>
      <c r="S22" s="3"/>
    </row>
    <row r="23" spans="1:19" hidden="1" outlineLevel="1" x14ac:dyDescent="0.2">
      <c r="A23" s="4" t="s">
        <v>41</v>
      </c>
      <c r="B23" s="5"/>
      <c r="C23" s="5"/>
      <c r="D23" s="5"/>
      <c r="E23" s="5"/>
      <c r="F23" s="5"/>
      <c r="G23" s="5"/>
      <c r="H23" s="5"/>
      <c r="I23" s="5"/>
      <c r="J23" s="5"/>
      <c r="K23" s="5"/>
      <c r="S23" s="3"/>
    </row>
    <row r="24" spans="1:19" hidden="1" outlineLevel="2" x14ac:dyDescent="0.2">
      <c r="A24" s="5" t="s">
        <v>27</v>
      </c>
      <c r="B24" s="6"/>
      <c r="C24" s="6"/>
      <c r="D24" s="61">
        <f>3.8*100/(20*1.61)</f>
        <v>11.801242236024844</v>
      </c>
      <c r="E24" s="6" t="s">
        <v>34</v>
      </c>
      <c r="F24" s="91">
        <v>0.7</v>
      </c>
      <c r="G24" s="6" t="s">
        <v>29</v>
      </c>
      <c r="H24" s="6"/>
      <c r="I24" s="63">
        <v>1</v>
      </c>
      <c r="J24" s="6" t="s">
        <v>79</v>
      </c>
      <c r="K24" s="6"/>
      <c r="S24" s="3"/>
    </row>
    <row r="25" spans="1:19" hidden="1" outlineLevel="2" x14ac:dyDescent="0.2">
      <c r="A25" s="5" t="s">
        <v>28</v>
      </c>
      <c r="B25" s="6"/>
      <c r="C25" s="6"/>
      <c r="D25" s="61">
        <f>3.8*100/(38*1.61)</f>
        <v>6.2111801242236018</v>
      </c>
      <c r="E25" s="6"/>
      <c r="F25" s="91">
        <v>0.3</v>
      </c>
      <c r="G25" t="s">
        <v>30</v>
      </c>
      <c r="H25" s="6"/>
      <c r="I25" s="63">
        <v>0</v>
      </c>
      <c r="J25" t="s">
        <v>80</v>
      </c>
      <c r="K25" s="6"/>
      <c r="S25" s="3"/>
    </row>
    <row r="26" spans="1:19" hidden="1" outlineLevel="2" x14ac:dyDescent="0.2">
      <c r="A26" s="5" t="s">
        <v>85</v>
      </c>
      <c r="B26" s="5"/>
      <c r="C26" s="5"/>
      <c r="D26" s="61">
        <f>(20*0.5+38*0.5)</f>
        <v>29</v>
      </c>
      <c r="E26" s="5" t="s">
        <v>88</v>
      </c>
      <c r="F26" s="5"/>
      <c r="G26" s="2"/>
      <c r="H26" s="2"/>
      <c r="I26" s="63">
        <v>0</v>
      </c>
      <c r="J26" t="s">
        <v>97</v>
      </c>
      <c r="K26" s="5"/>
      <c r="S26" s="3"/>
    </row>
    <row r="27" spans="1:19" hidden="1" outlineLevel="2" x14ac:dyDescent="0.2">
      <c r="A27" s="5" t="s">
        <v>81</v>
      </c>
      <c r="B27" s="5"/>
      <c r="C27" s="5"/>
      <c r="D27" s="90">
        <f>(D26/3.8)*1.61</f>
        <v>12.286842105263158</v>
      </c>
      <c r="E27" s="5" t="s">
        <v>83</v>
      </c>
      <c r="F27" s="5"/>
      <c r="G27" s="2"/>
      <c r="H27" s="2"/>
      <c r="I27" s="2"/>
      <c r="J27" s="2"/>
      <c r="K27" s="5"/>
      <c r="S27" s="3"/>
    </row>
    <row r="28" spans="1:19" hidden="1" outlineLevel="2" x14ac:dyDescent="0.2">
      <c r="A28" s="5"/>
      <c r="B28" s="5"/>
      <c r="C28" s="5"/>
      <c r="D28" s="90">
        <f>100/D27</f>
        <v>8.1387877489826508</v>
      </c>
      <c r="E28" s="5" t="s">
        <v>84</v>
      </c>
      <c r="F28" s="5"/>
      <c r="G28" s="2"/>
      <c r="H28" s="2"/>
      <c r="I28" s="2"/>
      <c r="J28" s="2"/>
      <c r="K28" s="5"/>
      <c r="S28" s="3"/>
    </row>
    <row r="29" spans="1:19" hidden="1" outlineLevel="2" x14ac:dyDescent="0.2">
      <c r="A29" s="5" t="s">
        <v>21</v>
      </c>
      <c r="B29" s="5"/>
      <c r="C29" s="5"/>
      <c r="D29" s="7">
        <f>F4*I24*D28/100</f>
        <v>1627.7575497965302</v>
      </c>
      <c r="E29" s="5" t="s">
        <v>11</v>
      </c>
      <c r="F29" s="5"/>
      <c r="G29" s="2"/>
      <c r="H29" s="2"/>
      <c r="I29" s="2"/>
      <c r="J29" s="2"/>
      <c r="K29" s="5"/>
      <c r="S29" s="3"/>
    </row>
    <row r="30" spans="1:19" hidden="1" outlineLevel="2" x14ac:dyDescent="0.2">
      <c r="A30" s="5" t="s">
        <v>82</v>
      </c>
      <c r="B30" s="5"/>
      <c r="C30" s="5"/>
      <c r="D30" s="61">
        <v>100</v>
      </c>
      <c r="E30" s="5" t="s">
        <v>73</v>
      </c>
      <c r="F30" s="5"/>
      <c r="G30" s="2"/>
      <c r="H30" s="2"/>
      <c r="I30" s="2"/>
      <c r="J30" s="2"/>
      <c r="K30" s="5"/>
      <c r="S30" s="3"/>
    </row>
    <row r="31" spans="1:19" hidden="1" outlineLevel="2" x14ac:dyDescent="0.2">
      <c r="A31" s="5" t="s">
        <v>96</v>
      </c>
      <c r="B31" s="6"/>
      <c r="C31" s="6"/>
      <c r="D31" s="85">
        <f>IF(D30&gt;0,((I25*Parameters!$D$42/D30)),0)</f>
        <v>0</v>
      </c>
      <c r="E31" s="6" t="s">
        <v>72</v>
      </c>
      <c r="F31" s="5"/>
      <c r="G31" s="5"/>
      <c r="H31" s="5"/>
      <c r="I31" s="5"/>
      <c r="J31" s="5"/>
      <c r="K31" s="5"/>
      <c r="L31" s="5"/>
      <c r="M31" s="5"/>
      <c r="N31" s="5"/>
      <c r="O31" s="5"/>
      <c r="S31" s="3"/>
    </row>
    <row r="32" spans="1:19" hidden="1" outlineLevel="2" x14ac:dyDescent="0.2">
      <c r="A32" s="5" t="s">
        <v>32</v>
      </c>
      <c r="B32" s="5"/>
      <c r="C32" s="5"/>
      <c r="D32" s="84">
        <f>F4*I25*(D31)</f>
        <v>0</v>
      </c>
      <c r="E32" s="5" t="s">
        <v>35</v>
      </c>
      <c r="F32" s="5"/>
      <c r="G32" s="5"/>
      <c r="H32" s="5"/>
      <c r="I32" s="5"/>
      <c r="J32" s="5"/>
      <c r="K32" s="5"/>
      <c r="L32" s="5"/>
      <c r="M32" s="5"/>
      <c r="N32" s="5"/>
      <c r="O32" s="5"/>
      <c r="S32" s="3"/>
    </row>
    <row r="33" spans="1:19" hidden="1" outlineLevel="2" x14ac:dyDescent="0.2">
      <c r="A33" s="5" t="s">
        <v>102</v>
      </c>
      <c r="B33" s="5"/>
      <c r="C33" s="5"/>
      <c r="D33" s="61">
        <v>23</v>
      </c>
      <c r="E33" s="5" t="s">
        <v>73</v>
      </c>
      <c r="F33" s="5"/>
      <c r="G33" s="2"/>
      <c r="H33" s="2"/>
      <c r="I33" s="2"/>
      <c r="J33" s="2"/>
      <c r="K33" s="5"/>
      <c r="S33" s="3"/>
    </row>
    <row r="34" spans="1:19" hidden="1" outlineLevel="2" x14ac:dyDescent="0.2">
      <c r="A34" s="5"/>
      <c r="B34" s="5"/>
      <c r="C34" s="5"/>
      <c r="D34" s="90">
        <f>D33*1.61</f>
        <v>37.03</v>
      </c>
      <c r="E34" s="5" t="s">
        <v>103</v>
      </c>
      <c r="F34" s="5"/>
      <c r="G34" s="2"/>
      <c r="H34" s="2"/>
      <c r="I34" s="2"/>
      <c r="J34" s="2"/>
      <c r="K34" s="5"/>
      <c r="S34" s="3"/>
    </row>
    <row r="35" spans="1:19" hidden="1" outlineLevel="2" x14ac:dyDescent="0.2">
      <c r="A35" s="5" t="s">
        <v>58</v>
      </c>
      <c r="B35" s="5"/>
      <c r="C35" s="5"/>
      <c r="D35" s="80">
        <f>IF(D29&gt;0,$D$29*$E$10,$D$32*$E$11)</f>
        <v>451.21439280359817</v>
      </c>
      <c r="E35" s="72" t="s">
        <v>63</v>
      </c>
      <c r="F35" s="2"/>
      <c r="G35" s="5"/>
      <c r="H35" s="5"/>
      <c r="I35" s="5"/>
      <c r="J35" s="5"/>
      <c r="K35" s="5"/>
      <c r="L35" s="5"/>
      <c r="M35" s="5"/>
      <c r="N35" s="5"/>
      <c r="O35" s="5"/>
      <c r="S35" s="3"/>
    </row>
    <row r="36" spans="1:19" hidden="1" outlineLevel="1" collapsed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S36" s="3"/>
    </row>
    <row r="37" spans="1:19" hidden="1" outlineLevel="1" x14ac:dyDescent="0.2">
      <c r="A37" s="8" t="s">
        <v>43</v>
      </c>
      <c r="B37" s="6"/>
      <c r="C37" s="6"/>
      <c r="D37" s="6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  <c r="S37" s="3"/>
    </row>
    <row r="38" spans="1:19" hidden="1" outlineLevel="2" x14ac:dyDescent="0.2">
      <c r="A38" s="6"/>
      <c r="B38" s="5" t="s">
        <v>125</v>
      </c>
      <c r="C38" s="5"/>
      <c r="D38" s="6"/>
      <c r="E38" s="11">
        <v>19000</v>
      </c>
      <c r="F38" s="12" t="s">
        <v>126</v>
      </c>
      <c r="H38" s="13"/>
      <c r="I38" s="16"/>
      <c r="J38" s="14"/>
      <c r="K38" s="14"/>
      <c r="L38" s="14"/>
      <c r="M38" s="14"/>
      <c r="N38" s="14"/>
      <c r="O38" s="14"/>
      <c r="S38" s="3"/>
    </row>
    <row r="39" spans="1:19" hidden="1" outlineLevel="2" x14ac:dyDescent="0.2">
      <c r="A39" s="6"/>
      <c r="B39" s="5" t="s">
        <v>65</v>
      </c>
      <c r="C39" s="5"/>
      <c r="D39" s="6"/>
      <c r="E39" s="93">
        <f>E38</f>
        <v>19000</v>
      </c>
      <c r="F39" s="12" t="s">
        <v>127</v>
      </c>
      <c r="H39" s="13"/>
      <c r="I39" s="16"/>
      <c r="J39" s="14"/>
      <c r="K39" s="14"/>
      <c r="L39" s="14"/>
      <c r="M39" s="14"/>
      <c r="N39" s="14"/>
      <c r="O39" s="14"/>
      <c r="S39" s="3"/>
    </row>
    <row r="40" spans="1:19" hidden="1" outlineLevel="2" x14ac:dyDescent="0.2">
      <c r="A40" s="6"/>
      <c r="B40" s="5" t="s">
        <v>20</v>
      </c>
      <c r="C40" s="5"/>
      <c r="D40" s="6"/>
      <c r="E40" s="15"/>
      <c r="F40" s="13">
        <f>E38+F41</f>
        <v>19000</v>
      </c>
      <c r="G40" s="13">
        <f t="shared" ref="G40:O40" si="17">F40+G41</f>
        <v>19000</v>
      </c>
      <c r="H40" s="13">
        <f t="shared" si="17"/>
        <v>19000</v>
      </c>
      <c r="I40" s="13">
        <f t="shared" si="17"/>
        <v>19000</v>
      </c>
      <c r="J40" s="13">
        <f t="shared" si="17"/>
        <v>19000</v>
      </c>
      <c r="K40" s="13">
        <f t="shared" si="17"/>
        <v>19000</v>
      </c>
      <c r="L40" s="13">
        <f t="shared" si="17"/>
        <v>19000</v>
      </c>
      <c r="M40" s="13">
        <f t="shared" si="17"/>
        <v>19000</v>
      </c>
      <c r="N40" s="13">
        <f t="shared" si="17"/>
        <v>19000</v>
      </c>
      <c r="O40" s="13">
        <f t="shared" si="17"/>
        <v>19000</v>
      </c>
      <c r="S40" s="3"/>
    </row>
    <row r="41" spans="1:19" hidden="1" outlineLevel="2" x14ac:dyDescent="0.2">
      <c r="A41" s="6"/>
      <c r="B41" s="5" t="s">
        <v>19</v>
      </c>
      <c r="C41" s="5"/>
      <c r="D41" s="6"/>
      <c r="E41" s="15"/>
      <c r="F41" s="13">
        <f>E38*(1+$E7/100)-E38</f>
        <v>0</v>
      </c>
      <c r="G41" s="13">
        <f t="shared" ref="G41:O41" si="18">F40*(1+$E7/100)-F40</f>
        <v>0</v>
      </c>
      <c r="H41" s="13">
        <f t="shared" si="18"/>
        <v>0</v>
      </c>
      <c r="I41" s="13">
        <f t="shared" si="18"/>
        <v>0</v>
      </c>
      <c r="J41" s="13">
        <f t="shared" si="18"/>
        <v>0</v>
      </c>
      <c r="K41" s="13">
        <f t="shared" si="18"/>
        <v>0</v>
      </c>
      <c r="L41" s="13">
        <f t="shared" si="18"/>
        <v>0</v>
      </c>
      <c r="M41" s="13">
        <f t="shared" si="18"/>
        <v>0</v>
      </c>
      <c r="N41" s="13">
        <f t="shared" si="18"/>
        <v>0</v>
      </c>
      <c r="O41" s="13">
        <f t="shared" si="18"/>
        <v>0</v>
      </c>
      <c r="S41" s="3"/>
    </row>
    <row r="42" spans="1:19" hidden="1" outlineLevel="1" collapsed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S42" s="3"/>
    </row>
    <row r="43" spans="1:19" hidden="1" outlineLevel="1" x14ac:dyDescent="0.2">
      <c r="A43" s="8" t="s">
        <v>156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S43" s="3"/>
    </row>
    <row r="44" spans="1:19" hidden="1" outlineLevel="2" x14ac:dyDescent="0.2">
      <c r="A44" s="5"/>
      <c r="B44" s="5"/>
      <c r="C44" s="5"/>
      <c r="D44" s="5"/>
      <c r="E44" s="77">
        <f>IF(D26&gt;0,Parameters!$E$10,Parameters!$E$11)</f>
        <v>684.89</v>
      </c>
      <c r="F44" s="12" t="s">
        <v>56</v>
      </c>
      <c r="G44" s="5"/>
      <c r="H44" s="5"/>
      <c r="I44" s="5"/>
      <c r="J44" s="5"/>
      <c r="K44" s="5"/>
      <c r="L44" s="5"/>
      <c r="M44" s="5"/>
      <c r="N44" s="5"/>
      <c r="O44" s="5"/>
      <c r="S44" s="3"/>
    </row>
    <row r="45" spans="1:19" hidden="1" outlineLevel="2" x14ac:dyDescent="0.2">
      <c r="A45" s="5"/>
      <c r="B45" s="5"/>
      <c r="C45" s="5"/>
      <c r="D45" s="5"/>
      <c r="E45" s="77">
        <f>E44*(1+E9)^(F49-2013)</f>
        <v>771.29737932972102</v>
      </c>
      <c r="F45" s="12" t="s">
        <v>160</v>
      </c>
      <c r="G45" s="5"/>
      <c r="H45" s="5"/>
      <c r="I45" s="5"/>
      <c r="J45" s="5"/>
      <c r="K45" s="5"/>
      <c r="L45" s="5"/>
      <c r="M45" s="5"/>
      <c r="N45" s="5"/>
      <c r="O45" s="5"/>
      <c r="S45" s="3"/>
    </row>
    <row r="46" spans="1:19" ht="13.5" hidden="1" outlineLevel="1" thickBo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81"/>
      <c r="M46" s="5"/>
      <c r="N46" s="5"/>
      <c r="O46" s="5"/>
      <c r="S46" s="3"/>
    </row>
    <row r="47" spans="1:19" ht="13.5" hidden="1" outlineLevel="1" thickBot="1" x14ac:dyDescent="0.25">
      <c r="A47" s="19" t="s">
        <v>144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S47" s="3"/>
    </row>
    <row r="48" spans="1:19" hidden="1" outlineLevel="1" x14ac:dyDescent="0.2">
      <c r="A48" s="2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S48" s="3"/>
    </row>
    <row r="49" spans="1:19" hidden="1" outlineLevel="1" x14ac:dyDescent="0.2">
      <c r="A49" s="21"/>
      <c r="B49" s="6"/>
      <c r="C49" s="6"/>
      <c r="D49" s="23" t="s">
        <v>2</v>
      </c>
      <c r="E49" s="24">
        <f>E15</f>
        <v>2018</v>
      </c>
      <c r="F49" s="24">
        <f t="shared" ref="F49:G50" si="19">E49+1</f>
        <v>2019</v>
      </c>
      <c r="G49" s="24">
        <f t="shared" si="19"/>
        <v>2020</v>
      </c>
      <c r="H49" s="24">
        <f t="shared" ref="H49:H50" si="20">G49+1</f>
        <v>2021</v>
      </c>
      <c r="I49" s="24">
        <f t="shared" ref="I49" si="21">H49+1</f>
        <v>2022</v>
      </c>
      <c r="J49" s="24">
        <f t="shared" ref="J49" si="22">I49+1</f>
        <v>2023</v>
      </c>
      <c r="K49" s="24">
        <f t="shared" ref="K49" si="23">J49+1</f>
        <v>2024</v>
      </c>
      <c r="L49" s="24">
        <f t="shared" ref="L49:L50" si="24">K49+1</f>
        <v>2025</v>
      </c>
      <c r="M49" s="24">
        <f t="shared" ref="M49:M50" si="25">L49+1</f>
        <v>2026</v>
      </c>
      <c r="N49" s="24">
        <f t="shared" ref="N49:N50" si="26">M49+1</f>
        <v>2027</v>
      </c>
      <c r="O49" s="24">
        <f t="shared" ref="O49:O50" si="27">N49+1</f>
        <v>2028</v>
      </c>
      <c r="Q49" s="1" t="s">
        <v>91</v>
      </c>
      <c r="S49" s="3"/>
    </row>
    <row r="50" spans="1:19" hidden="1" outlineLevel="1" x14ac:dyDescent="0.2">
      <c r="A50" s="21"/>
      <c r="B50" s="6"/>
      <c r="C50" s="6"/>
      <c r="D50" s="23" t="s">
        <v>3</v>
      </c>
      <c r="E50" s="25">
        <v>0</v>
      </c>
      <c r="F50" s="25">
        <f t="shared" ref="F50" si="28">E50+1</f>
        <v>1</v>
      </c>
      <c r="G50" s="25">
        <f t="shared" si="19"/>
        <v>2</v>
      </c>
      <c r="H50" s="25">
        <f t="shared" si="20"/>
        <v>3</v>
      </c>
      <c r="I50" s="25">
        <f>H50+1</f>
        <v>4</v>
      </c>
      <c r="J50" s="25">
        <f>I50+1</f>
        <v>5</v>
      </c>
      <c r="K50" s="25">
        <f>J50+1</f>
        <v>6</v>
      </c>
      <c r="L50" s="25">
        <f t="shared" si="24"/>
        <v>7</v>
      </c>
      <c r="M50" s="25">
        <f t="shared" si="25"/>
        <v>8</v>
      </c>
      <c r="N50" s="25">
        <f t="shared" si="26"/>
        <v>9</v>
      </c>
      <c r="O50" s="25">
        <f t="shared" si="27"/>
        <v>10</v>
      </c>
      <c r="Q50" s="86"/>
      <c r="S50" s="3"/>
    </row>
    <row r="51" spans="1:19" hidden="1" outlineLevel="1" x14ac:dyDescent="0.2">
      <c r="A51" s="21"/>
      <c r="B51" s="6"/>
      <c r="C51" s="6"/>
      <c r="D51" s="6"/>
      <c r="E51" s="25" t="s">
        <v>15</v>
      </c>
      <c r="F51" s="25" t="s">
        <v>15</v>
      </c>
      <c r="G51" s="25" t="s">
        <v>15</v>
      </c>
      <c r="H51" s="25" t="s">
        <v>15</v>
      </c>
      <c r="I51" s="25" t="s">
        <v>15</v>
      </c>
      <c r="J51" s="25" t="s">
        <v>15</v>
      </c>
      <c r="K51" s="25" t="s">
        <v>15</v>
      </c>
      <c r="L51" s="25" t="s">
        <v>15</v>
      </c>
      <c r="M51" s="25" t="s">
        <v>15</v>
      </c>
      <c r="N51" s="25" t="s">
        <v>15</v>
      </c>
      <c r="O51" s="25" t="s">
        <v>15</v>
      </c>
      <c r="Q51" s="86"/>
      <c r="S51" s="3"/>
    </row>
    <row r="52" spans="1:19" hidden="1" outlineLevel="1" x14ac:dyDescent="0.2">
      <c r="A52" s="21"/>
      <c r="B52" s="6"/>
      <c r="C52" s="6"/>
      <c r="D52" s="6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Q52" s="86"/>
      <c r="S52" s="3"/>
    </row>
    <row r="53" spans="1:19" hidden="1" outlineLevel="1" x14ac:dyDescent="0.2">
      <c r="A53" s="26" t="s">
        <v>145</v>
      </c>
      <c r="B53" s="27"/>
      <c r="C53" s="27"/>
      <c r="D53" s="27"/>
      <c r="E53" s="28"/>
      <c r="F53" s="45"/>
      <c r="G53" s="45"/>
      <c r="H53" s="45"/>
      <c r="I53" s="45"/>
      <c r="J53" s="45"/>
      <c r="K53" s="45"/>
      <c r="L53" s="45"/>
      <c r="M53" s="45"/>
      <c r="N53" s="45"/>
      <c r="O53" s="45"/>
      <c r="Q53" s="86"/>
      <c r="S53" s="3"/>
    </row>
    <row r="54" spans="1:19" hidden="1" outlineLevel="1" x14ac:dyDescent="0.2">
      <c r="A54" s="29"/>
      <c r="B54" s="30" t="s">
        <v>22</v>
      </c>
      <c r="C54" s="30"/>
      <c r="D54" s="30"/>
      <c r="E54" s="34">
        <f>-E38</f>
        <v>-19000</v>
      </c>
      <c r="F54" s="34"/>
      <c r="G54" s="45"/>
      <c r="H54" s="45"/>
      <c r="I54" s="45"/>
      <c r="J54" s="45"/>
      <c r="K54" s="45"/>
      <c r="L54" s="45"/>
      <c r="M54" s="45"/>
      <c r="N54" s="45"/>
      <c r="O54" s="45"/>
      <c r="Q54" s="86">
        <f>SUM(E54:O54)</f>
        <v>-19000</v>
      </c>
      <c r="S54" s="3"/>
    </row>
    <row r="55" spans="1:19" hidden="1" outlineLevel="1" x14ac:dyDescent="0.2">
      <c r="A55" s="32"/>
      <c r="B55" s="30" t="s">
        <v>23</v>
      </c>
      <c r="C55" s="30"/>
      <c r="D55" s="30"/>
      <c r="E55" s="33"/>
      <c r="F55" s="34">
        <f t="shared" ref="F55:O55" si="29">-($D$29*F17)</f>
        <v>-2571.0430499036192</v>
      </c>
      <c r="G55" s="34">
        <f t="shared" si="29"/>
        <v>-2707.308331548511</v>
      </c>
      <c r="H55" s="34">
        <f t="shared" si="29"/>
        <v>-2850.7956731205818</v>
      </c>
      <c r="I55" s="34">
        <f t="shared" si="29"/>
        <v>-3001.8878437959725</v>
      </c>
      <c r="J55" s="34">
        <f t="shared" si="29"/>
        <v>-3160.9878995171589</v>
      </c>
      <c r="K55" s="34">
        <f t="shared" si="29"/>
        <v>-3328.5202581915678</v>
      </c>
      <c r="L55" s="34">
        <f t="shared" si="29"/>
        <v>-3504.9318318757205</v>
      </c>
      <c r="M55" s="34">
        <f t="shared" si="29"/>
        <v>-3690.6932189651338</v>
      </c>
      <c r="N55" s="34">
        <f t="shared" si="29"/>
        <v>-3886.2999595702854</v>
      </c>
      <c r="O55" s="34">
        <f t="shared" si="29"/>
        <v>-4092.2738574275099</v>
      </c>
      <c r="Q55" s="86">
        <f t="shared" ref="Q55:Q61" si="30">SUM(F55:O55)</f>
        <v>-32794.741923916066</v>
      </c>
      <c r="S55" s="3"/>
    </row>
    <row r="56" spans="1:19" hidden="1" outlineLevel="1" x14ac:dyDescent="0.2">
      <c r="A56" s="32"/>
      <c r="B56" s="30" t="s">
        <v>31</v>
      </c>
      <c r="C56" s="30"/>
      <c r="D56" s="30"/>
      <c r="E56" s="33"/>
      <c r="F56" s="34">
        <f t="shared" ref="F56:O56" si="31">-($D$32*F19)</f>
        <v>0</v>
      </c>
      <c r="G56" s="34">
        <f t="shared" si="31"/>
        <v>0</v>
      </c>
      <c r="H56" s="34">
        <f t="shared" si="31"/>
        <v>0</v>
      </c>
      <c r="I56" s="34">
        <f t="shared" si="31"/>
        <v>0</v>
      </c>
      <c r="J56" s="34">
        <f t="shared" si="31"/>
        <v>0</v>
      </c>
      <c r="K56" s="34">
        <f t="shared" si="31"/>
        <v>0</v>
      </c>
      <c r="L56" s="34">
        <f t="shared" si="31"/>
        <v>0</v>
      </c>
      <c r="M56" s="34">
        <f t="shared" si="31"/>
        <v>0</v>
      </c>
      <c r="N56" s="34">
        <f t="shared" si="31"/>
        <v>0</v>
      </c>
      <c r="O56" s="34">
        <f t="shared" si="31"/>
        <v>0</v>
      </c>
      <c r="Q56" s="86">
        <f t="shared" si="30"/>
        <v>0</v>
      </c>
      <c r="S56" s="3"/>
    </row>
    <row r="57" spans="1:19" hidden="1" outlineLevel="1" x14ac:dyDescent="0.2">
      <c r="A57" s="32"/>
      <c r="B57" s="30" t="s">
        <v>49</v>
      </c>
      <c r="C57" s="30"/>
      <c r="D57" s="30"/>
      <c r="E57" s="33"/>
      <c r="F57" s="34">
        <f>-E45</f>
        <v>-771.29737932972102</v>
      </c>
      <c r="G57" s="34">
        <f>F57*(1+$E$9)</f>
        <v>-786.7233269163155</v>
      </c>
      <c r="H57" s="34">
        <f t="shared" ref="H57:O57" si="32">G57*(1+$E$9)</f>
        <v>-802.45779345464177</v>
      </c>
      <c r="I57" s="34">
        <f t="shared" si="32"/>
        <v>-818.5069493237346</v>
      </c>
      <c r="J57" s="34">
        <f t="shared" si="32"/>
        <v>-834.87708831020927</v>
      </c>
      <c r="K57" s="34">
        <f t="shared" si="32"/>
        <v>-851.57463007641343</v>
      </c>
      <c r="L57" s="34">
        <f t="shared" si="32"/>
        <v>-868.6061226779417</v>
      </c>
      <c r="M57" s="34">
        <f t="shared" si="32"/>
        <v>-885.97824513150056</v>
      </c>
      <c r="N57" s="34">
        <f t="shared" si="32"/>
        <v>-903.69781003413061</v>
      </c>
      <c r="O57" s="34">
        <f t="shared" si="32"/>
        <v>-921.77176623481319</v>
      </c>
      <c r="Q57" s="86">
        <f t="shared" si="30"/>
        <v>-8445.4911114894203</v>
      </c>
      <c r="S57" s="3"/>
    </row>
    <row r="58" spans="1:19" hidden="1" outlineLevel="1" x14ac:dyDescent="0.2">
      <c r="A58" s="29"/>
      <c r="B58" s="30"/>
      <c r="C58" s="30"/>
      <c r="D58" s="3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Q58" s="86"/>
      <c r="S58" s="3"/>
    </row>
    <row r="59" spans="1:19" hidden="1" outlineLevel="1" x14ac:dyDescent="0.2">
      <c r="A59" s="32" t="s">
        <v>4</v>
      </c>
      <c r="B59" s="30"/>
      <c r="C59" s="30"/>
      <c r="D59" s="30"/>
      <c r="E59" s="35">
        <f t="shared" ref="E59:O59" si="33">SUM(E54:E57)</f>
        <v>-19000</v>
      </c>
      <c r="F59" s="35">
        <f t="shared" si="33"/>
        <v>-3342.3404292333403</v>
      </c>
      <c r="G59" s="35">
        <f t="shared" si="33"/>
        <v>-3494.0316584648263</v>
      </c>
      <c r="H59" s="35">
        <f t="shared" si="33"/>
        <v>-3653.2534665752237</v>
      </c>
      <c r="I59" s="35">
        <f t="shared" si="33"/>
        <v>-3820.3947931197072</v>
      </c>
      <c r="J59" s="35">
        <f t="shared" si="33"/>
        <v>-3995.8649878273682</v>
      </c>
      <c r="K59" s="35">
        <f t="shared" si="33"/>
        <v>-4180.0948882679813</v>
      </c>
      <c r="L59" s="35">
        <f t="shared" si="33"/>
        <v>-4373.5379545536625</v>
      </c>
      <c r="M59" s="35">
        <f t="shared" si="33"/>
        <v>-4576.6714640966347</v>
      </c>
      <c r="N59" s="35">
        <f t="shared" si="33"/>
        <v>-4789.9977696044161</v>
      </c>
      <c r="O59" s="35">
        <f t="shared" si="33"/>
        <v>-5014.0456236623231</v>
      </c>
      <c r="Q59" s="86">
        <f t="shared" si="30"/>
        <v>-41240.233035405479</v>
      </c>
      <c r="S59" s="3"/>
    </row>
    <row r="60" spans="1:19" hidden="1" outlineLevel="1" x14ac:dyDescent="0.2">
      <c r="A60" s="26"/>
      <c r="B60" s="27"/>
      <c r="C60" s="27"/>
      <c r="D60" s="27"/>
      <c r="E60" s="28"/>
      <c r="F60" s="28"/>
      <c r="G60" s="28"/>
      <c r="H60" s="35"/>
      <c r="I60" s="35"/>
      <c r="J60" s="35"/>
      <c r="K60" s="35"/>
      <c r="L60" s="35"/>
      <c r="M60" s="35"/>
      <c r="N60" s="35"/>
      <c r="O60" s="35"/>
      <c r="Q60" s="86"/>
      <c r="S60" s="3"/>
    </row>
    <row r="61" spans="1:19" ht="13.5" hidden="1" outlineLevel="1" thickBot="1" x14ac:dyDescent="0.25">
      <c r="A61" s="36" t="s">
        <v>5</v>
      </c>
      <c r="B61" s="37"/>
      <c r="C61" s="37"/>
      <c r="D61" s="37"/>
      <c r="E61" s="38">
        <f>E59</f>
        <v>-19000</v>
      </c>
      <c r="F61" s="38">
        <f>E61+F59</f>
        <v>-22342.34042923334</v>
      </c>
      <c r="G61" s="38">
        <f t="shared" ref="G61:O61" si="34">F61+G59</f>
        <v>-25836.372087698168</v>
      </c>
      <c r="H61" s="38">
        <f t="shared" si="34"/>
        <v>-29489.625554273392</v>
      </c>
      <c r="I61" s="38">
        <f t="shared" si="34"/>
        <v>-33310.020347393103</v>
      </c>
      <c r="J61" s="38">
        <f t="shared" si="34"/>
        <v>-37305.885335220475</v>
      </c>
      <c r="K61" s="38">
        <f t="shared" si="34"/>
        <v>-41485.980223488456</v>
      </c>
      <c r="L61" s="38">
        <f t="shared" si="34"/>
        <v>-45859.518178042119</v>
      </c>
      <c r="M61" s="38">
        <f t="shared" si="34"/>
        <v>-50436.18964213875</v>
      </c>
      <c r="N61" s="38">
        <f t="shared" si="34"/>
        <v>-55226.187411743165</v>
      </c>
      <c r="O61" s="38">
        <f t="shared" si="34"/>
        <v>-60240.233035405487</v>
      </c>
      <c r="Q61" s="86">
        <f t="shared" si="30"/>
        <v>-401532.35224463639</v>
      </c>
      <c r="S61" s="3"/>
    </row>
    <row r="62" spans="1:19" hidden="1" outlineLevel="1" x14ac:dyDescent="0.2">
      <c r="A62" s="8"/>
      <c r="B62" s="6"/>
      <c r="C62" s="6"/>
      <c r="D62" s="6"/>
      <c r="E62" s="9"/>
      <c r="F62" s="47"/>
      <c r="G62" s="47"/>
      <c r="H62" s="47"/>
      <c r="I62" s="47"/>
      <c r="J62" s="47"/>
      <c r="K62" s="47"/>
      <c r="L62" s="47"/>
      <c r="M62" s="47"/>
      <c r="N62" s="47"/>
      <c r="O62" s="47"/>
      <c r="Q62" s="86"/>
      <c r="S62" s="3"/>
    </row>
    <row r="63" spans="1:19" hidden="1" outlineLevel="1" x14ac:dyDescent="0.2">
      <c r="A63" s="51" t="s">
        <v>157</v>
      </c>
      <c r="B63" s="6"/>
      <c r="C63" s="6"/>
      <c r="D63" s="6"/>
      <c r="E63" s="2"/>
      <c r="F63" s="9"/>
      <c r="G63" s="9"/>
      <c r="H63" s="9"/>
      <c r="I63" s="9"/>
      <c r="J63" s="9"/>
      <c r="K63" s="9"/>
      <c r="L63" s="9"/>
      <c r="M63" s="9"/>
      <c r="N63" s="9"/>
      <c r="O63" s="9"/>
      <c r="Q63" s="50" t="s">
        <v>18</v>
      </c>
      <c r="S63" s="3"/>
    </row>
    <row r="64" spans="1:19" hidden="1" outlineLevel="1" x14ac:dyDescent="0.2">
      <c r="A64" s="8"/>
      <c r="B64" s="30" t="s">
        <v>22</v>
      </c>
      <c r="C64" s="6"/>
      <c r="D64" s="6"/>
      <c r="E64" s="115">
        <f>E54/(1+$E$8)^E$50</f>
        <v>-19000</v>
      </c>
      <c r="F64" s="115">
        <f>F54/(1+$E$8)^F$50</f>
        <v>0</v>
      </c>
      <c r="G64" s="115">
        <f t="shared" ref="G64:O64" si="35">G54/(1+$E$8)^G$50</f>
        <v>0</v>
      </c>
      <c r="H64" s="115">
        <f t="shared" si="35"/>
        <v>0</v>
      </c>
      <c r="I64" s="115">
        <f t="shared" si="35"/>
        <v>0</v>
      </c>
      <c r="J64" s="115">
        <f t="shared" si="35"/>
        <v>0</v>
      </c>
      <c r="K64" s="115">
        <f t="shared" si="35"/>
        <v>0</v>
      </c>
      <c r="L64" s="115">
        <f t="shared" si="35"/>
        <v>0</v>
      </c>
      <c r="M64" s="115">
        <f t="shared" si="35"/>
        <v>0</v>
      </c>
      <c r="N64" s="115">
        <f t="shared" si="35"/>
        <v>0</v>
      </c>
      <c r="O64" s="115">
        <f t="shared" si="35"/>
        <v>0</v>
      </c>
      <c r="Q64" s="86">
        <f>SUM(E64:O64)</f>
        <v>-19000</v>
      </c>
      <c r="S64" s="3"/>
    </row>
    <row r="65" spans="1:19" hidden="1" outlineLevel="1" x14ac:dyDescent="0.2">
      <c r="A65" s="8"/>
      <c r="B65" s="30" t="s">
        <v>23</v>
      </c>
      <c r="C65" s="6"/>
      <c r="D65" s="6"/>
      <c r="E65" s="115">
        <f t="shared" ref="E65:F67" si="36">E55/(1+$E$8)^E$50</f>
        <v>0</v>
      </c>
      <c r="F65" s="115">
        <f>F55/(1+$E$8)^F$50</f>
        <v>-2484.0995651242702</v>
      </c>
      <c r="G65" s="115">
        <f t="shared" ref="G65:O65" si="37">G55/(1+$E$8)^G$50</f>
        <v>-2527.3012966916485</v>
      </c>
      <c r="H65" s="115">
        <f t="shared" si="37"/>
        <v>-2571.2543627210684</v>
      </c>
      <c r="I65" s="115">
        <f t="shared" si="37"/>
        <v>-2615.9718298988264</v>
      </c>
      <c r="J65" s="115">
        <f t="shared" si="37"/>
        <v>-2661.4669921579366</v>
      </c>
      <c r="K65" s="115">
        <f t="shared" si="37"/>
        <v>-2707.7533746302479</v>
      </c>
      <c r="L65" s="115">
        <f t="shared" si="37"/>
        <v>-2754.8447376672957</v>
      </c>
      <c r="M65" s="115">
        <f t="shared" si="37"/>
        <v>-2802.7550809310756</v>
      </c>
      <c r="N65" s="115">
        <f t="shared" si="37"/>
        <v>-2851.4986475559635</v>
      </c>
      <c r="O65" s="115">
        <f t="shared" si="37"/>
        <v>-2901.0899283830236</v>
      </c>
      <c r="Q65" s="86">
        <f t="shared" ref="Q65:Q67" si="38">SUM(E65:O65)</f>
        <v>-26878.035815761355</v>
      </c>
      <c r="S65" s="3"/>
    </row>
    <row r="66" spans="1:19" hidden="1" outlineLevel="1" x14ac:dyDescent="0.2">
      <c r="A66" s="8"/>
      <c r="B66" s="30" t="s">
        <v>31</v>
      </c>
      <c r="C66" s="6"/>
      <c r="D66" s="6"/>
      <c r="E66" s="115">
        <f t="shared" si="36"/>
        <v>0</v>
      </c>
      <c r="F66" s="115">
        <f t="shared" si="36"/>
        <v>0</v>
      </c>
      <c r="G66" s="115">
        <f t="shared" ref="G66:O66" si="39">G56/(1+$E$8)^G$50</f>
        <v>0</v>
      </c>
      <c r="H66" s="115">
        <f t="shared" si="39"/>
        <v>0</v>
      </c>
      <c r="I66" s="115">
        <f t="shared" si="39"/>
        <v>0</v>
      </c>
      <c r="J66" s="115">
        <f t="shared" si="39"/>
        <v>0</v>
      </c>
      <c r="K66" s="115">
        <f t="shared" si="39"/>
        <v>0</v>
      </c>
      <c r="L66" s="115">
        <f t="shared" si="39"/>
        <v>0</v>
      </c>
      <c r="M66" s="115">
        <f t="shared" si="39"/>
        <v>0</v>
      </c>
      <c r="N66" s="115">
        <f t="shared" si="39"/>
        <v>0</v>
      </c>
      <c r="O66" s="115">
        <f t="shared" si="39"/>
        <v>0</v>
      </c>
      <c r="Q66" s="86">
        <f t="shared" si="38"/>
        <v>0</v>
      </c>
      <c r="S66" s="3"/>
    </row>
    <row r="67" spans="1:19" hidden="1" outlineLevel="1" x14ac:dyDescent="0.2">
      <c r="A67" s="8"/>
      <c r="B67" s="30" t="s">
        <v>49</v>
      </c>
      <c r="C67" s="6"/>
      <c r="D67" s="6"/>
      <c r="E67" s="115">
        <f t="shared" si="36"/>
        <v>0</v>
      </c>
      <c r="F67" s="115">
        <f t="shared" si="36"/>
        <v>-745.21485925576917</v>
      </c>
      <c r="G67" s="115">
        <f t="shared" ref="G67:O67" si="40">G57/(1+$E$8)^G$50</f>
        <v>-734.41464390423641</v>
      </c>
      <c r="H67" s="115">
        <f t="shared" si="40"/>
        <v>-723.77095341287065</v>
      </c>
      <c r="I67" s="115">
        <f t="shared" si="40"/>
        <v>-713.28151930543777</v>
      </c>
      <c r="J67" s="115">
        <f t="shared" si="40"/>
        <v>-702.94410598217064</v>
      </c>
      <c r="K67" s="115">
        <f t="shared" si="40"/>
        <v>-692.75651024329852</v>
      </c>
      <c r="L67" s="115">
        <f t="shared" si="40"/>
        <v>-682.71656081948265</v>
      </c>
      <c r="M67" s="115">
        <f t="shared" si="40"/>
        <v>-672.82211790905558</v>
      </c>
      <c r="N67" s="115">
        <f t="shared" si="40"/>
        <v>-663.07107272196788</v>
      </c>
      <c r="O67" s="115">
        <f t="shared" si="40"/>
        <v>-653.46134703034522</v>
      </c>
      <c r="Q67" s="86">
        <f t="shared" si="38"/>
        <v>-6984.4536905846344</v>
      </c>
      <c r="S67" s="3"/>
    </row>
    <row r="68" spans="1:19" hidden="1" outlineLevel="1" x14ac:dyDescent="0.2">
      <c r="A68" s="2" t="s">
        <v>158</v>
      </c>
      <c r="B68" s="52"/>
      <c r="C68" s="52"/>
      <c r="D68" s="52"/>
      <c r="E68" s="111">
        <f t="shared" ref="E68:N68" si="41">E59/(1+$E8)^E50</f>
        <v>-19000</v>
      </c>
      <c r="F68" s="111">
        <f t="shared" si="41"/>
        <v>-3229.3144243800393</v>
      </c>
      <c r="G68" s="111">
        <f t="shared" si="41"/>
        <v>-3261.7159405958846</v>
      </c>
      <c r="H68" s="111">
        <f t="shared" si="41"/>
        <v>-3295.0253161339392</v>
      </c>
      <c r="I68" s="111">
        <f t="shared" si="41"/>
        <v>-3329.2533492042644</v>
      </c>
      <c r="J68" s="111">
        <f t="shared" si="41"/>
        <v>-3364.4110981401072</v>
      </c>
      <c r="K68" s="111">
        <f t="shared" si="41"/>
        <v>-3400.5098848735465</v>
      </c>
      <c r="L68" s="111">
        <f t="shared" si="41"/>
        <v>-3437.5612984867785</v>
      </c>
      <c r="M68" s="111">
        <f t="shared" si="41"/>
        <v>-3475.5771988401311</v>
      </c>
      <c r="N68" s="111">
        <f t="shared" si="41"/>
        <v>-3514.569720277932</v>
      </c>
      <c r="O68" s="111">
        <f>O59/(1+$E8)^O50</f>
        <v>-3554.5512754133688</v>
      </c>
      <c r="Q68" s="46">
        <f>SUM(E68:O68)</f>
        <v>-52862.489506345984</v>
      </c>
      <c r="R68" s="118">
        <f>SUM(Q64:Q67)</f>
        <v>-52862.489506345984</v>
      </c>
      <c r="S68" s="3"/>
    </row>
    <row r="69" spans="1:19" ht="13.5" hidden="1" outlineLevel="1" thickBot="1" x14ac:dyDescent="0.25">
      <c r="S69" s="3"/>
    </row>
    <row r="70" spans="1:19" ht="13.5" hidden="1" outlineLevel="1" thickBot="1" x14ac:dyDescent="0.25">
      <c r="A70" s="19" t="s">
        <v>6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S70" s="3"/>
    </row>
    <row r="71" spans="1:19" hidden="1" outlineLevel="1" x14ac:dyDescent="0.2">
      <c r="A71" s="21"/>
      <c r="B71" s="6"/>
      <c r="C71" s="6"/>
      <c r="D71" s="6"/>
      <c r="E71" s="6"/>
      <c r="F71" s="6"/>
      <c r="G71" s="39"/>
      <c r="H71" s="6"/>
      <c r="I71" s="6"/>
      <c r="J71" s="6"/>
      <c r="K71" s="6"/>
      <c r="L71" s="6"/>
      <c r="M71" s="6"/>
      <c r="N71" s="6"/>
      <c r="O71" s="6"/>
      <c r="S71" s="3"/>
    </row>
    <row r="72" spans="1:19" hidden="1" outlineLevel="1" x14ac:dyDescent="0.2">
      <c r="A72" s="40" t="s">
        <v>7</v>
      </c>
      <c r="B72" s="40"/>
      <c r="C72" s="40"/>
      <c r="D72" s="41"/>
      <c r="E72" s="42"/>
      <c r="F72" s="42" t="s">
        <v>17</v>
      </c>
      <c r="G72" s="43" t="s">
        <v>8</v>
      </c>
      <c r="H72" s="6"/>
      <c r="I72" s="6"/>
      <c r="J72" s="6"/>
      <c r="K72" s="6"/>
      <c r="L72" s="6"/>
      <c r="M72" s="6"/>
      <c r="N72" s="6"/>
      <c r="O72" s="6"/>
      <c r="S72" s="3"/>
    </row>
    <row r="73" spans="1:19" ht="20.25" hidden="1" outlineLevel="1" x14ac:dyDescent="0.3">
      <c r="A73" s="53" t="s">
        <v>9</v>
      </c>
      <c r="B73" s="54"/>
      <c r="C73" s="54"/>
      <c r="D73" s="55"/>
      <c r="E73" s="56"/>
      <c r="F73" s="56">
        <f>NPV((E8), F59:O59)+E59</f>
        <v>-52862.489506345992</v>
      </c>
      <c r="G73" s="6" t="s">
        <v>15</v>
      </c>
      <c r="H73" s="6"/>
      <c r="I73" s="6"/>
      <c r="J73" s="2"/>
      <c r="K73" s="8"/>
      <c r="L73" s="6"/>
      <c r="M73" s="6"/>
      <c r="N73" s="6"/>
      <c r="O73" s="6"/>
      <c r="S73" s="3"/>
    </row>
    <row r="74" spans="1:19" hidden="1" outlineLevel="1" x14ac:dyDescent="0.2">
      <c r="A74" s="8"/>
      <c r="D74" s="2"/>
      <c r="E74" s="47"/>
      <c r="F74" s="47"/>
      <c r="G74" s="6"/>
      <c r="H74" s="6"/>
      <c r="S74" s="3"/>
    </row>
    <row r="75" spans="1:19" hidden="1" outlineLevel="1" x14ac:dyDescent="0.2">
      <c r="S75" s="3"/>
    </row>
    <row r="76" spans="1:19" hidden="1" outlineLevel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idden="1" outlineLevel="1" x14ac:dyDescent="0.2">
      <c r="S77" s="3"/>
    </row>
    <row r="78" spans="1:19" ht="20.25" collapsed="1" x14ac:dyDescent="0.3">
      <c r="A78" s="65" t="s">
        <v>66</v>
      </c>
      <c r="H78" s="1"/>
      <c r="L78" s="2"/>
      <c r="M78" s="2"/>
      <c r="S78" s="3"/>
    </row>
    <row r="79" spans="1:19" x14ac:dyDescent="0.2">
      <c r="H79" s="1"/>
      <c r="S79" s="3"/>
    </row>
    <row r="80" spans="1:19" hidden="1" outlineLevel="1" x14ac:dyDescent="0.2">
      <c r="A80" s="4" t="s">
        <v>41</v>
      </c>
      <c r="B80" s="5"/>
      <c r="C80" s="5"/>
      <c r="D80" s="5"/>
      <c r="E80" s="5"/>
      <c r="F80" s="5"/>
      <c r="G80" s="5"/>
      <c r="H80" s="5"/>
      <c r="I80" s="5"/>
      <c r="J80" s="5"/>
      <c r="K80" s="5"/>
      <c r="S80" s="3"/>
    </row>
    <row r="81" spans="1:19" hidden="1" outlineLevel="2" x14ac:dyDescent="0.2">
      <c r="A81" s="5" t="s">
        <v>85</v>
      </c>
      <c r="B81" s="6"/>
      <c r="C81" s="6"/>
      <c r="D81" s="61">
        <f>(43*0.5+59*0.5)</f>
        <v>51</v>
      </c>
      <c r="E81" s="6" t="s">
        <v>34</v>
      </c>
      <c r="F81" s="91">
        <v>0.7</v>
      </c>
      <c r="G81" s="6" t="s">
        <v>29</v>
      </c>
      <c r="H81" s="6"/>
      <c r="I81" s="63">
        <v>1</v>
      </c>
      <c r="J81" s="6" t="s">
        <v>79</v>
      </c>
      <c r="K81" s="6"/>
      <c r="S81" s="3"/>
    </row>
    <row r="82" spans="1:19" hidden="1" outlineLevel="2" x14ac:dyDescent="0.2">
      <c r="A82" s="5" t="s">
        <v>81</v>
      </c>
      <c r="B82" s="5"/>
      <c r="C82" s="5"/>
      <c r="D82" s="90">
        <f>(D81/3.8)*1.61</f>
        <v>21.607894736842109</v>
      </c>
      <c r="E82" s="5" t="s">
        <v>83</v>
      </c>
      <c r="F82" s="91">
        <v>0.3</v>
      </c>
      <c r="G82" t="s">
        <v>30</v>
      </c>
      <c r="H82" s="6"/>
      <c r="I82" s="63">
        <v>0</v>
      </c>
      <c r="J82" t="s">
        <v>80</v>
      </c>
      <c r="K82" s="6"/>
      <c r="S82" s="3"/>
    </row>
    <row r="83" spans="1:19" hidden="1" outlineLevel="2" x14ac:dyDescent="0.2">
      <c r="A83" s="5"/>
      <c r="B83" s="5"/>
      <c r="C83" s="5"/>
      <c r="D83" s="90">
        <f>100/D82</f>
        <v>4.6279381317744477</v>
      </c>
      <c r="E83" s="5" t="s">
        <v>84</v>
      </c>
      <c r="K83" s="6"/>
      <c r="S83" s="3"/>
    </row>
    <row r="84" spans="1:19" hidden="1" outlineLevel="2" x14ac:dyDescent="0.2">
      <c r="A84" s="5" t="s">
        <v>82</v>
      </c>
      <c r="B84" s="5"/>
      <c r="C84" s="5"/>
      <c r="D84" s="61">
        <v>105</v>
      </c>
      <c r="E84" s="5" t="s">
        <v>73</v>
      </c>
      <c r="F84" s="5"/>
      <c r="G84" s="2"/>
      <c r="H84" s="2"/>
      <c r="I84" s="5"/>
      <c r="J84" s="5"/>
      <c r="K84" s="5"/>
      <c r="S84" s="3"/>
    </row>
    <row r="85" spans="1:19" hidden="1" outlineLevel="2" x14ac:dyDescent="0.2">
      <c r="A85" s="5" t="s">
        <v>21</v>
      </c>
      <c r="B85" s="5"/>
      <c r="C85" s="5"/>
      <c r="D85" s="7">
        <f>$F$4*I81*D83/100</f>
        <v>925.58762635488949</v>
      </c>
      <c r="E85" s="5" t="s">
        <v>11</v>
      </c>
      <c r="F85" s="5"/>
      <c r="G85" s="2"/>
      <c r="H85" s="2"/>
      <c r="I85" s="2"/>
      <c r="J85" s="2"/>
      <c r="K85" s="5"/>
      <c r="S85" s="3"/>
    </row>
    <row r="86" spans="1:19" hidden="1" outlineLevel="2" x14ac:dyDescent="0.2">
      <c r="A86" s="5" t="s">
        <v>96</v>
      </c>
      <c r="B86" s="6"/>
      <c r="C86" s="6"/>
      <c r="D86" s="85">
        <f>IF(D84&gt;0,((I82*Parameters!$D$42/D84)),0)</f>
        <v>0</v>
      </c>
      <c r="E86" s="6" t="s">
        <v>72</v>
      </c>
      <c r="F86" s="5"/>
      <c r="G86" s="2"/>
      <c r="H86" s="2"/>
      <c r="I86" s="2"/>
      <c r="J86" s="2"/>
      <c r="K86" s="5"/>
      <c r="S86" s="3"/>
    </row>
    <row r="87" spans="1:19" hidden="1" outlineLevel="2" x14ac:dyDescent="0.2">
      <c r="A87" s="5" t="s">
        <v>32</v>
      </c>
      <c r="B87" s="5"/>
      <c r="C87" s="5"/>
      <c r="D87" s="84">
        <f>$F$4*I82*(D86)</f>
        <v>0</v>
      </c>
      <c r="E87" s="5" t="s">
        <v>35</v>
      </c>
      <c r="F87" s="5"/>
      <c r="G87" s="5"/>
      <c r="H87" s="5"/>
      <c r="I87" s="5"/>
      <c r="J87" s="5"/>
      <c r="K87" s="5"/>
      <c r="L87" s="5"/>
      <c r="M87" s="5"/>
      <c r="N87" s="5"/>
      <c r="O87" s="5"/>
      <c r="S87" s="3"/>
    </row>
    <row r="88" spans="1:19" hidden="1" outlineLevel="2" x14ac:dyDescent="0.2">
      <c r="A88" s="5" t="s">
        <v>58</v>
      </c>
      <c r="B88" s="5"/>
      <c r="C88" s="5"/>
      <c r="D88" s="80">
        <f>IF(D85&gt;0,$D$85*$E$10,$D$87*$E$11)</f>
        <v>256.57289002557536</v>
      </c>
      <c r="E88" s="72" t="s">
        <v>63</v>
      </c>
      <c r="F88" s="2"/>
      <c r="G88" s="5"/>
      <c r="H88" s="5"/>
      <c r="I88" s="5"/>
      <c r="J88" s="5"/>
      <c r="K88" s="5"/>
      <c r="L88" s="5"/>
      <c r="M88" s="5"/>
      <c r="N88" s="5"/>
      <c r="O88" s="5"/>
      <c r="S88" s="3"/>
    </row>
    <row r="89" spans="1:19" hidden="1" outlineLevel="1" collapsed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S89" s="3"/>
    </row>
    <row r="90" spans="1:19" hidden="1" outlineLevel="1" x14ac:dyDescent="0.2">
      <c r="A90" s="8" t="s">
        <v>43</v>
      </c>
      <c r="B90" s="6"/>
      <c r="C90" s="6"/>
      <c r="D90" s="6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  <c r="S90" s="3"/>
    </row>
    <row r="91" spans="1:19" hidden="1" outlineLevel="1" x14ac:dyDescent="0.2">
      <c r="A91" s="6"/>
      <c r="B91" s="5" t="s">
        <v>125</v>
      </c>
      <c r="C91" s="5"/>
      <c r="D91" s="6"/>
      <c r="E91" s="11">
        <v>31990</v>
      </c>
      <c r="F91" s="12" t="s">
        <v>44</v>
      </c>
      <c r="H91" s="13"/>
      <c r="I91" s="16"/>
      <c r="J91" s="14"/>
      <c r="K91" s="14"/>
      <c r="L91" s="14"/>
      <c r="M91" s="14"/>
      <c r="N91" s="14"/>
      <c r="O91" s="14"/>
      <c r="S91" s="3"/>
    </row>
    <row r="92" spans="1:19" hidden="1" outlineLevel="1" x14ac:dyDescent="0.2">
      <c r="A92" s="6"/>
      <c r="B92" s="5" t="s">
        <v>65</v>
      </c>
      <c r="C92" s="5"/>
      <c r="D92" s="6"/>
      <c r="E92" s="93">
        <f>E91</f>
        <v>31990</v>
      </c>
      <c r="F92" s="12" t="s">
        <v>90</v>
      </c>
      <c r="H92" s="13"/>
      <c r="I92" s="16"/>
      <c r="J92" s="14"/>
      <c r="K92" s="14"/>
      <c r="L92" s="14"/>
      <c r="M92" s="14"/>
      <c r="N92" s="14"/>
      <c r="O92" s="14"/>
      <c r="S92" s="3"/>
    </row>
    <row r="93" spans="1:19" hidden="1" outlineLevel="2" x14ac:dyDescent="0.2">
      <c r="A93" s="6"/>
      <c r="B93" s="5" t="s">
        <v>20</v>
      </c>
      <c r="C93" s="5"/>
      <c r="D93" s="6"/>
      <c r="E93" s="15"/>
      <c r="F93" s="13">
        <f>E91+F94</f>
        <v>31990</v>
      </c>
      <c r="G93" s="13">
        <f t="shared" ref="G93" si="42">F93+G94</f>
        <v>31990</v>
      </c>
      <c r="H93" s="13">
        <f t="shared" ref="H93" si="43">G93+H94</f>
        <v>31990</v>
      </c>
      <c r="I93" s="13">
        <f t="shared" ref="I93" si="44">H93+I94</f>
        <v>31990</v>
      </c>
      <c r="J93" s="13">
        <f t="shared" ref="J93" si="45">I93+J94</f>
        <v>31990</v>
      </c>
      <c r="K93" s="13">
        <f t="shared" ref="K93" si="46">J93+K94</f>
        <v>31990</v>
      </c>
      <c r="L93" s="13">
        <f t="shared" ref="L93" si="47">K93+L94</f>
        <v>31990</v>
      </c>
      <c r="M93" s="13">
        <f t="shared" ref="M93" si="48">L93+M94</f>
        <v>31990</v>
      </c>
      <c r="N93" s="13">
        <f t="shared" ref="N93" si="49">M93+N94</f>
        <v>31990</v>
      </c>
      <c r="O93" s="13">
        <f t="shared" ref="O93" si="50">N93+O94</f>
        <v>31990</v>
      </c>
      <c r="S93" s="3"/>
    </row>
    <row r="94" spans="1:19" hidden="1" outlineLevel="2" x14ac:dyDescent="0.2">
      <c r="A94" s="6"/>
      <c r="B94" s="5" t="s">
        <v>19</v>
      </c>
      <c r="C94" s="5"/>
      <c r="D94" s="6"/>
      <c r="E94" s="15"/>
      <c r="F94" s="13">
        <f>E91*(1+$E7/100)-E91</f>
        <v>0</v>
      </c>
      <c r="G94" s="13">
        <f t="shared" ref="G94:O94" si="51">F93*(1+$E7/100)-F93</f>
        <v>0</v>
      </c>
      <c r="H94" s="13">
        <f t="shared" si="51"/>
        <v>0</v>
      </c>
      <c r="I94" s="13">
        <f t="shared" si="51"/>
        <v>0</v>
      </c>
      <c r="J94" s="13">
        <f t="shared" si="51"/>
        <v>0</v>
      </c>
      <c r="K94" s="13">
        <f t="shared" si="51"/>
        <v>0</v>
      </c>
      <c r="L94" s="13">
        <f t="shared" si="51"/>
        <v>0</v>
      </c>
      <c r="M94" s="13">
        <f t="shared" si="51"/>
        <v>0</v>
      </c>
      <c r="N94" s="13">
        <f t="shared" si="51"/>
        <v>0</v>
      </c>
      <c r="O94" s="13">
        <f t="shared" si="51"/>
        <v>0</v>
      </c>
      <c r="S94" s="3"/>
    </row>
    <row r="95" spans="1:19" hidden="1" outlineLevel="1" collapsed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S95" s="3"/>
    </row>
    <row r="96" spans="1:19" hidden="1" outlineLevel="1" x14ac:dyDescent="0.2">
      <c r="A96" s="8" t="s">
        <v>50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S96" s="3"/>
    </row>
    <row r="97" spans="1:19" hidden="1" outlineLevel="1" x14ac:dyDescent="0.2">
      <c r="A97" s="5"/>
      <c r="B97" s="5"/>
      <c r="C97" s="5"/>
      <c r="D97" s="5"/>
      <c r="E97" s="77">
        <f>IF(D84&gt;0,Parameters!$E$10,Parameters!$E$11)</f>
        <v>684.89</v>
      </c>
      <c r="F97" s="12" t="s">
        <v>56</v>
      </c>
      <c r="G97" s="5"/>
      <c r="H97" s="5"/>
      <c r="I97" s="5"/>
      <c r="J97" s="5"/>
      <c r="K97" s="5"/>
      <c r="L97" s="5"/>
      <c r="M97" s="5"/>
      <c r="N97" s="5"/>
      <c r="O97" s="5"/>
      <c r="S97" s="3"/>
    </row>
    <row r="98" spans="1:19" hidden="1" outlineLevel="1" x14ac:dyDescent="0.2">
      <c r="A98" s="5"/>
      <c r="B98" s="5"/>
      <c r="C98" s="5"/>
      <c r="D98" s="5"/>
      <c r="E98" s="77">
        <f>E97*(1+E$9)^(F102-2013)</f>
        <v>771.29737932972102</v>
      </c>
      <c r="F98" s="12" t="s">
        <v>160</v>
      </c>
      <c r="G98" s="5"/>
      <c r="H98" s="5"/>
      <c r="I98" s="5"/>
      <c r="J98" s="5"/>
      <c r="K98" s="5"/>
      <c r="L98" s="5"/>
      <c r="M98" s="5"/>
      <c r="N98" s="5"/>
      <c r="O98" s="5"/>
      <c r="S98" s="3"/>
    </row>
    <row r="99" spans="1:19" ht="13.5" hidden="1" outlineLevel="1" thickBot="1" x14ac:dyDescent="0.25">
      <c r="S99" s="3"/>
    </row>
    <row r="100" spans="1:19" ht="13.5" hidden="1" outlineLevel="1" thickBot="1" x14ac:dyDescent="0.25">
      <c r="A100" s="19" t="s">
        <v>144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S100" s="3"/>
    </row>
    <row r="101" spans="1:19" hidden="1" outlineLevel="1" x14ac:dyDescent="0.2">
      <c r="A101" s="2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S101" s="3"/>
    </row>
    <row r="102" spans="1:19" hidden="1" outlineLevel="1" x14ac:dyDescent="0.2">
      <c r="A102" s="21"/>
      <c r="B102" s="6"/>
      <c r="C102" s="6"/>
      <c r="D102" s="23" t="s">
        <v>2</v>
      </c>
      <c r="E102" s="24">
        <f>E15</f>
        <v>2018</v>
      </c>
      <c r="F102" s="24">
        <f t="shared" ref="F102:G103" si="52">E102+1</f>
        <v>2019</v>
      </c>
      <c r="G102" s="24">
        <f t="shared" si="52"/>
        <v>2020</v>
      </c>
      <c r="H102" s="24">
        <f t="shared" ref="H102:H103" si="53">G102+1</f>
        <v>2021</v>
      </c>
      <c r="I102" s="24">
        <f t="shared" ref="I102" si="54">H102+1</f>
        <v>2022</v>
      </c>
      <c r="J102" s="24">
        <f t="shared" ref="J102" si="55">I102+1</f>
        <v>2023</v>
      </c>
      <c r="K102" s="24">
        <f t="shared" ref="K102" si="56">J102+1</f>
        <v>2024</v>
      </c>
      <c r="L102" s="24">
        <f t="shared" ref="L102:L103" si="57">K102+1</f>
        <v>2025</v>
      </c>
      <c r="M102" s="24">
        <f t="shared" ref="M102:M103" si="58">L102+1</f>
        <v>2026</v>
      </c>
      <c r="N102" s="24">
        <f t="shared" ref="N102:N103" si="59">M102+1</f>
        <v>2027</v>
      </c>
      <c r="O102" s="24">
        <f t="shared" ref="O102:O103" si="60">N102+1</f>
        <v>2028</v>
      </c>
      <c r="Q102" s="1" t="s">
        <v>91</v>
      </c>
      <c r="S102" s="3"/>
    </row>
    <row r="103" spans="1:19" hidden="1" outlineLevel="1" x14ac:dyDescent="0.2">
      <c r="A103" s="21"/>
      <c r="B103" s="6"/>
      <c r="C103" s="6"/>
      <c r="D103" s="23" t="s">
        <v>3</v>
      </c>
      <c r="E103" s="25">
        <v>0</v>
      </c>
      <c r="F103" s="25">
        <f t="shared" ref="F103" si="61">E103+1</f>
        <v>1</v>
      </c>
      <c r="G103" s="25">
        <f t="shared" si="52"/>
        <v>2</v>
      </c>
      <c r="H103" s="25">
        <f t="shared" si="53"/>
        <v>3</v>
      </c>
      <c r="I103" s="25">
        <f>H103+1</f>
        <v>4</v>
      </c>
      <c r="J103" s="25">
        <f>I103+1</f>
        <v>5</v>
      </c>
      <c r="K103" s="25">
        <f>J103+1</f>
        <v>6</v>
      </c>
      <c r="L103" s="25">
        <f t="shared" si="57"/>
        <v>7</v>
      </c>
      <c r="M103" s="25">
        <f t="shared" si="58"/>
        <v>8</v>
      </c>
      <c r="N103" s="25">
        <f t="shared" si="59"/>
        <v>9</v>
      </c>
      <c r="O103" s="25">
        <f t="shared" si="60"/>
        <v>10</v>
      </c>
      <c r="Q103" s="86"/>
      <c r="S103" s="3"/>
    </row>
    <row r="104" spans="1:19" hidden="1" outlineLevel="1" x14ac:dyDescent="0.2">
      <c r="A104" s="21"/>
      <c r="B104" s="6"/>
      <c r="C104" s="6"/>
      <c r="D104" s="6"/>
      <c r="E104" s="25" t="s">
        <v>15</v>
      </c>
      <c r="F104" s="25" t="s">
        <v>15</v>
      </c>
      <c r="G104" s="25" t="s">
        <v>15</v>
      </c>
      <c r="H104" s="25" t="s">
        <v>15</v>
      </c>
      <c r="I104" s="25" t="s">
        <v>15</v>
      </c>
      <c r="J104" s="25" t="s">
        <v>15</v>
      </c>
      <c r="K104" s="25" t="s">
        <v>15</v>
      </c>
      <c r="L104" s="25" t="s">
        <v>15</v>
      </c>
      <c r="M104" s="25" t="s">
        <v>15</v>
      </c>
      <c r="N104" s="25" t="s">
        <v>15</v>
      </c>
      <c r="O104" s="25" t="s">
        <v>15</v>
      </c>
      <c r="Q104" s="86"/>
      <c r="S104" s="3"/>
    </row>
    <row r="105" spans="1:19" hidden="1" outlineLevel="1" x14ac:dyDescent="0.2">
      <c r="A105" s="21"/>
      <c r="B105" s="6"/>
      <c r="C105" s="6"/>
      <c r="D105" s="6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Q105" s="86"/>
      <c r="S105" s="3"/>
    </row>
    <row r="106" spans="1:19" hidden="1" outlineLevel="1" x14ac:dyDescent="0.2">
      <c r="A106" s="26" t="s">
        <v>145</v>
      </c>
      <c r="B106" s="27"/>
      <c r="C106" s="27"/>
      <c r="D106" s="27"/>
      <c r="E106" s="28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Q106" s="86"/>
      <c r="S106" s="3"/>
    </row>
    <row r="107" spans="1:19" hidden="1" outlineLevel="1" x14ac:dyDescent="0.2">
      <c r="A107" s="29"/>
      <c r="B107" s="30" t="s">
        <v>22</v>
      </c>
      <c r="C107" s="30"/>
      <c r="D107" s="30"/>
      <c r="E107" s="34">
        <f>-E91</f>
        <v>-31990</v>
      </c>
      <c r="F107" s="34"/>
      <c r="G107" s="45"/>
      <c r="H107" s="45"/>
      <c r="I107" s="45"/>
      <c r="J107" s="45"/>
      <c r="K107" s="45"/>
      <c r="L107" s="45"/>
      <c r="M107" s="45"/>
      <c r="N107" s="45"/>
      <c r="O107" s="45"/>
      <c r="Q107" s="86">
        <f>SUM(E107:O107)</f>
        <v>-31990</v>
      </c>
      <c r="S107" s="3"/>
    </row>
    <row r="108" spans="1:19" hidden="1" outlineLevel="1" x14ac:dyDescent="0.2">
      <c r="A108" s="32"/>
      <c r="B108" s="30" t="s">
        <v>23</v>
      </c>
      <c r="C108" s="30"/>
      <c r="D108" s="30"/>
      <c r="E108" s="33"/>
      <c r="F108" s="34">
        <f t="shared" ref="F108:O108" si="62">-($D85*F17)</f>
        <v>-1461.9656558275478</v>
      </c>
      <c r="G108" s="34">
        <f t="shared" si="62"/>
        <v>-1539.449835586408</v>
      </c>
      <c r="H108" s="34">
        <f t="shared" si="62"/>
        <v>-1621.0406768724874</v>
      </c>
      <c r="I108" s="34">
        <f t="shared" si="62"/>
        <v>-1706.9558327467291</v>
      </c>
      <c r="J108" s="34">
        <f t="shared" si="62"/>
        <v>-1797.4244918823056</v>
      </c>
      <c r="K108" s="34">
        <f t="shared" si="62"/>
        <v>-1892.6879899520675</v>
      </c>
      <c r="L108" s="34">
        <f t="shared" si="62"/>
        <v>-1993.000453419527</v>
      </c>
      <c r="M108" s="34">
        <f t="shared" si="62"/>
        <v>-2098.6294774507619</v>
      </c>
      <c r="N108" s="34">
        <f t="shared" si="62"/>
        <v>-2209.8568397556519</v>
      </c>
      <c r="O108" s="34">
        <f t="shared" si="62"/>
        <v>-2326.9792522627013</v>
      </c>
      <c r="Q108" s="86">
        <f t="shared" ref="Q108:Q110" si="63">SUM(F108:O108)</f>
        <v>-18647.990505756188</v>
      </c>
      <c r="S108" s="3"/>
    </row>
    <row r="109" spans="1:19" hidden="1" outlineLevel="1" x14ac:dyDescent="0.2">
      <c r="A109" s="32"/>
      <c r="B109" s="30" t="s">
        <v>31</v>
      </c>
      <c r="C109" s="30"/>
      <c r="D109" s="30"/>
      <c r="E109" s="33"/>
      <c r="F109" s="34">
        <f t="shared" ref="F109:O109" si="64">-($D$87*F19)</f>
        <v>0</v>
      </c>
      <c r="G109" s="34">
        <f t="shared" si="64"/>
        <v>0</v>
      </c>
      <c r="H109" s="34">
        <f t="shared" si="64"/>
        <v>0</v>
      </c>
      <c r="I109" s="34">
        <f t="shared" si="64"/>
        <v>0</v>
      </c>
      <c r="J109" s="34">
        <f t="shared" si="64"/>
        <v>0</v>
      </c>
      <c r="K109" s="34">
        <f t="shared" si="64"/>
        <v>0</v>
      </c>
      <c r="L109" s="34">
        <f t="shared" si="64"/>
        <v>0</v>
      </c>
      <c r="M109" s="34">
        <f t="shared" si="64"/>
        <v>0</v>
      </c>
      <c r="N109" s="34">
        <f t="shared" si="64"/>
        <v>0</v>
      </c>
      <c r="O109" s="34">
        <f t="shared" si="64"/>
        <v>0</v>
      </c>
      <c r="Q109" s="86">
        <f t="shared" si="63"/>
        <v>0</v>
      </c>
      <c r="S109" s="3"/>
    </row>
    <row r="110" spans="1:19" hidden="1" outlineLevel="1" x14ac:dyDescent="0.2">
      <c r="A110" s="32"/>
      <c r="B110" s="30" t="s">
        <v>49</v>
      </c>
      <c r="C110" s="30"/>
      <c r="D110" s="30"/>
      <c r="E110" s="33"/>
      <c r="F110" s="34">
        <f>-E98</f>
        <v>-771.29737932972102</v>
      </c>
      <c r="G110" s="34">
        <f>F110*(1+$E$9)</f>
        <v>-786.7233269163155</v>
      </c>
      <c r="H110" s="34">
        <f t="shared" ref="H110:O110" si="65">G110*(1+$E$9)</f>
        <v>-802.45779345464177</v>
      </c>
      <c r="I110" s="34">
        <f t="shared" si="65"/>
        <v>-818.5069493237346</v>
      </c>
      <c r="J110" s="34">
        <f t="shared" si="65"/>
        <v>-834.87708831020927</v>
      </c>
      <c r="K110" s="34">
        <f t="shared" si="65"/>
        <v>-851.57463007641343</v>
      </c>
      <c r="L110" s="34">
        <f t="shared" si="65"/>
        <v>-868.6061226779417</v>
      </c>
      <c r="M110" s="34">
        <f t="shared" si="65"/>
        <v>-885.97824513150056</v>
      </c>
      <c r="N110" s="34">
        <f t="shared" si="65"/>
        <v>-903.69781003413061</v>
      </c>
      <c r="O110" s="34">
        <f t="shared" si="65"/>
        <v>-921.77176623481319</v>
      </c>
      <c r="Q110" s="86">
        <f t="shared" si="63"/>
        <v>-8445.4911114894203</v>
      </c>
      <c r="S110" s="3"/>
    </row>
    <row r="111" spans="1:19" hidden="1" outlineLevel="1" x14ac:dyDescent="0.2">
      <c r="A111" s="29"/>
      <c r="B111" s="30"/>
      <c r="C111" s="30"/>
      <c r="D111" s="30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Q111" s="86"/>
      <c r="S111" s="3"/>
    </row>
    <row r="112" spans="1:19" hidden="1" outlineLevel="1" x14ac:dyDescent="0.2">
      <c r="A112" s="32" t="s">
        <v>4</v>
      </c>
      <c r="B112" s="30"/>
      <c r="C112" s="30"/>
      <c r="D112" s="30"/>
      <c r="E112" s="35">
        <f t="shared" ref="E112:N112" si="66">SUM(E107:E110)</f>
        <v>-31990</v>
      </c>
      <c r="F112" s="35">
        <f>SUM(F107:F110)</f>
        <v>-2233.2630351572689</v>
      </c>
      <c r="G112" s="35">
        <f t="shared" si="66"/>
        <v>-2326.1731625027232</v>
      </c>
      <c r="H112" s="35">
        <f t="shared" si="66"/>
        <v>-2423.4984703271293</v>
      </c>
      <c r="I112" s="35">
        <f t="shared" si="66"/>
        <v>-2525.4627820704636</v>
      </c>
      <c r="J112" s="35">
        <f t="shared" si="66"/>
        <v>-2632.3015801925148</v>
      </c>
      <c r="K112" s="35">
        <f t="shared" si="66"/>
        <v>-2744.2626200284808</v>
      </c>
      <c r="L112" s="35">
        <f t="shared" si="66"/>
        <v>-2861.6065760974689</v>
      </c>
      <c r="M112" s="35">
        <f t="shared" si="66"/>
        <v>-2984.6077225822623</v>
      </c>
      <c r="N112" s="35">
        <f t="shared" si="66"/>
        <v>-3113.5546497897826</v>
      </c>
      <c r="O112" s="35">
        <f>SUM(O107:O110)</f>
        <v>-3248.7510184975145</v>
      </c>
      <c r="Q112" s="86">
        <f t="shared" ref="Q112" si="67">SUM(F112:O112)</f>
        <v>-27093.481617245609</v>
      </c>
      <c r="S112" s="3"/>
    </row>
    <row r="113" spans="1:19" hidden="1" outlineLevel="1" x14ac:dyDescent="0.2">
      <c r="A113" s="26"/>
      <c r="B113" s="27"/>
      <c r="C113" s="27"/>
      <c r="D113" s="27"/>
      <c r="E113" s="28"/>
      <c r="F113" s="28"/>
      <c r="G113" s="28"/>
      <c r="H113" s="35"/>
      <c r="I113" s="35"/>
      <c r="J113" s="35"/>
      <c r="K113" s="35"/>
      <c r="L113" s="35"/>
      <c r="M113" s="35"/>
      <c r="N113" s="35"/>
      <c r="O113" s="35"/>
      <c r="Q113" s="86"/>
      <c r="S113" s="3"/>
    </row>
    <row r="114" spans="1:19" ht="13.5" hidden="1" outlineLevel="1" thickBot="1" x14ac:dyDescent="0.25">
      <c r="A114" s="36" t="s">
        <v>5</v>
      </c>
      <c r="B114" s="37"/>
      <c r="C114" s="37"/>
      <c r="D114" s="37"/>
      <c r="E114" s="114">
        <f>E112</f>
        <v>-31990</v>
      </c>
      <c r="F114" s="38">
        <f>E114+F112</f>
        <v>-34223.263035157266</v>
      </c>
      <c r="G114" s="38">
        <f t="shared" ref="G114" si="68">F114+G112</f>
        <v>-36549.43619765999</v>
      </c>
      <c r="H114" s="38">
        <f t="shared" ref="H114" si="69">G114+H112</f>
        <v>-38972.934667987123</v>
      </c>
      <c r="I114" s="38">
        <f t="shared" ref="I114" si="70">H114+I112</f>
        <v>-41498.397450057586</v>
      </c>
      <c r="J114" s="38">
        <f t="shared" ref="J114" si="71">I114+J112</f>
        <v>-44130.6990302501</v>
      </c>
      <c r="K114" s="38">
        <f t="shared" ref="K114" si="72">J114+K112</f>
        <v>-46874.961650278579</v>
      </c>
      <c r="L114" s="38">
        <f t="shared" ref="L114" si="73">K114+L112</f>
        <v>-49736.568226376046</v>
      </c>
      <c r="M114" s="38">
        <f t="shared" ref="M114" si="74">L114+M112</f>
        <v>-52721.175948958306</v>
      </c>
      <c r="N114" s="38">
        <f t="shared" ref="N114" si="75">M114+N112</f>
        <v>-55834.730598748087</v>
      </c>
      <c r="O114" s="38">
        <f t="shared" ref="O114" si="76">N114+O112</f>
        <v>-59083.481617245605</v>
      </c>
      <c r="Q114" s="86">
        <f t="shared" ref="Q114" si="77">SUM(F114:O114)</f>
        <v>-459625.64842271863</v>
      </c>
      <c r="S114" s="3"/>
    </row>
    <row r="115" spans="1:19" hidden="1" outlineLevel="1" x14ac:dyDescent="0.2">
      <c r="A115" s="8" t="s">
        <v>155</v>
      </c>
      <c r="B115" s="6"/>
      <c r="C115" s="6"/>
      <c r="D115" s="6"/>
      <c r="E115" s="9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S115" s="3"/>
    </row>
    <row r="116" spans="1:19" hidden="1" outlineLevel="1" x14ac:dyDescent="0.2">
      <c r="A116" s="8"/>
      <c r="B116" s="6"/>
      <c r="C116" s="6"/>
      <c r="D116" s="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Q116" s="50" t="s">
        <v>18</v>
      </c>
      <c r="S116" s="3"/>
    </row>
    <row r="117" spans="1:19" hidden="1" outlineLevel="1" x14ac:dyDescent="0.2">
      <c r="A117" s="51" t="s">
        <v>157</v>
      </c>
      <c r="B117" s="6"/>
      <c r="C117" s="6"/>
      <c r="D117" s="6"/>
      <c r="E117" s="2"/>
      <c r="F117" s="9"/>
      <c r="G117" s="9"/>
      <c r="H117" s="9"/>
      <c r="I117" s="9"/>
      <c r="J117" s="9"/>
      <c r="K117" s="9"/>
      <c r="L117" s="9"/>
      <c r="M117" s="9"/>
      <c r="N117" s="9"/>
      <c r="O117" s="9"/>
      <c r="Q117" s="50" t="s">
        <v>18</v>
      </c>
      <c r="S117" s="3"/>
    </row>
    <row r="118" spans="1:19" hidden="1" outlineLevel="1" x14ac:dyDescent="0.2">
      <c r="A118" s="8"/>
      <c r="B118" s="30" t="s">
        <v>22</v>
      </c>
      <c r="C118" s="6"/>
      <c r="D118" s="6"/>
      <c r="E118" s="115">
        <f>E107/(1+$E$8)^E$50</f>
        <v>-31990</v>
      </c>
      <c r="F118" s="115">
        <f>F107/(1+$E$8)^F$50</f>
        <v>0</v>
      </c>
      <c r="G118" s="115">
        <f t="shared" ref="G118:O118" si="78">G107/(1+$E$8)^G$50</f>
        <v>0</v>
      </c>
      <c r="H118" s="115">
        <f t="shared" si="78"/>
        <v>0</v>
      </c>
      <c r="I118" s="115">
        <f t="shared" si="78"/>
        <v>0</v>
      </c>
      <c r="J118" s="115">
        <f t="shared" si="78"/>
        <v>0</v>
      </c>
      <c r="K118" s="115">
        <f t="shared" si="78"/>
        <v>0</v>
      </c>
      <c r="L118" s="115">
        <f t="shared" si="78"/>
        <v>0</v>
      </c>
      <c r="M118" s="115">
        <f t="shared" si="78"/>
        <v>0</v>
      </c>
      <c r="N118" s="115">
        <f t="shared" si="78"/>
        <v>0</v>
      </c>
      <c r="O118" s="115">
        <f t="shared" si="78"/>
        <v>0</v>
      </c>
      <c r="Q118" s="86">
        <f>SUM(E118:O118)</f>
        <v>-31990</v>
      </c>
      <c r="S118" s="3"/>
    </row>
    <row r="119" spans="1:19" hidden="1" outlineLevel="1" x14ac:dyDescent="0.2">
      <c r="A119" s="8"/>
      <c r="B119" s="30" t="s">
        <v>23</v>
      </c>
      <c r="C119" s="6"/>
      <c r="D119" s="6"/>
      <c r="E119" s="115">
        <f t="shared" ref="E119:F121" si="79">E108/(1+$E$8)^E$50</f>
        <v>0</v>
      </c>
      <c r="F119" s="115">
        <f t="shared" si="79"/>
        <v>-1412.5272036981139</v>
      </c>
      <c r="G119" s="115">
        <f t="shared" ref="G119:N119" si="80">G108/(1+$E$8)^G$50</f>
        <v>-1437.0928941972118</v>
      </c>
      <c r="H119" s="115">
        <f t="shared" si="80"/>
        <v>-1462.0858140962937</v>
      </c>
      <c r="I119" s="115">
        <f t="shared" si="80"/>
        <v>-1487.5133934718813</v>
      </c>
      <c r="J119" s="115">
        <f t="shared" si="80"/>
        <v>-1513.3831916192185</v>
      </c>
      <c r="K119" s="115">
        <f t="shared" si="80"/>
        <v>-1539.7028992995524</v>
      </c>
      <c r="L119" s="115">
        <f t="shared" si="80"/>
        <v>-1566.4803410265013</v>
      </c>
      <c r="M119" s="115">
        <f t="shared" si="80"/>
        <v>-1593.7234773921798</v>
      </c>
      <c r="N119" s="115">
        <f t="shared" si="80"/>
        <v>-1621.4404074337829</v>
      </c>
      <c r="O119" s="115">
        <f>O108/(1+$E$8)^O$50</f>
        <v>-1649.639371041327</v>
      </c>
      <c r="Q119" s="86">
        <f t="shared" ref="Q119:Q121" si="81">SUM(E119:O119)</f>
        <v>-15283.588993276062</v>
      </c>
      <c r="S119" s="3"/>
    </row>
    <row r="120" spans="1:19" hidden="1" outlineLevel="1" x14ac:dyDescent="0.2">
      <c r="A120" s="8"/>
      <c r="B120" s="30" t="s">
        <v>31</v>
      </c>
      <c r="C120" s="6"/>
      <c r="D120" s="6"/>
      <c r="E120" s="115">
        <f t="shared" si="79"/>
        <v>0</v>
      </c>
      <c r="F120" s="115">
        <f t="shared" si="79"/>
        <v>0</v>
      </c>
      <c r="G120" s="115">
        <f t="shared" ref="G120:O120" si="82">G109/(1+$E$8)^G$50</f>
        <v>0</v>
      </c>
      <c r="H120" s="115">
        <f t="shared" si="82"/>
        <v>0</v>
      </c>
      <c r="I120" s="115">
        <f t="shared" si="82"/>
        <v>0</v>
      </c>
      <c r="J120" s="115">
        <f t="shared" si="82"/>
        <v>0</v>
      </c>
      <c r="K120" s="115">
        <f t="shared" si="82"/>
        <v>0</v>
      </c>
      <c r="L120" s="115">
        <f t="shared" si="82"/>
        <v>0</v>
      </c>
      <c r="M120" s="115">
        <f t="shared" si="82"/>
        <v>0</v>
      </c>
      <c r="N120" s="115">
        <f t="shared" si="82"/>
        <v>0</v>
      </c>
      <c r="O120" s="115">
        <f t="shared" si="82"/>
        <v>0</v>
      </c>
      <c r="Q120" s="86">
        <f t="shared" si="81"/>
        <v>0</v>
      </c>
      <c r="S120" s="3"/>
    </row>
    <row r="121" spans="1:19" hidden="1" outlineLevel="1" x14ac:dyDescent="0.2">
      <c r="A121" s="8"/>
      <c r="B121" s="30" t="s">
        <v>49</v>
      </c>
      <c r="C121" s="6"/>
      <c r="D121" s="6"/>
      <c r="E121" s="115">
        <f t="shared" si="79"/>
        <v>0</v>
      </c>
      <c r="F121" s="115">
        <f t="shared" si="79"/>
        <v>-745.21485925576917</v>
      </c>
      <c r="G121" s="115">
        <f t="shared" ref="G121:N121" si="83">G110/(1+$E$8)^G$50</f>
        <v>-734.41464390423641</v>
      </c>
      <c r="H121" s="115">
        <f t="shared" si="83"/>
        <v>-723.77095341287065</v>
      </c>
      <c r="I121" s="115">
        <f t="shared" si="83"/>
        <v>-713.28151930543777</v>
      </c>
      <c r="J121" s="115">
        <f t="shared" si="83"/>
        <v>-702.94410598217064</v>
      </c>
      <c r="K121" s="115">
        <f t="shared" si="83"/>
        <v>-692.75651024329852</v>
      </c>
      <c r="L121" s="115">
        <f t="shared" si="83"/>
        <v>-682.71656081948265</v>
      </c>
      <c r="M121" s="115">
        <f t="shared" si="83"/>
        <v>-672.82211790905558</v>
      </c>
      <c r="N121" s="115">
        <f t="shared" si="83"/>
        <v>-663.07107272196788</v>
      </c>
      <c r="O121" s="115">
        <f>O110/(1+$E$8)^O$50</f>
        <v>-653.46134703034522</v>
      </c>
      <c r="Q121" s="86">
        <f t="shared" si="81"/>
        <v>-6984.4536905846344</v>
      </c>
      <c r="S121" s="3"/>
    </row>
    <row r="122" spans="1:19" hidden="1" outlineLevel="1" x14ac:dyDescent="0.2">
      <c r="A122" s="51" t="s">
        <v>142</v>
      </c>
      <c r="B122" s="52"/>
      <c r="C122" s="52"/>
      <c r="D122" s="52"/>
      <c r="E122" s="111">
        <f t="shared" ref="E122:N122" si="84">E112/(1+$E8)^E103</f>
        <v>-31990</v>
      </c>
      <c r="F122" s="111">
        <f t="shared" si="84"/>
        <v>-2157.7420629538833</v>
      </c>
      <c r="G122" s="111">
        <f t="shared" si="84"/>
        <v>-2171.5075381014481</v>
      </c>
      <c r="H122" s="111">
        <f t="shared" si="84"/>
        <v>-2185.8567675091645</v>
      </c>
      <c r="I122" s="111">
        <f t="shared" si="84"/>
        <v>-2200.794912777319</v>
      </c>
      <c r="J122" s="111">
        <f t="shared" si="84"/>
        <v>-2216.3272976013891</v>
      </c>
      <c r="K122" s="111">
        <f t="shared" si="84"/>
        <v>-2232.4594095428511</v>
      </c>
      <c r="L122" s="111">
        <f t="shared" si="84"/>
        <v>-2249.196901845984</v>
      </c>
      <c r="M122" s="111">
        <f t="shared" si="84"/>
        <v>-2266.5455953012352</v>
      </c>
      <c r="N122" s="111">
        <f t="shared" si="84"/>
        <v>-2284.5114801557511</v>
      </c>
      <c r="O122" s="111">
        <f>O112/(1+$E8)^O103</f>
        <v>-2303.100718071672</v>
      </c>
      <c r="Q122" s="46">
        <f>SUM(E122:O122)</f>
        <v>-54258.042683860695</v>
      </c>
      <c r="R122" s="118"/>
      <c r="S122" s="3"/>
    </row>
    <row r="123" spans="1:19" ht="13.5" hidden="1" outlineLevel="1" thickBot="1" x14ac:dyDescent="0.25">
      <c r="S123" s="3"/>
    </row>
    <row r="124" spans="1:19" ht="13.5" hidden="1" outlineLevel="1" thickBot="1" x14ac:dyDescent="0.25">
      <c r="A124" s="19" t="s">
        <v>6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S124" s="3"/>
    </row>
    <row r="125" spans="1:19" hidden="1" outlineLevel="1" x14ac:dyDescent="0.2">
      <c r="A125" s="21"/>
      <c r="B125" s="6"/>
      <c r="C125" s="6"/>
      <c r="D125" s="6"/>
      <c r="E125" s="6"/>
      <c r="F125" s="6"/>
      <c r="G125" s="39"/>
      <c r="H125" s="6"/>
      <c r="I125" s="6"/>
      <c r="J125" s="6"/>
      <c r="K125" s="6"/>
      <c r="L125" s="6"/>
      <c r="M125" s="6"/>
      <c r="N125" s="6"/>
      <c r="O125" s="119">
        <f>SUM(O118:O121)</f>
        <v>-2303.1007180716724</v>
      </c>
      <c r="S125" s="3"/>
    </row>
    <row r="126" spans="1:19" hidden="1" outlineLevel="1" x14ac:dyDescent="0.2">
      <c r="A126" s="40" t="s">
        <v>7</v>
      </c>
      <c r="B126" s="40"/>
      <c r="C126" s="40"/>
      <c r="D126" s="41"/>
      <c r="E126" s="42"/>
      <c r="F126" s="42" t="s">
        <v>17</v>
      </c>
      <c r="G126" s="43" t="s">
        <v>8</v>
      </c>
      <c r="H126" s="6"/>
      <c r="I126" s="6"/>
      <c r="J126" s="6"/>
      <c r="K126" s="6"/>
      <c r="L126" s="6"/>
      <c r="M126" s="6"/>
      <c r="N126" s="6"/>
      <c r="O126" s="6"/>
      <c r="S126" s="3"/>
    </row>
    <row r="127" spans="1:19" ht="20.25" hidden="1" outlineLevel="1" x14ac:dyDescent="0.3">
      <c r="A127" s="53" t="s">
        <v>9</v>
      </c>
      <c r="B127" s="54"/>
      <c r="C127" s="54"/>
      <c r="D127" s="55"/>
      <c r="E127" s="56"/>
      <c r="F127" s="56">
        <f>NPV((E$8), F112:O112)+E112</f>
        <v>-54258.042683860695</v>
      </c>
      <c r="G127" s="6" t="s">
        <v>15</v>
      </c>
      <c r="H127" s="6"/>
      <c r="I127" s="6"/>
      <c r="J127" s="2"/>
      <c r="K127" s="8"/>
      <c r="L127" s="6"/>
      <c r="M127" s="6"/>
      <c r="N127" s="6"/>
      <c r="O127" s="6"/>
      <c r="S127" s="3"/>
    </row>
    <row r="128" spans="1:19" hidden="1" outlineLevel="1" x14ac:dyDescent="0.2">
      <c r="S128" s="3"/>
    </row>
    <row r="129" spans="1:19" hidden="1" outlineLevel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idden="1" outlineLevel="1" x14ac:dyDescent="0.2">
      <c r="S130" s="3"/>
    </row>
    <row r="131" spans="1:19" ht="20.25" collapsed="1" x14ac:dyDescent="0.3">
      <c r="A131" s="65" t="s">
        <v>146</v>
      </c>
      <c r="H131" s="1"/>
      <c r="L131" s="2"/>
      <c r="M131" s="2"/>
      <c r="S131" s="3"/>
    </row>
    <row r="132" spans="1:19" x14ac:dyDescent="0.2">
      <c r="H132" s="1"/>
      <c r="S132" s="3"/>
    </row>
    <row r="133" spans="1:19" hidden="1" outlineLevel="1" x14ac:dyDescent="0.2">
      <c r="A133" s="4" t="s">
        <v>41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S133" s="3"/>
    </row>
    <row r="134" spans="1:19" hidden="1" outlineLevel="2" x14ac:dyDescent="0.2">
      <c r="A134" s="5" t="s">
        <v>85</v>
      </c>
      <c r="B134" s="6"/>
      <c r="C134" s="6"/>
      <c r="D134" s="61">
        <f>(43*0.5+59*0.5)</f>
        <v>51</v>
      </c>
      <c r="E134" s="6" t="s">
        <v>34</v>
      </c>
      <c r="F134" s="91">
        <v>0.7</v>
      </c>
      <c r="G134" s="6" t="s">
        <v>29</v>
      </c>
      <c r="H134" s="6"/>
      <c r="I134" s="63">
        <v>0.2</v>
      </c>
      <c r="J134" s="6" t="s">
        <v>79</v>
      </c>
      <c r="K134" s="6"/>
      <c r="S134" s="3"/>
    </row>
    <row r="135" spans="1:19" hidden="1" outlineLevel="2" x14ac:dyDescent="0.2">
      <c r="A135" s="2"/>
      <c r="B135" s="2"/>
      <c r="C135" s="2"/>
      <c r="D135" s="2"/>
      <c r="E135" s="2"/>
      <c r="F135" s="91">
        <v>0.3</v>
      </c>
      <c r="G135" t="s">
        <v>30</v>
      </c>
      <c r="H135" s="6"/>
      <c r="I135" s="63">
        <v>0.8</v>
      </c>
      <c r="J135" t="s">
        <v>80</v>
      </c>
      <c r="K135" s="6"/>
      <c r="S135" s="3"/>
    </row>
    <row r="136" spans="1:19" hidden="1" outlineLevel="2" x14ac:dyDescent="0.2">
      <c r="A136" s="5" t="s">
        <v>82</v>
      </c>
      <c r="B136" s="5"/>
      <c r="C136" s="5"/>
      <c r="D136" s="61">
        <v>42</v>
      </c>
      <c r="E136" s="5" t="s">
        <v>73</v>
      </c>
      <c r="F136" s="5"/>
      <c r="G136" s="2"/>
      <c r="H136" s="2"/>
      <c r="I136" s="5"/>
      <c r="J136" s="5"/>
      <c r="K136" s="5"/>
      <c r="S136" s="3"/>
    </row>
    <row r="137" spans="1:19" hidden="1" outlineLevel="2" x14ac:dyDescent="0.2">
      <c r="A137" s="5" t="s">
        <v>81</v>
      </c>
      <c r="B137" s="5"/>
      <c r="C137" s="5"/>
      <c r="D137" s="90">
        <f>(D136/3.8)*1.61</f>
        <v>17.794736842105262</v>
      </c>
      <c r="E137" s="5" t="s">
        <v>83</v>
      </c>
      <c r="F137" s="5"/>
      <c r="G137" s="2"/>
      <c r="H137" s="2"/>
      <c r="I137" s="5"/>
      <c r="J137" s="5"/>
      <c r="K137" s="5"/>
      <c r="S137" s="3"/>
    </row>
    <row r="138" spans="1:19" hidden="1" outlineLevel="2" x14ac:dyDescent="0.2">
      <c r="A138" s="5"/>
      <c r="B138" s="5"/>
      <c r="C138" s="5"/>
      <c r="D138" s="90">
        <f>100/D137</f>
        <v>5.6196391600118307</v>
      </c>
      <c r="E138" s="5" t="s">
        <v>84</v>
      </c>
      <c r="K138" s="6"/>
      <c r="S138" s="3"/>
    </row>
    <row r="139" spans="1:19" hidden="1" outlineLevel="2" x14ac:dyDescent="0.2">
      <c r="A139" s="5" t="s">
        <v>21</v>
      </c>
      <c r="B139" s="5"/>
      <c r="C139" s="5"/>
      <c r="D139" s="7">
        <f>$F$4*I134*D138/100</f>
        <v>224.78556640047321</v>
      </c>
      <c r="E139" s="5" t="s">
        <v>11</v>
      </c>
      <c r="F139" s="5"/>
      <c r="G139" s="2"/>
      <c r="H139" s="2"/>
      <c r="I139" s="2"/>
      <c r="J139" s="2"/>
      <c r="K139" s="5"/>
      <c r="S139" s="3"/>
    </row>
    <row r="140" spans="1:19" hidden="1" outlineLevel="2" x14ac:dyDescent="0.2">
      <c r="A140" s="5" t="s">
        <v>82</v>
      </c>
      <c r="B140" s="5"/>
      <c r="C140" s="5"/>
      <c r="D140" s="61">
        <v>105</v>
      </c>
      <c r="E140" s="5" t="s">
        <v>73</v>
      </c>
      <c r="F140" s="5"/>
      <c r="G140" s="2"/>
      <c r="H140" s="2"/>
      <c r="I140" s="2"/>
      <c r="J140" s="2"/>
      <c r="K140" s="5"/>
      <c r="S140" s="3"/>
    </row>
    <row r="141" spans="1:19" hidden="1" outlineLevel="2" x14ac:dyDescent="0.2">
      <c r="A141" s="5" t="s">
        <v>96</v>
      </c>
      <c r="B141" s="6"/>
      <c r="C141" s="6"/>
      <c r="D141" s="106">
        <f>IF(D140&gt;0,((Parameters!$D$42)),0)</f>
        <v>0.20899999999999999</v>
      </c>
      <c r="E141" s="6" t="s">
        <v>72</v>
      </c>
      <c r="F141" s="97" t="s">
        <v>153</v>
      </c>
      <c r="G141" s="103"/>
      <c r="H141" s="2"/>
      <c r="I141" s="2"/>
      <c r="J141" s="2"/>
      <c r="K141" s="5"/>
      <c r="S141" s="3"/>
    </row>
    <row r="142" spans="1:19" hidden="1" outlineLevel="2" x14ac:dyDescent="0.2">
      <c r="A142" s="5" t="s">
        <v>32</v>
      </c>
      <c r="B142" s="5"/>
      <c r="C142" s="5"/>
      <c r="D142" s="84">
        <f>$F$4*I135*(D141)</f>
        <v>3344</v>
      </c>
      <c r="E142" s="5" t="s">
        <v>35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S142" s="3"/>
    </row>
    <row r="143" spans="1:19" hidden="1" outlineLevel="2" x14ac:dyDescent="0.2">
      <c r="A143" s="5" t="s">
        <v>58</v>
      </c>
      <c r="B143" s="5"/>
      <c r="C143" s="5"/>
      <c r="D143" s="80">
        <f>D139*E10+D142*E11</f>
        <v>62.310559006211179</v>
      </c>
      <c r="E143" s="72" t="s">
        <v>63</v>
      </c>
      <c r="F143" s="103"/>
      <c r="G143" s="5"/>
      <c r="H143" s="5"/>
      <c r="I143" s="5"/>
      <c r="J143" s="5"/>
      <c r="K143" s="5"/>
      <c r="L143" s="5"/>
      <c r="M143" s="5"/>
      <c r="N143" s="5"/>
      <c r="O143" s="5"/>
      <c r="S143" s="3"/>
    </row>
    <row r="144" spans="1:19" hidden="1" outlineLevel="1" collapsed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S144" s="3"/>
    </row>
    <row r="145" spans="1:19" hidden="1" outlineLevel="1" x14ac:dyDescent="0.2">
      <c r="A145" s="8" t="s">
        <v>43</v>
      </c>
      <c r="B145" s="6"/>
      <c r="C145" s="6"/>
      <c r="D145" s="6"/>
      <c r="E145" s="9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S145" s="3"/>
    </row>
    <row r="146" spans="1:19" hidden="1" outlineLevel="1" x14ac:dyDescent="0.2">
      <c r="A146" s="6"/>
      <c r="B146" s="5" t="s">
        <v>125</v>
      </c>
      <c r="C146" s="5"/>
      <c r="D146" s="6"/>
      <c r="E146" s="11">
        <v>38000</v>
      </c>
      <c r="F146" s="12" t="s">
        <v>44</v>
      </c>
      <c r="H146" s="13"/>
      <c r="I146" s="16"/>
      <c r="J146" s="14"/>
      <c r="K146" s="14"/>
      <c r="L146" s="14"/>
      <c r="M146" s="14"/>
      <c r="N146" s="14"/>
      <c r="O146" s="14"/>
      <c r="S146" s="3"/>
    </row>
    <row r="147" spans="1:19" hidden="1" outlineLevel="1" x14ac:dyDescent="0.2">
      <c r="A147" s="6"/>
      <c r="B147" s="5" t="s">
        <v>65</v>
      </c>
      <c r="C147" s="5"/>
      <c r="D147" s="6"/>
      <c r="E147" s="93">
        <f>E146</f>
        <v>38000</v>
      </c>
      <c r="F147" s="12" t="s">
        <v>90</v>
      </c>
      <c r="H147" s="13"/>
      <c r="I147" s="16"/>
      <c r="J147" s="14"/>
      <c r="K147" s="14"/>
      <c r="L147" s="14"/>
      <c r="M147" s="14"/>
      <c r="N147" s="14"/>
      <c r="O147" s="14"/>
      <c r="S147" s="3"/>
    </row>
    <row r="148" spans="1:19" hidden="1" outlineLevel="2" x14ac:dyDescent="0.2">
      <c r="A148" s="6"/>
      <c r="B148" s="5" t="s">
        <v>20</v>
      </c>
      <c r="C148" s="5"/>
      <c r="D148" s="6"/>
      <c r="E148" s="15"/>
      <c r="F148" s="13">
        <f>E146+F149</f>
        <v>38000</v>
      </c>
      <c r="G148" s="13">
        <f t="shared" ref="G148" si="85">F148+G149</f>
        <v>38000</v>
      </c>
      <c r="H148" s="13">
        <f t="shared" ref="H148" si="86">G148+H149</f>
        <v>38000</v>
      </c>
      <c r="I148" s="13">
        <f t="shared" ref="I148" si="87">H148+I149</f>
        <v>38000</v>
      </c>
      <c r="J148" s="13">
        <f t="shared" ref="J148" si="88">I148+J149</f>
        <v>38000</v>
      </c>
      <c r="K148" s="13">
        <f t="shared" ref="K148" si="89">J148+K149</f>
        <v>38000</v>
      </c>
      <c r="L148" s="13">
        <f t="shared" ref="L148" si="90">K148+L149</f>
        <v>38000</v>
      </c>
      <c r="M148" s="13">
        <f t="shared" ref="M148" si="91">L148+M149</f>
        <v>38000</v>
      </c>
      <c r="N148" s="13">
        <f t="shared" ref="N148" si="92">M148+N149</f>
        <v>38000</v>
      </c>
      <c r="O148" s="13">
        <f t="shared" ref="O148" si="93">N148+O149</f>
        <v>38000</v>
      </c>
      <c r="S148" s="3"/>
    </row>
    <row r="149" spans="1:19" hidden="1" outlineLevel="2" x14ac:dyDescent="0.2">
      <c r="A149" s="6"/>
      <c r="B149" s="5" t="s">
        <v>19</v>
      </c>
      <c r="C149" s="5"/>
      <c r="D149" s="6"/>
      <c r="E149" s="15"/>
      <c r="F149" s="13">
        <f>E146*(1+$E7/100)-E146</f>
        <v>0</v>
      </c>
      <c r="G149" s="13">
        <f t="shared" ref="G149:O149" si="94">F148*(1+$E7/100)-F148</f>
        <v>0</v>
      </c>
      <c r="H149" s="13">
        <f t="shared" si="94"/>
        <v>0</v>
      </c>
      <c r="I149" s="13">
        <f t="shared" si="94"/>
        <v>0</v>
      </c>
      <c r="J149" s="13">
        <f t="shared" si="94"/>
        <v>0</v>
      </c>
      <c r="K149" s="13">
        <f t="shared" si="94"/>
        <v>0</v>
      </c>
      <c r="L149" s="13">
        <f t="shared" si="94"/>
        <v>0</v>
      </c>
      <c r="M149" s="13">
        <f t="shared" si="94"/>
        <v>0</v>
      </c>
      <c r="N149" s="13">
        <f t="shared" si="94"/>
        <v>0</v>
      </c>
      <c r="O149" s="13">
        <f t="shared" si="94"/>
        <v>0</v>
      </c>
      <c r="S149" s="3"/>
    </row>
    <row r="150" spans="1:19" hidden="1" outlineLevel="1" collapsed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S150" s="3"/>
    </row>
    <row r="151" spans="1:19" hidden="1" outlineLevel="1" x14ac:dyDescent="0.2">
      <c r="A151" s="8" t="s">
        <v>50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S151" s="3"/>
    </row>
    <row r="152" spans="1:19" hidden="1" outlineLevel="1" x14ac:dyDescent="0.2">
      <c r="A152" s="5"/>
      <c r="B152" s="5"/>
      <c r="C152" s="5"/>
      <c r="D152" s="5"/>
      <c r="E152" s="112">
        <f>IF(D136&gt;0,Parameters!$E$10,Parameters!$E$11)</f>
        <v>684.89</v>
      </c>
      <c r="F152" s="12" t="s">
        <v>56</v>
      </c>
      <c r="G152" s="5"/>
      <c r="H152" s="5"/>
      <c r="I152" s="5"/>
      <c r="J152" s="5"/>
      <c r="K152" s="5"/>
      <c r="L152" s="5"/>
      <c r="M152" s="5"/>
      <c r="N152" s="5"/>
      <c r="O152" s="5"/>
      <c r="S152" s="3"/>
    </row>
    <row r="153" spans="1:19" hidden="1" outlineLevel="1" x14ac:dyDescent="0.2">
      <c r="A153" s="5"/>
      <c r="B153" s="5"/>
      <c r="C153" s="5"/>
      <c r="D153" s="5"/>
      <c r="E153" s="112">
        <f>E152*(1+E$9)^(F157-2013)</f>
        <v>771.29737932972102</v>
      </c>
      <c r="F153" s="12" t="s">
        <v>160</v>
      </c>
      <c r="G153" s="5"/>
      <c r="H153" s="5"/>
      <c r="I153" s="5"/>
      <c r="J153" s="5"/>
      <c r="K153" s="5"/>
      <c r="L153" s="5"/>
      <c r="M153" s="5"/>
      <c r="N153" s="5"/>
      <c r="O153" s="5"/>
      <c r="S153" s="3"/>
    </row>
    <row r="154" spans="1:19" ht="13.5" hidden="1" outlineLevel="1" thickBot="1" x14ac:dyDescent="0.25">
      <c r="S154" s="3"/>
    </row>
    <row r="155" spans="1:19" ht="13.5" hidden="1" outlineLevel="1" thickBot="1" x14ac:dyDescent="0.25">
      <c r="A155" s="19" t="s">
        <v>144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S155" s="3"/>
    </row>
    <row r="156" spans="1:19" hidden="1" outlineLevel="1" x14ac:dyDescent="0.2">
      <c r="A156" s="2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S156" s="3"/>
    </row>
    <row r="157" spans="1:19" hidden="1" outlineLevel="1" x14ac:dyDescent="0.2">
      <c r="A157" s="21"/>
      <c r="B157" s="6"/>
      <c r="C157" s="6"/>
      <c r="D157" s="23" t="s">
        <v>2</v>
      </c>
      <c r="E157" s="24">
        <f>E15</f>
        <v>2018</v>
      </c>
      <c r="F157" s="24">
        <f>E157+1</f>
        <v>2019</v>
      </c>
      <c r="G157" s="24">
        <f t="shared" ref="F157:G158" si="95">F157+1</f>
        <v>2020</v>
      </c>
      <c r="H157" s="24">
        <f t="shared" ref="H157:H158" si="96">G157+1</f>
        <v>2021</v>
      </c>
      <c r="I157" s="24">
        <f t="shared" ref="I157" si="97">H157+1</f>
        <v>2022</v>
      </c>
      <c r="J157" s="24">
        <f t="shared" ref="J157" si="98">I157+1</f>
        <v>2023</v>
      </c>
      <c r="K157" s="24">
        <f t="shared" ref="K157" si="99">J157+1</f>
        <v>2024</v>
      </c>
      <c r="L157" s="24">
        <f t="shared" ref="L157:L158" si="100">K157+1</f>
        <v>2025</v>
      </c>
      <c r="M157" s="24">
        <f t="shared" ref="M157:M158" si="101">L157+1</f>
        <v>2026</v>
      </c>
      <c r="N157" s="24">
        <f t="shared" ref="N157:N158" si="102">M157+1</f>
        <v>2027</v>
      </c>
      <c r="O157" s="24">
        <f t="shared" ref="O157:O158" si="103">N157+1</f>
        <v>2028</v>
      </c>
      <c r="Q157" s="1" t="s">
        <v>91</v>
      </c>
      <c r="S157" s="3"/>
    </row>
    <row r="158" spans="1:19" hidden="1" outlineLevel="1" x14ac:dyDescent="0.2">
      <c r="A158" s="21"/>
      <c r="B158" s="6"/>
      <c r="C158" s="6"/>
      <c r="D158" s="23" t="s">
        <v>3</v>
      </c>
      <c r="E158" s="25">
        <v>0</v>
      </c>
      <c r="F158" s="25">
        <f t="shared" si="95"/>
        <v>1</v>
      </c>
      <c r="G158" s="25">
        <f t="shared" si="95"/>
        <v>2</v>
      </c>
      <c r="H158" s="25">
        <f t="shared" si="96"/>
        <v>3</v>
      </c>
      <c r="I158" s="25">
        <f>H158+1</f>
        <v>4</v>
      </c>
      <c r="J158" s="25">
        <f>I158+1</f>
        <v>5</v>
      </c>
      <c r="K158" s="25">
        <f>J158+1</f>
        <v>6</v>
      </c>
      <c r="L158" s="25">
        <f t="shared" si="100"/>
        <v>7</v>
      </c>
      <c r="M158" s="25">
        <f t="shared" si="101"/>
        <v>8</v>
      </c>
      <c r="N158" s="25">
        <f t="shared" si="102"/>
        <v>9</v>
      </c>
      <c r="O158" s="25">
        <f t="shared" si="103"/>
        <v>10</v>
      </c>
      <c r="Q158" s="86"/>
      <c r="S158" s="3"/>
    </row>
    <row r="159" spans="1:19" hidden="1" outlineLevel="1" x14ac:dyDescent="0.2">
      <c r="A159" s="21"/>
      <c r="B159" s="6"/>
      <c r="C159" s="6"/>
      <c r="D159" s="6"/>
      <c r="E159" s="25" t="s">
        <v>15</v>
      </c>
      <c r="F159" s="25" t="s">
        <v>15</v>
      </c>
      <c r="G159" s="25" t="s">
        <v>15</v>
      </c>
      <c r="H159" s="25" t="s">
        <v>15</v>
      </c>
      <c r="I159" s="25" t="s">
        <v>15</v>
      </c>
      <c r="J159" s="25" t="s">
        <v>15</v>
      </c>
      <c r="K159" s="25" t="s">
        <v>15</v>
      </c>
      <c r="L159" s="25" t="s">
        <v>15</v>
      </c>
      <c r="M159" s="25" t="s">
        <v>15</v>
      </c>
      <c r="N159" s="25" t="s">
        <v>15</v>
      </c>
      <c r="O159" s="25" t="s">
        <v>15</v>
      </c>
      <c r="Q159" s="86"/>
      <c r="S159" s="3"/>
    </row>
    <row r="160" spans="1:19" hidden="1" outlineLevel="1" x14ac:dyDescent="0.2">
      <c r="A160" s="21"/>
      <c r="B160" s="6"/>
      <c r="C160" s="6"/>
      <c r="D160" s="6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Q160" s="86"/>
      <c r="S160" s="3"/>
    </row>
    <row r="161" spans="1:19" hidden="1" outlineLevel="1" x14ac:dyDescent="0.2">
      <c r="A161" s="26" t="s">
        <v>145</v>
      </c>
      <c r="B161" s="27"/>
      <c r="C161" s="27"/>
      <c r="D161" s="27"/>
      <c r="E161" s="28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Q161" s="86"/>
      <c r="S161" s="3"/>
    </row>
    <row r="162" spans="1:19" hidden="1" outlineLevel="1" x14ac:dyDescent="0.2">
      <c r="A162" s="29"/>
      <c r="B162" s="30" t="s">
        <v>22</v>
      </c>
      <c r="C162" s="30"/>
      <c r="D162" s="30"/>
      <c r="E162" s="31">
        <f>-E146</f>
        <v>-38000</v>
      </c>
      <c r="F162" s="113"/>
      <c r="G162" s="45"/>
      <c r="H162" s="45"/>
      <c r="I162" s="45"/>
      <c r="J162" s="45"/>
      <c r="K162" s="45"/>
      <c r="L162" s="45"/>
      <c r="M162" s="45"/>
      <c r="N162" s="45"/>
      <c r="O162" s="45"/>
      <c r="Q162" s="86">
        <f>SUM(E162:O162)</f>
        <v>-38000</v>
      </c>
      <c r="S162" s="3"/>
    </row>
    <row r="163" spans="1:19" hidden="1" outlineLevel="1" x14ac:dyDescent="0.2">
      <c r="A163" s="32"/>
      <c r="B163" s="30" t="s">
        <v>23</v>
      </c>
      <c r="C163" s="30"/>
      <c r="D163" s="30"/>
      <c r="E163" s="33"/>
      <c r="F163" s="34">
        <f t="shared" ref="F163:O163" si="104">-($D$139*F$17)</f>
        <v>-355.04880212954743</v>
      </c>
      <c r="G163" s="34">
        <f t="shared" si="104"/>
        <v>-373.86638864241343</v>
      </c>
      <c r="H163" s="34">
        <f t="shared" si="104"/>
        <v>-393.68130724046131</v>
      </c>
      <c r="I163" s="34">
        <f t="shared" si="104"/>
        <v>-414.54641652420577</v>
      </c>
      <c r="J163" s="34">
        <f t="shared" si="104"/>
        <v>-436.51737659998861</v>
      </c>
      <c r="K163" s="34">
        <f t="shared" si="104"/>
        <v>-459.65279755978793</v>
      </c>
      <c r="L163" s="34">
        <f t="shared" si="104"/>
        <v>-484.01439583045669</v>
      </c>
      <c r="M163" s="34">
        <f t="shared" si="104"/>
        <v>-509.66715880947083</v>
      </c>
      <c r="N163" s="34">
        <f t="shared" si="104"/>
        <v>-536.67951822637281</v>
      </c>
      <c r="O163" s="34">
        <f t="shared" si="104"/>
        <v>-565.12353269237042</v>
      </c>
      <c r="Q163" s="86">
        <f t="shared" ref="Q163:Q165" si="105">SUM(F163:O163)</f>
        <v>-4528.7976942550749</v>
      </c>
      <c r="S163" s="3"/>
    </row>
    <row r="164" spans="1:19" hidden="1" outlineLevel="1" x14ac:dyDescent="0.2">
      <c r="A164" s="32"/>
      <c r="B164" s="30" t="s">
        <v>31</v>
      </c>
      <c r="C164" s="30"/>
      <c r="D164" s="30"/>
      <c r="E164" s="33"/>
      <c r="F164" s="34">
        <f t="shared" ref="F164:O164" si="106">-($D$142*F$19)</f>
        <v>-394.21245599999997</v>
      </c>
      <c r="G164" s="34">
        <f t="shared" si="106"/>
        <v>-401.30828020799999</v>
      </c>
      <c r="H164" s="34">
        <f t="shared" si="106"/>
        <v>-404.11743816945597</v>
      </c>
      <c r="I164" s="34">
        <f t="shared" si="106"/>
        <v>-414.62449156186182</v>
      </c>
      <c r="J164" s="34">
        <f t="shared" si="106"/>
        <v>-425.40472834247021</v>
      </c>
      <c r="K164" s="34">
        <f t="shared" si="106"/>
        <v>-436.46525127937446</v>
      </c>
      <c r="L164" s="34">
        <f t="shared" si="106"/>
        <v>-447.8133478126382</v>
      </c>
      <c r="M164" s="34">
        <f t="shared" si="106"/>
        <v>-459.45649485576683</v>
      </c>
      <c r="N164" s="34">
        <f t="shared" si="106"/>
        <v>-471.40236372201673</v>
      </c>
      <c r="O164" s="34">
        <f t="shared" si="106"/>
        <v>-483.65882517878924</v>
      </c>
      <c r="Q164" s="86">
        <f t="shared" si="105"/>
        <v>-4338.4636771303731</v>
      </c>
      <c r="S164" s="3"/>
    </row>
    <row r="165" spans="1:19" hidden="1" outlineLevel="1" x14ac:dyDescent="0.2">
      <c r="A165" s="32"/>
      <c r="B165" s="30" t="s">
        <v>49</v>
      </c>
      <c r="C165" s="30"/>
      <c r="D165" s="30"/>
      <c r="E165" s="33"/>
      <c r="F165" s="34">
        <f>-E153</f>
        <v>-771.29737932972102</v>
      </c>
      <c r="G165" s="34">
        <f>F165*(1+$E$9)</f>
        <v>-786.7233269163155</v>
      </c>
      <c r="H165" s="34">
        <f t="shared" ref="H165:O165" si="107">G165*(1+$E$9)</f>
        <v>-802.45779345464177</v>
      </c>
      <c r="I165" s="34">
        <f t="shared" si="107"/>
        <v>-818.5069493237346</v>
      </c>
      <c r="J165" s="34">
        <f t="shared" si="107"/>
        <v>-834.87708831020927</v>
      </c>
      <c r="K165" s="34">
        <f t="shared" si="107"/>
        <v>-851.57463007641343</v>
      </c>
      <c r="L165" s="34">
        <f t="shared" si="107"/>
        <v>-868.6061226779417</v>
      </c>
      <c r="M165" s="34">
        <f t="shared" si="107"/>
        <v>-885.97824513150056</v>
      </c>
      <c r="N165" s="34">
        <f t="shared" si="107"/>
        <v>-903.69781003413061</v>
      </c>
      <c r="O165" s="34">
        <f t="shared" si="107"/>
        <v>-921.77176623481319</v>
      </c>
      <c r="Q165" s="86">
        <f t="shared" si="105"/>
        <v>-8445.4911114894203</v>
      </c>
      <c r="S165" s="3"/>
    </row>
    <row r="166" spans="1:19" hidden="1" outlineLevel="1" x14ac:dyDescent="0.2">
      <c r="A166" s="29"/>
      <c r="B166" s="30"/>
      <c r="C166" s="30"/>
      <c r="D166" s="30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Q166" s="86"/>
      <c r="S166" s="3"/>
    </row>
    <row r="167" spans="1:19" hidden="1" outlineLevel="1" x14ac:dyDescent="0.2">
      <c r="A167" s="32" t="s">
        <v>4</v>
      </c>
      <c r="B167" s="30"/>
      <c r="C167" s="30"/>
      <c r="D167" s="30"/>
      <c r="E167" s="35">
        <f t="shared" ref="E167:O167" si="108">SUM(E162:E165)</f>
        <v>-38000</v>
      </c>
      <c r="F167" s="35">
        <f>SUM(F162:F165)</f>
        <v>-1520.5586374592685</v>
      </c>
      <c r="G167" s="35">
        <f t="shared" si="108"/>
        <v>-1561.8979957667289</v>
      </c>
      <c r="H167" s="35">
        <f t="shared" si="108"/>
        <v>-1600.2565388645589</v>
      </c>
      <c r="I167" s="35">
        <f t="shared" si="108"/>
        <v>-1647.6778574098021</v>
      </c>
      <c r="J167" s="35">
        <f t="shared" si="108"/>
        <v>-1696.7991932526681</v>
      </c>
      <c r="K167" s="35">
        <f t="shared" si="108"/>
        <v>-1747.6926789155759</v>
      </c>
      <c r="L167" s="35">
        <f t="shared" si="108"/>
        <v>-1800.4338663210365</v>
      </c>
      <c r="M167" s="35">
        <f t="shared" si="108"/>
        <v>-1855.1018987967382</v>
      </c>
      <c r="N167" s="35">
        <f t="shared" si="108"/>
        <v>-1911.77969198252</v>
      </c>
      <c r="O167" s="35">
        <f t="shared" si="108"/>
        <v>-1970.5541241059727</v>
      </c>
      <c r="Q167" s="86">
        <f t="shared" ref="Q167" si="109">SUM(F167:O167)</f>
        <v>-17312.752482874872</v>
      </c>
      <c r="S167" s="3"/>
    </row>
    <row r="168" spans="1:19" hidden="1" outlineLevel="1" x14ac:dyDescent="0.2">
      <c r="A168" s="26"/>
      <c r="B168" s="27"/>
      <c r="C168" s="27"/>
      <c r="D168" s="27"/>
      <c r="E168" s="28"/>
      <c r="F168" s="28"/>
      <c r="G168" s="28"/>
      <c r="H168" s="35"/>
      <c r="I168" s="35"/>
      <c r="J168" s="35"/>
      <c r="K168" s="35"/>
      <c r="L168" s="35"/>
      <c r="M168" s="35"/>
      <c r="N168" s="35"/>
      <c r="O168" s="35"/>
      <c r="Q168" s="86"/>
      <c r="S168" s="3"/>
    </row>
    <row r="169" spans="1:19" ht="13.5" hidden="1" outlineLevel="1" thickBot="1" x14ac:dyDescent="0.25">
      <c r="A169" s="36" t="s">
        <v>5</v>
      </c>
      <c r="B169" s="37"/>
      <c r="C169" s="37"/>
      <c r="D169" s="37"/>
      <c r="E169" s="38">
        <f>E167</f>
        <v>-38000</v>
      </c>
      <c r="F169" s="38">
        <f>E169+F167</f>
        <v>-39520.558637459268</v>
      </c>
      <c r="G169" s="38">
        <f t="shared" ref="G169" si="110">F169+G167</f>
        <v>-41082.456633226</v>
      </c>
      <c r="H169" s="38">
        <f t="shared" ref="H169" si="111">G169+H167</f>
        <v>-42682.71317209056</v>
      </c>
      <c r="I169" s="38">
        <f t="shared" ref="I169" si="112">H169+I167</f>
        <v>-44330.391029500359</v>
      </c>
      <c r="J169" s="38">
        <f t="shared" ref="J169" si="113">I169+J167</f>
        <v>-46027.19022275303</v>
      </c>
      <c r="K169" s="38">
        <f t="shared" ref="K169" si="114">J169+K167</f>
        <v>-47774.882901668607</v>
      </c>
      <c r="L169" s="38">
        <f t="shared" ref="L169" si="115">K169+L167</f>
        <v>-49575.316767989643</v>
      </c>
      <c r="M169" s="38">
        <f t="shared" ref="M169" si="116">L169+M167</f>
        <v>-51430.418666786383</v>
      </c>
      <c r="N169" s="38">
        <f t="shared" ref="N169" si="117">M169+N167</f>
        <v>-53342.198358768903</v>
      </c>
      <c r="O169" s="38">
        <f t="shared" ref="O169" si="118">N169+O167</f>
        <v>-55312.752482874872</v>
      </c>
      <c r="Q169" s="86">
        <f t="shared" ref="Q169" si="119">SUM(F169:O169)</f>
        <v>-471078.87887311762</v>
      </c>
      <c r="S169" s="3"/>
    </row>
    <row r="170" spans="1:19" hidden="1" outlineLevel="1" x14ac:dyDescent="0.2">
      <c r="A170" s="8"/>
      <c r="B170" s="6"/>
      <c r="C170" s="6"/>
      <c r="D170" s="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S170" s="3"/>
    </row>
    <row r="171" spans="1:19" hidden="1" outlineLevel="1" x14ac:dyDescent="0.2">
      <c r="A171" s="8"/>
      <c r="B171" s="6"/>
      <c r="C171" s="6"/>
      <c r="D171" s="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Q171" s="50" t="s">
        <v>18</v>
      </c>
      <c r="S171" s="3"/>
    </row>
    <row r="172" spans="1:19" hidden="1" outlineLevel="1" x14ac:dyDescent="0.2">
      <c r="A172" s="51" t="s">
        <v>157</v>
      </c>
      <c r="B172" s="6"/>
      <c r="C172" s="6"/>
      <c r="D172" s="6"/>
      <c r="E172" s="2"/>
      <c r="F172" s="9"/>
      <c r="G172" s="9"/>
      <c r="H172" s="9"/>
      <c r="I172" s="9"/>
      <c r="J172" s="9"/>
      <c r="K172" s="9"/>
      <c r="L172" s="9"/>
      <c r="M172" s="9"/>
      <c r="N172" s="9"/>
      <c r="O172" s="9"/>
      <c r="Q172" s="50" t="s">
        <v>18</v>
      </c>
      <c r="S172" s="3"/>
    </row>
    <row r="173" spans="1:19" hidden="1" outlineLevel="1" x14ac:dyDescent="0.2">
      <c r="A173" s="8"/>
      <c r="B173" s="30" t="s">
        <v>22</v>
      </c>
      <c r="C173" s="6"/>
      <c r="D173" s="6"/>
      <c r="E173" s="115">
        <f>E162/(1+$E$8)^E$50</f>
        <v>-38000</v>
      </c>
      <c r="F173" s="115">
        <f t="shared" ref="F173:O173" si="120">F162/(1+$E$8)^F$50</f>
        <v>0</v>
      </c>
      <c r="G173" s="115">
        <f t="shared" si="120"/>
        <v>0</v>
      </c>
      <c r="H173" s="115">
        <f t="shared" si="120"/>
        <v>0</v>
      </c>
      <c r="I173" s="115">
        <f t="shared" si="120"/>
        <v>0</v>
      </c>
      <c r="J173" s="115">
        <f t="shared" si="120"/>
        <v>0</v>
      </c>
      <c r="K173" s="115">
        <f t="shared" si="120"/>
        <v>0</v>
      </c>
      <c r="L173" s="115">
        <f t="shared" si="120"/>
        <v>0</v>
      </c>
      <c r="M173" s="115">
        <f t="shared" si="120"/>
        <v>0</v>
      </c>
      <c r="N173" s="115">
        <f t="shared" si="120"/>
        <v>0</v>
      </c>
      <c r="O173" s="115">
        <f t="shared" si="120"/>
        <v>0</v>
      </c>
      <c r="Q173" s="86">
        <f>SUM(E173:O173)</f>
        <v>-38000</v>
      </c>
      <c r="S173" s="3"/>
    </row>
    <row r="174" spans="1:19" hidden="1" outlineLevel="1" x14ac:dyDescent="0.2">
      <c r="A174" s="8"/>
      <c r="B174" s="30" t="s">
        <v>23</v>
      </c>
      <c r="C174" s="6"/>
      <c r="D174" s="6"/>
      <c r="E174" s="115">
        <f t="shared" ref="E174:O176" si="121">E163/(1+$E$8)^E$50</f>
        <v>0</v>
      </c>
      <c r="F174" s="115">
        <f>F163/(1+$E$8)^F$50</f>
        <v>-343.04232089811347</v>
      </c>
      <c r="G174" s="115">
        <f t="shared" si="121"/>
        <v>-349.00827430503722</v>
      </c>
      <c r="H174" s="115">
        <f t="shared" si="121"/>
        <v>-355.07798342338566</v>
      </c>
      <c r="I174" s="115">
        <f t="shared" si="121"/>
        <v>-361.25325270031414</v>
      </c>
      <c r="J174" s="115">
        <f t="shared" si="121"/>
        <v>-367.53591796466742</v>
      </c>
      <c r="K174" s="115">
        <f t="shared" si="121"/>
        <v>-373.92784697274851</v>
      </c>
      <c r="L174" s="115">
        <f t="shared" si="121"/>
        <v>-380.43093996357896</v>
      </c>
      <c r="M174" s="115">
        <f t="shared" si="121"/>
        <v>-387.04713022381515</v>
      </c>
      <c r="N174" s="115">
        <f t="shared" si="121"/>
        <v>-393.77838466249028</v>
      </c>
      <c r="O174" s="115">
        <f t="shared" si="121"/>
        <v>-400.62670439575089</v>
      </c>
      <c r="Q174" s="86">
        <f t="shared" ref="Q174:Q176" si="122">SUM(E174:O174)</f>
        <v>-3711.7287555099019</v>
      </c>
      <c r="S174" s="3"/>
    </row>
    <row r="175" spans="1:19" hidden="1" outlineLevel="1" x14ac:dyDescent="0.2">
      <c r="A175" s="8"/>
      <c r="B175" s="30" t="s">
        <v>31</v>
      </c>
      <c r="C175" s="6"/>
      <c r="D175" s="6"/>
      <c r="E175" s="115">
        <f t="shared" si="121"/>
        <v>0</v>
      </c>
      <c r="F175" s="115">
        <f t="shared" si="121"/>
        <v>-380.88159999999999</v>
      </c>
      <c r="G175" s="115">
        <f t="shared" si="121"/>
        <v>-374.62557371980677</v>
      </c>
      <c r="H175" s="115">
        <f t="shared" si="121"/>
        <v>-364.49077559018883</v>
      </c>
      <c r="I175" s="115">
        <f t="shared" si="121"/>
        <v>-361.32129058505677</v>
      </c>
      <c r="J175" s="115">
        <f t="shared" si="121"/>
        <v>-358.17936631909981</v>
      </c>
      <c r="K175" s="115">
        <f t="shared" si="121"/>
        <v>-355.06476313371633</v>
      </c>
      <c r="L175" s="115">
        <f t="shared" si="121"/>
        <v>-351.97724345429276</v>
      </c>
      <c r="M175" s="115">
        <f t="shared" si="121"/>
        <v>-348.91657177208162</v>
      </c>
      <c r="N175" s="115">
        <f t="shared" si="121"/>
        <v>-345.88251462623742</v>
      </c>
      <c r="O175" s="115">
        <f t="shared" si="121"/>
        <v>-342.87484058600938</v>
      </c>
      <c r="Q175" s="86">
        <f t="shared" si="122"/>
        <v>-3584.2145397864897</v>
      </c>
      <c r="S175" s="3"/>
    </row>
    <row r="176" spans="1:19" hidden="1" outlineLevel="1" x14ac:dyDescent="0.2">
      <c r="A176" s="8"/>
      <c r="B176" s="30" t="s">
        <v>49</v>
      </c>
      <c r="C176" s="6"/>
      <c r="D176" s="6"/>
      <c r="E176" s="115">
        <f t="shared" si="121"/>
        <v>0</v>
      </c>
      <c r="F176" s="115">
        <f t="shared" si="121"/>
        <v>-745.21485925576917</v>
      </c>
      <c r="G176" s="115">
        <f t="shared" si="121"/>
        <v>-734.41464390423641</v>
      </c>
      <c r="H176" s="115">
        <f t="shared" si="121"/>
        <v>-723.77095341287065</v>
      </c>
      <c r="I176" s="115">
        <f t="shared" si="121"/>
        <v>-713.28151930543777</v>
      </c>
      <c r="J176" s="115">
        <f t="shared" si="121"/>
        <v>-702.94410598217064</v>
      </c>
      <c r="K176" s="115">
        <f t="shared" si="121"/>
        <v>-692.75651024329852</v>
      </c>
      <c r="L176" s="115">
        <f t="shared" si="121"/>
        <v>-682.71656081948265</v>
      </c>
      <c r="M176" s="115">
        <f t="shared" si="121"/>
        <v>-672.82211790905558</v>
      </c>
      <c r="N176" s="115">
        <f t="shared" si="121"/>
        <v>-663.07107272196788</v>
      </c>
      <c r="O176" s="115">
        <f t="shared" si="121"/>
        <v>-653.46134703034522</v>
      </c>
      <c r="Q176" s="86">
        <f t="shared" si="122"/>
        <v>-6984.4536905846344</v>
      </c>
      <c r="S176" s="3"/>
    </row>
    <row r="177" spans="1:19" hidden="1" outlineLevel="1" x14ac:dyDescent="0.2">
      <c r="A177" s="51" t="s">
        <v>142</v>
      </c>
      <c r="B177" s="52"/>
      <c r="C177" s="52"/>
      <c r="D177" s="52"/>
      <c r="E177" s="111">
        <f t="shared" ref="E177:N177" si="123">E167/(1+$E$8)^E158</f>
        <v>-38000</v>
      </c>
      <c r="F177" s="111">
        <f t="shared" si="123"/>
        <v>-1469.1387801538829</v>
      </c>
      <c r="G177" s="111">
        <f t="shared" si="123"/>
        <v>-1458.0484919290802</v>
      </c>
      <c r="H177" s="111">
        <f t="shared" si="123"/>
        <v>-1443.3397124264452</v>
      </c>
      <c r="I177" s="111">
        <f t="shared" si="123"/>
        <v>-1435.8560625908087</v>
      </c>
      <c r="J177" s="111">
        <f t="shared" si="123"/>
        <v>-1428.6593902659379</v>
      </c>
      <c r="K177" s="111">
        <f t="shared" si="123"/>
        <v>-1421.7491203497634</v>
      </c>
      <c r="L177" s="111">
        <f t="shared" si="123"/>
        <v>-1415.1247442373542</v>
      </c>
      <c r="M177" s="111">
        <f t="shared" si="123"/>
        <v>-1408.7858199049522</v>
      </c>
      <c r="N177" s="111">
        <f t="shared" si="123"/>
        <v>-1402.7319720106955</v>
      </c>
      <c r="O177" s="111">
        <f>O167/(1+$E$8)^O158</f>
        <v>-1396.9628920121054</v>
      </c>
      <c r="Q177" s="46">
        <f>SUM(E177:O177)</f>
        <v>-52280.396985881023</v>
      </c>
      <c r="R177" s="118"/>
      <c r="S177" s="3"/>
    </row>
    <row r="178" spans="1:19" ht="13.5" hidden="1" outlineLevel="1" thickBot="1" x14ac:dyDescent="0.25">
      <c r="S178" s="3"/>
    </row>
    <row r="179" spans="1:19" ht="13.5" hidden="1" outlineLevel="1" thickBot="1" x14ac:dyDescent="0.25">
      <c r="A179" s="19" t="s">
        <v>6</v>
      </c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S179" s="3"/>
    </row>
    <row r="180" spans="1:19" hidden="1" outlineLevel="1" x14ac:dyDescent="0.2">
      <c r="A180" s="21"/>
      <c r="B180" s="6"/>
      <c r="C180" s="6"/>
      <c r="D180" s="6"/>
      <c r="E180" s="6"/>
      <c r="F180" s="6"/>
      <c r="G180" s="39"/>
      <c r="H180" s="6"/>
      <c r="I180" s="6"/>
      <c r="J180" s="6"/>
      <c r="K180" s="6"/>
      <c r="L180" s="6"/>
      <c r="M180" s="6"/>
      <c r="N180" s="6"/>
      <c r="O180" s="6"/>
      <c r="S180" s="3"/>
    </row>
    <row r="181" spans="1:19" hidden="1" outlineLevel="1" x14ac:dyDescent="0.2">
      <c r="A181" s="40" t="s">
        <v>7</v>
      </c>
      <c r="B181" s="40"/>
      <c r="C181" s="40"/>
      <c r="D181" s="41"/>
      <c r="E181" s="42"/>
      <c r="F181" s="42" t="s">
        <v>17</v>
      </c>
      <c r="G181" s="43" t="s">
        <v>8</v>
      </c>
      <c r="H181" s="6"/>
      <c r="I181" s="6"/>
      <c r="J181" s="6"/>
      <c r="K181" s="6"/>
      <c r="L181" s="6"/>
      <c r="M181" s="6"/>
      <c r="N181" s="6"/>
      <c r="O181" s="6"/>
      <c r="S181" s="3"/>
    </row>
    <row r="182" spans="1:19" ht="20.25" hidden="1" outlineLevel="1" x14ac:dyDescent="0.3">
      <c r="A182" s="53" t="s">
        <v>9</v>
      </c>
      <c r="B182" s="54"/>
      <c r="C182" s="54"/>
      <c r="D182" s="55"/>
      <c r="E182" s="56"/>
      <c r="F182" s="56">
        <f xml:space="preserve"> NPV((E$8),F167:O167)+E167</f>
        <v>-52280.396985881023</v>
      </c>
      <c r="G182" s="6" t="s">
        <v>15</v>
      </c>
      <c r="H182" s="6"/>
      <c r="I182" s="6"/>
      <c r="J182" s="2"/>
      <c r="K182" s="8"/>
      <c r="L182" s="6"/>
      <c r="M182" s="6"/>
      <c r="N182" s="6"/>
      <c r="O182" s="6"/>
      <c r="S182" s="3"/>
    </row>
    <row r="183" spans="1:19" hidden="1" outlineLevel="1" x14ac:dyDescent="0.2">
      <c r="A183" s="8"/>
      <c r="D183" s="2"/>
      <c r="E183" s="47"/>
      <c r="F183" s="47"/>
      <c r="G183" s="6"/>
      <c r="H183" s="6"/>
      <c r="S183" s="3"/>
    </row>
    <row r="184" spans="1:19" hidden="1" outlineLevel="1" x14ac:dyDescent="0.2">
      <c r="S184" s="3"/>
    </row>
    <row r="185" spans="1:19" hidden="1" outlineLevel="1" x14ac:dyDescent="0.2">
      <c r="A185" t="s">
        <v>10</v>
      </c>
      <c r="E185" s="44"/>
      <c r="S185" s="3"/>
    </row>
    <row r="186" spans="1:19" hidden="1" outlineLevel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idden="1" outlineLevel="1" x14ac:dyDescent="0.2">
      <c r="S187" s="3"/>
    </row>
    <row r="188" spans="1:19" hidden="1" outlineLevel="1" x14ac:dyDescent="0.2">
      <c r="S188" s="3"/>
    </row>
    <row r="189" spans="1:19" hidden="1" outlineLevel="1" x14ac:dyDescent="0.2">
      <c r="S189" s="3"/>
    </row>
    <row r="190" spans="1:19" hidden="1" outlineLevel="1" x14ac:dyDescent="0.2">
      <c r="S190" s="3"/>
    </row>
    <row r="191" spans="1:19" ht="20.25" collapsed="1" x14ac:dyDescent="0.3">
      <c r="A191" s="65" t="s">
        <v>95</v>
      </c>
      <c r="S191" s="3"/>
    </row>
    <row r="192" spans="1:19" outlineLevel="1" x14ac:dyDescent="0.2">
      <c r="S192" s="3"/>
    </row>
    <row r="193" spans="2:19" outlineLevel="1" x14ac:dyDescent="0.2">
      <c r="C193" s="2"/>
      <c r="D193" s="2"/>
      <c r="E193" s="40" t="s">
        <v>75</v>
      </c>
      <c r="F193" s="40" t="s">
        <v>76</v>
      </c>
      <c r="G193" s="40" t="s">
        <v>77</v>
      </c>
      <c r="H193" s="41"/>
      <c r="S193" s="3"/>
    </row>
    <row r="194" spans="2:19" outlineLevel="1" x14ac:dyDescent="0.2">
      <c r="B194" t="s">
        <v>22</v>
      </c>
      <c r="C194" s="2"/>
      <c r="D194" s="2"/>
      <c r="E194" s="87">
        <f>Q54</f>
        <v>-19000</v>
      </c>
      <c r="F194" s="87">
        <f>Q118</f>
        <v>-31990</v>
      </c>
      <c r="G194" s="87">
        <f>Q173</f>
        <v>-38000</v>
      </c>
      <c r="S194" s="3"/>
    </row>
    <row r="195" spans="2:19" outlineLevel="1" x14ac:dyDescent="0.2">
      <c r="C195" s="2"/>
      <c r="D195" s="2"/>
      <c r="E195" s="87"/>
      <c r="F195" s="87"/>
      <c r="G195" s="87"/>
      <c r="S195" s="3"/>
    </row>
    <row r="196" spans="2:19" outlineLevel="1" x14ac:dyDescent="0.2">
      <c r="C196" s="2"/>
      <c r="D196" s="2"/>
      <c r="E196" s="87"/>
      <c r="F196" s="87"/>
      <c r="G196" s="87"/>
      <c r="S196" s="3"/>
    </row>
    <row r="197" spans="2:19" outlineLevel="1" x14ac:dyDescent="0.2">
      <c r="B197" t="s">
        <v>23</v>
      </c>
      <c r="C197" s="2"/>
      <c r="D197" s="2"/>
      <c r="E197" s="87">
        <f>Q65</f>
        <v>-26878.035815761355</v>
      </c>
      <c r="F197" s="87">
        <f>Q119</f>
        <v>-15283.588993276062</v>
      </c>
      <c r="G197" s="87">
        <f>Q174</f>
        <v>-3711.7287555099019</v>
      </c>
      <c r="S197" s="3"/>
    </row>
    <row r="198" spans="2:19" outlineLevel="1" x14ac:dyDescent="0.2">
      <c r="B198" t="s">
        <v>31</v>
      </c>
      <c r="C198" s="2"/>
      <c r="D198" s="2"/>
      <c r="E198" s="87">
        <f t="shared" ref="E198:E199" si="124">Q66</f>
        <v>0</v>
      </c>
      <c r="F198" s="87">
        <f t="shared" ref="F198:F199" si="125">Q120</f>
        <v>0</v>
      </c>
      <c r="G198" s="87">
        <f t="shared" ref="G198:G199" si="126">Q175</f>
        <v>-3584.2145397864897</v>
      </c>
      <c r="S198" s="3"/>
    </row>
    <row r="199" spans="2:19" outlineLevel="1" x14ac:dyDescent="0.2">
      <c r="B199" t="s">
        <v>49</v>
      </c>
      <c r="C199" s="2"/>
      <c r="D199" s="2"/>
      <c r="E199" s="87">
        <f t="shared" si="124"/>
        <v>-6984.4536905846344</v>
      </c>
      <c r="F199" s="87">
        <f t="shared" si="125"/>
        <v>-6984.4536905846344</v>
      </c>
      <c r="G199" s="87">
        <f t="shared" si="126"/>
        <v>-6984.4536905846344</v>
      </c>
      <c r="S199" s="3"/>
    </row>
    <row r="200" spans="2:19" outlineLevel="1" x14ac:dyDescent="0.2">
      <c r="C200" s="2"/>
      <c r="D200" s="2"/>
      <c r="E200" s="87"/>
      <c r="F200" s="87"/>
      <c r="G200" s="87"/>
      <c r="S200" s="3"/>
    </row>
    <row r="201" spans="2:19" outlineLevel="1" x14ac:dyDescent="0.2">
      <c r="B201" t="s">
        <v>78</v>
      </c>
      <c r="C201" s="2"/>
      <c r="D201" s="2"/>
      <c r="E201" s="88">
        <f>SUM(E194:E199)</f>
        <v>-52862.489506345984</v>
      </c>
      <c r="F201" s="88">
        <f>SUM(F194:F199)</f>
        <v>-54258.042683860695</v>
      </c>
      <c r="G201" s="88">
        <f>SUM(G194:G199)</f>
        <v>-52280.396985881023</v>
      </c>
      <c r="S201" s="3"/>
    </row>
    <row r="202" spans="2:19" outlineLevel="1" x14ac:dyDescent="0.2">
      <c r="S202" s="3"/>
    </row>
    <row r="203" spans="2:19" ht="15.75" outlineLevel="1" x14ac:dyDescent="0.25">
      <c r="B203" s="107"/>
      <c r="C203" s="108"/>
      <c r="D203" s="108"/>
      <c r="E203" s="109"/>
      <c r="F203" s="109"/>
      <c r="G203" s="109"/>
      <c r="S203" s="3"/>
    </row>
    <row r="204" spans="2:19" ht="15.75" outlineLevel="1" x14ac:dyDescent="0.25">
      <c r="B204" s="107" t="s">
        <v>9</v>
      </c>
      <c r="C204" s="108"/>
      <c r="D204" s="108"/>
      <c r="E204" s="110">
        <f>F73</f>
        <v>-52862.489506345992</v>
      </c>
      <c r="F204" s="110">
        <f>F127</f>
        <v>-54258.042683860695</v>
      </c>
      <c r="G204" s="110">
        <f>F182</f>
        <v>-52280.396985881023</v>
      </c>
      <c r="S204" s="3"/>
    </row>
    <row r="205" spans="2:19" outlineLevel="1" x14ac:dyDescent="0.2">
      <c r="E205" s="94"/>
      <c r="F205" s="94"/>
      <c r="G205" s="94"/>
      <c r="S205" s="3"/>
    </row>
    <row r="206" spans="2:19" outlineLevel="1" x14ac:dyDescent="0.2">
      <c r="S206" s="3"/>
    </row>
    <row r="207" spans="2:19" outlineLevel="1" x14ac:dyDescent="0.2">
      <c r="E207" s="86"/>
      <c r="S207" s="3"/>
    </row>
    <row r="208" spans="2:19" x14ac:dyDescent="0.2">
      <c r="S208" s="3"/>
    </row>
    <row r="209" spans="19:19" x14ac:dyDescent="0.2">
      <c r="S209" s="3"/>
    </row>
    <row r="210" spans="19:19" x14ac:dyDescent="0.2">
      <c r="S210" s="3"/>
    </row>
    <row r="211" spans="19:19" x14ac:dyDescent="0.2">
      <c r="S211" s="3"/>
    </row>
  </sheetData>
  <pageMargins left="0.5" right="0.5" top="1.1499999999999999" bottom="1" header="0.5" footer="0.5"/>
  <pageSetup paperSize="17" orientation="landscape" cellComments="asDisplayed" r:id="rId1"/>
  <headerFooter alignWithMargins="0">
    <oddFooter>&amp;R&amp;Z&amp;F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Parameters</vt:lpstr>
      <vt:lpstr>LD sedans</vt:lpstr>
      <vt:lpstr>'LD sedans'!Print_Area</vt:lpstr>
      <vt:lpstr>Parameters!Print_Area</vt:lpstr>
    </vt:vector>
  </TitlesOfParts>
  <Company>Metro Vancouver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Carmichael</dc:creator>
  <cp:lastModifiedBy>Jeff Carmichael</cp:lastModifiedBy>
  <cp:lastPrinted>2014-04-09T00:15:44Z</cp:lastPrinted>
  <dcterms:created xsi:type="dcterms:W3CDTF">2013-02-25T19:17:39Z</dcterms:created>
  <dcterms:modified xsi:type="dcterms:W3CDTF">2022-11-25T00:09:12Z</dcterms:modified>
</cp:coreProperties>
</file>