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chanp1_student_ubc_ca/Documents/Active Use/UBC/30 Year 3/57 CPEN 481/03 Excel Examples/"/>
    </mc:Choice>
  </mc:AlternateContent>
  <xr:revisionPtr revIDLastSave="2" documentId="11_89A57B3CDFAB72E57FE0B96A15F02FD42154963C" xr6:coauthVersionLast="47" xr6:coauthVersionMax="47" xr10:uidLastSave="{1CF9CFF2-3E2E-7B45-900E-8625886F2693}"/>
  <bookViews>
    <workbookView xWindow="1240" yWindow="500" windowWidth="18080" windowHeight="17500" tabRatio="939" firstSheet="21" activeTab="25" xr2:uid="{00000000-000D-0000-FFFF-FFFF00000000}"/>
  </bookViews>
  <sheets>
    <sheet name="simple earnings example" sheetId="20" r:id="rId1"/>
    <sheet name="Ex 4-2" sheetId="75" r:id="rId2"/>
    <sheet name="Ex 4-3" sheetId="1" r:id="rId3"/>
    <sheet name="Ex 4-4" sheetId="2" r:id="rId4"/>
    <sheet name="Ex 4-4 revisioned" sheetId="71" r:id="rId5"/>
    <sheet name="Ch4 ppt ex 1" sheetId="21" r:id="rId6"/>
    <sheet name="Ch4 ppt ex 2" sheetId="22" r:id="rId7"/>
    <sheet name="Ex 4-5" sheetId="3" r:id="rId8"/>
    <sheet name="Ex 4-6" sheetId="4" r:id="rId9"/>
    <sheet name="Ex 4-7" sheetId="5" r:id="rId10"/>
    <sheet name="Ex 4-8" sheetId="6" r:id="rId11"/>
    <sheet name="Ex 4-9" sheetId="7" r:id="rId12"/>
    <sheet name="Ex 4-10" sheetId="8" r:id="rId13"/>
    <sheet name="Ex 4-12" sheetId="9" r:id="rId14"/>
    <sheet name="Ex 4-13" sheetId="10" r:id="rId15"/>
    <sheet name="Ex 4-14" sheetId="23" r:id="rId16"/>
    <sheet name="Ex 5-1" sheetId="24" r:id="rId17"/>
    <sheet name="Ex 5-2" sheetId="25" r:id="rId18"/>
    <sheet name="Ex 5-3" sheetId="26" r:id="rId19"/>
    <sheet name="Ex 5-4" sheetId="27" r:id="rId20"/>
    <sheet name="Ex 5-6" sheetId="28" r:id="rId21"/>
    <sheet name="Ch5 ppt ex 2" sheetId="30" r:id="rId22"/>
    <sheet name="Ex 5-7" sheetId="29" r:id="rId23"/>
    <sheet name="Ex 5-9" sheetId="31" r:id="rId24"/>
    <sheet name="Ex 5-9 (2)" sheetId="76" r:id="rId25"/>
    <sheet name="formulas" sheetId="52" r:id="rId26"/>
    <sheet name="Ex 5-10" sheetId="32" r:id="rId27"/>
    <sheet name="Ex 6-1" sheetId="33" r:id="rId28"/>
    <sheet name="Ex 6-2" sheetId="34" r:id="rId29"/>
    <sheet name="Ex 6-3" sheetId="13" r:id="rId30"/>
    <sheet name="Ch6 ppt ex 1" sheetId="35" r:id="rId31"/>
    <sheet name="Ch6 ppt ex 2" sheetId="36" r:id="rId32"/>
    <sheet name="Ex 6-5 and 6-6" sheetId="37" r:id="rId33"/>
    <sheet name="Ex 6-7" sheetId="38" r:id="rId34"/>
    <sheet name="Ex 6-9" sheetId="39" r:id="rId35"/>
    <sheet name="mortgage ex 0 fixed pymt" sheetId="73" r:id="rId36"/>
    <sheet name="mortgage ex 1" sheetId="19" r:id="rId37"/>
    <sheet name="mortgage ex 1-1 (15yr)" sheetId="74" r:id="rId38"/>
    <sheet name="mortgage ex 2" sheetId="72" r:id="rId39"/>
    <sheet name="mortgage ex 3" sheetId="77" r:id="rId40"/>
    <sheet name="mortgage - monthly v annual" sheetId="78" r:id="rId41"/>
    <sheet name="Ch7 ppt ex 1" sheetId="40" r:id="rId42"/>
    <sheet name="Ch7 ppt ex 2" sheetId="41" r:id="rId43"/>
    <sheet name="Ch7 ppt ex 3" sheetId="43" r:id="rId44"/>
    <sheet name="Ex 7-2" sheetId="14" r:id="rId45"/>
    <sheet name="Ex 7-5" sheetId="44" r:id="rId46"/>
    <sheet name="Ex7-7" sheetId="47" r:id="rId47"/>
    <sheet name="Ex 7-10" sheetId="49" r:id="rId48"/>
    <sheet name="Ex 7-11" sheetId="50" r:id="rId49"/>
    <sheet name="Ex 7-12" sheetId="15" r:id="rId50"/>
    <sheet name="Ex 7-IRR limitations" sheetId="16" r:id="rId51"/>
    <sheet name="Ch8 ppt ex 1" sheetId="51" r:id="rId52"/>
    <sheet name="Ch8 ppt ex 2" sheetId="53" r:id="rId53"/>
    <sheet name="Ex 8-2" sheetId="54" r:id="rId54"/>
    <sheet name="Ch4 ppt ex 4" sheetId="11" r:id="rId55"/>
    <sheet name="Ex 8-6" sheetId="55" r:id="rId56"/>
    <sheet name="Ex 8-7" sheetId="17" r:id="rId57"/>
    <sheet name="Ex 9-3" sheetId="62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8" l="1"/>
  <c r="J5" i="78" s="1"/>
  <c r="H3" i="78"/>
  <c r="I3" i="78" s="1"/>
  <c r="H2" i="78"/>
  <c r="H5" i="78" s="1"/>
  <c r="I1" i="78" l="1"/>
  <c r="O6" i="78" s="1"/>
  <c r="H19" i="78"/>
  <c r="M19" i="78" s="1"/>
  <c r="H15" i="78"/>
  <c r="M15" i="78" s="1"/>
  <c r="H26" i="78"/>
  <c r="M26" i="78" s="1"/>
  <c r="H32" i="78"/>
  <c r="M32" i="78" s="1"/>
  <c r="H28" i="78"/>
  <c r="M28" i="78" s="1"/>
  <c r="H24" i="78"/>
  <c r="M24" i="78" s="1"/>
  <c r="H31" i="78"/>
  <c r="M31" i="78" s="1"/>
  <c r="H27" i="78"/>
  <c r="M27" i="78" s="1"/>
  <c r="H21" i="78"/>
  <c r="M21" i="78" s="1"/>
  <c r="J21" i="78"/>
  <c r="O21" i="78" s="1"/>
  <c r="H18" i="78"/>
  <c r="M18" i="78" s="1"/>
  <c r="H14" i="78"/>
  <c r="M14" i="78" s="1"/>
  <c r="H10" i="78"/>
  <c r="M10" i="78" s="1"/>
  <c r="H23" i="78"/>
  <c r="M23" i="78" s="1"/>
  <c r="H17" i="78"/>
  <c r="M17" i="78" s="1"/>
  <c r="H13" i="78"/>
  <c r="M13" i="78" s="1"/>
  <c r="H30" i="78"/>
  <c r="M30" i="78" s="1"/>
  <c r="H22" i="78"/>
  <c r="M22" i="78" s="1"/>
  <c r="H20" i="78"/>
  <c r="M20" i="78" s="1"/>
  <c r="H16" i="78"/>
  <c r="M16" i="78" s="1"/>
  <c r="H12" i="78"/>
  <c r="M12" i="78" s="1"/>
  <c r="H33" i="78"/>
  <c r="M33" i="78" s="1"/>
  <c r="H29" i="78"/>
  <c r="M29" i="78" s="1"/>
  <c r="H25" i="78"/>
  <c r="M25" i="78" s="1"/>
  <c r="H11" i="78"/>
  <c r="M11" i="78" s="1"/>
  <c r="J33" i="78"/>
  <c r="O33" i="78" s="1"/>
  <c r="I5" i="78"/>
  <c r="P21" i="78"/>
  <c r="N6" i="78"/>
  <c r="I21" i="78" l="1"/>
  <c r="N21" i="78" s="1"/>
  <c r="I33" i="78"/>
  <c r="N33" i="78" s="1"/>
  <c r="O35" i="78"/>
  <c r="M35" i="78"/>
  <c r="N35" i="78" l="1"/>
  <c r="D9" i="31" l="1"/>
  <c r="C14" i="24" l="1"/>
  <c r="H19" i="55" l="1"/>
  <c r="H9" i="54"/>
  <c r="I7" i="54"/>
  <c r="H7" i="54"/>
  <c r="G7" i="54"/>
  <c r="H19" i="39" l="1"/>
  <c r="H17" i="39"/>
  <c r="C19" i="39"/>
  <c r="C20" i="39" s="1"/>
  <c r="H18" i="39" l="1"/>
  <c r="H16" i="39"/>
  <c r="N10" i="25" l="1"/>
  <c r="N11" i="25"/>
  <c r="N12" i="25"/>
  <c r="N13" i="25"/>
  <c r="N9" i="25"/>
  <c r="E13" i="25"/>
  <c r="C13" i="25"/>
  <c r="E5" i="21"/>
  <c r="A33" i="77" l="1"/>
  <c r="E7" i="77"/>
  <c r="A32" i="77"/>
  <c r="D30" i="77"/>
  <c r="C31" i="77"/>
  <c r="C32" i="77" s="1"/>
  <c r="C33" i="77" s="1"/>
  <c r="C34" i="77" s="1"/>
  <c r="C35" i="77" s="1"/>
  <c r="C36" i="77" s="1"/>
  <c r="C37" i="77" s="1"/>
  <c r="C38" i="77" s="1"/>
  <c r="C39" i="77" s="1"/>
  <c r="C40" i="77" s="1"/>
  <c r="C41" i="77" s="1"/>
  <c r="C42" i="77" s="1"/>
  <c r="W11" i="77"/>
  <c r="Y8" i="77"/>
  <c r="Y7" i="77"/>
  <c r="Y6" i="77"/>
  <c r="Y9" i="77" s="1"/>
  <c r="X9" i="77" s="1"/>
  <c r="E8" i="77"/>
  <c r="M11" i="77"/>
  <c r="C11" i="77"/>
  <c r="O7" i="77"/>
  <c r="O8" i="77" s="1"/>
  <c r="Y22" i="77" s="1"/>
  <c r="O6" i="77"/>
  <c r="E6" i="77"/>
  <c r="E9" i="77" s="1"/>
  <c r="D9" i="77" s="1"/>
  <c r="E7" i="19"/>
  <c r="P7" i="19"/>
  <c r="P8" i="19" s="1"/>
  <c r="P6" i="19"/>
  <c r="N11" i="19"/>
  <c r="N11" i="77" l="1"/>
  <c r="D42" i="77"/>
  <c r="X11" i="77"/>
  <c r="Z11" i="77" s="1"/>
  <c r="D11" i="77"/>
  <c r="I11" i="77" s="1"/>
  <c r="AB11" i="77"/>
  <c r="S11" i="77"/>
  <c r="O11" i="19"/>
  <c r="P11" i="19" s="1"/>
  <c r="E11" i="77" l="1"/>
  <c r="H11" i="77" s="1"/>
  <c r="AC11" i="77"/>
  <c r="F11" i="77"/>
  <c r="C12" i="77" s="1"/>
  <c r="O11" i="77"/>
  <c r="W12" i="77"/>
  <c r="U11" i="19"/>
  <c r="T11" i="19"/>
  <c r="R11" i="19"/>
  <c r="N12" i="19" s="1"/>
  <c r="O12" i="19" s="1"/>
  <c r="AY7" i="15"/>
  <c r="B19" i="14"/>
  <c r="J8" i="40"/>
  <c r="K8" i="40"/>
  <c r="K7" i="40"/>
  <c r="D9" i="76"/>
  <c r="G9" i="76"/>
  <c r="F13" i="76"/>
  <c r="G13" i="76" s="1"/>
  <c r="F16" i="76"/>
  <c r="G16" i="76"/>
  <c r="F17" i="76"/>
  <c r="G17" i="76"/>
  <c r="F21" i="76"/>
  <c r="G21" i="76" s="1"/>
  <c r="F24" i="76"/>
  <c r="G24" i="76"/>
  <c r="F25" i="76"/>
  <c r="G25" i="76"/>
  <c r="F29" i="76"/>
  <c r="G29" i="76" s="1"/>
  <c r="F32" i="76"/>
  <c r="G32" i="76"/>
  <c r="D7" i="76"/>
  <c r="C28" i="76"/>
  <c r="D28" i="76" s="1"/>
  <c r="G7" i="76"/>
  <c r="C8" i="75"/>
  <c r="C9" i="75"/>
  <c r="C14" i="75"/>
  <c r="H10" i="75"/>
  <c r="I6" i="75"/>
  <c r="I9" i="75"/>
  <c r="M15" i="27"/>
  <c r="F15" i="27"/>
  <c r="M13" i="26"/>
  <c r="P10" i="24"/>
  <c r="P11" i="24"/>
  <c r="P12" i="24" s="1"/>
  <c r="P13" i="24" s="1"/>
  <c r="P14" i="24" s="1"/>
  <c r="P15" i="24" s="1"/>
  <c r="P16" i="24" s="1"/>
  <c r="P17" i="24"/>
  <c r="P18" i="24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9" i="24"/>
  <c r="B9" i="9"/>
  <c r="N13" i="7"/>
  <c r="N10" i="7"/>
  <c r="N16" i="7" s="1"/>
  <c r="B10" i="7"/>
  <c r="B9" i="7"/>
  <c r="B14" i="2"/>
  <c r="B10" i="2"/>
  <c r="C8" i="1"/>
  <c r="C11" i="74"/>
  <c r="D11" i="74" s="1"/>
  <c r="E8" i="74"/>
  <c r="E7" i="74"/>
  <c r="E6" i="74"/>
  <c r="E9" i="74"/>
  <c r="D9" i="74"/>
  <c r="E94" i="73"/>
  <c r="E95" i="73" s="1"/>
  <c r="E96" i="73" s="1"/>
  <c r="E97" i="73" s="1"/>
  <c r="E98" i="73" s="1"/>
  <c r="E99" i="73" s="1"/>
  <c r="E100" i="73" s="1"/>
  <c r="E101" i="73" s="1"/>
  <c r="E102" i="73" s="1"/>
  <c r="E103" i="73" s="1"/>
  <c r="E104" i="73" s="1"/>
  <c r="E105" i="73" s="1"/>
  <c r="E106" i="73" s="1"/>
  <c r="E107" i="73" s="1"/>
  <c r="E108" i="73" s="1"/>
  <c r="E109" i="73" s="1"/>
  <c r="E110" i="73" s="1"/>
  <c r="E111" i="73" s="1"/>
  <c r="E112" i="73" s="1"/>
  <c r="E113" i="73" s="1"/>
  <c r="E114" i="73" s="1"/>
  <c r="E115" i="73"/>
  <c r="E116" i="73" s="1"/>
  <c r="E117" i="73" s="1"/>
  <c r="E118" i="73" s="1"/>
  <c r="E119" i="73" s="1"/>
  <c r="E120" i="73" s="1"/>
  <c r="E121" i="73" s="1"/>
  <c r="E122" i="73" s="1"/>
  <c r="E123" i="73" s="1"/>
  <c r="E124" i="73"/>
  <c r="E125" i="73" s="1"/>
  <c r="E126" i="73" s="1"/>
  <c r="E127" i="73" s="1"/>
  <c r="E128" i="73" s="1"/>
  <c r="E129" i="73" s="1"/>
  <c r="E130" i="73" s="1"/>
  <c r="E131" i="73" s="1"/>
  <c r="E132" i="73" s="1"/>
  <c r="E133" i="73" s="1"/>
  <c r="E134" i="73" s="1"/>
  <c r="E135" i="73" s="1"/>
  <c r="E136" i="73" s="1"/>
  <c r="E137" i="73" s="1"/>
  <c r="E138" i="73" s="1"/>
  <c r="E139" i="73" s="1"/>
  <c r="E140" i="73" s="1"/>
  <c r="E141" i="73" s="1"/>
  <c r="E142" i="73" s="1"/>
  <c r="E143" i="73" s="1"/>
  <c r="E144" i="73" s="1"/>
  <c r="E145" i="73" s="1"/>
  <c r="E146" i="73" s="1"/>
  <c r="E147" i="73" s="1"/>
  <c r="E148" i="73" s="1"/>
  <c r="E149" i="73" s="1"/>
  <c r="E150" i="73" s="1"/>
  <c r="E151" i="73" s="1"/>
  <c r="E152" i="73" s="1"/>
  <c r="E153" i="73" s="1"/>
  <c r="E154" i="73" s="1"/>
  <c r="E155" i="73" s="1"/>
  <c r="E156" i="73" s="1"/>
  <c r="E157" i="73" s="1"/>
  <c r="E158" i="73" s="1"/>
  <c r="E159" i="73" s="1"/>
  <c r="E160" i="73" s="1"/>
  <c r="E161" i="73" s="1"/>
  <c r="E162" i="73" s="1"/>
  <c r="E163" i="73" s="1"/>
  <c r="E164" i="73" s="1"/>
  <c r="E165" i="73" s="1"/>
  <c r="E166" i="73" s="1"/>
  <c r="E167" i="73" s="1"/>
  <c r="E168" i="73" s="1"/>
  <c r="E169" i="73" s="1"/>
  <c r="E170" i="73" s="1"/>
  <c r="E171" i="73" s="1"/>
  <c r="E172" i="73" s="1"/>
  <c r="E173" i="73" s="1"/>
  <c r="E174" i="73" s="1"/>
  <c r="E175" i="73" s="1"/>
  <c r="E176" i="73" s="1"/>
  <c r="E177" i="73" s="1"/>
  <c r="E178" i="73" s="1"/>
  <c r="E179" i="73" s="1"/>
  <c r="E180" i="73" s="1"/>
  <c r="E181" i="73" s="1"/>
  <c r="E182" i="73" s="1"/>
  <c r="E183" i="73" s="1"/>
  <c r="E184" i="73" s="1"/>
  <c r="E185" i="73" s="1"/>
  <c r="E186" i="73" s="1"/>
  <c r="E187" i="73" s="1"/>
  <c r="E188" i="73" s="1"/>
  <c r="E189" i="73" s="1"/>
  <c r="E190" i="73" s="1"/>
  <c r="E191" i="73" s="1"/>
  <c r="E192" i="73" s="1"/>
  <c r="E193" i="73" s="1"/>
  <c r="E194" i="73" s="1"/>
  <c r="E195" i="73" s="1"/>
  <c r="E196" i="73" s="1"/>
  <c r="E197" i="73" s="1"/>
  <c r="E198" i="73" s="1"/>
  <c r="E199" i="73" s="1"/>
  <c r="E200" i="73" s="1"/>
  <c r="E201" i="73" s="1"/>
  <c r="E202" i="73" s="1"/>
  <c r="E203" i="73" s="1"/>
  <c r="E204" i="73" s="1"/>
  <c r="E205" i="73" s="1"/>
  <c r="E206" i="73" s="1"/>
  <c r="E207" i="73" s="1"/>
  <c r="E208" i="73" s="1"/>
  <c r="E209" i="73" s="1"/>
  <c r="E210" i="73" s="1"/>
  <c r="E211" i="73" s="1"/>
  <c r="E212" i="73" s="1"/>
  <c r="E213" i="73" s="1"/>
  <c r="E214" i="73" s="1"/>
  <c r="E215" i="73" s="1"/>
  <c r="E216" i="73" s="1"/>
  <c r="E217" i="73" s="1"/>
  <c r="E218" i="73" s="1"/>
  <c r="E219" i="73" s="1"/>
  <c r="E220" i="73" s="1"/>
  <c r="E221" i="73" s="1"/>
  <c r="E222" i="73" s="1"/>
  <c r="E223" i="73" s="1"/>
  <c r="E224" i="73" s="1"/>
  <c r="E225" i="73" s="1"/>
  <c r="E226" i="73" s="1"/>
  <c r="E227" i="73" s="1"/>
  <c r="E228" i="73" s="1"/>
  <c r="E229" i="73" s="1"/>
  <c r="E230" i="73" s="1"/>
  <c r="E231" i="73" s="1"/>
  <c r="E232" i="73" s="1"/>
  <c r="E233" i="73" s="1"/>
  <c r="E234" i="73" s="1"/>
  <c r="E235" i="73" s="1"/>
  <c r="E236" i="73" s="1"/>
  <c r="E237" i="73" s="1"/>
  <c r="E238" i="73" s="1"/>
  <c r="E239" i="73" s="1"/>
  <c r="E240" i="73" s="1"/>
  <c r="E241" i="73" s="1"/>
  <c r="E242" i="73" s="1"/>
  <c r="E243" i="73" s="1"/>
  <c r="E244" i="73" s="1"/>
  <c r="E245" i="73" s="1"/>
  <c r="E246" i="73" s="1"/>
  <c r="E247" i="73" s="1"/>
  <c r="E248" i="73" s="1"/>
  <c r="E249" i="73" s="1"/>
  <c r="E250" i="73" s="1"/>
  <c r="E251" i="73" s="1"/>
  <c r="E252" i="73" s="1"/>
  <c r="E253" i="73" s="1"/>
  <c r="E254" i="73" s="1"/>
  <c r="E255" i="73" s="1"/>
  <c r="E256" i="73" s="1"/>
  <c r="E257" i="73" s="1"/>
  <c r="E258" i="73" s="1"/>
  <c r="E259" i="73" s="1"/>
  <c r="E260" i="73" s="1"/>
  <c r="E261" i="73" s="1"/>
  <c r="E262" i="73" s="1"/>
  <c r="E263" i="73" s="1"/>
  <c r="E264" i="73" s="1"/>
  <c r="E265" i="73" s="1"/>
  <c r="E266" i="73" s="1"/>
  <c r="E267" i="73" s="1"/>
  <c r="E268" i="73" s="1"/>
  <c r="E269" i="73" s="1"/>
  <c r="E270" i="73" s="1"/>
  <c r="E271" i="73" s="1"/>
  <c r="E272" i="73" s="1"/>
  <c r="E273" i="73" s="1"/>
  <c r="E274" i="73" s="1"/>
  <c r="E275" i="73" s="1"/>
  <c r="E276" i="73" s="1"/>
  <c r="E277" i="73" s="1"/>
  <c r="E278" i="73" s="1"/>
  <c r="E279" i="73" s="1"/>
  <c r="E280" i="73" s="1"/>
  <c r="E281" i="73" s="1"/>
  <c r="E282" i="73" s="1"/>
  <c r="E283" i="73" s="1"/>
  <c r="E284" i="73" s="1"/>
  <c r="E285" i="73" s="1"/>
  <c r="E286" i="73" s="1"/>
  <c r="E287" i="73" s="1"/>
  <c r="E288" i="73" s="1"/>
  <c r="E289" i="73" s="1"/>
  <c r="E290" i="73" s="1"/>
  <c r="E291" i="73" s="1"/>
  <c r="E292" i="73" s="1"/>
  <c r="E293" i="73" s="1"/>
  <c r="E294" i="73" s="1"/>
  <c r="E295" i="73" s="1"/>
  <c r="E296" i="73" s="1"/>
  <c r="E297" i="73" s="1"/>
  <c r="E298" i="73" s="1"/>
  <c r="E299" i="73" s="1"/>
  <c r="E300" i="73" s="1"/>
  <c r="E301" i="73" s="1"/>
  <c r="E302" i="73" s="1"/>
  <c r="E303" i="73" s="1"/>
  <c r="E304" i="73" s="1"/>
  <c r="E305" i="73" s="1"/>
  <c r="E306" i="73" s="1"/>
  <c r="E307" i="73" s="1"/>
  <c r="E308" i="73" s="1"/>
  <c r="E309" i="73" s="1"/>
  <c r="E310" i="73" s="1"/>
  <c r="E311" i="73" s="1"/>
  <c r="E312" i="73" s="1"/>
  <c r="E313" i="73" s="1"/>
  <c r="E314" i="73" s="1"/>
  <c r="E315" i="73" s="1"/>
  <c r="E316" i="73" s="1"/>
  <c r="E317" i="73" s="1"/>
  <c r="E318" i="73" s="1"/>
  <c r="E319" i="73" s="1"/>
  <c r="E320" i="73" s="1"/>
  <c r="E321" i="73" s="1"/>
  <c r="E322" i="73" s="1"/>
  <c r="E323" i="73" s="1"/>
  <c r="E324" i="73" s="1"/>
  <c r="E325" i="73" s="1"/>
  <c r="E326" i="73" s="1"/>
  <c r="E327" i="73" s="1"/>
  <c r="E328" i="73" s="1"/>
  <c r="E329" i="73" s="1"/>
  <c r="E330" i="73" s="1"/>
  <c r="E331" i="73" s="1"/>
  <c r="E332" i="73" s="1"/>
  <c r="E333" i="73" s="1"/>
  <c r="E334" i="73" s="1"/>
  <c r="E335" i="73" s="1"/>
  <c r="E336" i="73" s="1"/>
  <c r="E337" i="73" s="1"/>
  <c r="E338" i="73" s="1"/>
  <c r="E339" i="73" s="1"/>
  <c r="E340" i="73" s="1"/>
  <c r="E341" i="73" s="1"/>
  <c r="E342" i="73" s="1"/>
  <c r="E343" i="73" s="1"/>
  <c r="E344" i="73" s="1"/>
  <c r="E345" i="73" s="1"/>
  <c r="E346" i="73" s="1"/>
  <c r="E347" i="73" s="1"/>
  <c r="E348" i="73" s="1"/>
  <c r="E349" i="73" s="1"/>
  <c r="E350" i="73" s="1"/>
  <c r="E351" i="73" s="1"/>
  <c r="E352" i="73" s="1"/>
  <c r="E353" i="73" s="1"/>
  <c r="E354" i="73" s="1"/>
  <c r="E355" i="73" s="1"/>
  <c r="E356" i="73" s="1"/>
  <c r="E357" i="73" s="1"/>
  <c r="E358" i="73" s="1"/>
  <c r="E359" i="73" s="1"/>
  <c r="E360" i="73" s="1"/>
  <c r="E361" i="73" s="1"/>
  <c r="E362" i="73" s="1"/>
  <c r="E363" i="73" s="1"/>
  <c r="E364" i="73" s="1"/>
  <c r="E365" i="73" s="1"/>
  <c r="E366" i="73" s="1"/>
  <c r="E367" i="73" s="1"/>
  <c r="E368" i="73" s="1"/>
  <c r="E369" i="73" s="1"/>
  <c r="E370" i="73" s="1"/>
  <c r="E23" i="73"/>
  <c r="E24" i="73" s="1"/>
  <c r="E25" i="73" s="1"/>
  <c r="E26" i="73" s="1"/>
  <c r="E27" i="73" s="1"/>
  <c r="E28" i="73" s="1"/>
  <c r="E29" i="73" s="1"/>
  <c r="E30" i="73" s="1"/>
  <c r="E31" i="73" s="1"/>
  <c r="E32" i="73" s="1"/>
  <c r="E33" i="73" s="1"/>
  <c r="E34" i="73" s="1"/>
  <c r="E35" i="73" s="1"/>
  <c r="E36" i="73" s="1"/>
  <c r="E37" i="73" s="1"/>
  <c r="E38" i="73" s="1"/>
  <c r="E39" i="73" s="1"/>
  <c r="E40" i="73" s="1"/>
  <c r="E41" i="73" s="1"/>
  <c r="E42" i="73" s="1"/>
  <c r="E43" i="73" s="1"/>
  <c r="E44" i="73" s="1"/>
  <c r="E45" i="73" s="1"/>
  <c r="E46" i="73" s="1"/>
  <c r="E47" i="73" s="1"/>
  <c r="E48" i="73" s="1"/>
  <c r="E49" i="73" s="1"/>
  <c r="E50" i="73" s="1"/>
  <c r="E51" i="73" s="1"/>
  <c r="E52" i="73" s="1"/>
  <c r="E53" i="73" s="1"/>
  <c r="E54" i="73" s="1"/>
  <c r="E55" i="73" s="1"/>
  <c r="E56" i="73" s="1"/>
  <c r="E57" i="73" s="1"/>
  <c r="E58" i="73" s="1"/>
  <c r="E59" i="73" s="1"/>
  <c r="E60" i="73" s="1"/>
  <c r="E61" i="73" s="1"/>
  <c r="E62" i="73" s="1"/>
  <c r="E63" i="73" s="1"/>
  <c r="E64" i="73" s="1"/>
  <c r="E65" i="73" s="1"/>
  <c r="E66" i="73" s="1"/>
  <c r="E67" i="73" s="1"/>
  <c r="E68" i="73" s="1"/>
  <c r="E69" i="73" s="1"/>
  <c r="E70" i="73" s="1"/>
  <c r="E71" i="73" s="1"/>
  <c r="E72" i="73" s="1"/>
  <c r="E73" i="73" s="1"/>
  <c r="E74" i="73" s="1"/>
  <c r="E75" i="73" s="1"/>
  <c r="E76" i="73" s="1"/>
  <c r="E77" i="73" s="1"/>
  <c r="E78" i="73" s="1"/>
  <c r="E79" i="73" s="1"/>
  <c r="E80" i="73" s="1"/>
  <c r="E81" i="73" s="1"/>
  <c r="E82" i="73" s="1"/>
  <c r="E83" i="73" s="1"/>
  <c r="E84" i="73" s="1"/>
  <c r="E85" i="73" s="1"/>
  <c r="E86" i="73" s="1"/>
  <c r="E87" i="73" s="1"/>
  <c r="E88" i="73" s="1"/>
  <c r="E89" i="73" s="1"/>
  <c r="E90" i="73" s="1"/>
  <c r="E91" i="73" s="1"/>
  <c r="E92" i="73" s="1"/>
  <c r="E93" i="73" s="1"/>
  <c r="E12" i="73"/>
  <c r="E13" i="73" s="1"/>
  <c r="E14" i="73" s="1"/>
  <c r="E15" i="73" s="1"/>
  <c r="E16" i="73" s="1"/>
  <c r="E17" i="73" s="1"/>
  <c r="E18" i="73" s="1"/>
  <c r="E19" i="73" s="1"/>
  <c r="E20" i="73" s="1"/>
  <c r="E21" i="73" s="1"/>
  <c r="E22" i="73" s="1"/>
  <c r="C11" i="73"/>
  <c r="D11" i="73" s="1"/>
  <c r="E7" i="73"/>
  <c r="E6" i="73"/>
  <c r="E4" i="73"/>
  <c r="E9" i="73" s="1"/>
  <c r="D9" i="73" s="1"/>
  <c r="E8" i="73"/>
  <c r="I11" i="73"/>
  <c r="D9" i="50"/>
  <c r="F8" i="47"/>
  <c r="C8" i="47"/>
  <c r="AD7" i="44"/>
  <c r="X13" i="37"/>
  <c r="X12" i="37"/>
  <c r="C22" i="14"/>
  <c r="C23" i="14"/>
  <c r="C24" i="14"/>
  <c r="C25" i="14"/>
  <c r="Q15" i="37"/>
  <c r="P12" i="37"/>
  <c r="P10" i="37"/>
  <c r="R10" i="37" s="1"/>
  <c r="R17" i="37" s="1"/>
  <c r="R12" i="37"/>
  <c r="Y15" i="37"/>
  <c r="X10" i="37"/>
  <c r="Z10" i="37" s="1"/>
  <c r="N4" i="33"/>
  <c r="C9" i="34"/>
  <c r="C33" i="32"/>
  <c r="C29" i="32"/>
  <c r="C25" i="32"/>
  <c r="C27" i="32"/>
  <c r="C17" i="32"/>
  <c r="C16" i="32"/>
  <c r="C15" i="32"/>
  <c r="C19" i="32"/>
  <c r="BB7" i="15"/>
  <c r="AY8" i="15"/>
  <c r="M19" i="17"/>
  <c r="H19" i="17"/>
  <c r="K15" i="55"/>
  <c r="G15" i="55"/>
  <c r="C13" i="11"/>
  <c r="H12" i="38"/>
  <c r="H11" i="38"/>
  <c r="H10" i="38"/>
  <c r="J10" i="38"/>
  <c r="B11" i="9"/>
  <c r="B12" i="9"/>
  <c r="J4" i="9"/>
  <c r="J9" i="9" s="1"/>
  <c r="C16" i="39"/>
  <c r="C6" i="39"/>
  <c r="C9" i="39" s="1"/>
  <c r="E13" i="36"/>
  <c r="E17" i="36" s="1"/>
  <c r="R9" i="1"/>
  <c r="L9" i="1"/>
  <c r="G10" i="1"/>
  <c r="Q8" i="51"/>
  <c r="Q9" i="51"/>
  <c r="Q28" i="51" s="1"/>
  <c r="Q30" i="51" s="1"/>
  <c r="Q10" i="51"/>
  <c r="Q11" i="51"/>
  <c r="Q12" i="51"/>
  <c r="Q13" i="51"/>
  <c r="Q14" i="51"/>
  <c r="Q15" i="51"/>
  <c r="Q16" i="51"/>
  <c r="Q17" i="51"/>
  <c r="Q18" i="51"/>
  <c r="Q19" i="51"/>
  <c r="Q20" i="51"/>
  <c r="Q21" i="51"/>
  <c r="Q22" i="51"/>
  <c r="Q23" i="51"/>
  <c r="Q24" i="51"/>
  <c r="Q25" i="51"/>
  <c r="Q7" i="51"/>
  <c r="P6" i="51"/>
  <c r="P28" i="51" s="1"/>
  <c r="D7" i="15"/>
  <c r="I8" i="15"/>
  <c r="C10" i="14"/>
  <c r="C11" i="14"/>
  <c r="C9" i="14"/>
  <c r="C13" i="14" s="1"/>
  <c r="C8" i="14"/>
  <c r="C7" i="14"/>
  <c r="C16" i="49"/>
  <c r="J9" i="44"/>
  <c r="K11" i="40"/>
  <c r="E12" i="37"/>
  <c r="E14" i="37"/>
  <c r="E16" i="37"/>
  <c r="E17" i="37"/>
  <c r="E19" i="37" s="1"/>
  <c r="E11" i="36"/>
  <c r="I33" i="24"/>
  <c r="I11" i="9"/>
  <c r="I10" i="9"/>
  <c r="C9" i="21"/>
  <c r="S7" i="2"/>
  <c r="K8" i="2"/>
  <c r="F8" i="2"/>
  <c r="S4" i="2"/>
  <c r="L4" i="2"/>
  <c r="G4" i="2"/>
  <c r="H6" i="1"/>
  <c r="G9" i="1" s="1"/>
  <c r="B11" i="7"/>
  <c r="B12" i="7" s="1"/>
  <c r="N12" i="7"/>
  <c r="N11" i="7"/>
  <c r="J9" i="17"/>
  <c r="BB8" i="15"/>
  <c r="AL4" i="15"/>
  <c r="AD4" i="15"/>
  <c r="V4" i="15"/>
  <c r="N4" i="15"/>
  <c r="E8" i="15"/>
  <c r="E7" i="15"/>
  <c r="E37" i="15"/>
  <c r="O4" i="15"/>
  <c r="AZ8" i="15"/>
  <c r="AZ7" i="15"/>
  <c r="AW9" i="15"/>
  <c r="AW10" i="15"/>
  <c r="AV9" i="15"/>
  <c r="AZ9" i="15" s="1"/>
  <c r="AV10" i="15"/>
  <c r="AU9" i="15"/>
  <c r="AU10" i="15"/>
  <c r="V8" i="15"/>
  <c r="AL8" i="15"/>
  <c r="V7" i="15"/>
  <c r="N8" i="15"/>
  <c r="AL7" i="15"/>
  <c r="N7" i="15"/>
  <c r="AW11" i="15"/>
  <c r="AG4" i="44"/>
  <c r="K8" i="41"/>
  <c r="K10" i="40"/>
  <c r="E7" i="72"/>
  <c r="E8" i="72" s="1"/>
  <c r="E9" i="72" s="1"/>
  <c r="E11" i="19"/>
  <c r="E6" i="19"/>
  <c r="E4" i="19"/>
  <c r="E8" i="19" s="1"/>
  <c r="E6" i="72"/>
  <c r="E4" i="72"/>
  <c r="C12" i="72"/>
  <c r="C11" i="19"/>
  <c r="D11" i="19" s="1"/>
  <c r="K6" i="33"/>
  <c r="G7" i="31"/>
  <c r="C9" i="26"/>
  <c r="N13" i="26"/>
  <c r="E18" i="26"/>
  <c r="C18" i="26"/>
  <c r="C17" i="26"/>
  <c r="N18" i="25"/>
  <c r="J18" i="10"/>
  <c r="J14" i="10"/>
  <c r="E4" i="71"/>
  <c r="D7" i="71"/>
  <c r="J7" i="71" s="1"/>
  <c r="M7" i="71"/>
  <c r="L7" i="71"/>
  <c r="L18" i="2"/>
  <c r="R10" i="7"/>
  <c r="L8" i="2"/>
  <c r="C13" i="1"/>
  <c r="T6" i="44"/>
  <c r="T4" i="44"/>
  <c r="O12" i="17"/>
  <c r="V10" i="49"/>
  <c r="U11" i="49"/>
  <c r="U12" i="49"/>
  <c r="U13" i="49"/>
  <c r="U14" i="49"/>
  <c r="U15" i="49"/>
  <c r="U16" i="49"/>
  <c r="C12" i="30"/>
  <c r="C13" i="30"/>
  <c r="C15" i="30" s="1"/>
  <c r="D13" i="49"/>
  <c r="M16" i="49"/>
  <c r="J11" i="49"/>
  <c r="E11" i="49"/>
  <c r="C21" i="34"/>
  <c r="X7" i="30"/>
  <c r="AB7" i="30"/>
  <c r="S7" i="30"/>
  <c r="V9" i="1"/>
  <c r="G21" i="35"/>
  <c r="G18" i="35"/>
  <c r="G27" i="35" s="1"/>
  <c r="U19" i="35"/>
  <c r="V18" i="35"/>
  <c r="H18" i="35"/>
  <c r="H26" i="35" s="1"/>
  <c r="Y18" i="35"/>
  <c r="M18" i="35"/>
  <c r="F18" i="35"/>
  <c r="S18" i="35"/>
  <c r="E18" i="35"/>
  <c r="R19" i="35"/>
  <c r="E11" i="35"/>
  <c r="F11" i="35"/>
  <c r="D19" i="35"/>
  <c r="V19" i="35" s="1"/>
  <c r="M19" i="35"/>
  <c r="X19" i="35"/>
  <c r="Y19" i="35" s="1"/>
  <c r="P18" i="35"/>
  <c r="O19" i="35"/>
  <c r="P19" i="35"/>
  <c r="L18" i="35"/>
  <c r="U20" i="35"/>
  <c r="K18" i="35"/>
  <c r="S19" i="35"/>
  <c r="R20" i="35"/>
  <c r="D20" i="35"/>
  <c r="D21" i="35" s="1"/>
  <c r="X20" i="35"/>
  <c r="X21" i="35" s="1"/>
  <c r="O20" i="35"/>
  <c r="O21" i="35"/>
  <c r="P20" i="35"/>
  <c r="C19" i="30"/>
  <c r="C20" i="30"/>
  <c r="O22" i="35"/>
  <c r="P21" i="35"/>
  <c r="I20" i="30"/>
  <c r="I21" i="30" s="1"/>
  <c r="L8" i="30"/>
  <c r="M17" i="30"/>
  <c r="M18" i="30"/>
  <c r="M19" i="30"/>
  <c r="M20" i="30"/>
  <c r="M21" i="30"/>
  <c r="M8" i="30"/>
  <c r="M9" i="30"/>
  <c r="M10" i="30"/>
  <c r="M11" i="30"/>
  <c r="M12" i="30"/>
  <c r="M13" i="30"/>
  <c r="M14" i="30"/>
  <c r="M15" i="30"/>
  <c r="M16" i="30"/>
  <c r="M7" i="30"/>
  <c r="O7" i="30" s="1"/>
  <c r="K12" i="30"/>
  <c r="K13" i="30"/>
  <c r="N7" i="30"/>
  <c r="C16" i="6"/>
  <c r="C13" i="6"/>
  <c r="C14" i="6" s="1"/>
  <c r="C11" i="6"/>
  <c r="C10" i="6"/>
  <c r="J10" i="62"/>
  <c r="J11" i="62" s="1"/>
  <c r="J12" i="62" s="1"/>
  <c r="J4" i="62"/>
  <c r="J5" i="62" s="1"/>
  <c r="J6" i="62" s="1"/>
  <c r="J7" i="62" s="1"/>
  <c r="J8" i="62" s="1"/>
  <c r="J9" i="62" s="1"/>
  <c r="K44" i="52"/>
  <c r="M18" i="17"/>
  <c r="H18" i="17"/>
  <c r="O16" i="17"/>
  <c r="J16" i="17"/>
  <c r="O15" i="17"/>
  <c r="J15" i="17"/>
  <c r="O14" i="17"/>
  <c r="J14" i="17"/>
  <c r="O13" i="17"/>
  <c r="J13" i="17"/>
  <c r="J12" i="17"/>
  <c r="O11" i="17"/>
  <c r="J11" i="17"/>
  <c r="O10" i="17"/>
  <c r="J10" i="17"/>
  <c r="O9" i="17"/>
  <c r="O8" i="17"/>
  <c r="N8" i="17"/>
  <c r="N9" i="17" s="1"/>
  <c r="N10" i="17" s="1"/>
  <c r="N11" i="17" s="1"/>
  <c r="N12" i="17" s="1"/>
  <c r="N13" i="17" s="1"/>
  <c r="N14" i="17" s="1"/>
  <c r="N15" i="17" s="1"/>
  <c r="N16" i="17" s="1"/>
  <c r="J8" i="17"/>
  <c r="I8" i="17"/>
  <c r="I9" i="17"/>
  <c r="I10" i="17" s="1"/>
  <c r="I11" i="17" s="1"/>
  <c r="I12" i="17"/>
  <c r="I13" i="17" s="1"/>
  <c r="I14" i="17" s="1"/>
  <c r="I15" i="17" s="1"/>
  <c r="I16" i="17"/>
  <c r="L19" i="55"/>
  <c r="L15" i="55"/>
  <c r="H15" i="55"/>
  <c r="L14" i="55"/>
  <c r="H14" i="55"/>
  <c r="L13" i="55"/>
  <c r="H13" i="55"/>
  <c r="L12" i="55"/>
  <c r="H12" i="55"/>
  <c r="L11" i="55"/>
  <c r="H11" i="55"/>
  <c r="L10" i="55"/>
  <c r="H10" i="55"/>
  <c r="L9" i="55"/>
  <c r="H9" i="55"/>
  <c r="H17" i="55" s="1"/>
  <c r="D9" i="55"/>
  <c r="C9" i="55"/>
  <c r="AA13" i="11"/>
  <c r="O13" i="11"/>
  <c r="L13" i="11"/>
  <c r="I13" i="11"/>
  <c r="F13" i="11"/>
  <c r="AA12" i="11"/>
  <c r="AA11" i="11"/>
  <c r="AA8" i="11"/>
  <c r="X8" i="11"/>
  <c r="W8" i="11"/>
  <c r="U8" i="11"/>
  <c r="T8" i="11"/>
  <c r="Q8" i="11"/>
  <c r="R8" i="11" s="1"/>
  <c r="R12" i="11" s="1"/>
  <c r="O8" i="11"/>
  <c r="L8" i="11"/>
  <c r="L12" i="11" s="1"/>
  <c r="I8" i="11"/>
  <c r="F8" i="11"/>
  <c r="C8" i="11"/>
  <c r="C11" i="11" s="1"/>
  <c r="AA7" i="11"/>
  <c r="W7" i="11"/>
  <c r="X13" i="11" s="1"/>
  <c r="T7" i="11"/>
  <c r="U13" i="11" s="1"/>
  <c r="R7" i="11"/>
  <c r="Q7" i="11"/>
  <c r="O7" i="11"/>
  <c r="O11" i="11" s="1"/>
  <c r="L7" i="11"/>
  <c r="L11" i="11" s="1"/>
  <c r="I7" i="11"/>
  <c r="I11" i="11" s="1"/>
  <c r="O15" i="11" s="1"/>
  <c r="F7" i="11"/>
  <c r="C7" i="11"/>
  <c r="AG51" i="54"/>
  <c r="AF51" i="54"/>
  <c r="AE51" i="54"/>
  <c r="X51" i="54"/>
  <c r="W51" i="54"/>
  <c r="Y51" i="54" s="1"/>
  <c r="Q51" i="54"/>
  <c r="P51" i="54"/>
  <c r="O51" i="54"/>
  <c r="H51" i="54"/>
  <c r="G51" i="54"/>
  <c r="I51" i="54" s="1"/>
  <c r="AF50" i="54"/>
  <c r="AE50" i="54"/>
  <c r="AG50" i="54"/>
  <c r="X50" i="54"/>
  <c r="W50" i="54"/>
  <c r="Y50" i="54" s="1"/>
  <c r="P50" i="54"/>
  <c r="O50" i="54"/>
  <c r="Q50" i="54" s="1"/>
  <c r="H50" i="54"/>
  <c r="G50" i="54"/>
  <c r="I50" i="54"/>
  <c r="AF49" i="54"/>
  <c r="AE49" i="54"/>
  <c r="AG49" i="54" s="1"/>
  <c r="X49" i="54"/>
  <c r="W49" i="54"/>
  <c r="Y49" i="54" s="1"/>
  <c r="P49" i="54"/>
  <c r="O49" i="54"/>
  <c r="Q49" i="54"/>
  <c r="H49" i="54"/>
  <c r="G49" i="54"/>
  <c r="I49" i="54"/>
  <c r="AF48" i="54"/>
  <c r="AE48" i="54"/>
  <c r="AG48" i="54"/>
  <c r="X48" i="54"/>
  <c r="W48" i="54"/>
  <c r="Y48" i="54"/>
  <c r="P48" i="54"/>
  <c r="O48" i="54"/>
  <c r="Q48" i="54" s="1"/>
  <c r="H48" i="54"/>
  <c r="G48" i="54"/>
  <c r="I48" i="54"/>
  <c r="AF47" i="54"/>
  <c r="AE47" i="54"/>
  <c r="AG47" i="54" s="1"/>
  <c r="X47" i="54"/>
  <c r="W47" i="54"/>
  <c r="Y47" i="54"/>
  <c r="P47" i="54"/>
  <c r="O47" i="54"/>
  <c r="Q47" i="54"/>
  <c r="H47" i="54"/>
  <c r="G47" i="54"/>
  <c r="I47" i="54"/>
  <c r="AF46" i="54"/>
  <c r="AE46" i="54"/>
  <c r="AG46" i="54" s="1"/>
  <c r="X46" i="54"/>
  <c r="W46" i="54"/>
  <c r="Y46" i="54" s="1"/>
  <c r="P46" i="54"/>
  <c r="O46" i="54"/>
  <c r="Q46" i="54" s="1"/>
  <c r="H46" i="54"/>
  <c r="G46" i="54"/>
  <c r="I46" i="54" s="1"/>
  <c r="AF45" i="54"/>
  <c r="AE45" i="54"/>
  <c r="AG45" i="54" s="1"/>
  <c r="X45" i="54"/>
  <c r="W45" i="54"/>
  <c r="Y45" i="54"/>
  <c r="P45" i="54"/>
  <c r="O45" i="54"/>
  <c r="Q45" i="54" s="1"/>
  <c r="H45" i="54"/>
  <c r="G45" i="54"/>
  <c r="I45" i="54"/>
  <c r="AF44" i="54"/>
  <c r="AE44" i="54"/>
  <c r="AG44" i="54" s="1"/>
  <c r="X44" i="54"/>
  <c r="W44" i="54"/>
  <c r="Y44" i="54" s="1"/>
  <c r="P44" i="54"/>
  <c r="O44" i="54"/>
  <c r="Q44" i="54" s="1"/>
  <c r="H44" i="54"/>
  <c r="G44" i="54"/>
  <c r="I44" i="54"/>
  <c r="AF43" i="54"/>
  <c r="AE43" i="54"/>
  <c r="AG43" i="54" s="1"/>
  <c r="X43" i="54"/>
  <c r="W43" i="54"/>
  <c r="Y43" i="54"/>
  <c r="P43" i="54"/>
  <c r="O43" i="54"/>
  <c r="Q43" i="54"/>
  <c r="H43" i="54"/>
  <c r="G43" i="54"/>
  <c r="I43" i="54"/>
  <c r="AF42" i="54"/>
  <c r="AE42" i="54"/>
  <c r="AG42" i="54" s="1"/>
  <c r="AG53" i="54" s="1"/>
  <c r="X42" i="54"/>
  <c r="W42" i="54"/>
  <c r="Y42" i="54" s="1"/>
  <c r="P42" i="54"/>
  <c r="O42" i="54"/>
  <c r="Q42" i="54" s="1"/>
  <c r="H42" i="54"/>
  <c r="G42" i="54"/>
  <c r="I42" i="54"/>
  <c r="AF41" i="54"/>
  <c r="AE41" i="54"/>
  <c r="AG41" i="54" s="1"/>
  <c r="X41" i="54"/>
  <c r="W41" i="54"/>
  <c r="Y41" i="54" s="1"/>
  <c r="P41" i="54"/>
  <c r="O41" i="54"/>
  <c r="Q41" i="54"/>
  <c r="H41" i="54"/>
  <c r="G41" i="54"/>
  <c r="I41" i="54"/>
  <c r="AF40" i="54"/>
  <c r="AE40" i="54"/>
  <c r="AG40" i="54"/>
  <c r="X40" i="54"/>
  <c r="W40" i="54"/>
  <c r="Y40" i="54"/>
  <c r="P40" i="54"/>
  <c r="O40" i="54"/>
  <c r="Q40" i="54" s="1"/>
  <c r="H40" i="54"/>
  <c r="G40" i="54"/>
  <c r="I40" i="54"/>
  <c r="AF39" i="54"/>
  <c r="AE39" i="54"/>
  <c r="AG39" i="54" s="1"/>
  <c r="X39" i="54"/>
  <c r="W39" i="54"/>
  <c r="Y39" i="54"/>
  <c r="P39" i="54"/>
  <c r="O39" i="54"/>
  <c r="Q39" i="54"/>
  <c r="H39" i="54"/>
  <c r="G39" i="54"/>
  <c r="I39" i="54"/>
  <c r="AF38" i="54"/>
  <c r="AE38" i="54"/>
  <c r="AG38" i="54" s="1"/>
  <c r="X38" i="54"/>
  <c r="W38" i="54"/>
  <c r="Y38" i="54"/>
  <c r="P38" i="54"/>
  <c r="O38" i="54"/>
  <c r="Q38" i="54" s="1"/>
  <c r="H38" i="54"/>
  <c r="G38" i="54"/>
  <c r="I38" i="54" s="1"/>
  <c r="AF37" i="54"/>
  <c r="AE37" i="54"/>
  <c r="AG37" i="54" s="1"/>
  <c r="X37" i="54"/>
  <c r="W37" i="54"/>
  <c r="Y37" i="54"/>
  <c r="P37" i="54"/>
  <c r="O37" i="54"/>
  <c r="Q37" i="54" s="1"/>
  <c r="H37" i="54"/>
  <c r="G37" i="54"/>
  <c r="I37" i="54"/>
  <c r="AF36" i="54"/>
  <c r="AE36" i="54"/>
  <c r="AG36" i="54"/>
  <c r="X36" i="54"/>
  <c r="W36" i="54"/>
  <c r="Y36" i="54" s="1"/>
  <c r="P36" i="54"/>
  <c r="O36" i="54"/>
  <c r="Q36" i="54" s="1"/>
  <c r="H36" i="54"/>
  <c r="G36" i="54"/>
  <c r="I36" i="54"/>
  <c r="AF35" i="54"/>
  <c r="AE35" i="54"/>
  <c r="AG35" i="54" s="1"/>
  <c r="X35" i="54"/>
  <c r="W35" i="54"/>
  <c r="Y35" i="54" s="1"/>
  <c r="P35" i="54"/>
  <c r="O35" i="54"/>
  <c r="Q35" i="54" s="1"/>
  <c r="H35" i="54"/>
  <c r="G35" i="54"/>
  <c r="I35" i="54"/>
  <c r="AF34" i="54"/>
  <c r="AE34" i="54"/>
  <c r="AG34" i="54"/>
  <c r="X34" i="54"/>
  <c r="W34" i="54"/>
  <c r="Y34" i="54"/>
  <c r="P34" i="54"/>
  <c r="O34" i="54"/>
  <c r="Q34" i="54" s="1"/>
  <c r="H34" i="54"/>
  <c r="G34" i="54"/>
  <c r="I34" i="54"/>
  <c r="AF33" i="54"/>
  <c r="AE33" i="54"/>
  <c r="AG33" i="54" s="1"/>
  <c r="X33" i="54"/>
  <c r="W33" i="54"/>
  <c r="Y33" i="54" s="1"/>
  <c r="P33" i="54"/>
  <c r="O33" i="54"/>
  <c r="Q33" i="54" s="1"/>
  <c r="H33" i="54"/>
  <c r="G33" i="54"/>
  <c r="I33" i="54"/>
  <c r="AF32" i="54"/>
  <c r="AE32" i="54"/>
  <c r="AG32" i="54"/>
  <c r="X32" i="54"/>
  <c r="W32" i="54"/>
  <c r="Y32" i="54"/>
  <c r="P32" i="54"/>
  <c r="O32" i="54"/>
  <c r="Q32" i="54" s="1"/>
  <c r="H32" i="54"/>
  <c r="G32" i="54"/>
  <c r="I32" i="54"/>
  <c r="AF31" i="54"/>
  <c r="AE31" i="54"/>
  <c r="AG31" i="54" s="1"/>
  <c r="X31" i="54"/>
  <c r="W31" i="54"/>
  <c r="Y31" i="54"/>
  <c r="P31" i="54"/>
  <c r="O31" i="54"/>
  <c r="Q31" i="54"/>
  <c r="H31" i="54"/>
  <c r="G31" i="54"/>
  <c r="I31" i="54"/>
  <c r="AF30" i="54"/>
  <c r="AE30" i="54"/>
  <c r="AG30" i="54" s="1"/>
  <c r="X30" i="54"/>
  <c r="W30" i="54"/>
  <c r="Y30" i="54"/>
  <c r="P30" i="54"/>
  <c r="O30" i="54"/>
  <c r="Q30" i="54" s="1"/>
  <c r="I30" i="54"/>
  <c r="H30" i="54"/>
  <c r="G30" i="54"/>
  <c r="AF29" i="54"/>
  <c r="AE29" i="54"/>
  <c r="AG29" i="54" s="1"/>
  <c r="X29" i="54"/>
  <c r="W29" i="54"/>
  <c r="Y29" i="54"/>
  <c r="P29" i="54"/>
  <c r="O29" i="54"/>
  <c r="Q29" i="54" s="1"/>
  <c r="H29" i="54"/>
  <c r="G29" i="54"/>
  <c r="I29" i="54"/>
  <c r="AF28" i="54"/>
  <c r="AE28" i="54"/>
  <c r="AG28" i="54"/>
  <c r="X28" i="54"/>
  <c r="W28" i="54"/>
  <c r="Y28" i="54" s="1"/>
  <c r="P28" i="54"/>
  <c r="O28" i="54"/>
  <c r="Q28" i="54" s="1"/>
  <c r="I28" i="54"/>
  <c r="H28" i="54"/>
  <c r="G28" i="54"/>
  <c r="AF27" i="54"/>
  <c r="AE27" i="54"/>
  <c r="AG27" i="54" s="1"/>
  <c r="X27" i="54"/>
  <c r="W27" i="54"/>
  <c r="Y27" i="54" s="1"/>
  <c r="P27" i="54"/>
  <c r="O27" i="54"/>
  <c r="Q27" i="54"/>
  <c r="H27" i="54"/>
  <c r="G27" i="54"/>
  <c r="I27" i="54"/>
  <c r="AF26" i="54"/>
  <c r="AE26" i="54"/>
  <c r="AG26" i="54"/>
  <c r="X26" i="54"/>
  <c r="W26" i="54"/>
  <c r="Y26" i="54"/>
  <c r="P26" i="54"/>
  <c r="O26" i="54"/>
  <c r="Q26" i="54" s="1"/>
  <c r="I26" i="54"/>
  <c r="H26" i="54"/>
  <c r="G26" i="54"/>
  <c r="AF25" i="54"/>
  <c r="AE25" i="54"/>
  <c r="AG25" i="54" s="1"/>
  <c r="X25" i="54"/>
  <c r="W25" i="54"/>
  <c r="Y25" i="54" s="1"/>
  <c r="P25" i="54"/>
  <c r="O25" i="54"/>
  <c r="Q25" i="54" s="1"/>
  <c r="H25" i="54"/>
  <c r="G25" i="54"/>
  <c r="I25" i="54"/>
  <c r="AF24" i="54"/>
  <c r="AE24" i="54"/>
  <c r="AG24" i="54"/>
  <c r="X24" i="54"/>
  <c r="W24" i="54"/>
  <c r="Y24" i="54"/>
  <c r="P24" i="54"/>
  <c r="O24" i="54"/>
  <c r="Q24" i="54" s="1"/>
  <c r="I24" i="54"/>
  <c r="H24" i="54"/>
  <c r="G24" i="54"/>
  <c r="AF23" i="54"/>
  <c r="AE23" i="54"/>
  <c r="AG23" i="54" s="1"/>
  <c r="X23" i="54"/>
  <c r="W23" i="54"/>
  <c r="Y23" i="54"/>
  <c r="P23" i="54"/>
  <c r="O23" i="54"/>
  <c r="Q23" i="54"/>
  <c r="H23" i="54"/>
  <c r="G23" i="54"/>
  <c r="I23" i="54"/>
  <c r="AF22" i="54"/>
  <c r="AE22" i="54"/>
  <c r="AG22" i="54"/>
  <c r="X22" i="54"/>
  <c r="W22" i="54"/>
  <c r="Y22" i="54"/>
  <c r="P22" i="54"/>
  <c r="O22" i="54"/>
  <c r="Q22" i="54" s="1"/>
  <c r="H22" i="54"/>
  <c r="G22" i="54"/>
  <c r="I22" i="54" s="1"/>
  <c r="AF21" i="54"/>
  <c r="AE21" i="54"/>
  <c r="AG21" i="54" s="1"/>
  <c r="X21" i="54"/>
  <c r="W21" i="54"/>
  <c r="Y21" i="54"/>
  <c r="P21" i="54"/>
  <c r="O21" i="54"/>
  <c r="Q21" i="54"/>
  <c r="H21" i="54"/>
  <c r="G21" i="54"/>
  <c r="I21" i="54"/>
  <c r="AF20" i="54"/>
  <c r="AE20" i="54"/>
  <c r="AG20" i="54" s="1"/>
  <c r="X20" i="54"/>
  <c r="W20" i="54"/>
  <c r="Y20" i="54" s="1"/>
  <c r="P20" i="54"/>
  <c r="O20" i="54"/>
  <c r="Q20" i="54" s="1"/>
  <c r="I20" i="54"/>
  <c r="H20" i="54"/>
  <c r="G20" i="54"/>
  <c r="AF19" i="54"/>
  <c r="AE19" i="54"/>
  <c r="AG19" i="54" s="1"/>
  <c r="X19" i="54"/>
  <c r="W19" i="54"/>
  <c r="Y19" i="54"/>
  <c r="P19" i="54"/>
  <c r="O19" i="54"/>
  <c r="Q19" i="54"/>
  <c r="H19" i="54"/>
  <c r="G19" i="54"/>
  <c r="I19" i="54"/>
  <c r="AF18" i="54"/>
  <c r="AE18" i="54"/>
  <c r="AG18" i="54" s="1"/>
  <c r="X18" i="54"/>
  <c r="W18" i="54"/>
  <c r="Y18" i="54" s="1"/>
  <c r="P18" i="54"/>
  <c r="O18" i="54"/>
  <c r="Q18" i="54" s="1"/>
  <c r="H18" i="54"/>
  <c r="G18" i="54"/>
  <c r="I18" i="54" s="1"/>
  <c r="AF17" i="54"/>
  <c r="AE17" i="54"/>
  <c r="AG17" i="54" s="1"/>
  <c r="X17" i="54"/>
  <c r="W17" i="54"/>
  <c r="Y17" i="54" s="1"/>
  <c r="P17" i="54"/>
  <c r="O17" i="54"/>
  <c r="Q17" i="54"/>
  <c r="H17" i="54"/>
  <c r="G17" i="54"/>
  <c r="I17" i="54"/>
  <c r="AF16" i="54"/>
  <c r="AE16" i="54"/>
  <c r="AG16" i="54"/>
  <c r="X16" i="54"/>
  <c r="W16" i="54"/>
  <c r="Y16" i="54"/>
  <c r="P16" i="54"/>
  <c r="O16" i="54"/>
  <c r="Q16" i="54" s="1"/>
  <c r="H16" i="54"/>
  <c r="G16" i="54"/>
  <c r="I16" i="54" s="1"/>
  <c r="AF15" i="54"/>
  <c r="AE15" i="54"/>
  <c r="AG15" i="54" s="1"/>
  <c r="X15" i="54"/>
  <c r="W15" i="54"/>
  <c r="Y15" i="54"/>
  <c r="P15" i="54"/>
  <c r="O15" i="54"/>
  <c r="Q15" i="54"/>
  <c r="H15" i="54"/>
  <c r="G15" i="54"/>
  <c r="I15" i="54"/>
  <c r="AF14" i="54"/>
  <c r="AE14" i="54"/>
  <c r="AG14" i="54" s="1"/>
  <c r="X14" i="54"/>
  <c r="W14" i="54"/>
  <c r="Y14" i="54" s="1"/>
  <c r="P14" i="54"/>
  <c r="O14" i="54"/>
  <c r="Q14" i="54" s="1"/>
  <c r="H14" i="54"/>
  <c r="G14" i="54"/>
  <c r="I14" i="54" s="1"/>
  <c r="AF13" i="54"/>
  <c r="AE13" i="54"/>
  <c r="AG13" i="54" s="1"/>
  <c r="X13" i="54"/>
  <c r="W13" i="54"/>
  <c r="Y13" i="54"/>
  <c r="P13" i="54"/>
  <c r="O13" i="54"/>
  <c r="Q13" i="54" s="1"/>
  <c r="H13" i="54"/>
  <c r="G13" i="54"/>
  <c r="I13" i="54"/>
  <c r="AF12" i="54"/>
  <c r="AE12" i="54"/>
  <c r="AG12" i="54" s="1"/>
  <c r="X12" i="54"/>
  <c r="W12" i="54"/>
  <c r="Y12" i="54" s="1"/>
  <c r="P12" i="54"/>
  <c r="O12" i="54"/>
  <c r="Q12" i="54" s="1"/>
  <c r="I12" i="54"/>
  <c r="H12" i="54"/>
  <c r="G12" i="54"/>
  <c r="AF11" i="54"/>
  <c r="AE11" i="54"/>
  <c r="AG11" i="54" s="1"/>
  <c r="X11" i="54"/>
  <c r="W11" i="54"/>
  <c r="Y11" i="54"/>
  <c r="P11" i="54"/>
  <c r="O11" i="54"/>
  <c r="Q11" i="54" s="1"/>
  <c r="H11" i="54"/>
  <c r="G11" i="54"/>
  <c r="I11" i="54"/>
  <c r="AF10" i="54"/>
  <c r="AF53" i="54"/>
  <c r="AE10" i="54"/>
  <c r="AG10" i="54"/>
  <c r="X10" i="54"/>
  <c r="W10" i="54"/>
  <c r="Y10" i="54" s="1"/>
  <c r="P10" i="54"/>
  <c r="O10" i="54"/>
  <c r="Q10" i="54" s="1"/>
  <c r="H10" i="54"/>
  <c r="G10" i="54"/>
  <c r="I10" i="54" s="1"/>
  <c r="AF9" i="54"/>
  <c r="AE9" i="54"/>
  <c r="AG9" i="54" s="1"/>
  <c r="X9" i="54"/>
  <c r="W9" i="54"/>
  <c r="Y9" i="54" s="1"/>
  <c r="Q9" i="54"/>
  <c r="P9" i="54"/>
  <c r="O9" i="54"/>
  <c r="I9" i="54"/>
  <c r="G9" i="54"/>
  <c r="AF8" i="54"/>
  <c r="AE8" i="54"/>
  <c r="AG8" i="54" s="1"/>
  <c r="Y8" i="54"/>
  <c r="X8" i="54"/>
  <c r="W8" i="54"/>
  <c r="Q8" i="54"/>
  <c r="Q53" i="54" s="1"/>
  <c r="P8" i="54"/>
  <c r="P53" i="54" s="1"/>
  <c r="O8" i="54"/>
  <c r="H8" i="54"/>
  <c r="G8" i="54"/>
  <c r="I8" i="54" s="1"/>
  <c r="AF7" i="54"/>
  <c r="AE7" i="54"/>
  <c r="AG7" i="54" s="1"/>
  <c r="Y7" i="54"/>
  <c r="X7" i="54"/>
  <c r="W7" i="54"/>
  <c r="Q7" i="54"/>
  <c r="P7" i="54"/>
  <c r="O7" i="54"/>
  <c r="AO6" i="54"/>
  <c r="AN6" i="54"/>
  <c r="AM6" i="54"/>
  <c r="AF6" i="54"/>
  <c r="AE6" i="54"/>
  <c r="X6" i="54"/>
  <c r="W6" i="54"/>
  <c r="P6" i="54"/>
  <c r="O6" i="54"/>
  <c r="H6" i="54"/>
  <c r="G6" i="54"/>
  <c r="AO5" i="54"/>
  <c r="AN5" i="54"/>
  <c r="AM5" i="54"/>
  <c r="AO4" i="54"/>
  <c r="AN4" i="54"/>
  <c r="AM4" i="54"/>
  <c r="AO3" i="54"/>
  <c r="AN3" i="54"/>
  <c r="AM3" i="54"/>
  <c r="C24" i="53"/>
  <c r="M16" i="53"/>
  <c r="L16" i="53"/>
  <c r="M15" i="53"/>
  <c r="L15" i="53"/>
  <c r="M14" i="53"/>
  <c r="L14" i="53"/>
  <c r="C14" i="53"/>
  <c r="C18" i="53" s="1"/>
  <c r="C20" i="53" s="1"/>
  <c r="M13" i="53"/>
  <c r="L13" i="53"/>
  <c r="M12" i="53"/>
  <c r="L12" i="53"/>
  <c r="M11" i="53"/>
  <c r="L11" i="53"/>
  <c r="M10" i="53"/>
  <c r="L10" i="53"/>
  <c r="M9" i="53"/>
  <c r="L9" i="53"/>
  <c r="M8" i="53"/>
  <c r="L8" i="53"/>
  <c r="M7" i="53"/>
  <c r="L7" i="53"/>
  <c r="M6" i="53"/>
  <c r="L6" i="53"/>
  <c r="N26" i="51"/>
  <c r="M26" i="51"/>
  <c r="K26" i="51"/>
  <c r="Q26" i="51" s="1"/>
  <c r="N25" i="51"/>
  <c r="M25" i="51"/>
  <c r="N24" i="51"/>
  <c r="M24" i="51"/>
  <c r="N23" i="51"/>
  <c r="M23" i="51"/>
  <c r="N22" i="51"/>
  <c r="M22" i="51"/>
  <c r="N21" i="51"/>
  <c r="M21" i="51"/>
  <c r="N20" i="51"/>
  <c r="M20" i="51"/>
  <c r="N19" i="51"/>
  <c r="M19" i="51"/>
  <c r="N18" i="51"/>
  <c r="M18" i="51"/>
  <c r="N17" i="51"/>
  <c r="M17" i="51"/>
  <c r="N16" i="51"/>
  <c r="M16" i="51"/>
  <c r="N15" i="51"/>
  <c r="M15" i="51"/>
  <c r="N14" i="51"/>
  <c r="M14" i="51"/>
  <c r="N13" i="51"/>
  <c r="M13" i="51"/>
  <c r="N12" i="51"/>
  <c r="M12" i="51"/>
  <c r="N11" i="51"/>
  <c r="M11" i="51"/>
  <c r="N10" i="51"/>
  <c r="M10" i="51"/>
  <c r="C10" i="51"/>
  <c r="N9" i="51"/>
  <c r="M9" i="51"/>
  <c r="N8" i="51"/>
  <c r="M8" i="51"/>
  <c r="N7" i="51"/>
  <c r="M7" i="51"/>
  <c r="C7" i="51"/>
  <c r="C12" i="51" s="1"/>
  <c r="C16" i="51" s="1"/>
  <c r="N6" i="51"/>
  <c r="M6" i="51"/>
  <c r="E9" i="16"/>
  <c r="D9" i="16"/>
  <c r="C9" i="16"/>
  <c r="B9" i="16"/>
  <c r="G8" i="16"/>
  <c r="F8" i="16"/>
  <c r="E8" i="16"/>
  <c r="D8" i="16"/>
  <c r="C8" i="16"/>
  <c r="C40" i="16" s="1"/>
  <c r="F7" i="16"/>
  <c r="E7" i="16"/>
  <c r="D7" i="16"/>
  <c r="C7" i="16"/>
  <c r="AJ9" i="15"/>
  <c r="AB9" i="15"/>
  <c r="AD9" i="15"/>
  <c r="T9" i="15"/>
  <c r="L9" i="15"/>
  <c r="P9" i="15" s="1"/>
  <c r="C9" i="15"/>
  <c r="AP8" i="15"/>
  <c r="AO8" i="15"/>
  <c r="AN8" i="15"/>
  <c r="AM8" i="15"/>
  <c r="AK8" i="15"/>
  <c r="AH8" i="15"/>
  <c r="AG8" i="15"/>
  <c r="AF8" i="15"/>
  <c r="AE8" i="15"/>
  <c r="AC8" i="15"/>
  <c r="Z8" i="15"/>
  <c r="Y8" i="15"/>
  <c r="X8" i="15"/>
  <c r="W8" i="15"/>
  <c r="U8" i="15"/>
  <c r="R8" i="15"/>
  <c r="Q8" i="15"/>
  <c r="P8" i="15"/>
  <c r="O8" i="15"/>
  <c r="M8" i="15"/>
  <c r="H8" i="15"/>
  <c r="G8" i="15"/>
  <c r="F8" i="15"/>
  <c r="D8" i="15"/>
  <c r="AK7" i="15"/>
  <c r="AC7" i="15"/>
  <c r="AE7" i="15"/>
  <c r="U7" i="15"/>
  <c r="M7" i="15"/>
  <c r="O7" i="15"/>
  <c r="P7" i="15"/>
  <c r="H20" i="50"/>
  <c r="G20" i="50"/>
  <c r="E20" i="50"/>
  <c r="G19" i="50"/>
  <c r="E19" i="50"/>
  <c r="D19" i="50"/>
  <c r="H18" i="50"/>
  <c r="G18" i="50"/>
  <c r="F18" i="50"/>
  <c r="E18" i="50"/>
  <c r="D18" i="50"/>
  <c r="V9" i="50"/>
  <c r="H21" i="50" s="1"/>
  <c r="U9" i="50"/>
  <c r="G21" i="50" s="1"/>
  <c r="T9" i="50"/>
  <c r="F21" i="50" s="1"/>
  <c r="S9" i="50"/>
  <c r="E21" i="50" s="1"/>
  <c r="R9" i="50"/>
  <c r="D21" i="50" s="1"/>
  <c r="O9" i="50"/>
  <c r="N9" i="50"/>
  <c r="M9" i="50"/>
  <c r="F20" i="50" s="1"/>
  <c r="L9" i="50"/>
  <c r="K9" i="50"/>
  <c r="D20" i="50" s="1"/>
  <c r="H9" i="50"/>
  <c r="H19" i="50" s="1"/>
  <c r="G9" i="50"/>
  <c r="F9" i="50"/>
  <c r="F19" i="50" s="1"/>
  <c r="E9" i="50"/>
  <c r="H22" i="49"/>
  <c r="C19" i="49"/>
  <c r="M18" i="49"/>
  <c r="Q18" i="49" s="1"/>
  <c r="C18" i="49"/>
  <c r="U18" i="49" s="1"/>
  <c r="M17" i="49"/>
  <c r="Q17" i="49" s="1"/>
  <c r="C17" i="49"/>
  <c r="U17" i="49" s="1"/>
  <c r="Q16" i="49"/>
  <c r="M15" i="49"/>
  <c r="Q15" i="49" s="1"/>
  <c r="Q14" i="49"/>
  <c r="M14" i="49"/>
  <c r="D14" i="49"/>
  <c r="E14" i="49"/>
  <c r="M13" i="49"/>
  <c r="Q13" i="49" s="1"/>
  <c r="Q12" i="49"/>
  <c r="N12" i="49"/>
  <c r="M12" i="49"/>
  <c r="I12" i="49"/>
  <c r="D12" i="49"/>
  <c r="M11" i="49"/>
  <c r="Q11" i="49" s="1"/>
  <c r="I11" i="49"/>
  <c r="F11" i="49"/>
  <c r="D11" i="49"/>
  <c r="V11" i="49" s="1"/>
  <c r="N10" i="49"/>
  <c r="R10" i="49" s="1"/>
  <c r="H10" i="49"/>
  <c r="C10" i="49"/>
  <c r="F10" i="47"/>
  <c r="C10" i="47"/>
  <c r="F7" i="47"/>
  <c r="C7" i="47"/>
  <c r="AE27" i="44"/>
  <c r="AC27" i="44"/>
  <c r="AD27" i="44" s="1"/>
  <c r="Q27" i="44"/>
  <c r="P27" i="44"/>
  <c r="L27" i="44"/>
  <c r="K27" i="44"/>
  <c r="D27" i="44"/>
  <c r="F27" i="44" s="1"/>
  <c r="AE26" i="44"/>
  <c r="AD26" i="44"/>
  <c r="Q26" i="44"/>
  <c r="L26" i="44"/>
  <c r="K26" i="44"/>
  <c r="F26" i="44"/>
  <c r="F29" i="44" s="1"/>
  <c r="E26" i="44"/>
  <c r="AE25" i="44"/>
  <c r="AD25" i="44"/>
  <c r="Q25" i="44"/>
  <c r="L25" i="44"/>
  <c r="K25" i="44"/>
  <c r="F25" i="44"/>
  <c r="E25" i="44"/>
  <c r="AE24" i="44"/>
  <c r="AD24" i="44"/>
  <c r="Q24" i="44"/>
  <c r="L24" i="44"/>
  <c r="K24" i="44"/>
  <c r="F24" i="44"/>
  <c r="E24" i="44"/>
  <c r="AE23" i="44"/>
  <c r="AD23" i="44"/>
  <c r="Q23" i="44"/>
  <c r="L23" i="44"/>
  <c r="K23" i="44"/>
  <c r="F23" i="44"/>
  <c r="E23" i="44"/>
  <c r="AE22" i="44"/>
  <c r="AD22" i="44"/>
  <c r="Q22" i="44"/>
  <c r="L22" i="44"/>
  <c r="K22" i="44"/>
  <c r="F22" i="44"/>
  <c r="E22" i="44"/>
  <c r="AE21" i="44"/>
  <c r="AD21" i="44"/>
  <c r="Q21" i="44"/>
  <c r="L21" i="44"/>
  <c r="K21" i="44"/>
  <c r="F21" i="44"/>
  <c r="E21" i="44"/>
  <c r="AE20" i="44"/>
  <c r="AD20" i="44"/>
  <c r="Q20" i="44"/>
  <c r="L20" i="44"/>
  <c r="K20" i="44"/>
  <c r="F20" i="44"/>
  <c r="E20" i="44"/>
  <c r="AE19" i="44"/>
  <c r="AD19" i="44"/>
  <c r="Q19" i="44"/>
  <c r="L19" i="44"/>
  <c r="K19" i="44"/>
  <c r="F19" i="44"/>
  <c r="E19" i="44"/>
  <c r="AE18" i="44"/>
  <c r="AD18" i="44"/>
  <c r="Q18" i="44"/>
  <c r="L18" i="44"/>
  <c r="K18" i="44"/>
  <c r="F18" i="44"/>
  <c r="E18" i="44"/>
  <c r="AE17" i="44"/>
  <c r="AD17" i="44"/>
  <c r="Q17" i="44"/>
  <c r="L17" i="44"/>
  <c r="K17" i="44"/>
  <c r="F17" i="44"/>
  <c r="E17" i="44"/>
  <c r="AE16" i="44"/>
  <c r="AD16" i="44"/>
  <c r="Q16" i="44"/>
  <c r="L16" i="44"/>
  <c r="K16" i="44"/>
  <c r="F16" i="44"/>
  <c r="E16" i="44"/>
  <c r="AE15" i="44"/>
  <c r="AD15" i="44"/>
  <c r="Q15" i="44"/>
  <c r="L15" i="44"/>
  <c r="K15" i="44"/>
  <c r="F15" i="44"/>
  <c r="E15" i="44"/>
  <c r="AE14" i="44"/>
  <c r="AD14" i="44"/>
  <c r="Q14" i="44"/>
  <c r="L14" i="44"/>
  <c r="K14" i="44"/>
  <c r="F14" i="44"/>
  <c r="E14" i="44"/>
  <c r="AE13" i="44"/>
  <c r="AD13" i="44"/>
  <c r="Q13" i="44"/>
  <c r="L13" i="44"/>
  <c r="K13" i="44"/>
  <c r="F13" i="44"/>
  <c r="E13" i="44"/>
  <c r="AE12" i="44"/>
  <c r="AD12" i="44"/>
  <c r="Q12" i="44"/>
  <c r="L12" i="44"/>
  <c r="K12" i="44"/>
  <c r="F12" i="44"/>
  <c r="E12" i="44"/>
  <c r="AE11" i="44"/>
  <c r="AD11" i="44"/>
  <c r="Q11" i="44"/>
  <c r="N11" i="44"/>
  <c r="R11" i="44" s="1"/>
  <c r="L11" i="44"/>
  <c r="K11" i="44"/>
  <c r="F11" i="44"/>
  <c r="E11" i="44"/>
  <c r="AE10" i="44"/>
  <c r="AD10" i="44"/>
  <c r="R10" i="44"/>
  <c r="Q10" i="44"/>
  <c r="N10" i="44"/>
  <c r="L10" i="44"/>
  <c r="K10" i="44"/>
  <c r="F10" i="44"/>
  <c r="E10" i="44"/>
  <c r="AE9" i="44"/>
  <c r="AD9" i="44"/>
  <c r="R9" i="44"/>
  <c r="Q9" i="44"/>
  <c r="L9" i="44"/>
  <c r="K9" i="44"/>
  <c r="F9" i="44"/>
  <c r="E9" i="44"/>
  <c r="AE8" i="44"/>
  <c r="AD8" i="44"/>
  <c r="R8" i="44"/>
  <c r="Q8" i="44"/>
  <c r="J8" i="44"/>
  <c r="L8" i="44" s="1"/>
  <c r="F8" i="44"/>
  <c r="E8" i="44"/>
  <c r="AE7" i="44"/>
  <c r="R7" i="44"/>
  <c r="Q7" i="44"/>
  <c r="L7" i="44"/>
  <c r="K7" i="44"/>
  <c r="F7" i="44"/>
  <c r="E7" i="44"/>
  <c r="K4" i="14"/>
  <c r="J8" i="14"/>
  <c r="J9" i="14"/>
  <c r="J10" i="14" s="1"/>
  <c r="J11" i="14" s="1"/>
  <c r="J12" i="14" s="1"/>
  <c r="K12" i="14"/>
  <c r="H4" i="14"/>
  <c r="Q19" i="43"/>
  <c r="P19" i="43"/>
  <c r="O19" i="43"/>
  <c r="N19" i="43"/>
  <c r="M19" i="43"/>
  <c r="L19" i="43"/>
  <c r="K19" i="43"/>
  <c r="J19" i="43"/>
  <c r="I19" i="43"/>
  <c r="H19" i="43"/>
  <c r="G19" i="43"/>
  <c r="O17" i="43"/>
  <c r="N17" i="43"/>
  <c r="M17" i="43"/>
  <c r="E17" i="43"/>
  <c r="E16" i="43"/>
  <c r="Q15" i="43"/>
  <c r="N15" i="43"/>
  <c r="M15" i="43"/>
  <c r="L15" i="43"/>
  <c r="J15" i="43"/>
  <c r="I15" i="43"/>
  <c r="H15" i="43"/>
  <c r="E15" i="43"/>
  <c r="K15" i="43" s="1"/>
  <c r="Q14" i="43"/>
  <c r="N14" i="43"/>
  <c r="M14" i="43"/>
  <c r="L14" i="43"/>
  <c r="K14" i="43"/>
  <c r="H14" i="43"/>
  <c r="E14" i="43"/>
  <c r="E13" i="43"/>
  <c r="Q12" i="43"/>
  <c r="N12" i="43"/>
  <c r="M12" i="43"/>
  <c r="L12" i="43"/>
  <c r="K12" i="43"/>
  <c r="J12" i="43"/>
  <c r="I12" i="43"/>
  <c r="H12" i="43"/>
  <c r="E12" i="43"/>
  <c r="P11" i="43"/>
  <c r="N11" i="43"/>
  <c r="M11" i="43"/>
  <c r="L11" i="43"/>
  <c r="J11" i="43"/>
  <c r="G11" i="43"/>
  <c r="E11" i="43"/>
  <c r="K11" i="43" s="1"/>
  <c r="Q10" i="43"/>
  <c r="P10" i="43"/>
  <c r="E10" i="43"/>
  <c r="Q9" i="43"/>
  <c r="P9" i="43"/>
  <c r="N9" i="43"/>
  <c r="M9" i="43"/>
  <c r="L9" i="43"/>
  <c r="J9" i="43"/>
  <c r="I9" i="43"/>
  <c r="H9" i="43"/>
  <c r="G9" i="43"/>
  <c r="E9" i="43"/>
  <c r="K9" i="43" s="1"/>
  <c r="M8" i="43"/>
  <c r="L8" i="43"/>
  <c r="K8" i="43"/>
  <c r="J8" i="43"/>
  <c r="E8" i="43"/>
  <c r="N8" i="43" s="1"/>
  <c r="P7" i="43"/>
  <c r="O7" i="43"/>
  <c r="N7" i="43"/>
  <c r="M7" i="43"/>
  <c r="G7" i="43"/>
  <c r="E7" i="43"/>
  <c r="K17" i="41"/>
  <c r="J17" i="41"/>
  <c r="K16" i="41"/>
  <c r="J16" i="41"/>
  <c r="K15" i="41"/>
  <c r="J15" i="41"/>
  <c r="K14" i="41"/>
  <c r="J14" i="41"/>
  <c r="K13" i="41"/>
  <c r="J13" i="41"/>
  <c r="K12" i="41"/>
  <c r="J12" i="41"/>
  <c r="K11" i="41"/>
  <c r="J11" i="41"/>
  <c r="K10" i="41"/>
  <c r="J10" i="41"/>
  <c r="K9" i="41"/>
  <c r="J9" i="41"/>
  <c r="J8" i="41"/>
  <c r="K7" i="41"/>
  <c r="J7" i="41"/>
  <c r="J11" i="40"/>
  <c r="J10" i="40"/>
  <c r="H9" i="40"/>
  <c r="K9" i="40" s="1"/>
  <c r="K13" i="40" s="1"/>
  <c r="J7" i="40"/>
  <c r="I4" i="39"/>
  <c r="F5" i="39" s="1"/>
  <c r="E13" i="38"/>
  <c r="F11" i="38"/>
  <c r="F13" i="38"/>
  <c r="AG12" i="37"/>
  <c r="AG23" i="37"/>
  <c r="AF12" i="37"/>
  <c r="AF22" i="37"/>
  <c r="AF23" i="37"/>
  <c r="AF24" i="37"/>
  <c r="F12" i="37"/>
  <c r="F22" i="37"/>
  <c r="F24" i="37" s="1"/>
  <c r="F23" i="37"/>
  <c r="E22" i="37"/>
  <c r="E23" i="37"/>
  <c r="E24" i="37" s="1"/>
  <c r="AG16" i="37"/>
  <c r="AF14" i="37"/>
  <c r="AF19" i="37" s="1"/>
  <c r="AF16" i="37"/>
  <c r="AF17" i="37"/>
  <c r="F16" i="37"/>
  <c r="X15" i="37"/>
  <c r="Z15" i="37" s="1"/>
  <c r="Z13" i="37"/>
  <c r="Z17" i="37" s="1"/>
  <c r="Z12" i="37"/>
  <c r="G13" i="36"/>
  <c r="G17" i="36" s="1"/>
  <c r="G11" i="36"/>
  <c r="F11" i="36"/>
  <c r="F13" i="36" s="1"/>
  <c r="F17" i="36" s="1"/>
  <c r="H13" i="35"/>
  <c r="E13" i="35"/>
  <c r="H11" i="35"/>
  <c r="G11" i="35"/>
  <c r="G13" i="35" s="1"/>
  <c r="F13" i="35"/>
  <c r="G16" i="13"/>
  <c r="I8" i="13"/>
  <c r="C12" i="13"/>
  <c r="C11" i="13"/>
  <c r="C10" i="13"/>
  <c r="C9" i="13"/>
  <c r="C8" i="13"/>
  <c r="C14" i="13" s="1"/>
  <c r="G14" i="13" s="1"/>
  <c r="G5" i="13"/>
  <c r="L4" i="13"/>
  <c r="Q13" i="34"/>
  <c r="Q14" i="34" s="1"/>
  <c r="R14" i="34" s="1"/>
  <c r="J13" i="34"/>
  <c r="C13" i="34"/>
  <c r="R12" i="34"/>
  <c r="K12" i="34"/>
  <c r="R11" i="34"/>
  <c r="K5" i="34"/>
  <c r="K8" i="34" s="1"/>
  <c r="C8" i="33"/>
  <c r="C10" i="33" s="1"/>
  <c r="J7" i="33"/>
  <c r="K7" i="33" s="1"/>
  <c r="M96" i="32"/>
  <c r="M95" i="32"/>
  <c r="M94" i="32"/>
  <c r="M93" i="32"/>
  <c r="M92" i="32"/>
  <c r="M91" i="32"/>
  <c r="M90" i="32"/>
  <c r="M89" i="32"/>
  <c r="M88" i="32"/>
  <c r="M87" i="32"/>
  <c r="M86" i="32"/>
  <c r="M85" i="32"/>
  <c r="M84" i="32"/>
  <c r="M83" i="32"/>
  <c r="M82" i="32"/>
  <c r="M81" i="32"/>
  <c r="M80" i="32"/>
  <c r="M79" i="32"/>
  <c r="M78" i="32"/>
  <c r="M77" i="32"/>
  <c r="M76" i="32"/>
  <c r="M75" i="32"/>
  <c r="M74" i="32"/>
  <c r="M73" i="32"/>
  <c r="M72" i="32"/>
  <c r="M71" i="32"/>
  <c r="M70" i="32"/>
  <c r="M69" i="32"/>
  <c r="M68" i="32"/>
  <c r="M67" i="32"/>
  <c r="M66" i="32"/>
  <c r="M65" i="32"/>
  <c r="M64" i="32"/>
  <c r="M63" i="32"/>
  <c r="M62" i="32"/>
  <c r="M61" i="32"/>
  <c r="M60" i="32"/>
  <c r="M59" i="32"/>
  <c r="M58" i="32"/>
  <c r="M57" i="32"/>
  <c r="M56" i="32"/>
  <c r="M55" i="32"/>
  <c r="M54" i="32"/>
  <c r="M53" i="32"/>
  <c r="M52" i="32"/>
  <c r="I52" i="32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 s="1"/>
  <c r="I85" i="32" s="1"/>
  <c r="I86" i="32" s="1"/>
  <c r="I87" i="32" s="1"/>
  <c r="I88" i="32" s="1"/>
  <c r="I89" i="32" s="1"/>
  <c r="I90" i="32" s="1"/>
  <c r="I91" i="32" s="1"/>
  <c r="I92" i="32" s="1"/>
  <c r="I93" i="32" s="1"/>
  <c r="I94" i="32" s="1"/>
  <c r="I95" i="32" s="1"/>
  <c r="I96" i="32" s="1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M12" i="32"/>
  <c r="M11" i="32"/>
  <c r="M10" i="32"/>
  <c r="I10" i="32"/>
  <c r="I11" i="32" s="1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M9" i="32"/>
  <c r="I9" i="32"/>
  <c r="M8" i="32"/>
  <c r="I8" i="32"/>
  <c r="C8" i="32"/>
  <c r="M7" i="32"/>
  <c r="N7" i="32" s="1"/>
  <c r="C6" i="32"/>
  <c r="C5" i="32"/>
  <c r="M4" i="32"/>
  <c r="C4" i="32"/>
  <c r="F31" i="31"/>
  <c r="G31" i="31" s="1"/>
  <c r="F29" i="31"/>
  <c r="G29" i="31" s="1"/>
  <c r="C25" i="31"/>
  <c r="D25" i="31" s="1"/>
  <c r="G22" i="31"/>
  <c r="F22" i="31"/>
  <c r="F19" i="31"/>
  <c r="G19" i="31" s="1"/>
  <c r="C19" i="31"/>
  <c r="D19" i="31" s="1"/>
  <c r="C17" i="31"/>
  <c r="D17" i="31" s="1"/>
  <c r="G9" i="31"/>
  <c r="D7" i="31"/>
  <c r="J15" i="29"/>
  <c r="M13" i="29"/>
  <c r="L13" i="29"/>
  <c r="I13" i="29"/>
  <c r="J13" i="29" s="1"/>
  <c r="F13" i="29"/>
  <c r="G13" i="29" s="1"/>
  <c r="D13" i="29"/>
  <c r="C13" i="29"/>
  <c r="M12" i="29"/>
  <c r="L12" i="29"/>
  <c r="I12" i="29"/>
  <c r="J12" i="29" s="1"/>
  <c r="F12" i="29"/>
  <c r="G12" i="29" s="1"/>
  <c r="D12" i="29"/>
  <c r="C12" i="29"/>
  <c r="M11" i="29"/>
  <c r="L11" i="29"/>
  <c r="I11" i="29"/>
  <c r="J11" i="29" s="1"/>
  <c r="F11" i="29"/>
  <c r="G11" i="29" s="1"/>
  <c r="D11" i="29"/>
  <c r="C11" i="29"/>
  <c r="M10" i="29"/>
  <c r="L10" i="29"/>
  <c r="I10" i="29"/>
  <c r="J10" i="29" s="1"/>
  <c r="F10" i="29"/>
  <c r="G10" i="29" s="1"/>
  <c r="D10" i="29"/>
  <c r="C10" i="29"/>
  <c r="M9" i="29"/>
  <c r="M15" i="29" s="1"/>
  <c r="L9" i="29"/>
  <c r="I9" i="29"/>
  <c r="J9" i="29" s="1"/>
  <c r="F9" i="29"/>
  <c r="G9" i="29" s="1"/>
  <c r="C9" i="29"/>
  <c r="D9" i="29" s="1"/>
  <c r="M8" i="29"/>
  <c r="J8" i="29"/>
  <c r="G8" i="29"/>
  <c r="D8" i="29"/>
  <c r="T7" i="30"/>
  <c r="C8" i="30"/>
  <c r="M17" i="28"/>
  <c r="M15" i="28"/>
  <c r="M13" i="28"/>
  <c r="M12" i="28"/>
  <c r="M11" i="28"/>
  <c r="C11" i="28"/>
  <c r="M10" i="28"/>
  <c r="M9" i="28"/>
  <c r="C9" i="28"/>
  <c r="C12" i="28" s="1"/>
  <c r="C14" i="28" s="1"/>
  <c r="M8" i="28"/>
  <c r="N21" i="27"/>
  <c r="J21" i="27"/>
  <c r="G21" i="27"/>
  <c r="Q20" i="27"/>
  <c r="N20" i="27"/>
  <c r="J20" i="27"/>
  <c r="G20" i="27"/>
  <c r="Q19" i="27"/>
  <c r="N19" i="27"/>
  <c r="J19" i="27"/>
  <c r="G19" i="27"/>
  <c r="Q18" i="27"/>
  <c r="N18" i="27"/>
  <c r="J18" i="27"/>
  <c r="G18" i="27"/>
  <c r="Q17" i="27"/>
  <c r="N17" i="27"/>
  <c r="J17" i="27"/>
  <c r="G17" i="27"/>
  <c r="Q16" i="27"/>
  <c r="N16" i="27"/>
  <c r="J16" i="27"/>
  <c r="G16" i="27"/>
  <c r="Q15" i="27"/>
  <c r="N15" i="27"/>
  <c r="J15" i="27"/>
  <c r="G15" i="27"/>
  <c r="Q14" i="27"/>
  <c r="N14" i="27"/>
  <c r="J14" i="27"/>
  <c r="G14" i="27"/>
  <c r="Q13" i="27"/>
  <c r="N13" i="27"/>
  <c r="J13" i="27"/>
  <c r="G13" i="27"/>
  <c r="Q12" i="27"/>
  <c r="N12" i="27"/>
  <c r="J12" i="27"/>
  <c r="G12" i="27"/>
  <c r="Q11" i="27"/>
  <c r="N11" i="27"/>
  <c r="J11" i="27"/>
  <c r="G11" i="27"/>
  <c r="Q10" i="27"/>
  <c r="N10" i="27"/>
  <c r="J10" i="27"/>
  <c r="G10" i="27"/>
  <c r="Q9" i="27"/>
  <c r="N9" i="27"/>
  <c r="J9" i="27"/>
  <c r="G9" i="27"/>
  <c r="G23" i="27" s="1"/>
  <c r="Q8" i="27"/>
  <c r="Q23" i="27" s="1"/>
  <c r="N8" i="27"/>
  <c r="J8" i="27"/>
  <c r="J23" i="27" s="1"/>
  <c r="G8" i="27"/>
  <c r="Q18" i="26"/>
  <c r="N18" i="26"/>
  <c r="Q17" i="26"/>
  <c r="N17" i="26"/>
  <c r="E17" i="26"/>
  <c r="Q16" i="26"/>
  <c r="N16" i="26"/>
  <c r="E16" i="26"/>
  <c r="C16" i="26"/>
  <c r="C20" i="26" s="1"/>
  <c r="Q15" i="26"/>
  <c r="N15" i="26"/>
  <c r="Q14" i="26"/>
  <c r="N14" i="26"/>
  <c r="Q13" i="26"/>
  <c r="Q12" i="26"/>
  <c r="N12" i="26"/>
  <c r="Q11" i="26"/>
  <c r="N11" i="26"/>
  <c r="Q10" i="26"/>
  <c r="N10" i="26"/>
  <c r="Q9" i="26"/>
  <c r="N9" i="26"/>
  <c r="Q8" i="26"/>
  <c r="N8" i="26"/>
  <c r="C18" i="25"/>
  <c r="E17" i="25"/>
  <c r="E16" i="25"/>
  <c r="C16" i="25"/>
  <c r="E15" i="25"/>
  <c r="C15" i="25"/>
  <c r="C19" i="25" s="1"/>
  <c r="Q13" i="25"/>
  <c r="Q12" i="25"/>
  <c r="Q11" i="25"/>
  <c r="Q10" i="25"/>
  <c r="Q9" i="25"/>
  <c r="Q8" i="25"/>
  <c r="N8" i="25"/>
  <c r="N19" i="25" s="1"/>
  <c r="L33" i="24"/>
  <c r="L32" i="24"/>
  <c r="I32" i="24"/>
  <c r="L31" i="24"/>
  <c r="I31" i="24"/>
  <c r="L30" i="24"/>
  <c r="I30" i="24"/>
  <c r="L29" i="24"/>
  <c r="I29" i="24"/>
  <c r="L28" i="24"/>
  <c r="I28" i="24"/>
  <c r="L27" i="24"/>
  <c r="I27" i="24"/>
  <c r="L26" i="24"/>
  <c r="I26" i="24"/>
  <c r="L25" i="24"/>
  <c r="I25" i="24"/>
  <c r="L24" i="24"/>
  <c r="I24" i="24"/>
  <c r="L23" i="24"/>
  <c r="I23" i="24"/>
  <c r="L22" i="24"/>
  <c r="I22" i="24"/>
  <c r="L21" i="24"/>
  <c r="I21" i="24"/>
  <c r="L20" i="24"/>
  <c r="I20" i="24"/>
  <c r="L19" i="24"/>
  <c r="I19" i="24"/>
  <c r="L18" i="24"/>
  <c r="I18" i="24"/>
  <c r="L17" i="24"/>
  <c r="I17" i="24"/>
  <c r="L16" i="24"/>
  <c r="I16" i="24"/>
  <c r="E16" i="24"/>
  <c r="L15" i="24"/>
  <c r="I15" i="24"/>
  <c r="L14" i="24"/>
  <c r="I14" i="24"/>
  <c r="L13" i="24"/>
  <c r="I13" i="24"/>
  <c r="E13" i="24"/>
  <c r="C13" i="24"/>
  <c r="C16" i="24" s="1"/>
  <c r="L12" i="24"/>
  <c r="I12" i="24"/>
  <c r="L11" i="24"/>
  <c r="I11" i="24"/>
  <c r="L10" i="24"/>
  <c r="I10" i="24"/>
  <c r="L9" i="24"/>
  <c r="I9" i="24"/>
  <c r="L8" i="24"/>
  <c r="I8" i="24"/>
  <c r="B15" i="22"/>
  <c r="K8" i="22"/>
  <c r="C8" i="22"/>
  <c r="C7" i="22"/>
  <c r="J11" i="21"/>
  <c r="D9" i="21"/>
  <c r="G8" i="21"/>
  <c r="G9" i="21" s="1"/>
  <c r="B8" i="21"/>
  <c r="D8" i="21" s="1"/>
  <c r="G7" i="21"/>
  <c r="H7" i="21" s="1"/>
  <c r="B9" i="23"/>
  <c r="J26" i="10"/>
  <c r="J22" i="10"/>
  <c r="I8" i="10"/>
  <c r="K8" i="10" s="1"/>
  <c r="H9" i="10" s="1"/>
  <c r="H8" i="10"/>
  <c r="K7" i="10"/>
  <c r="H7" i="10"/>
  <c r="I7" i="10" s="1"/>
  <c r="B5" i="10"/>
  <c r="B10" i="10" s="1"/>
  <c r="B14" i="10" s="1"/>
  <c r="I12" i="9"/>
  <c r="I13" i="9" s="1"/>
  <c r="J13" i="9" s="1"/>
  <c r="J11" i="9"/>
  <c r="J10" i="9"/>
  <c r="H11" i="8"/>
  <c r="I11" i="8" s="1"/>
  <c r="C11" i="8"/>
  <c r="I10" i="8"/>
  <c r="H10" i="8"/>
  <c r="C10" i="8"/>
  <c r="I9" i="8"/>
  <c r="H9" i="8"/>
  <c r="C9" i="8"/>
  <c r="I8" i="8"/>
  <c r="I14" i="8" s="1"/>
  <c r="C8" i="8"/>
  <c r="C14" i="8" s="1"/>
  <c r="I4" i="8"/>
  <c r="Q11" i="7"/>
  <c r="R11" i="7"/>
  <c r="Q12" i="7"/>
  <c r="Q13" i="7" s="1"/>
  <c r="R13" i="7" s="1"/>
  <c r="B16" i="7"/>
  <c r="B15" i="7"/>
  <c r="B18" i="7"/>
  <c r="J12" i="6"/>
  <c r="J11" i="6"/>
  <c r="J10" i="6"/>
  <c r="J9" i="6"/>
  <c r="J8" i="6"/>
  <c r="C12" i="5"/>
  <c r="C11" i="5"/>
  <c r="C10" i="5"/>
  <c r="C9" i="5"/>
  <c r="C8" i="5"/>
  <c r="C12" i="4"/>
  <c r="C11" i="4"/>
  <c r="B9" i="4"/>
  <c r="C8" i="4"/>
  <c r="B67" i="3"/>
  <c r="C67" i="3" s="1"/>
  <c r="C66" i="3"/>
  <c r="B65" i="3"/>
  <c r="C65" i="3" s="1"/>
  <c r="C64" i="3"/>
  <c r="B64" i="3"/>
  <c r="C63" i="3"/>
  <c r="B62" i="3"/>
  <c r="C62" i="3" s="1"/>
  <c r="B61" i="3"/>
  <c r="C61" i="3" s="1"/>
  <c r="C60" i="3"/>
  <c r="C59" i="3"/>
  <c r="C58" i="3"/>
  <c r="B58" i="3"/>
  <c r="B59" i="3" s="1"/>
  <c r="C57" i="3"/>
  <c r="B55" i="3"/>
  <c r="B56" i="3" s="1"/>
  <c r="C56" i="3" s="1"/>
  <c r="C54" i="3"/>
  <c r="B52" i="3"/>
  <c r="C51" i="3"/>
  <c r="B49" i="3"/>
  <c r="C49" i="3" s="1"/>
  <c r="C48" i="3"/>
  <c r="B46" i="3"/>
  <c r="C45" i="3"/>
  <c r="B44" i="3"/>
  <c r="C44" i="3" s="1"/>
  <c r="C43" i="3"/>
  <c r="B43" i="3"/>
  <c r="C42" i="3"/>
  <c r="B41" i="3"/>
  <c r="C41" i="3" s="1"/>
  <c r="C40" i="3"/>
  <c r="B40" i="3"/>
  <c r="C39" i="3"/>
  <c r="B38" i="3"/>
  <c r="C38" i="3" s="1"/>
  <c r="B37" i="3"/>
  <c r="C37" i="3" s="1"/>
  <c r="C36" i="3"/>
  <c r="B34" i="3"/>
  <c r="C33" i="3"/>
  <c r="B31" i="3"/>
  <c r="C30" i="3"/>
  <c r="B28" i="3"/>
  <c r="C27" i="3"/>
  <c r="B25" i="3"/>
  <c r="C25" i="3" s="1"/>
  <c r="C24" i="3"/>
  <c r="B23" i="3"/>
  <c r="C23" i="3" s="1"/>
  <c r="C22" i="3"/>
  <c r="B22" i="3"/>
  <c r="C21" i="3"/>
  <c r="B20" i="3"/>
  <c r="C20" i="3" s="1"/>
  <c r="C19" i="3"/>
  <c r="B19" i="3"/>
  <c r="C18" i="3"/>
  <c r="B14" i="3"/>
  <c r="B15" i="3" s="1"/>
  <c r="C13" i="3"/>
  <c r="B9" i="3"/>
  <c r="B10" i="3" s="1"/>
  <c r="C8" i="3"/>
  <c r="G7" i="3"/>
  <c r="G11" i="3" s="1"/>
  <c r="K67" i="2"/>
  <c r="L67" i="2" s="1"/>
  <c r="F67" i="2"/>
  <c r="G67" i="2"/>
  <c r="L66" i="2"/>
  <c r="G66" i="2"/>
  <c r="K65" i="2"/>
  <c r="L65" i="2" s="1"/>
  <c r="L64" i="2"/>
  <c r="K64" i="2"/>
  <c r="F64" i="2"/>
  <c r="G64" i="2" s="1"/>
  <c r="F65" i="2"/>
  <c r="G65" i="2"/>
  <c r="L63" i="2"/>
  <c r="G63" i="2"/>
  <c r="L62" i="2"/>
  <c r="L61" i="2"/>
  <c r="K61" i="2"/>
  <c r="K62" i="2" s="1"/>
  <c r="F61" i="2"/>
  <c r="F62" i="2"/>
  <c r="G62" i="2"/>
  <c r="L60" i="2"/>
  <c r="G60" i="2"/>
  <c r="K58" i="2"/>
  <c r="L58" i="2" s="1"/>
  <c r="F58" i="2"/>
  <c r="F59" i="2"/>
  <c r="G59" i="2"/>
  <c r="L57" i="2"/>
  <c r="G57" i="2"/>
  <c r="L55" i="2"/>
  <c r="K55" i="2"/>
  <c r="K56" i="2" s="1"/>
  <c r="L56" i="2" s="1"/>
  <c r="F55" i="2"/>
  <c r="F56" i="2"/>
  <c r="G56" i="2" s="1"/>
  <c r="L54" i="2"/>
  <c r="G54" i="2"/>
  <c r="K52" i="2"/>
  <c r="K53" i="2" s="1"/>
  <c r="L53" i="2" s="1"/>
  <c r="F52" i="2"/>
  <c r="F53" i="2" s="1"/>
  <c r="G53" i="2" s="1"/>
  <c r="L51" i="2"/>
  <c r="G51" i="2"/>
  <c r="L49" i="2"/>
  <c r="K49" i="2"/>
  <c r="K50" i="2" s="1"/>
  <c r="L50" i="2" s="1"/>
  <c r="F49" i="2"/>
  <c r="L48" i="2"/>
  <c r="G48" i="2"/>
  <c r="K46" i="2"/>
  <c r="L46" i="2" s="1"/>
  <c r="F46" i="2"/>
  <c r="L45" i="2"/>
  <c r="G45" i="2"/>
  <c r="K44" i="2"/>
  <c r="L44" i="2" s="1"/>
  <c r="L43" i="2"/>
  <c r="K43" i="2"/>
  <c r="F43" i="2"/>
  <c r="L42" i="2"/>
  <c r="G42" i="2"/>
  <c r="K41" i="2"/>
  <c r="L41" i="2"/>
  <c r="K40" i="2"/>
  <c r="L40" i="2" s="1"/>
  <c r="F40" i="2"/>
  <c r="L39" i="2"/>
  <c r="G39" i="2"/>
  <c r="K37" i="2"/>
  <c r="K38" i="2" s="1"/>
  <c r="L38" i="2" s="1"/>
  <c r="F37" i="2"/>
  <c r="L36" i="2"/>
  <c r="G36" i="2"/>
  <c r="K34" i="2"/>
  <c r="K35" i="2" s="1"/>
  <c r="L35" i="2" s="1"/>
  <c r="F34" i="2"/>
  <c r="G34" i="2" s="1"/>
  <c r="L33" i="2"/>
  <c r="G33" i="2"/>
  <c r="K31" i="2"/>
  <c r="L31" i="2" s="1"/>
  <c r="F31" i="2"/>
  <c r="L30" i="2"/>
  <c r="G30" i="2"/>
  <c r="K29" i="2"/>
  <c r="L29" i="2" s="1"/>
  <c r="L28" i="2"/>
  <c r="K28" i="2"/>
  <c r="F28" i="2"/>
  <c r="G28" i="2" s="1"/>
  <c r="L27" i="2"/>
  <c r="G27" i="2"/>
  <c r="K26" i="2"/>
  <c r="L26" i="2" s="1"/>
  <c r="L25" i="2"/>
  <c r="K25" i="2"/>
  <c r="F25" i="2"/>
  <c r="F26" i="2"/>
  <c r="G26" i="2"/>
  <c r="L24" i="2"/>
  <c r="G24" i="2"/>
  <c r="K23" i="2"/>
  <c r="L23" i="2"/>
  <c r="L22" i="2"/>
  <c r="K22" i="2"/>
  <c r="F22" i="2"/>
  <c r="G22" i="2" s="1"/>
  <c r="F23" i="2"/>
  <c r="G23" i="2"/>
  <c r="L21" i="2"/>
  <c r="G21" i="2"/>
  <c r="K20" i="2"/>
  <c r="L20" i="2" s="1"/>
  <c r="K19" i="2"/>
  <c r="L19" i="2" s="1"/>
  <c r="F19" i="2"/>
  <c r="G19" i="2" s="1"/>
  <c r="F20" i="2"/>
  <c r="G20" i="2" s="1"/>
  <c r="G18" i="2"/>
  <c r="K14" i="2"/>
  <c r="K15" i="2" s="1"/>
  <c r="F14" i="2"/>
  <c r="L13" i="2"/>
  <c r="G13" i="2"/>
  <c r="K9" i="2"/>
  <c r="K10" i="2"/>
  <c r="R8" i="2"/>
  <c r="S8" i="2"/>
  <c r="N8" i="2"/>
  <c r="T7" i="2"/>
  <c r="P7" i="2"/>
  <c r="O7" i="2"/>
  <c r="L7" i="2"/>
  <c r="H13" i="1"/>
  <c r="G13" i="1"/>
  <c r="I13" i="1" s="1"/>
  <c r="H12" i="1"/>
  <c r="G12" i="1"/>
  <c r="I12" i="1" s="1"/>
  <c r="H11" i="1"/>
  <c r="G11" i="1"/>
  <c r="I11" i="1"/>
  <c r="U10" i="1"/>
  <c r="K10" i="1"/>
  <c r="L10" i="1"/>
  <c r="H10" i="1"/>
  <c r="I10" i="1" s="1"/>
  <c r="AA9" i="1"/>
  <c r="W9" i="1"/>
  <c r="X9" i="1" s="1"/>
  <c r="U9" i="1"/>
  <c r="H9" i="1"/>
  <c r="I9" i="1" s="1"/>
  <c r="J11" i="19"/>
  <c r="I11" i="19"/>
  <c r="G11" i="19"/>
  <c r="C12" i="19" s="1"/>
  <c r="E5" i="20"/>
  <c r="D5" i="20"/>
  <c r="D6" i="20" s="1"/>
  <c r="X53" i="54"/>
  <c r="AC30" i="15"/>
  <c r="R9" i="15"/>
  <c r="N9" i="15"/>
  <c r="AN9" i="15"/>
  <c r="AL9" i="15"/>
  <c r="X9" i="15"/>
  <c r="V9" i="15"/>
  <c r="AM9" i="15"/>
  <c r="G9" i="15"/>
  <c r="E9" i="15"/>
  <c r="W9" i="15"/>
  <c r="C10" i="15"/>
  <c r="AJ10" i="15"/>
  <c r="AK10" i="15"/>
  <c r="AB10" i="15"/>
  <c r="AH10" i="15" s="1"/>
  <c r="AD10" i="15"/>
  <c r="AG9" i="15"/>
  <c r="AF7" i="15"/>
  <c r="AM7" i="15"/>
  <c r="D30" i="15"/>
  <c r="AK30" i="15"/>
  <c r="M9" i="15"/>
  <c r="AC9" i="15"/>
  <c r="AH9" i="15"/>
  <c r="L10" i="15"/>
  <c r="N10" i="15"/>
  <c r="M30" i="15"/>
  <c r="H9" i="15"/>
  <c r="O9" i="15"/>
  <c r="Y9" i="15"/>
  <c r="AE9" i="15"/>
  <c r="AO9" i="15"/>
  <c r="T10" i="15"/>
  <c r="V10" i="15"/>
  <c r="Q9" i="15"/>
  <c r="AM10" i="15"/>
  <c r="F7" i="15"/>
  <c r="G7" i="15"/>
  <c r="U30" i="15"/>
  <c r="D9" i="15"/>
  <c r="I9" i="15"/>
  <c r="U9" i="15"/>
  <c r="Z9" i="15"/>
  <c r="AF9" i="15"/>
  <c r="AK9" i="15"/>
  <c r="AP9" i="15"/>
  <c r="AP10" i="15"/>
  <c r="Q7" i="15"/>
  <c r="K20" i="41"/>
  <c r="D15" i="49"/>
  <c r="C17" i="30"/>
  <c r="K11" i="1"/>
  <c r="F15" i="2"/>
  <c r="G14" i="2"/>
  <c r="T8" i="2"/>
  <c r="G25" i="2"/>
  <c r="F29" i="2"/>
  <c r="G29" i="2"/>
  <c r="F32" i="2"/>
  <c r="G32" i="2" s="1"/>
  <c r="G31" i="2"/>
  <c r="F35" i="2"/>
  <c r="G35" i="2"/>
  <c r="F38" i="2"/>
  <c r="G38" i="2" s="1"/>
  <c r="G37" i="2"/>
  <c r="F41" i="2"/>
  <c r="G41" i="2" s="1"/>
  <c r="G40" i="2"/>
  <c r="F44" i="2"/>
  <c r="G44" i="2"/>
  <c r="G43" i="2"/>
  <c r="F50" i="2"/>
  <c r="G50" i="2" s="1"/>
  <c r="G49" i="2"/>
  <c r="O8" i="2"/>
  <c r="L9" i="2"/>
  <c r="G55" i="2"/>
  <c r="G58" i="2"/>
  <c r="G61" i="2"/>
  <c r="AG54" i="54"/>
  <c r="AJ11" i="15"/>
  <c r="C11" i="15"/>
  <c r="AO10" i="15"/>
  <c r="H7" i="15"/>
  <c r="W10" i="15"/>
  <c r="AC10" i="15"/>
  <c r="AG10" i="15"/>
  <c r="AF10" i="15"/>
  <c r="AB11" i="15"/>
  <c r="AE10" i="15"/>
  <c r="R7" i="15"/>
  <c r="L11" i="1"/>
  <c r="K12" i="1"/>
  <c r="G11" i="15"/>
  <c r="H11" i="15"/>
  <c r="AB12" i="15"/>
  <c r="AD12" i="15"/>
  <c r="AE11" i="15"/>
  <c r="I7" i="15"/>
  <c r="K13" i="1"/>
  <c r="L13" i="1" s="1"/>
  <c r="L12" i="1"/>
  <c r="R12" i="7"/>
  <c r="R16" i="7"/>
  <c r="I12" i="73"/>
  <c r="I13" i="73"/>
  <c r="I14" i="73"/>
  <c r="I15" i="73" s="1"/>
  <c r="I16" i="73" s="1"/>
  <c r="I17" i="73" s="1"/>
  <c r="I18" i="73"/>
  <c r="I19" i="73" s="1"/>
  <c r="I20" i="73"/>
  <c r="I21" i="73" s="1"/>
  <c r="I22" i="73" s="1"/>
  <c r="I23" i="73" s="1"/>
  <c r="I24" i="73" s="1"/>
  <c r="I25" i="73" s="1"/>
  <c r="I26" i="73" s="1"/>
  <c r="I27" i="73" s="1"/>
  <c r="I28" i="73" s="1"/>
  <c r="I29" i="73" s="1"/>
  <c r="I30" i="73" s="1"/>
  <c r="I31" i="73" s="1"/>
  <c r="I32" i="73" s="1"/>
  <c r="I33" i="73" s="1"/>
  <c r="I34" i="73"/>
  <c r="I35" i="73" s="1"/>
  <c r="I36" i="73" s="1"/>
  <c r="I37" i="73" s="1"/>
  <c r="I38" i="73" s="1"/>
  <c r="I39" i="73" s="1"/>
  <c r="I40" i="73" s="1"/>
  <c r="I41" i="73" s="1"/>
  <c r="I42" i="73" s="1"/>
  <c r="I43" i="73" s="1"/>
  <c r="I44" i="73" s="1"/>
  <c r="I45" i="73" s="1"/>
  <c r="I46" i="73" s="1"/>
  <c r="I47" i="73" s="1"/>
  <c r="I48" i="73" s="1"/>
  <c r="I49" i="73" s="1"/>
  <c r="I50" i="73" s="1"/>
  <c r="I51" i="73" s="1"/>
  <c r="I52" i="73" s="1"/>
  <c r="I53" i="73" s="1"/>
  <c r="I54" i="73" s="1"/>
  <c r="I55" i="73" s="1"/>
  <c r="I56" i="73" s="1"/>
  <c r="I57" i="73" s="1"/>
  <c r="I58" i="73" s="1"/>
  <c r="I59" i="73" s="1"/>
  <c r="I60" i="73" s="1"/>
  <c r="I61" i="73" s="1"/>
  <c r="I62" i="73" s="1"/>
  <c r="I63" i="73" s="1"/>
  <c r="I64" i="73" s="1"/>
  <c r="I65" i="73" s="1"/>
  <c r="I66" i="73" s="1"/>
  <c r="I67" i="73" s="1"/>
  <c r="I68" i="73" s="1"/>
  <c r="I69" i="73" s="1"/>
  <c r="I70" i="73" s="1"/>
  <c r="I71" i="73" s="1"/>
  <c r="I72" i="73" s="1"/>
  <c r="I73" i="73" s="1"/>
  <c r="I74" i="73" s="1"/>
  <c r="I75" i="73" s="1"/>
  <c r="I76" i="73" s="1"/>
  <c r="I77" i="73" s="1"/>
  <c r="I78" i="73" s="1"/>
  <c r="I79" i="73" s="1"/>
  <c r="I80" i="73" s="1"/>
  <c r="I81" i="73" s="1"/>
  <c r="I82" i="73" s="1"/>
  <c r="I83" i="73" s="1"/>
  <c r="I84" i="73" s="1"/>
  <c r="I85" i="73" s="1"/>
  <c r="I86" i="73" s="1"/>
  <c r="I87" i="73" s="1"/>
  <c r="I88" i="73" s="1"/>
  <c r="I89" i="73" s="1"/>
  <c r="I90" i="73" s="1"/>
  <c r="I91" i="73" s="1"/>
  <c r="I92" i="73" s="1"/>
  <c r="I93" i="73" s="1"/>
  <c r="I94" i="73" s="1"/>
  <c r="I95" i="73" s="1"/>
  <c r="I96" i="73" s="1"/>
  <c r="I97" i="73" s="1"/>
  <c r="I98" i="73" s="1"/>
  <c r="I99" i="73" s="1"/>
  <c r="I100" i="73" s="1"/>
  <c r="I101" i="73" s="1"/>
  <c r="I102" i="73" s="1"/>
  <c r="I103" i="73" s="1"/>
  <c r="I104" i="73" s="1"/>
  <c r="I105" i="73" s="1"/>
  <c r="I106" i="73" s="1"/>
  <c r="I107" i="73" s="1"/>
  <c r="I108" i="73" s="1"/>
  <c r="I109" i="73" s="1"/>
  <c r="I110" i="73" s="1"/>
  <c r="I111" i="73" s="1"/>
  <c r="I112" i="73" s="1"/>
  <c r="I113" i="73" s="1"/>
  <c r="I114" i="73" s="1"/>
  <c r="I115" i="73" s="1"/>
  <c r="I116" i="73" s="1"/>
  <c r="I117" i="73" s="1"/>
  <c r="I118" i="73" s="1"/>
  <c r="I119" i="73" s="1"/>
  <c r="I120" i="73" s="1"/>
  <c r="I121" i="73" s="1"/>
  <c r="I122" i="73" s="1"/>
  <c r="I123" i="73" s="1"/>
  <c r="I124" i="73" s="1"/>
  <c r="I125" i="73" s="1"/>
  <c r="I126" i="73" s="1"/>
  <c r="I127" i="73" s="1"/>
  <c r="I128" i="73" s="1"/>
  <c r="I129" i="73" s="1"/>
  <c r="I130" i="73" s="1"/>
  <c r="I131" i="73" s="1"/>
  <c r="I132" i="73" s="1"/>
  <c r="I133" i="73" s="1"/>
  <c r="I134" i="73" s="1"/>
  <c r="I135" i="73" s="1"/>
  <c r="I136" i="73" s="1"/>
  <c r="I137" i="73" s="1"/>
  <c r="I138" i="73" s="1"/>
  <c r="I139" i="73" s="1"/>
  <c r="I140" i="73" s="1"/>
  <c r="I141" i="73" s="1"/>
  <c r="I142" i="73" s="1"/>
  <c r="I143" i="73" s="1"/>
  <c r="I144" i="73" s="1"/>
  <c r="I145" i="73" s="1"/>
  <c r="I146" i="73" s="1"/>
  <c r="I147" i="73" s="1"/>
  <c r="I148" i="73" s="1"/>
  <c r="I149" i="73" s="1"/>
  <c r="I150" i="73" s="1"/>
  <c r="I151" i="73" s="1"/>
  <c r="I152" i="73" s="1"/>
  <c r="I153" i="73" s="1"/>
  <c r="I154" i="73" s="1"/>
  <c r="I155" i="73" s="1"/>
  <c r="I156" i="73" s="1"/>
  <c r="I157" i="73" s="1"/>
  <c r="I158" i="73" s="1"/>
  <c r="I159" i="73" s="1"/>
  <c r="I160" i="73" s="1"/>
  <c r="I161" i="73" s="1"/>
  <c r="I162" i="73" s="1"/>
  <c r="I163" i="73" s="1"/>
  <c r="I164" i="73" s="1"/>
  <c r="I165" i="73" s="1"/>
  <c r="I166" i="73" s="1"/>
  <c r="I167" i="73" s="1"/>
  <c r="I168" i="73" s="1"/>
  <c r="I169" i="73" s="1"/>
  <c r="I170" i="73" s="1"/>
  <c r="I171" i="73" s="1"/>
  <c r="I172" i="73" s="1"/>
  <c r="I173" i="73" s="1"/>
  <c r="I174" i="73" s="1"/>
  <c r="I175" i="73" s="1"/>
  <c r="I176" i="73" s="1"/>
  <c r="I177" i="73" s="1"/>
  <c r="I178" i="73" s="1"/>
  <c r="I179" i="73" s="1"/>
  <c r="I180" i="73" s="1"/>
  <c r="I181" i="73" s="1"/>
  <c r="I182" i="73" s="1"/>
  <c r="I183" i="73" s="1"/>
  <c r="I184" i="73" s="1"/>
  <c r="I185" i="73" s="1"/>
  <c r="I186" i="73" s="1"/>
  <c r="I187" i="73" s="1"/>
  <c r="I188" i="73" s="1"/>
  <c r="I189" i="73" s="1"/>
  <c r="I190" i="73" s="1"/>
  <c r="I191" i="73" s="1"/>
  <c r="I192" i="73" s="1"/>
  <c r="I193" i="73" s="1"/>
  <c r="I194" i="73" s="1"/>
  <c r="I195" i="73" s="1"/>
  <c r="I196" i="73" s="1"/>
  <c r="I197" i="73" s="1"/>
  <c r="I198" i="73" s="1"/>
  <c r="I199" i="73" s="1"/>
  <c r="I200" i="73" s="1"/>
  <c r="I201" i="73" s="1"/>
  <c r="I202" i="73" s="1"/>
  <c r="I203" i="73" s="1"/>
  <c r="I204" i="73" s="1"/>
  <c r="I205" i="73" s="1"/>
  <c r="I206" i="73" s="1"/>
  <c r="I207" i="73" s="1"/>
  <c r="I208" i="73" s="1"/>
  <c r="I209" i="73" s="1"/>
  <c r="I210" i="73" s="1"/>
  <c r="I211" i="73" s="1"/>
  <c r="I212" i="73" s="1"/>
  <c r="I213" i="73" s="1"/>
  <c r="I214" i="73" s="1"/>
  <c r="I215" i="73" s="1"/>
  <c r="I216" i="73" s="1"/>
  <c r="I217" i="73" s="1"/>
  <c r="I218" i="73" s="1"/>
  <c r="I219" i="73" s="1"/>
  <c r="I220" i="73" s="1"/>
  <c r="I221" i="73" s="1"/>
  <c r="I222" i="73" s="1"/>
  <c r="I223" i="73" s="1"/>
  <c r="I224" i="73" s="1"/>
  <c r="I225" i="73" s="1"/>
  <c r="I226" i="73" s="1"/>
  <c r="I227" i="73" s="1"/>
  <c r="I228" i="73" s="1"/>
  <c r="I229" i="73" s="1"/>
  <c r="I230" i="73" s="1"/>
  <c r="I231" i="73" s="1"/>
  <c r="I232" i="73" s="1"/>
  <c r="I233" i="73" s="1"/>
  <c r="I234" i="73" s="1"/>
  <c r="I235" i="73" s="1"/>
  <c r="I236" i="73" s="1"/>
  <c r="I237" i="73" s="1"/>
  <c r="I238" i="73" s="1"/>
  <c r="I239" i="73" s="1"/>
  <c r="I240" i="73" s="1"/>
  <c r="I241" i="73" s="1"/>
  <c r="I242" i="73" s="1"/>
  <c r="I243" i="73" s="1"/>
  <c r="I244" i="73" s="1"/>
  <c r="I245" i="73" s="1"/>
  <c r="I246" i="73" s="1"/>
  <c r="I247" i="73" s="1"/>
  <c r="I248" i="73" s="1"/>
  <c r="I249" i="73" s="1"/>
  <c r="I250" i="73" s="1"/>
  <c r="I251" i="73" s="1"/>
  <c r="I252" i="73" s="1"/>
  <c r="I253" i="73" s="1"/>
  <c r="I254" i="73" s="1"/>
  <c r="I255" i="73" s="1"/>
  <c r="I256" i="73" s="1"/>
  <c r="I257" i="73" s="1"/>
  <c r="I258" i="73" s="1"/>
  <c r="I259" i="73" s="1"/>
  <c r="I260" i="73" s="1"/>
  <c r="I261" i="73" s="1"/>
  <c r="I262" i="73" s="1"/>
  <c r="I263" i="73" s="1"/>
  <c r="I264" i="73" s="1"/>
  <c r="I265" i="73" s="1"/>
  <c r="I266" i="73" s="1"/>
  <c r="I267" i="73" s="1"/>
  <c r="I268" i="73" s="1"/>
  <c r="I269" i="73" s="1"/>
  <c r="I270" i="73" s="1"/>
  <c r="I271" i="73" s="1"/>
  <c r="I272" i="73" s="1"/>
  <c r="I273" i="73" s="1"/>
  <c r="I274" i="73" s="1"/>
  <c r="I275" i="73" s="1"/>
  <c r="I276" i="73" s="1"/>
  <c r="I277" i="73" s="1"/>
  <c r="I278" i="73" s="1"/>
  <c r="I279" i="73" s="1"/>
  <c r="I280" i="73" s="1"/>
  <c r="I281" i="73" s="1"/>
  <c r="I282" i="73" s="1"/>
  <c r="I283" i="73" s="1"/>
  <c r="I284" i="73" s="1"/>
  <c r="I285" i="73" s="1"/>
  <c r="I286" i="73" s="1"/>
  <c r="I287" i="73" s="1"/>
  <c r="I288" i="73" s="1"/>
  <c r="I289" i="73" s="1"/>
  <c r="I290" i="73" s="1"/>
  <c r="I291" i="73" s="1"/>
  <c r="I292" i="73" s="1"/>
  <c r="I293" i="73" s="1"/>
  <c r="I294" i="73" s="1"/>
  <c r="I295" i="73" s="1"/>
  <c r="I296" i="73" s="1"/>
  <c r="I297" i="73" s="1"/>
  <c r="I298" i="73" s="1"/>
  <c r="I299" i="73" s="1"/>
  <c r="I300" i="73" s="1"/>
  <c r="I301" i="73" s="1"/>
  <c r="I302" i="73" s="1"/>
  <c r="I303" i="73" s="1"/>
  <c r="I304" i="73" s="1"/>
  <c r="I305" i="73" s="1"/>
  <c r="I306" i="73" s="1"/>
  <c r="I307" i="73" s="1"/>
  <c r="I308" i="73" s="1"/>
  <c r="I309" i="73" s="1"/>
  <c r="I310" i="73" s="1"/>
  <c r="I311" i="73" s="1"/>
  <c r="I312" i="73" s="1"/>
  <c r="I313" i="73" s="1"/>
  <c r="I314" i="73" s="1"/>
  <c r="I315" i="73" s="1"/>
  <c r="I316" i="73" s="1"/>
  <c r="I317" i="73" s="1"/>
  <c r="I318" i="73" s="1"/>
  <c r="I319" i="73" s="1"/>
  <c r="I320" i="73" s="1"/>
  <c r="I321" i="73" s="1"/>
  <c r="I322" i="73" s="1"/>
  <c r="I323" i="73" s="1"/>
  <c r="I324" i="73" s="1"/>
  <c r="I325" i="73" s="1"/>
  <c r="I326" i="73" s="1"/>
  <c r="I327" i="73" s="1"/>
  <c r="I328" i="73" s="1"/>
  <c r="I329" i="73" s="1"/>
  <c r="I330" i="73" s="1"/>
  <c r="I331" i="73" s="1"/>
  <c r="I332" i="73" s="1"/>
  <c r="I333" i="73" s="1"/>
  <c r="I334" i="73" s="1"/>
  <c r="I335" i="73" s="1"/>
  <c r="I336" i="73" s="1"/>
  <c r="I337" i="73" s="1"/>
  <c r="I338" i="73" s="1"/>
  <c r="I339" i="73" s="1"/>
  <c r="I340" i="73" s="1"/>
  <c r="I341" i="73" s="1"/>
  <c r="I342" i="73" s="1"/>
  <c r="I343" i="73" s="1"/>
  <c r="I344" i="73" s="1"/>
  <c r="I345" i="73" s="1"/>
  <c r="I346" i="73" s="1"/>
  <c r="I347" i="73" s="1"/>
  <c r="I348" i="73" s="1"/>
  <c r="I349" i="73" s="1"/>
  <c r="I350" i="73" s="1"/>
  <c r="I351" i="73" s="1"/>
  <c r="I352" i="73" s="1"/>
  <c r="I353" i="73" s="1"/>
  <c r="I354" i="73" s="1"/>
  <c r="I355" i="73" s="1"/>
  <c r="I356" i="73" s="1"/>
  <c r="I357" i="73" s="1"/>
  <c r="I358" i="73" s="1"/>
  <c r="I359" i="73" s="1"/>
  <c r="I360" i="73" s="1"/>
  <c r="I361" i="73" s="1"/>
  <c r="I362" i="73" s="1"/>
  <c r="I363" i="73" s="1"/>
  <c r="I364" i="73" s="1"/>
  <c r="I365" i="73" s="1"/>
  <c r="I366" i="73" s="1"/>
  <c r="I367" i="73" s="1"/>
  <c r="I368" i="73" s="1"/>
  <c r="I369" i="73" s="1"/>
  <c r="I370" i="73" s="1"/>
  <c r="K8" i="32" l="1"/>
  <c r="L8" i="32"/>
  <c r="B16" i="3"/>
  <c r="C15" i="3"/>
  <c r="C18" i="76"/>
  <c r="D18" i="76" s="1"/>
  <c r="C22" i="76"/>
  <c r="D22" i="76" s="1"/>
  <c r="C26" i="76"/>
  <c r="D26" i="76" s="1"/>
  <c r="C30" i="76"/>
  <c r="D30" i="76" s="1"/>
  <c r="C14" i="76"/>
  <c r="D14" i="76" s="1"/>
  <c r="C15" i="76"/>
  <c r="D15" i="76" s="1"/>
  <c r="C19" i="76"/>
  <c r="D19" i="76" s="1"/>
  <c r="C23" i="76"/>
  <c r="D23" i="76" s="1"/>
  <c r="C27" i="76"/>
  <c r="D27" i="76" s="1"/>
  <c r="C31" i="76"/>
  <c r="D31" i="76" s="1"/>
  <c r="C13" i="76"/>
  <c r="D13" i="76" s="1"/>
  <c r="D34" i="76" s="1"/>
  <c r="C32" i="76"/>
  <c r="D32" i="76" s="1"/>
  <c r="C16" i="76"/>
  <c r="D16" i="76" s="1"/>
  <c r="C24" i="76"/>
  <c r="D24" i="76" s="1"/>
  <c r="C17" i="76"/>
  <c r="D17" i="76" s="1"/>
  <c r="C25" i="76"/>
  <c r="D25" i="76" s="1"/>
  <c r="C20" i="76"/>
  <c r="D20" i="76" s="1"/>
  <c r="C21" i="76"/>
  <c r="D21" i="76" s="1"/>
  <c r="C29" i="76"/>
  <c r="D29" i="76" s="1"/>
  <c r="V10" i="1"/>
  <c r="W10" i="1" s="1"/>
  <c r="X10" i="1"/>
  <c r="U11" i="1" s="1"/>
  <c r="C10" i="21"/>
  <c r="D10" i="21" s="1"/>
  <c r="I9" i="10"/>
  <c r="K9" i="10"/>
  <c r="H10" i="10" s="1"/>
  <c r="AN11" i="15"/>
  <c r="AL11" i="15"/>
  <c r="AJ12" i="15"/>
  <c r="AM11" i="15"/>
  <c r="AO11" i="15"/>
  <c r="AP11" i="15"/>
  <c r="AK11" i="15"/>
  <c r="AG7" i="15"/>
  <c r="B53" i="3"/>
  <c r="C53" i="3" s="1"/>
  <c r="C52" i="3"/>
  <c r="Y10" i="15"/>
  <c r="X10" i="15"/>
  <c r="T11" i="15"/>
  <c r="Q10" i="15"/>
  <c r="M10" i="15"/>
  <c r="O10" i="15"/>
  <c r="L11" i="15"/>
  <c r="P10" i="15"/>
  <c r="R10" i="15"/>
  <c r="I35" i="24"/>
  <c r="M19" i="28"/>
  <c r="Z10" i="15"/>
  <c r="B29" i="3"/>
  <c r="C29" i="3" s="1"/>
  <c r="C28" i="3"/>
  <c r="B10" i="4"/>
  <c r="C10" i="4" s="1"/>
  <c r="C9" i="4"/>
  <c r="U10" i="15"/>
  <c r="E6" i="20"/>
  <c r="D7" i="20"/>
  <c r="P8" i="2"/>
  <c r="O9" i="2"/>
  <c r="N9" i="2"/>
  <c r="N10" i="2" s="1"/>
  <c r="D16" i="49"/>
  <c r="E15" i="49"/>
  <c r="D17" i="49"/>
  <c r="F15" i="49"/>
  <c r="K16" i="2"/>
  <c r="L15" i="2"/>
  <c r="F47" i="2"/>
  <c r="G47" i="2" s="1"/>
  <c r="G46" i="2"/>
  <c r="B32" i="3"/>
  <c r="C32" i="3" s="1"/>
  <c r="C31" i="3"/>
  <c r="F14" i="49"/>
  <c r="AG61" i="54"/>
  <c r="AG67" i="54"/>
  <c r="Z9" i="1"/>
  <c r="Z10" i="1" s="1"/>
  <c r="L37" i="2"/>
  <c r="C14" i="3"/>
  <c r="B47" i="3"/>
  <c r="C47" i="3" s="1"/>
  <c r="C46" i="3"/>
  <c r="C15" i="22"/>
  <c r="D15" i="22" s="1"/>
  <c r="E15" i="22" s="1"/>
  <c r="B16" i="22" s="1"/>
  <c r="AF12" i="15"/>
  <c r="AE12" i="15"/>
  <c r="AH12" i="15"/>
  <c r="AC12" i="15"/>
  <c r="AG12" i="15"/>
  <c r="AB13" i="15"/>
  <c r="AN7" i="15"/>
  <c r="C14" i="5"/>
  <c r="Y4" i="44"/>
  <c r="AA10" i="1"/>
  <c r="Q20" i="26"/>
  <c r="L15" i="1"/>
  <c r="G15" i="2"/>
  <c r="F16" i="2"/>
  <c r="B35" i="3"/>
  <c r="C35" i="3" s="1"/>
  <c r="C34" i="3"/>
  <c r="K13" i="43"/>
  <c r="M13" i="43"/>
  <c r="L13" i="43"/>
  <c r="J13" i="43"/>
  <c r="I13" i="43"/>
  <c r="P13" i="43"/>
  <c r="O13" i="43"/>
  <c r="N13" i="43"/>
  <c r="H13" i="43"/>
  <c r="D12" i="72"/>
  <c r="J12" i="72" s="1"/>
  <c r="K11" i="2"/>
  <c r="L10" i="2"/>
  <c r="L14" i="2"/>
  <c r="L34" i="2"/>
  <c r="L52" i="2"/>
  <c r="K59" i="2"/>
  <c r="L59" i="2" s="1"/>
  <c r="B11" i="3"/>
  <c r="C10" i="3"/>
  <c r="B26" i="3"/>
  <c r="C26" i="3" s="1"/>
  <c r="G13" i="43"/>
  <c r="U22" i="49"/>
  <c r="M22" i="49"/>
  <c r="Q22" i="49" s="1"/>
  <c r="F11" i="15"/>
  <c r="E11" i="15"/>
  <c r="C12" i="15"/>
  <c r="I11" i="15"/>
  <c r="D11" i="15"/>
  <c r="G52" i="2"/>
  <c r="I10" i="15"/>
  <c r="E10" i="15"/>
  <c r="D10" i="15"/>
  <c r="H10" i="15"/>
  <c r="G10" i="15"/>
  <c r="F10" i="15"/>
  <c r="C9" i="3"/>
  <c r="Q19" i="25"/>
  <c r="Q18" i="25"/>
  <c r="E19" i="25"/>
  <c r="E18" i="25"/>
  <c r="AG22" i="37"/>
  <c r="AG24" i="37" s="1"/>
  <c r="AG14" i="37"/>
  <c r="AG17" i="37"/>
  <c r="Q13" i="43"/>
  <c r="O16" i="43"/>
  <c r="G16" i="43"/>
  <c r="M16" i="43"/>
  <c r="L16" i="43"/>
  <c r="K16" i="43"/>
  <c r="J16" i="43"/>
  <c r="Q16" i="43"/>
  <c r="P16" i="43"/>
  <c r="N16" i="43"/>
  <c r="I16" i="43"/>
  <c r="H16" i="43"/>
  <c r="E27" i="44"/>
  <c r="C14" i="31"/>
  <c r="D14" i="31" s="1"/>
  <c r="C21" i="31"/>
  <c r="D21" i="31" s="1"/>
  <c r="C13" i="31"/>
  <c r="D13" i="31" s="1"/>
  <c r="C28" i="31"/>
  <c r="D28" i="31" s="1"/>
  <c r="C23" i="31"/>
  <c r="D23" i="31" s="1"/>
  <c r="C16" i="31"/>
  <c r="D16" i="31" s="1"/>
  <c r="C18" i="31"/>
  <c r="D18" i="31" s="1"/>
  <c r="C15" i="31"/>
  <c r="D15" i="31" s="1"/>
  <c r="C31" i="31"/>
  <c r="D31" i="31" s="1"/>
  <c r="C24" i="31"/>
  <c r="D24" i="31" s="1"/>
  <c r="C30" i="31"/>
  <c r="D30" i="31" s="1"/>
  <c r="C27" i="31"/>
  <c r="D27" i="31" s="1"/>
  <c r="C20" i="31"/>
  <c r="D20" i="31" s="1"/>
  <c r="C26" i="31"/>
  <c r="D26" i="31" s="1"/>
  <c r="C32" i="31"/>
  <c r="D32" i="31" s="1"/>
  <c r="K13" i="34"/>
  <c r="J14" i="34"/>
  <c r="N20" i="43"/>
  <c r="AH11" i="15"/>
  <c r="AD11" i="15"/>
  <c r="AF11" i="15"/>
  <c r="J14" i="6"/>
  <c r="G15" i="29"/>
  <c r="F30" i="31"/>
  <c r="G30" i="31" s="1"/>
  <c r="F16" i="31"/>
  <c r="G16" i="31" s="1"/>
  <c r="F25" i="31"/>
  <c r="G25" i="31" s="1"/>
  <c r="F18" i="31"/>
  <c r="G18" i="31" s="1"/>
  <c r="F13" i="31"/>
  <c r="G13" i="31" s="1"/>
  <c r="F24" i="31"/>
  <c r="G24" i="31" s="1"/>
  <c r="F21" i="31"/>
  <c r="G21" i="31" s="1"/>
  <c r="F27" i="31"/>
  <c r="G27" i="31" s="1"/>
  <c r="F20" i="31"/>
  <c r="G20" i="31" s="1"/>
  <c r="F17" i="31"/>
  <c r="G17" i="31" s="1"/>
  <c r="F14" i="31"/>
  <c r="G14" i="31" s="1"/>
  <c r="F23" i="31"/>
  <c r="G23" i="31" s="1"/>
  <c r="F26" i="31"/>
  <c r="G26" i="31" s="1"/>
  <c r="F32" i="31"/>
  <c r="G32" i="31" s="1"/>
  <c r="F14" i="37"/>
  <c r="F17" i="37"/>
  <c r="F11" i="11"/>
  <c r="L15" i="11" s="1"/>
  <c r="F12" i="11"/>
  <c r="X7" i="11"/>
  <c r="X11" i="11" s="1"/>
  <c r="AC11" i="15"/>
  <c r="R9" i="2"/>
  <c r="K32" i="2"/>
  <c r="L32" i="2" s="1"/>
  <c r="K47" i="2"/>
  <c r="L47" i="2" s="1"/>
  <c r="C55" i="3"/>
  <c r="J12" i="9"/>
  <c r="J15" i="9" s="1"/>
  <c r="F15" i="31"/>
  <c r="G15" i="31" s="1"/>
  <c r="F28" i="31"/>
  <c r="G28" i="31" s="1"/>
  <c r="I9" i="13"/>
  <c r="J8" i="13"/>
  <c r="M10" i="49"/>
  <c r="U10" i="49"/>
  <c r="K10" i="49"/>
  <c r="AG11" i="15"/>
  <c r="J10" i="49"/>
  <c r="J8" i="33"/>
  <c r="AN10" i="15"/>
  <c r="AL10" i="15"/>
  <c r="B50" i="3"/>
  <c r="C50" i="3" s="1"/>
  <c r="U7" i="30"/>
  <c r="R8" i="30" s="1"/>
  <c r="T8" i="30"/>
  <c r="T9" i="30" s="1"/>
  <c r="T10" i="30" s="1"/>
  <c r="T11" i="30" s="1"/>
  <c r="T12" i="30" s="1"/>
  <c r="T13" i="30" s="1"/>
  <c r="T14" i="30" s="1"/>
  <c r="T15" i="30" s="1"/>
  <c r="T16" i="30" s="1"/>
  <c r="T17" i="30" s="1"/>
  <c r="T18" i="30" s="1"/>
  <c r="T19" i="30" s="1"/>
  <c r="T20" i="30" s="1"/>
  <c r="T21" i="30" s="1"/>
  <c r="C22" i="31"/>
  <c r="D22" i="31" s="1"/>
  <c r="C29" i="31"/>
  <c r="D29" i="31" s="1"/>
  <c r="R12" i="49"/>
  <c r="O12" i="49"/>
  <c r="W7" i="15"/>
  <c r="L18" i="53"/>
  <c r="L20" i="53" s="1"/>
  <c r="L28" i="53"/>
  <c r="C23" i="53"/>
  <c r="C25" i="53" s="1"/>
  <c r="O10" i="43"/>
  <c r="G10" i="43"/>
  <c r="L10" i="43"/>
  <c r="K10" i="43"/>
  <c r="J10" i="43"/>
  <c r="I10" i="43"/>
  <c r="AE29" i="44"/>
  <c r="M28" i="51"/>
  <c r="N31" i="51" s="1"/>
  <c r="M28" i="53"/>
  <c r="M30" i="53" s="1"/>
  <c r="E13" i="49"/>
  <c r="F13" i="49"/>
  <c r="R13" i="34"/>
  <c r="H10" i="43"/>
  <c r="U19" i="49"/>
  <c r="C20" i="49"/>
  <c r="Z7" i="30"/>
  <c r="W8" i="30" s="1"/>
  <c r="AG29" i="44"/>
  <c r="N20" i="26"/>
  <c r="E20" i="26"/>
  <c r="M10" i="43"/>
  <c r="M20" i="43" s="1"/>
  <c r="K17" i="43"/>
  <c r="J17" i="43"/>
  <c r="I17" i="43"/>
  <c r="Q17" i="43"/>
  <c r="H17" i="43"/>
  <c r="P17" i="43"/>
  <c r="G17" i="43"/>
  <c r="L29" i="44"/>
  <c r="G7" i="16"/>
  <c r="L35" i="24"/>
  <c r="Q15" i="34"/>
  <c r="J9" i="40"/>
  <c r="O4" i="40" s="1"/>
  <c r="K7" i="43"/>
  <c r="L7" i="43"/>
  <c r="L20" i="43" s="1"/>
  <c r="J7" i="43"/>
  <c r="J20" i="43" s="1"/>
  <c r="I7" i="43"/>
  <c r="Q7" i="43"/>
  <c r="H7" i="43"/>
  <c r="N10" i="43"/>
  <c r="L17" i="43"/>
  <c r="K8" i="44"/>
  <c r="K30" i="44" s="1"/>
  <c r="M19" i="49"/>
  <c r="Q19" i="49" s="1"/>
  <c r="O23" i="35"/>
  <c r="O11" i="43"/>
  <c r="O14" i="43"/>
  <c r="G14" i="43"/>
  <c r="P14" i="43"/>
  <c r="Y53" i="54"/>
  <c r="L17" i="55"/>
  <c r="K21" i="35"/>
  <c r="D22" i="35"/>
  <c r="M21" i="35"/>
  <c r="J18" i="35"/>
  <c r="E19" i="35"/>
  <c r="O4" i="41"/>
  <c r="O8" i="43"/>
  <c r="O20" i="43" s="1"/>
  <c r="G8" i="43"/>
  <c r="G20" i="43" s="1"/>
  <c r="G21" i="43" s="1"/>
  <c r="P8" i="43"/>
  <c r="V12" i="49"/>
  <c r="E12" i="49"/>
  <c r="F12" i="49"/>
  <c r="H53" i="54"/>
  <c r="Y60" i="54" s="1"/>
  <c r="S20" i="35"/>
  <c r="R21" i="35"/>
  <c r="C15" i="34"/>
  <c r="C11" i="34"/>
  <c r="C17" i="34" s="1"/>
  <c r="D15" i="29"/>
  <c r="H8" i="43"/>
  <c r="Q8" i="43"/>
  <c r="H11" i="43"/>
  <c r="Q11" i="43"/>
  <c r="I14" i="43"/>
  <c r="O15" i="43"/>
  <c r="N12" i="44"/>
  <c r="K12" i="49"/>
  <c r="J12" i="49"/>
  <c r="I13" i="49"/>
  <c r="I12" i="11"/>
  <c r="O8" i="30"/>
  <c r="L9" i="30"/>
  <c r="L10" i="30" s="1"/>
  <c r="N8" i="30"/>
  <c r="C12" i="11"/>
  <c r="I8" i="43"/>
  <c r="O9" i="43"/>
  <c r="I11" i="43"/>
  <c r="O12" i="43"/>
  <c r="G12" i="43"/>
  <c r="P12" i="43"/>
  <c r="J14" i="43"/>
  <c r="G15" i="43"/>
  <c r="P15" i="43"/>
  <c r="F25" i="49"/>
  <c r="F9" i="15"/>
  <c r="B10" i="16"/>
  <c r="G9" i="16"/>
  <c r="F9" i="16"/>
  <c r="I53" i="54"/>
  <c r="I54" i="54" s="1"/>
  <c r="N9" i="30"/>
  <c r="R13" i="11"/>
  <c r="L20" i="35"/>
  <c r="U21" i="35"/>
  <c r="V20" i="35"/>
  <c r="W11" i="49"/>
  <c r="R11" i="11"/>
  <c r="X22" i="35"/>
  <c r="Y21" i="35"/>
  <c r="M20" i="35"/>
  <c r="Y20" i="35"/>
  <c r="L21" i="35"/>
  <c r="N23" i="27"/>
  <c r="Q30" i="44"/>
  <c r="N11" i="49"/>
  <c r="K11" i="49"/>
  <c r="K25" i="49" s="1"/>
  <c r="U7" i="11"/>
  <c r="U11" i="11" s="1"/>
  <c r="O12" i="11"/>
  <c r="F22" i="35"/>
  <c r="F24" i="35"/>
  <c r="F26" i="35"/>
  <c r="F20" i="35"/>
  <c r="K20" i="35" s="1"/>
  <c r="F28" i="35"/>
  <c r="F31" i="35" s="1"/>
  <c r="G24" i="35"/>
  <c r="E7" i="71"/>
  <c r="AY10" i="15"/>
  <c r="BB10" i="15"/>
  <c r="AU11" i="15"/>
  <c r="AW12" i="15"/>
  <c r="AZ11" i="15"/>
  <c r="BB11" i="15"/>
  <c r="AY9" i="15"/>
  <c r="BB9" i="15"/>
  <c r="J11" i="73"/>
  <c r="F11" i="73"/>
  <c r="G11" i="73" s="1"/>
  <c r="C12" i="73" s="1"/>
  <c r="E11" i="74"/>
  <c r="J11" i="74"/>
  <c r="I10" i="75"/>
  <c r="H11" i="75"/>
  <c r="H22" i="35"/>
  <c r="AZ10" i="15"/>
  <c r="AV11" i="15"/>
  <c r="O18" i="17"/>
  <c r="F9" i="2"/>
  <c r="G8" i="2"/>
  <c r="F10" i="49"/>
  <c r="E10" i="49"/>
  <c r="N28" i="51"/>
  <c r="K19" i="35"/>
  <c r="L19" i="35"/>
  <c r="E9" i="19"/>
  <c r="D9" i="19" s="1"/>
  <c r="AD7" i="15"/>
  <c r="AD8" i="15"/>
  <c r="G5" i="39"/>
  <c r="F15" i="76"/>
  <c r="G15" i="76" s="1"/>
  <c r="F19" i="76"/>
  <c r="G19" i="76" s="1"/>
  <c r="F23" i="76"/>
  <c r="G23" i="76" s="1"/>
  <c r="F27" i="76"/>
  <c r="G27" i="76" s="1"/>
  <c r="F31" i="76"/>
  <c r="G31" i="76" s="1"/>
  <c r="F14" i="76"/>
  <c r="G14" i="76" s="1"/>
  <c r="F18" i="76"/>
  <c r="G18" i="76" s="1"/>
  <c r="F22" i="76"/>
  <c r="G22" i="76" s="1"/>
  <c r="F26" i="76"/>
  <c r="G26" i="76" s="1"/>
  <c r="F30" i="76"/>
  <c r="G30" i="76" s="1"/>
  <c r="J18" i="17"/>
  <c r="F28" i="76"/>
  <c r="G28" i="76" s="1"/>
  <c r="F20" i="76"/>
  <c r="G20" i="76" s="1"/>
  <c r="AG60" i="54"/>
  <c r="Q54" i="54"/>
  <c r="Q67" i="54"/>
  <c r="I67" i="54"/>
  <c r="I62" i="54"/>
  <c r="D34" i="31"/>
  <c r="R11" i="77"/>
  <c r="P11" i="77"/>
  <c r="D12" i="77"/>
  <c r="I12" i="77" s="1"/>
  <c r="X12" i="77"/>
  <c r="Z12" i="77" s="1"/>
  <c r="D12" i="19"/>
  <c r="C16" i="22" l="1"/>
  <c r="D16" i="22" s="1"/>
  <c r="E16" i="22" s="1"/>
  <c r="B17" i="22" s="1"/>
  <c r="K21" i="43"/>
  <c r="J21" i="43"/>
  <c r="P21" i="43"/>
  <c r="I21" i="43"/>
  <c r="C11" i="21"/>
  <c r="D11" i="21" s="1"/>
  <c r="D12" i="73"/>
  <c r="F12" i="73" s="1"/>
  <c r="G12" i="73"/>
  <c r="C13" i="73" s="1"/>
  <c r="AO7" i="15"/>
  <c r="I10" i="10"/>
  <c r="K10" i="10" s="1"/>
  <c r="H11" i="10" s="1"/>
  <c r="K8" i="33"/>
  <c r="J9" i="33"/>
  <c r="K20" i="43"/>
  <c r="M31" i="53"/>
  <c r="J9" i="13"/>
  <c r="I10" i="13"/>
  <c r="N30" i="51"/>
  <c r="D23" i="35"/>
  <c r="L22" i="35"/>
  <c r="X12" i="11"/>
  <c r="S8" i="30"/>
  <c r="U8" i="30" s="1"/>
  <c r="R9" i="30" s="1"/>
  <c r="U12" i="11"/>
  <c r="E7" i="20"/>
  <c r="D8" i="20" s="1"/>
  <c r="E8" i="20" s="1"/>
  <c r="C16" i="3"/>
  <c r="B17" i="3"/>
  <c r="C17" i="3" s="1"/>
  <c r="C69" i="3" s="1"/>
  <c r="W12" i="49"/>
  <c r="C21" i="49"/>
  <c r="M20" i="49"/>
  <c r="Q20" i="49" s="1"/>
  <c r="U20" i="49"/>
  <c r="P20" i="43"/>
  <c r="N11" i="2"/>
  <c r="AZ12" i="15"/>
  <c r="AW13" i="15"/>
  <c r="P22" i="35"/>
  <c r="J12" i="73"/>
  <c r="AU12" i="15"/>
  <c r="BB12" i="15" s="1"/>
  <c r="AY11" i="15"/>
  <c r="R11" i="49"/>
  <c r="O11" i="49"/>
  <c r="O24" i="35"/>
  <c r="P23" i="35"/>
  <c r="H20" i="43"/>
  <c r="S9" i="2"/>
  <c r="T9" i="2" s="1"/>
  <c r="D18" i="49"/>
  <c r="F17" i="49"/>
  <c r="E17" i="49"/>
  <c r="AP12" i="15"/>
  <c r="AK12" i="15"/>
  <c r="AJ13" i="15"/>
  <c r="AL12" i="15"/>
  <c r="AM12" i="15"/>
  <c r="AO12" i="15"/>
  <c r="AN12" i="15"/>
  <c r="V11" i="1"/>
  <c r="W11" i="1" s="1"/>
  <c r="X11" i="1" s="1"/>
  <c r="U12" i="1" s="1"/>
  <c r="Y22" i="35"/>
  <c r="X23" i="35"/>
  <c r="O10" i="49"/>
  <c r="Q10" i="49"/>
  <c r="C11" i="3"/>
  <c r="B12" i="3"/>
  <c r="C12" i="3" s="1"/>
  <c r="G31" i="35"/>
  <c r="L11" i="30"/>
  <c r="O10" i="30"/>
  <c r="N10" i="30"/>
  <c r="AG13" i="15"/>
  <c r="AE13" i="15"/>
  <c r="AF13" i="15"/>
  <c r="AB14" i="15"/>
  <c r="AD13" i="15"/>
  <c r="AH13" i="15"/>
  <c r="AC13" i="15"/>
  <c r="I11" i="74"/>
  <c r="G11" i="74"/>
  <c r="C12" i="74" s="1"/>
  <c r="O9" i="30"/>
  <c r="R22" i="35"/>
  <c r="S21" i="35"/>
  <c r="AA11" i="1"/>
  <c r="K17" i="2"/>
  <c r="L17" i="2" s="1"/>
  <c r="L16" i="2"/>
  <c r="Q11" i="15"/>
  <c r="M11" i="15"/>
  <c r="O11" i="15"/>
  <c r="R11" i="15"/>
  <c r="N11" i="15"/>
  <c r="L12" i="15"/>
  <c r="P11" i="15"/>
  <c r="Q16" i="34"/>
  <c r="R15" i="34"/>
  <c r="AG62" i="54"/>
  <c r="U22" i="35"/>
  <c r="V21" i="35"/>
  <c r="F19" i="37"/>
  <c r="F17" i="2"/>
  <c r="G17" i="2" s="1"/>
  <c r="G16" i="2"/>
  <c r="Q60" i="54"/>
  <c r="X8" i="30"/>
  <c r="Z8" i="30"/>
  <c r="W9" i="30" s="1"/>
  <c r="F10" i="2"/>
  <c r="G9" i="2"/>
  <c r="J15" i="34"/>
  <c r="K14" i="34"/>
  <c r="P9" i="2"/>
  <c r="O10" i="2"/>
  <c r="AV12" i="15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31" i="15"/>
  <c r="AG19" i="37"/>
  <c r="G12" i="15"/>
  <c r="I12" i="15"/>
  <c r="E12" i="15"/>
  <c r="C13" i="15"/>
  <c r="F12" i="15"/>
  <c r="D12" i="15"/>
  <c r="H12" i="15"/>
  <c r="K13" i="49"/>
  <c r="J13" i="49"/>
  <c r="N13" i="49"/>
  <c r="I14" i="49"/>
  <c r="X7" i="15"/>
  <c r="M22" i="35"/>
  <c r="H31" i="35"/>
  <c r="D10" i="16"/>
  <c r="C10" i="16"/>
  <c r="B11" i="16"/>
  <c r="G10" i="16"/>
  <c r="F10" i="16"/>
  <c r="E10" i="16"/>
  <c r="H5" i="39"/>
  <c r="I5" i="39"/>
  <c r="Y61" i="54"/>
  <c r="Y62" i="54" s="1"/>
  <c r="Y54" i="54"/>
  <c r="Y67" i="54"/>
  <c r="Q20" i="43"/>
  <c r="Q21" i="43" s="1"/>
  <c r="L21" i="43" s="1"/>
  <c r="L11" i="2"/>
  <c r="L69" i="2" s="1"/>
  <c r="K12" i="2"/>
  <c r="L12" i="2" s="1"/>
  <c r="G34" i="76"/>
  <c r="H12" i="75"/>
  <c r="I11" i="75"/>
  <c r="I7" i="71"/>
  <c r="G7" i="71"/>
  <c r="C8" i="71" s="1"/>
  <c r="K22" i="35"/>
  <c r="E12" i="72"/>
  <c r="N13" i="44"/>
  <c r="R12" i="44"/>
  <c r="E20" i="35"/>
  <c r="J19" i="35"/>
  <c r="I20" i="43"/>
  <c r="V13" i="49"/>
  <c r="W13" i="49" s="1"/>
  <c r="W10" i="49"/>
  <c r="G34" i="31"/>
  <c r="Q61" i="54"/>
  <c r="E16" i="49"/>
  <c r="F16" i="49"/>
  <c r="C14" i="4"/>
  <c r="V11" i="15"/>
  <c r="Y11" i="15"/>
  <c r="Z11" i="15"/>
  <c r="U11" i="15"/>
  <c r="X11" i="15"/>
  <c r="T12" i="15"/>
  <c r="W11" i="15"/>
  <c r="AH7" i="15"/>
  <c r="N8" i="32"/>
  <c r="E12" i="77"/>
  <c r="F12" i="77" s="1"/>
  <c r="C13" i="77" s="1"/>
  <c r="AC12" i="77"/>
  <c r="J12" i="19"/>
  <c r="E12" i="19"/>
  <c r="P12" i="19"/>
  <c r="U12" i="19"/>
  <c r="X12" i="1" l="1"/>
  <c r="U13" i="1" s="1"/>
  <c r="V12" i="1"/>
  <c r="W12" i="1" s="1"/>
  <c r="D12" i="21"/>
  <c r="C12" i="21"/>
  <c r="S9" i="30"/>
  <c r="U9" i="30"/>
  <c r="R10" i="30" s="1"/>
  <c r="I11" i="10"/>
  <c r="K11" i="10"/>
  <c r="H12" i="10" s="1"/>
  <c r="C17" i="22"/>
  <c r="D17" i="22" s="1"/>
  <c r="E17" i="22" s="1"/>
  <c r="B18" i="22" s="1"/>
  <c r="AA12" i="1"/>
  <c r="AP7" i="15"/>
  <c r="D13" i="73"/>
  <c r="F13" i="73" s="1"/>
  <c r="G13" i="73"/>
  <c r="C14" i="73" s="1"/>
  <c r="G10" i="2"/>
  <c r="F11" i="2"/>
  <c r="V12" i="15"/>
  <c r="X12" i="15"/>
  <c r="T13" i="15"/>
  <c r="Y12" i="15"/>
  <c r="U12" i="15"/>
  <c r="Z12" i="15"/>
  <c r="W12" i="15"/>
  <c r="Z11" i="1"/>
  <c r="Z12" i="1" s="1"/>
  <c r="O13" i="49"/>
  <c r="R13" i="49"/>
  <c r="X9" i="30"/>
  <c r="Z9" i="30"/>
  <c r="W10" i="30" s="1"/>
  <c r="M8" i="71"/>
  <c r="D8" i="71"/>
  <c r="L8" i="71"/>
  <c r="L13" i="15"/>
  <c r="N12" i="15"/>
  <c r="Q12" i="15"/>
  <c r="P12" i="15"/>
  <c r="O12" i="15"/>
  <c r="R12" i="15"/>
  <c r="M12" i="15"/>
  <c r="I11" i="13"/>
  <c r="J10" i="13"/>
  <c r="H21" i="43"/>
  <c r="N21" i="43"/>
  <c r="F6" i="39"/>
  <c r="Q62" i="54"/>
  <c r="L9" i="32"/>
  <c r="K9" i="32"/>
  <c r="N9" i="32" s="1"/>
  <c r="I12" i="75"/>
  <c r="H13" i="75"/>
  <c r="AU13" i="15"/>
  <c r="AY12" i="15"/>
  <c r="N14" i="44"/>
  <c r="R13" i="44"/>
  <c r="K14" i="49"/>
  <c r="J14" i="49"/>
  <c r="I15" i="49"/>
  <c r="N14" i="49"/>
  <c r="V14" i="49"/>
  <c r="W14" i="49" s="1"/>
  <c r="X24" i="35"/>
  <c r="Y23" i="35"/>
  <c r="U21" i="49"/>
  <c r="U24" i="49" s="1"/>
  <c r="M21" i="49"/>
  <c r="L23" i="35"/>
  <c r="D24" i="35"/>
  <c r="K23" i="35"/>
  <c r="M23" i="35"/>
  <c r="J10" i="33"/>
  <c r="K9" i="33"/>
  <c r="M21" i="43"/>
  <c r="K15" i="34"/>
  <c r="J16" i="34"/>
  <c r="V22" i="35"/>
  <c r="U23" i="35"/>
  <c r="J20" i="35"/>
  <c r="E21" i="35"/>
  <c r="O11" i="30"/>
  <c r="L12" i="30"/>
  <c r="N11" i="30"/>
  <c r="J13" i="73"/>
  <c r="I12" i="72"/>
  <c r="G12" i="72"/>
  <c r="C13" i="72" s="1"/>
  <c r="D11" i="16"/>
  <c r="G11" i="16"/>
  <c r="F11" i="16"/>
  <c r="B13" i="16"/>
  <c r="E11" i="16"/>
  <c r="C11" i="16"/>
  <c r="B12" i="16"/>
  <c r="P10" i="2"/>
  <c r="O11" i="2"/>
  <c r="Q17" i="34"/>
  <c r="R16" i="34"/>
  <c r="D12" i="74"/>
  <c r="AM13" i="15"/>
  <c r="AP13" i="15"/>
  <c r="AL13" i="15"/>
  <c r="AK13" i="15"/>
  <c r="AO13" i="15"/>
  <c r="AN13" i="15"/>
  <c r="AJ14" i="15"/>
  <c r="O25" i="35"/>
  <c r="O21" i="43"/>
  <c r="Y7" i="15"/>
  <c r="S22" i="35"/>
  <c r="R23" i="35"/>
  <c r="AE14" i="15"/>
  <c r="AF14" i="15"/>
  <c r="AH14" i="15"/>
  <c r="AC14" i="15"/>
  <c r="AG14" i="15"/>
  <c r="AD14" i="15"/>
  <c r="AB15" i="15"/>
  <c r="E18" i="49"/>
  <c r="D19" i="49"/>
  <c r="F18" i="49"/>
  <c r="D13" i="15"/>
  <c r="H13" i="15"/>
  <c r="C14" i="15"/>
  <c r="G13" i="15"/>
  <c r="E13" i="15"/>
  <c r="I13" i="15"/>
  <c r="F13" i="15"/>
  <c r="R10" i="2"/>
  <c r="BB13" i="15"/>
  <c r="AW14" i="15"/>
  <c r="AZ13" i="15"/>
  <c r="H12" i="77"/>
  <c r="AB12" i="77"/>
  <c r="W13" i="77"/>
  <c r="D13" i="77"/>
  <c r="I12" i="19"/>
  <c r="G12" i="19"/>
  <c r="C13" i="19" s="1"/>
  <c r="R12" i="19"/>
  <c r="N13" i="19" s="1"/>
  <c r="O13" i="19" s="1"/>
  <c r="T12" i="19"/>
  <c r="C18" i="22" l="1"/>
  <c r="D18" i="22" s="1"/>
  <c r="E18" i="22" s="1"/>
  <c r="V13" i="1"/>
  <c r="W13" i="1" s="1"/>
  <c r="X13" i="1" s="1"/>
  <c r="AW15" i="15"/>
  <c r="AZ14" i="15"/>
  <c r="L10" i="32"/>
  <c r="K10" i="32"/>
  <c r="N10" i="32" s="1"/>
  <c r="I12" i="10"/>
  <c r="K12" i="10"/>
  <c r="H13" i="10" s="1"/>
  <c r="Y24" i="35"/>
  <c r="X25" i="35"/>
  <c r="N13" i="15"/>
  <c r="M13" i="15"/>
  <c r="Q13" i="15"/>
  <c r="L14" i="15"/>
  <c r="O13" i="15"/>
  <c r="R13" i="15"/>
  <c r="P13" i="15"/>
  <c r="D14" i="73"/>
  <c r="F14" i="73" s="1"/>
  <c r="G14" i="73"/>
  <c r="C15" i="73" s="1"/>
  <c r="AA13" i="1"/>
  <c r="S10" i="2"/>
  <c r="T10" i="2" s="1"/>
  <c r="R11" i="2"/>
  <c r="AF15" i="15"/>
  <c r="AE15" i="15"/>
  <c r="AH15" i="15"/>
  <c r="AG15" i="15"/>
  <c r="AC15" i="15"/>
  <c r="AB16" i="15"/>
  <c r="AD15" i="15"/>
  <c r="Q18" i="34"/>
  <c r="R17" i="34"/>
  <c r="L13" i="30"/>
  <c r="O12" i="30"/>
  <c r="N12" i="30"/>
  <c r="J17" i="34"/>
  <c r="K16" i="34"/>
  <c r="K10" i="33"/>
  <c r="J11" i="33"/>
  <c r="B14" i="16"/>
  <c r="D13" i="16"/>
  <c r="C13" i="16"/>
  <c r="G13" i="16"/>
  <c r="F13" i="16"/>
  <c r="E13" i="16"/>
  <c r="U24" i="35"/>
  <c r="V23" i="35"/>
  <c r="J11" i="13"/>
  <c r="I12" i="13"/>
  <c r="J12" i="13" s="1"/>
  <c r="J14" i="13" s="1"/>
  <c r="I14" i="15"/>
  <c r="D14" i="15"/>
  <c r="E14" i="15"/>
  <c r="G14" i="15"/>
  <c r="H14" i="15"/>
  <c r="F14" i="15"/>
  <c r="C15" i="15"/>
  <c r="R24" i="35"/>
  <c r="S23" i="35"/>
  <c r="O12" i="2"/>
  <c r="P11" i="2"/>
  <c r="Q21" i="49"/>
  <c r="Q24" i="49" s="1"/>
  <c r="M24" i="49"/>
  <c r="G6" i="39"/>
  <c r="N12" i="2"/>
  <c r="S10" i="30"/>
  <c r="U10" i="30"/>
  <c r="R11" i="30" s="1"/>
  <c r="C13" i="21"/>
  <c r="D13" i="21"/>
  <c r="Z13" i="1"/>
  <c r="D20" i="49"/>
  <c r="F19" i="49"/>
  <c r="E19" i="49"/>
  <c r="E12" i="74"/>
  <c r="J12" i="74"/>
  <c r="G11" i="2"/>
  <c r="F12" i="2"/>
  <c r="G12" i="2" s="1"/>
  <c r="G69" i="2" s="1"/>
  <c r="X10" i="30"/>
  <c r="Z10" i="30"/>
  <c r="W11" i="30" s="1"/>
  <c r="D25" i="35"/>
  <c r="M24" i="35"/>
  <c r="K24" i="35"/>
  <c r="L24" i="35"/>
  <c r="R14" i="44"/>
  <c r="N15" i="44"/>
  <c r="Z7" i="15"/>
  <c r="P24" i="35"/>
  <c r="D13" i="72"/>
  <c r="R14" i="49"/>
  <c r="O14" i="49"/>
  <c r="AY13" i="15"/>
  <c r="AU14" i="15"/>
  <c r="BB14" i="15" s="1"/>
  <c r="Z13" i="15"/>
  <c r="U13" i="15"/>
  <c r="V13" i="15"/>
  <c r="Y13" i="15"/>
  <c r="T14" i="15"/>
  <c r="W13" i="15"/>
  <c r="X13" i="15"/>
  <c r="J14" i="73"/>
  <c r="E22" i="35"/>
  <c r="J21" i="35"/>
  <c r="AL14" i="15"/>
  <c r="AP14" i="15"/>
  <c r="AO14" i="15"/>
  <c r="AK14" i="15"/>
  <c r="AN14" i="15"/>
  <c r="AJ15" i="15"/>
  <c r="AM14" i="15"/>
  <c r="P25" i="35"/>
  <c r="O26" i="35"/>
  <c r="F12" i="16"/>
  <c r="G12" i="16"/>
  <c r="C12" i="16"/>
  <c r="E12" i="16"/>
  <c r="D12" i="16"/>
  <c r="J15" i="49"/>
  <c r="K15" i="49"/>
  <c r="I16" i="49"/>
  <c r="N15" i="49"/>
  <c r="I17" i="49"/>
  <c r="V15" i="49"/>
  <c r="H14" i="75"/>
  <c r="I13" i="75"/>
  <c r="E8" i="71"/>
  <c r="J8" i="71"/>
  <c r="X13" i="77"/>
  <c r="Z13" i="77" s="1"/>
  <c r="E13" i="77"/>
  <c r="F13" i="77" s="1"/>
  <c r="I13" i="77"/>
  <c r="D13" i="19"/>
  <c r="I6" i="39" l="1"/>
  <c r="N13" i="30"/>
  <c r="O13" i="30"/>
  <c r="L14" i="30"/>
  <c r="C14" i="21"/>
  <c r="D14" i="21" s="1"/>
  <c r="O27" i="35"/>
  <c r="S24" i="35"/>
  <c r="R25" i="35"/>
  <c r="K25" i="35"/>
  <c r="D26" i="35"/>
  <c r="P26" i="35" s="1"/>
  <c r="L25" i="35"/>
  <c r="M25" i="35"/>
  <c r="C16" i="15"/>
  <c r="E15" i="15"/>
  <c r="D15" i="15"/>
  <c r="I15" i="15"/>
  <c r="G15" i="15"/>
  <c r="F15" i="15"/>
  <c r="H15" i="15"/>
  <c r="I18" i="49"/>
  <c r="K17" i="49"/>
  <c r="J17" i="49"/>
  <c r="N17" i="49"/>
  <c r="V17" i="49"/>
  <c r="W17" i="49" s="1"/>
  <c r="T15" i="15"/>
  <c r="W14" i="15"/>
  <c r="U14" i="15"/>
  <c r="X14" i="15"/>
  <c r="V14" i="15"/>
  <c r="Y14" i="15"/>
  <c r="Z14" i="15"/>
  <c r="O15" i="49"/>
  <c r="R15" i="49"/>
  <c r="O13" i="2"/>
  <c r="P12" i="2"/>
  <c r="K17" i="34"/>
  <c r="J18" i="34"/>
  <c r="I13" i="10"/>
  <c r="K13" i="10"/>
  <c r="H14" i="10" s="1"/>
  <c r="AW16" i="15"/>
  <c r="AZ15" i="15"/>
  <c r="BB15" i="15"/>
  <c r="J16" i="49"/>
  <c r="K16" i="49"/>
  <c r="N16" i="49"/>
  <c r="V16" i="49"/>
  <c r="W16" i="49" s="1"/>
  <c r="R15" i="44"/>
  <c r="N16" i="44"/>
  <c r="N13" i="2"/>
  <c r="N14" i="2" s="1"/>
  <c r="U25" i="35"/>
  <c r="V24" i="35"/>
  <c r="AH16" i="15"/>
  <c r="AC16" i="15"/>
  <c r="AG16" i="15"/>
  <c r="AD16" i="15"/>
  <c r="AB17" i="15"/>
  <c r="AE16" i="15"/>
  <c r="AF16" i="15"/>
  <c r="K11" i="33"/>
  <c r="J12" i="33"/>
  <c r="E23" i="35"/>
  <c r="J22" i="35"/>
  <c r="J15" i="73"/>
  <c r="G8" i="71"/>
  <c r="C9" i="71" s="1"/>
  <c r="I8" i="71"/>
  <c r="D15" i="73"/>
  <c r="F15" i="73" s="1"/>
  <c r="G15" i="73" s="1"/>
  <c r="C16" i="73" s="1"/>
  <c r="G12" i="74"/>
  <c r="C13" i="74" s="1"/>
  <c r="I12" i="74"/>
  <c r="Q19" i="34"/>
  <c r="R18" i="34"/>
  <c r="X26" i="35"/>
  <c r="Y25" i="35"/>
  <c r="AU15" i="15"/>
  <c r="AY14" i="15"/>
  <c r="S11" i="30"/>
  <c r="U11" i="30"/>
  <c r="R12" i="30" s="1"/>
  <c r="X11" i="30"/>
  <c r="Z11" i="30"/>
  <c r="W12" i="30" s="1"/>
  <c r="S11" i="2"/>
  <c r="T11" i="2" s="1"/>
  <c r="E13" i="72"/>
  <c r="J13" i="72"/>
  <c r="AJ16" i="15"/>
  <c r="AK15" i="15"/>
  <c r="AN15" i="15"/>
  <c r="AM15" i="15"/>
  <c r="AO15" i="15"/>
  <c r="AL15" i="15"/>
  <c r="AP15" i="15"/>
  <c r="H6" i="39"/>
  <c r="K11" i="32"/>
  <c r="N11" i="32" s="1"/>
  <c r="L11" i="32"/>
  <c r="I14" i="75"/>
  <c r="H15" i="75"/>
  <c r="W15" i="49"/>
  <c r="G14" i="16"/>
  <c r="F14" i="16"/>
  <c r="E14" i="16"/>
  <c r="D14" i="16"/>
  <c r="B15" i="16"/>
  <c r="C14" i="16"/>
  <c r="D21" i="49"/>
  <c r="F20" i="49"/>
  <c r="E20" i="49"/>
  <c r="P14" i="15"/>
  <c r="O14" i="15"/>
  <c r="M14" i="15"/>
  <c r="N14" i="15"/>
  <c r="Q14" i="15"/>
  <c r="L15" i="15"/>
  <c r="R14" i="15"/>
  <c r="AC13" i="77"/>
  <c r="H13" i="77"/>
  <c r="C14" i="77"/>
  <c r="E13" i="19"/>
  <c r="J13" i="19"/>
  <c r="P13" i="19"/>
  <c r="U13" i="19"/>
  <c r="C15" i="21" l="1"/>
  <c r="D15" i="21" s="1"/>
  <c r="D16" i="73"/>
  <c r="F16" i="73" s="1"/>
  <c r="G16" i="73" s="1"/>
  <c r="C17" i="73" s="1"/>
  <c r="X12" i="30"/>
  <c r="Z12" i="30" s="1"/>
  <c r="W13" i="30" s="1"/>
  <c r="I19" i="49"/>
  <c r="K18" i="49"/>
  <c r="J18" i="49"/>
  <c r="N18" i="49"/>
  <c r="V18" i="49"/>
  <c r="O28" i="35"/>
  <c r="D22" i="49"/>
  <c r="E21" i="49"/>
  <c r="F21" i="49"/>
  <c r="D24" i="49"/>
  <c r="AO16" i="15"/>
  <c r="AM16" i="15"/>
  <c r="AK16" i="15"/>
  <c r="AL16" i="15"/>
  <c r="AN16" i="15"/>
  <c r="AJ17" i="15"/>
  <c r="AP16" i="15"/>
  <c r="R19" i="34"/>
  <c r="Q20" i="34"/>
  <c r="U26" i="35"/>
  <c r="V25" i="35"/>
  <c r="J19" i="34"/>
  <c r="K18" i="34"/>
  <c r="D15" i="16"/>
  <c r="B16" i="16"/>
  <c r="G15" i="16"/>
  <c r="F15" i="16"/>
  <c r="E15" i="16"/>
  <c r="C15" i="16"/>
  <c r="AW17" i="15"/>
  <c r="AZ16" i="15"/>
  <c r="P13" i="2"/>
  <c r="O14" i="2"/>
  <c r="R17" i="49"/>
  <c r="O17" i="49"/>
  <c r="I14" i="10"/>
  <c r="K14" i="10"/>
  <c r="H15" i="10" s="1"/>
  <c r="F7" i="39"/>
  <c r="R12" i="2"/>
  <c r="Y26" i="35"/>
  <c r="X27" i="35"/>
  <c r="E24" i="35"/>
  <c r="J23" i="35"/>
  <c r="D16" i="15"/>
  <c r="G16" i="15"/>
  <c r="C17" i="15"/>
  <c r="I16" i="15"/>
  <c r="H16" i="15"/>
  <c r="E16" i="15"/>
  <c r="F16" i="15"/>
  <c r="K12" i="33"/>
  <c r="J13" i="33"/>
  <c r="S12" i="30"/>
  <c r="U12" i="30"/>
  <c r="R13" i="30" s="1"/>
  <c r="AD17" i="15"/>
  <c r="AE17" i="15"/>
  <c r="AF17" i="15"/>
  <c r="AC17" i="15"/>
  <c r="AB18" i="15"/>
  <c r="AG17" i="15"/>
  <c r="AH17" i="15"/>
  <c r="R26" i="35"/>
  <c r="S25" i="35"/>
  <c r="L26" i="35"/>
  <c r="D27" i="35"/>
  <c r="P27" i="35" s="1"/>
  <c r="M26" i="35"/>
  <c r="K26" i="35"/>
  <c r="I13" i="72"/>
  <c r="G13" i="72"/>
  <c r="C14" i="72" s="1"/>
  <c r="N17" i="44"/>
  <c r="R16" i="44"/>
  <c r="H16" i="75"/>
  <c r="I15" i="75"/>
  <c r="AU16" i="15"/>
  <c r="AY15" i="15"/>
  <c r="L12" i="32"/>
  <c r="K12" i="32"/>
  <c r="L9" i="71"/>
  <c r="M9" i="71"/>
  <c r="D9" i="71"/>
  <c r="R16" i="49"/>
  <c r="O16" i="49"/>
  <c r="R15" i="15"/>
  <c r="P15" i="15"/>
  <c r="L16" i="15"/>
  <c r="O15" i="15"/>
  <c r="N15" i="15"/>
  <c r="M15" i="15"/>
  <c r="Q15" i="15"/>
  <c r="D13" i="74"/>
  <c r="V15" i="15"/>
  <c r="W15" i="15"/>
  <c r="X15" i="15"/>
  <c r="T16" i="15"/>
  <c r="Z15" i="15"/>
  <c r="U15" i="15"/>
  <c r="Y15" i="15"/>
  <c r="L15" i="30"/>
  <c r="O14" i="30"/>
  <c r="N14" i="30"/>
  <c r="W14" i="77"/>
  <c r="AB13" i="77"/>
  <c r="D14" i="77"/>
  <c r="G13" i="19"/>
  <c r="C14" i="19" s="1"/>
  <c r="I13" i="19"/>
  <c r="T13" i="19"/>
  <c r="R13" i="19"/>
  <c r="N14" i="19" s="1"/>
  <c r="O14" i="19" s="1"/>
  <c r="X13" i="30" l="1"/>
  <c r="Z13" i="30" s="1"/>
  <c r="W14" i="30" s="1"/>
  <c r="D17" i="73"/>
  <c r="F17" i="73" s="1"/>
  <c r="G17" i="73" s="1"/>
  <c r="C18" i="73" s="1"/>
  <c r="C16" i="21"/>
  <c r="D16" i="21" s="1"/>
  <c r="O15" i="2"/>
  <c r="P14" i="2"/>
  <c r="W18" i="49"/>
  <c r="R18" i="49"/>
  <c r="O18" i="49"/>
  <c r="E9" i="71"/>
  <c r="J9" i="71"/>
  <c r="S13" i="30"/>
  <c r="U13" i="30"/>
  <c r="R14" i="30" s="1"/>
  <c r="B18" i="16"/>
  <c r="F16" i="16"/>
  <c r="D16" i="16"/>
  <c r="C16" i="16"/>
  <c r="B17" i="16"/>
  <c r="G16" i="16"/>
  <c r="E16" i="16"/>
  <c r="E22" i="49"/>
  <c r="E27" i="49" s="1"/>
  <c r="F22" i="49"/>
  <c r="F24" i="49" s="1"/>
  <c r="I16" i="75"/>
  <c r="H17" i="75"/>
  <c r="AB19" i="15"/>
  <c r="AD18" i="15"/>
  <c r="AG18" i="15"/>
  <c r="AE18" i="15"/>
  <c r="AF18" i="15"/>
  <c r="AH18" i="15"/>
  <c r="AC18" i="15"/>
  <c r="X28" i="35"/>
  <c r="Y27" i="35"/>
  <c r="AW18" i="15"/>
  <c r="AZ17" i="15"/>
  <c r="U27" i="35"/>
  <c r="V26" i="35"/>
  <c r="O16" i="15"/>
  <c r="L17" i="15"/>
  <c r="N16" i="15"/>
  <c r="R16" i="15"/>
  <c r="M16" i="15"/>
  <c r="Q16" i="15"/>
  <c r="P16" i="15"/>
  <c r="E17" i="15"/>
  <c r="G17" i="15"/>
  <c r="F17" i="15"/>
  <c r="I17" i="15"/>
  <c r="C18" i="15"/>
  <c r="D17" i="15"/>
  <c r="H17" i="15"/>
  <c r="J16" i="73"/>
  <c r="J17" i="73" s="1"/>
  <c r="N15" i="2"/>
  <c r="L16" i="30"/>
  <c r="N15" i="30"/>
  <c r="O15" i="30"/>
  <c r="E13" i="74"/>
  <c r="J13" i="74"/>
  <c r="N12" i="32"/>
  <c r="R17" i="44"/>
  <c r="N18" i="44"/>
  <c r="J14" i="33"/>
  <c r="K13" i="33"/>
  <c r="S12" i="2"/>
  <c r="T12" i="2" s="1"/>
  <c r="Q21" i="34"/>
  <c r="R21" i="34" s="1"/>
  <c r="R20" i="34"/>
  <c r="O29" i="35"/>
  <c r="S26" i="35"/>
  <c r="R27" i="35"/>
  <c r="G7" i="39"/>
  <c r="H7" i="39"/>
  <c r="J24" i="35"/>
  <c r="E25" i="35"/>
  <c r="K19" i="34"/>
  <c r="J20" i="34"/>
  <c r="AL17" i="15"/>
  <c r="AM17" i="15"/>
  <c r="AJ18" i="15"/>
  <c r="AK17" i="15"/>
  <c r="AO17" i="15"/>
  <c r="AN17" i="15"/>
  <c r="AP17" i="15"/>
  <c r="J19" i="49"/>
  <c r="I20" i="49"/>
  <c r="N19" i="49"/>
  <c r="K19" i="49"/>
  <c r="V19" i="49"/>
  <c r="W19" i="49" s="1"/>
  <c r="D14" i="72"/>
  <c r="AY16" i="15"/>
  <c r="AU17" i="15"/>
  <c r="BB16" i="15"/>
  <c r="V16" i="15"/>
  <c r="Y16" i="15"/>
  <c r="T17" i="15"/>
  <c r="W16" i="15"/>
  <c r="Z16" i="15"/>
  <c r="U16" i="15"/>
  <c r="X16" i="15"/>
  <c r="I15" i="10"/>
  <c r="K15" i="10"/>
  <c r="H16" i="10" s="1"/>
  <c r="K27" i="35"/>
  <c r="M27" i="35"/>
  <c r="D28" i="35"/>
  <c r="L27" i="35"/>
  <c r="X14" i="77"/>
  <c r="Z14" i="77" s="1"/>
  <c r="E14" i="77"/>
  <c r="F14" i="77" s="1"/>
  <c r="I14" i="77"/>
  <c r="D14" i="19"/>
  <c r="C17" i="21" l="1"/>
  <c r="D17" i="21" s="1"/>
  <c r="D18" i="73"/>
  <c r="F18" i="73" s="1"/>
  <c r="G18" i="73" s="1"/>
  <c r="C19" i="73" s="1"/>
  <c r="X14" i="30"/>
  <c r="Z14" i="30"/>
  <c r="W15" i="30" s="1"/>
  <c r="B19" i="16"/>
  <c r="G18" i="16"/>
  <c r="C18" i="16"/>
  <c r="F18" i="16"/>
  <c r="E18" i="16"/>
  <c r="D18" i="16"/>
  <c r="S14" i="30"/>
  <c r="U14" i="30"/>
  <c r="R15" i="30" s="1"/>
  <c r="G13" i="74"/>
  <c r="C14" i="74" s="1"/>
  <c r="I13" i="74"/>
  <c r="AY17" i="15"/>
  <c r="AU18" i="15"/>
  <c r="J21" i="34"/>
  <c r="K21" i="34" s="1"/>
  <c r="K20" i="34"/>
  <c r="R28" i="35"/>
  <c r="S27" i="35"/>
  <c r="R13" i="2"/>
  <c r="E18" i="15"/>
  <c r="G18" i="15"/>
  <c r="H18" i="15"/>
  <c r="F18" i="15"/>
  <c r="C19" i="15"/>
  <c r="D18" i="15"/>
  <c r="I18" i="15"/>
  <c r="BB17" i="15"/>
  <c r="O16" i="2"/>
  <c r="P15" i="2"/>
  <c r="AB20" i="15"/>
  <c r="AH19" i="15"/>
  <c r="AC19" i="15"/>
  <c r="AG19" i="15"/>
  <c r="AE19" i="15"/>
  <c r="AD19" i="15"/>
  <c r="AF19" i="15"/>
  <c r="G17" i="16"/>
  <c r="F17" i="16"/>
  <c r="E17" i="16"/>
  <c r="D17" i="16"/>
  <c r="C17" i="16"/>
  <c r="I9" i="71"/>
  <c r="G9" i="71"/>
  <c r="C10" i="71" s="1"/>
  <c r="M28" i="35"/>
  <c r="L28" i="35"/>
  <c r="D29" i="35"/>
  <c r="K28" i="35"/>
  <c r="P28" i="35"/>
  <c r="K14" i="33"/>
  <c r="J15" i="33"/>
  <c r="K15" i="33" s="1"/>
  <c r="K17" i="33" s="1"/>
  <c r="N16" i="30"/>
  <c r="L17" i="30"/>
  <c r="O16" i="30"/>
  <c r="R17" i="15"/>
  <c r="L18" i="15"/>
  <c r="N17" i="15"/>
  <c r="P17" i="15"/>
  <c r="Q17" i="15"/>
  <c r="M17" i="15"/>
  <c r="O17" i="15"/>
  <c r="X29" i="35"/>
  <c r="Y29" i="35" s="1"/>
  <c r="Y28" i="35"/>
  <c r="X31" i="35"/>
  <c r="H18" i="75"/>
  <c r="I17" i="75"/>
  <c r="T18" i="15"/>
  <c r="V17" i="15"/>
  <c r="W17" i="15"/>
  <c r="U17" i="15"/>
  <c r="Y17" i="15"/>
  <c r="X17" i="15"/>
  <c r="Z17" i="15"/>
  <c r="E14" i="72"/>
  <c r="J14" i="72"/>
  <c r="J25" i="35"/>
  <c r="E26" i="35"/>
  <c r="P29" i="35"/>
  <c r="O31" i="35"/>
  <c r="R18" i="44"/>
  <c r="N19" i="44"/>
  <c r="N16" i="2"/>
  <c r="AK18" i="15"/>
  <c r="AO18" i="15"/>
  <c r="AJ19" i="15"/>
  <c r="AL18" i="15"/>
  <c r="AN18" i="15"/>
  <c r="AP18" i="15"/>
  <c r="AM18" i="15"/>
  <c r="L13" i="32"/>
  <c r="K13" i="32"/>
  <c r="N13" i="32" s="1"/>
  <c r="U28" i="35"/>
  <c r="V27" i="35"/>
  <c r="J20" i="49"/>
  <c r="K20" i="49"/>
  <c r="I21" i="49"/>
  <c r="N20" i="49"/>
  <c r="V20" i="49"/>
  <c r="W20" i="49" s="1"/>
  <c r="I16" i="10"/>
  <c r="K16" i="10"/>
  <c r="H17" i="10" s="1"/>
  <c r="R19" i="49"/>
  <c r="O19" i="49"/>
  <c r="R23" i="34"/>
  <c r="I7" i="39"/>
  <c r="BB18" i="15"/>
  <c r="AW19" i="15"/>
  <c r="AZ18" i="15"/>
  <c r="AC14" i="77"/>
  <c r="C15" i="77"/>
  <c r="H14" i="77"/>
  <c r="E14" i="19"/>
  <c r="J14" i="19"/>
  <c r="P14" i="19"/>
  <c r="U14" i="19"/>
  <c r="D19" i="73" l="1"/>
  <c r="F19" i="73" s="1"/>
  <c r="G19" i="73" s="1"/>
  <c r="C20" i="73" s="1"/>
  <c r="C18" i="21"/>
  <c r="D18" i="21" s="1"/>
  <c r="D19" i="16"/>
  <c r="E19" i="16"/>
  <c r="C19" i="16"/>
  <c r="B20" i="16"/>
  <c r="G19" i="16"/>
  <c r="F19" i="16"/>
  <c r="X15" i="30"/>
  <c r="Z15" i="30"/>
  <c r="W16" i="30" s="1"/>
  <c r="I17" i="10"/>
  <c r="K17" i="10"/>
  <c r="H18" i="10" s="1"/>
  <c r="P31" i="35"/>
  <c r="F19" i="15"/>
  <c r="G19" i="15"/>
  <c r="C20" i="15"/>
  <c r="I19" i="15"/>
  <c r="E19" i="15"/>
  <c r="D19" i="15"/>
  <c r="H19" i="15"/>
  <c r="AN19" i="15"/>
  <c r="AO19" i="15"/>
  <c r="AK19" i="15"/>
  <c r="AL19" i="15"/>
  <c r="AJ20" i="15"/>
  <c r="AP19" i="15"/>
  <c r="AM19" i="15"/>
  <c r="E27" i="35"/>
  <c r="J26" i="35"/>
  <c r="AB21" i="15"/>
  <c r="AF20" i="15"/>
  <c r="AH20" i="15"/>
  <c r="AC20" i="15"/>
  <c r="AG20" i="15"/>
  <c r="AE20" i="15"/>
  <c r="AD20" i="15"/>
  <c r="V28" i="35"/>
  <c r="U29" i="35"/>
  <c r="O17" i="30"/>
  <c r="L18" i="30"/>
  <c r="N17" i="30"/>
  <c r="R20" i="49"/>
  <c r="O20" i="49"/>
  <c r="L14" i="32"/>
  <c r="K14" i="32"/>
  <c r="N14" i="32" s="1"/>
  <c r="Z18" i="15"/>
  <c r="W18" i="15"/>
  <c r="V18" i="15"/>
  <c r="X18" i="15"/>
  <c r="U18" i="15"/>
  <c r="Y18" i="15"/>
  <c r="T19" i="15"/>
  <c r="D10" i="71"/>
  <c r="M10" i="71"/>
  <c r="L10" i="71"/>
  <c r="P16" i="2"/>
  <c r="O17" i="2"/>
  <c r="AU19" i="15"/>
  <c r="AY18" i="15"/>
  <c r="J18" i="73"/>
  <c r="K21" i="49"/>
  <c r="J21" i="49"/>
  <c r="I22" i="49"/>
  <c r="N21" i="49"/>
  <c r="V21" i="49"/>
  <c r="W21" i="49" s="1"/>
  <c r="N17" i="2"/>
  <c r="I14" i="72"/>
  <c r="G14" i="72"/>
  <c r="C15" i="72" s="1"/>
  <c r="N20" i="44"/>
  <c r="R19" i="44"/>
  <c r="I18" i="75"/>
  <c r="H19" i="75"/>
  <c r="S13" i="2"/>
  <c r="T13" i="2" s="1"/>
  <c r="R14" i="2"/>
  <c r="D14" i="74"/>
  <c r="R18" i="15"/>
  <c r="P18" i="15"/>
  <c r="Q18" i="15"/>
  <c r="M18" i="15"/>
  <c r="O18" i="15"/>
  <c r="L19" i="15"/>
  <c r="N18" i="15"/>
  <c r="Y31" i="35"/>
  <c r="S28" i="35"/>
  <c r="R29" i="35"/>
  <c r="D30" i="35"/>
  <c r="L29" i="35"/>
  <c r="L31" i="35" s="1"/>
  <c r="M29" i="35"/>
  <c r="M31" i="35" s="1"/>
  <c r="K29" i="35"/>
  <c r="K31" i="35" s="1"/>
  <c r="K23" i="34"/>
  <c r="AW20" i="15"/>
  <c r="BB19" i="15"/>
  <c r="AZ19" i="15"/>
  <c r="S15" i="30"/>
  <c r="U15" i="30"/>
  <c r="R16" i="30" s="1"/>
  <c r="F8" i="39"/>
  <c r="AB14" i="77"/>
  <c r="W15" i="77"/>
  <c r="D15" i="77"/>
  <c r="I14" i="19"/>
  <c r="G14" i="19"/>
  <c r="C15" i="19" s="1"/>
  <c r="T14" i="19"/>
  <c r="R14" i="19"/>
  <c r="N15" i="19" s="1"/>
  <c r="O15" i="19" s="1"/>
  <c r="C19" i="21" l="1"/>
  <c r="D19" i="21" s="1"/>
  <c r="D20" i="73"/>
  <c r="F20" i="73" s="1"/>
  <c r="G20" i="73" s="1"/>
  <c r="C21" i="73" s="1"/>
  <c r="O18" i="2"/>
  <c r="P17" i="2"/>
  <c r="E28" i="35"/>
  <c r="J27" i="35"/>
  <c r="N22" i="49"/>
  <c r="J22" i="49"/>
  <c r="J27" i="49" s="1"/>
  <c r="K22" i="49"/>
  <c r="K24" i="49" s="1"/>
  <c r="I24" i="49"/>
  <c r="V22" i="49"/>
  <c r="X16" i="30"/>
  <c r="Z16" i="30"/>
  <c r="W17" i="30" s="1"/>
  <c r="G8" i="39"/>
  <c r="R20" i="44"/>
  <c r="N21" i="44"/>
  <c r="AO20" i="15"/>
  <c r="AN20" i="15"/>
  <c r="AJ21" i="15"/>
  <c r="AL20" i="15"/>
  <c r="AM20" i="15"/>
  <c r="AP20" i="15"/>
  <c r="AK20" i="15"/>
  <c r="P19" i="15"/>
  <c r="R19" i="15"/>
  <c r="N19" i="15"/>
  <c r="O19" i="15"/>
  <c r="L20" i="15"/>
  <c r="M19" i="15"/>
  <c r="Q19" i="15"/>
  <c r="N18" i="30"/>
  <c r="O18" i="30"/>
  <c r="L19" i="30"/>
  <c r="I20" i="15"/>
  <c r="C21" i="15"/>
  <c r="G20" i="15"/>
  <c r="D20" i="15"/>
  <c r="E20" i="15"/>
  <c r="F20" i="15"/>
  <c r="H20" i="15"/>
  <c r="S16" i="30"/>
  <c r="U16" i="30" s="1"/>
  <c r="R17" i="30" s="1"/>
  <c r="S14" i="2"/>
  <c r="T14" i="2" s="1"/>
  <c r="R15" i="2"/>
  <c r="D15" i="72"/>
  <c r="J19" i="73"/>
  <c r="E10" i="71"/>
  <c r="J10" i="71"/>
  <c r="W19" i="15"/>
  <c r="V19" i="15"/>
  <c r="Y19" i="15"/>
  <c r="T20" i="15"/>
  <c r="U19" i="15"/>
  <c r="X19" i="15"/>
  <c r="Z19" i="15"/>
  <c r="K15" i="32"/>
  <c r="L15" i="32"/>
  <c r="V29" i="35"/>
  <c r="V31" i="35" s="1"/>
  <c r="U31" i="35"/>
  <c r="AF21" i="15"/>
  <c r="AG21" i="15"/>
  <c r="AB22" i="15"/>
  <c r="AE21" i="15"/>
  <c r="AH21" i="15"/>
  <c r="AC21" i="15"/>
  <c r="AD21" i="15"/>
  <c r="F20" i="16"/>
  <c r="B21" i="16"/>
  <c r="G20" i="16"/>
  <c r="E20" i="16"/>
  <c r="D20" i="16"/>
  <c r="C20" i="16"/>
  <c r="S29" i="35"/>
  <c r="S31" i="35" s="1"/>
  <c r="R31" i="35"/>
  <c r="I19" i="75"/>
  <c r="H20" i="75"/>
  <c r="I20" i="75" s="1"/>
  <c r="I22" i="75" s="1"/>
  <c r="N18" i="2"/>
  <c r="AU20" i="15"/>
  <c r="AY19" i="15"/>
  <c r="K18" i="10"/>
  <c r="H19" i="10" s="1"/>
  <c r="I18" i="10"/>
  <c r="AW21" i="15"/>
  <c r="AZ20" i="15"/>
  <c r="R21" i="49"/>
  <c r="O21" i="49"/>
  <c r="E14" i="74"/>
  <c r="J14" i="74"/>
  <c r="X15" i="77"/>
  <c r="Z15" i="77" s="1"/>
  <c r="E15" i="77"/>
  <c r="F15" i="77" s="1"/>
  <c r="I15" i="77"/>
  <c r="D15" i="19"/>
  <c r="D21" i="73" l="1"/>
  <c r="F21" i="73" s="1"/>
  <c r="G21" i="73"/>
  <c r="C22" i="73" s="1"/>
  <c r="S17" i="30"/>
  <c r="U17" i="30"/>
  <c r="R18" i="30" s="1"/>
  <c r="C20" i="21"/>
  <c r="D20" i="21"/>
  <c r="P18" i="2"/>
  <c r="O19" i="2"/>
  <c r="AY20" i="15"/>
  <c r="AU21" i="15"/>
  <c r="AD22" i="15"/>
  <c r="AG22" i="15"/>
  <c r="AE22" i="15"/>
  <c r="AB23" i="15"/>
  <c r="AH22" i="15"/>
  <c r="AC22" i="15"/>
  <c r="AF22" i="15"/>
  <c r="I10" i="71"/>
  <c r="G10" i="71"/>
  <c r="C11" i="71" s="1"/>
  <c r="R21" i="44"/>
  <c r="N22" i="44"/>
  <c r="BB20" i="15"/>
  <c r="N19" i="2"/>
  <c r="N20" i="2" s="1"/>
  <c r="J20" i="73"/>
  <c r="AW22" i="15"/>
  <c r="AZ21" i="15"/>
  <c r="B22" i="16"/>
  <c r="G21" i="16"/>
  <c r="C21" i="16"/>
  <c r="B23" i="16"/>
  <c r="F21" i="16"/>
  <c r="E21" i="16"/>
  <c r="D21" i="16"/>
  <c r="V20" i="15"/>
  <c r="X20" i="15"/>
  <c r="T21" i="15"/>
  <c r="Z20" i="15"/>
  <c r="U20" i="15"/>
  <c r="Y20" i="15"/>
  <c r="W20" i="15"/>
  <c r="I8" i="39"/>
  <c r="R22" i="49"/>
  <c r="R24" i="49" s="1"/>
  <c r="S24" i="49" s="1"/>
  <c r="O22" i="49"/>
  <c r="N24" i="49"/>
  <c r="E15" i="72"/>
  <c r="J15" i="72"/>
  <c r="H8" i="39"/>
  <c r="I19" i="10"/>
  <c r="K19" i="10"/>
  <c r="H20" i="10" s="1"/>
  <c r="X17" i="30"/>
  <c r="Z17" i="30"/>
  <c r="W18" i="30" s="1"/>
  <c r="I14" i="74"/>
  <c r="G14" i="74"/>
  <c r="C15" i="74" s="1"/>
  <c r="C22" i="15"/>
  <c r="E21" i="15"/>
  <c r="D21" i="15"/>
  <c r="F21" i="15"/>
  <c r="H21" i="15"/>
  <c r="G21" i="15"/>
  <c r="I21" i="15"/>
  <c r="AJ22" i="15"/>
  <c r="AN21" i="15"/>
  <c r="AM21" i="15"/>
  <c r="AL21" i="15"/>
  <c r="AK21" i="15"/>
  <c r="AO21" i="15"/>
  <c r="AP21" i="15"/>
  <c r="W22" i="49"/>
  <c r="V24" i="49"/>
  <c r="S15" i="2"/>
  <c r="T15" i="2" s="1"/>
  <c r="R20" i="15"/>
  <c r="M20" i="15"/>
  <c r="Q20" i="15"/>
  <c r="N20" i="15"/>
  <c r="P20" i="15"/>
  <c r="O20" i="15"/>
  <c r="L21" i="15"/>
  <c r="E29" i="35"/>
  <c r="J28" i="35"/>
  <c r="N15" i="32"/>
  <c r="O19" i="30"/>
  <c r="L20" i="30"/>
  <c r="N19" i="30"/>
  <c r="AC15" i="77"/>
  <c r="C16" i="77"/>
  <c r="H15" i="77"/>
  <c r="E15" i="19"/>
  <c r="J15" i="19"/>
  <c r="P15" i="19"/>
  <c r="U15" i="19"/>
  <c r="D15" i="74" l="1"/>
  <c r="X18" i="30"/>
  <c r="Z18" i="30" s="1"/>
  <c r="W19" i="30" s="1"/>
  <c r="O24" i="49"/>
  <c r="O27" i="49"/>
  <c r="Z21" i="15"/>
  <c r="T22" i="15"/>
  <c r="U21" i="15"/>
  <c r="W21" i="15"/>
  <c r="X21" i="15"/>
  <c r="V21" i="15"/>
  <c r="Y21" i="15"/>
  <c r="R22" i="44"/>
  <c r="N23" i="44"/>
  <c r="E22" i="16"/>
  <c r="D22" i="16"/>
  <c r="C22" i="16"/>
  <c r="G22" i="16"/>
  <c r="F22" i="16"/>
  <c r="S18" i="30"/>
  <c r="U18" i="30" s="1"/>
  <c r="R19" i="30" s="1"/>
  <c r="J29" i="35"/>
  <c r="J31" i="35" s="1"/>
  <c r="E31" i="35"/>
  <c r="I20" i="10"/>
  <c r="K20" i="10"/>
  <c r="H21" i="10" s="1"/>
  <c r="F9" i="39"/>
  <c r="D11" i="71"/>
  <c r="L11" i="71"/>
  <c r="M11" i="71"/>
  <c r="L22" i="15"/>
  <c r="N21" i="15"/>
  <c r="Q21" i="15"/>
  <c r="O21" i="15"/>
  <c r="R21" i="15"/>
  <c r="M21" i="15"/>
  <c r="P21" i="15"/>
  <c r="R16" i="2"/>
  <c r="AW23" i="15"/>
  <c r="AZ22" i="15"/>
  <c r="AU22" i="15"/>
  <c r="AY21" i="15"/>
  <c r="G22" i="73"/>
  <c r="C23" i="73" s="1"/>
  <c r="D22" i="73"/>
  <c r="F22" i="73" s="1"/>
  <c r="E22" i="15"/>
  <c r="I22" i="15"/>
  <c r="G22" i="15"/>
  <c r="D22" i="15"/>
  <c r="C23" i="15"/>
  <c r="H22" i="15"/>
  <c r="F22" i="15"/>
  <c r="BB21" i="15"/>
  <c r="AL22" i="15"/>
  <c r="AM22" i="15"/>
  <c r="AP22" i="15"/>
  <c r="AK22" i="15"/>
  <c r="AO22" i="15"/>
  <c r="AN22" i="15"/>
  <c r="AJ23" i="15"/>
  <c r="J21" i="73"/>
  <c r="J22" i="73" s="1"/>
  <c r="P19" i="2"/>
  <c r="O20" i="2"/>
  <c r="W27" i="49"/>
  <c r="W24" i="49"/>
  <c r="G15" i="72"/>
  <c r="C16" i="72" s="1"/>
  <c r="I15" i="72"/>
  <c r="L16" i="32"/>
  <c r="K16" i="32"/>
  <c r="N16" i="32" s="1"/>
  <c r="D23" i="16"/>
  <c r="B24" i="16"/>
  <c r="G23" i="16"/>
  <c r="F23" i="16"/>
  <c r="E23" i="16"/>
  <c r="C23" i="16"/>
  <c r="AG23" i="15"/>
  <c r="AH23" i="15"/>
  <c r="AC23" i="15"/>
  <c r="AF23" i="15"/>
  <c r="AB24" i="15"/>
  <c r="AD23" i="15"/>
  <c r="AE23" i="15"/>
  <c r="O20" i="30"/>
  <c r="L21" i="30"/>
  <c r="N20" i="30"/>
  <c r="N21" i="2"/>
  <c r="C21" i="21"/>
  <c r="D21" i="21"/>
  <c r="W16" i="77"/>
  <c r="AB15" i="77"/>
  <c r="D16" i="77"/>
  <c r="I15" i="19"/>
  <c r="G15" i="19"/>
  <c r="C16" i="19" s="1"/>
  <c r="R15" i="19"/>
  <c r="N16" i="19" s="1"/>
  <c r="O16" i="19" s="1"/>
  <c r="T15" i="19"/>
  <c r="S19" i="30" l="1"/>
  <c r="U19" i="30" s="1"/>
  <c r="R20" i="30" s="1"/>
  <c r="X19" i="30"/>
  <c r="Z19" i="30"/>
  <c r="W20" i="30" s="1"/>
  <c r="AK23" i="15"/>
  <c r="AL23" i="15"/>
  <c r="AO23" i="15"/>
  <c r="AN23" i="15"/>
  <c r="AP23" i="15"/>
  <c r="AJ24" i="15"/>
  <c r="AM23" i="15"/>
  <c r="D23" i="73"/>
  <c r="F23" i="73" s="1"/>
  <c r="G23" i="73" s="1"/>
  <c r="C24" i="73" s="1"/>
  <c r="D16" i="72"/>
  <c r="C22" i="21"/>
  <c r="D22" i="21" s="1"/>
  <c r="I23" i="15"/>
  <c r="F23" i="15"/>
  <c r="H23" i="15"/>
  <c r="G23" i="15"/>
  <c r="C24" i="15"/>
  <c r="E23" i="15"/>
  <c r="D23" i="15"/>
  <c r="AY22" i="15"/>
  <c r="AU23" i="15"/>
  <c r="N22" i="2"/>
  <c r="F24" i="16"/>
  <c r="B25" i="16"/>
  <c r="C24" i="16"/>
  <c r="D24" i="16"/>
  <c r="G24" i="16"/>
  <c r="E24" i="16"/>
  <c r="O21" i="2"/>
  <c r="P20" i="2"/>
  <c r="G9" i="39"/>
  <c r="I9" i="39" s="1"/>
  <c r="BB23" i="15"/>
  <c r="AW24" i="15"/>
  <c r="AZ23" i="15"/>
  <c r="I21" i="10"/>
  <c r="K21" i="10"/>
  <c r="H22" i="10" s="1"/>
  <c r="N21" i="30"/>
  <c r="N23" i="30" s="1"/>
  <c r="O21" i="30"/>
  <c r="P21" i="30" s="1"/>
  <c r="L17" i="32"/>
  <c r="K17" i="32"/>
  <c r="N17" i="32" s="1"/>
  <c r="J23" i="73"/>
  <c r="BB22" i="15"/>
  <c r="P22" i="15"/>
  <c r="N22" i="15"/>
  <c r="O22" i="15"/>
  <c r="L23" i="15"/>
  <c r="M22" i="15"/>
  <c r="Q22" i="15"/>
  <c r="R22" i="15"/>
  <c r="E15" i="74"/>
  <c r="J15" i="74"/>
  <c r="S16" i="2"/>
  <c r="T16" i="2" s="1"/>
  <c r="R17" i="2"/>
  <c r="Z22" i="15"/>
  <c r="V22" i="15"/>
  <c r="X22" i="15"/>
  <c r="T23" i="15"/>
  <c r="W22" i="15"/>
  <c r="U22" i="15"/>
  <c r="Y22" i="15"/>
  <c r="E11" i="71"/>
  <c r="J11" i="71"/>
  <c r="AE24" i="15"/>
  <c r="AB25" i="15"/>
  <c r="AH24" i="15"/>
  <c r="AC24" i="15"/>
  <c r="AF24" i="15"/>
  <c r="AG24" i="15"/>
  <c r="AD24" i="15"/>
  <c r="R23" i="44"/>
  <c r="N24" i="44"/>
  <c r="X16" i="77"/>
  <c r="Z16" i="77" s="1"/>
  <c r="E16" i="77"/>
  <c r="F16" i="77" s="1"/>
  <c r="I16" i="77"/>
  <c r="D16" i="19"/>
  <c r="C23" i="21" l="1"/>
  <c r="D23" i="21" s="1"/>
  <c r="D24" i="73"/>
  <c r="F24" i="73" s="1"/>
  <c r="G24" i="73"/>
  <c r="C25" i="73" s="1"/>
  <c r="S20" i="30"/>
  <c r="U20" i="30"/>
  <c r="R21" i="30" s="1"/>
  <c r="I15" i="74"/>
  <c r="G15" i="74"/>
  <c r="C16" i="74" s="1"/>
  <c r="AH25" i="15"/>
  <c r="AD25" i="15"/>
  <c r="AF25" i="15"/>
  <c r="AE25" i="15"/>
  <c r="AC25" i="15"/>
  <c r="AG25" i="15"/>
  <c r="AB26" i="15"/>
  <c r="W23" i="15"/>
  <c r="T24" i="15"/>
  <c r="Z23" i="15"/>
  <c r="U23" i="15"/>
  <c r="Y23" i="15"/>
  <c r="V23" i="15"/>
  <c r="X23" i="15"/>
  <c r="J24" i="73"/>
  <c r="AW25" i="15"/>
  <c r="AZ24" i="15"/>
  <c r="E16" i="72"/>
  <c r="J16" i="72"/>
  <c r="N25" i="44"/>
  <c r="R24" i="44"/>
  <c r="L18" i="32"/>
  <c r="K18" i="32"/>
  <c r="F24" i="15"/>
  <c r="G24" i="15"/>
  <c r="D24" i="15"/>
  <c r="E24" i="15"/>
  <c r="H24" i="15"/>
  <c r="I24" i="15"/>
  <c r="C25" i="15"/>
  <c r="F10" i="39"/>
  <c r="B26" i="16"/>
  <c r="E25" i="16"/>
  <c r="D25" i="16"/>
  <c r="C25" i="16"/>
  <c r="G25" i="16"/>
  <c r="F25" i="16"/>
  <c r="G11" i="71"/>
  <c r="C12" i="71" s="1"/>
  <c r="I11" i="71"/>
  <c r="P23" i="15"/>
  <c r="N23" i="15"/>
  <c r="L24" i="15"/>
  <c r="O23" i="15"/>
  <c r="Q23" i="15"/>
  <c r="M23" i="15"/>
  <c r="R23" i="15"/>
  <c r="H9" i="39"/>
  <c r="X20" i="30"/>
  <c r="Z20" i="30"/>
  <c r="W21" i="30" s="1"/>
  <c r="S17" i="2"/>
  <c r="T17" i="2" s="1"/>
  <c r="R18" i="2"/>
  <c r="N23" i="2"/>
  <c r="I22" i="10"/>
  <c r="K22" i="10" s="1"/>
  <c r="H23" i="10" s="1"/>
  <c r="O22" i="2"/>
  <c r="P21" i="2"/>
  <c r="AY23" i="15"/>
  <c r="AU24" i="15"/>
  <c r="AJ25" i="15"/>
  <c r="AM24" i="15"/>
  <c r="AL24" i="15"/>
  <c r="AP24" i="15"/>
  <c r="AK24" i="15"/>
  <c r="AO24" i="15"/>
  <c r="AN24" i="15"/>
  <c r="AC16" i="77"/>
  <c r="H16" i="77"/>
  <c r="C17" i="77"/>
  <c r="E16" i="19"/>
  <c r="J16" i="19"/>
  <c r="P16" i="19"/>
  <c r="U16" i="19"/>
  <c r="I23" i="10" l="1"/>
  <c r="K23" i="10"/>
  <c r="H24" i="10" s="1"/>
  <c r="C24" i="21"/>
  <c r="D24" i="21" s="1"/>
  <c r="N24" i="2"/>
  <c r="H25" i="15"/>
  <c r="G25" i="15"/>
  <c r="I25" i="15"/>
  <c r="D25" i="15"/>
  <c r="C26" i="15"/>
  <c r="F25" i="15"/>
  <c r="E25" i="15"/>
  <c r="J25" i="73"/>
  <c r="AH26" i="15"/>
  <c r="AC26" i="15"/>
  <c r="AG26" i="15"/>
  <c r="AF26" i="15"/>
  <c r="AB27" i="15"/>
  <c r="AE26" i="15"/>
  <c r="AD26" i="15"/>
  <c r="AM25" i="15"/>
  <c r="AL25" i="15"/>
  <c r="AP25" i="15"/>
  <c r="AK25" i="15"/>
  <c r="AO25" i="15"/>
  <c r="AN25" i="15"/>
  <c r="AJ26" i="15"/>
  <c r="S18" i="2"/>
  <c r="T18" i="2" s="1"/>
  <c r="R19" i="2"/>
  <c r="S21" i="30"/>
  <c r="U21" i="30" s="1"/>
  <c r="AU25" i="15"/>
  <c r="AY24" i="15"/>
  <c r="P24" i="15"/>
  <c r="O24" i="15"/>
  <c r="N24" i="15"/>
  <c r="Q24" i="15"/>
  <c r="L25" i="15"/>
  <c r="R24" i="15"/>
  <c r="M24" i="15"/>
  <c r="R25" i="44"/>
  <c r="N26" i="44"/>
  <c r="X21" i="30"/>
  <c r="X23" i="30" s="1"/>
  <c r="Z21" i="30"/>
  <c r="G25" i="73"/>
  <c r="C26" i="73" s="1"/>
  <c r="D25" i="73"/>
  <c r="F25" i="73" s="1"/>
  <c r="B27" i="16"/>
  <c r="G26" i="16"/>
  <c r="F26" i="16"/>
  <c r="B28" i="16"/>
  <c r="E26" i="16"/>
  <c r="D26" i="16"/>
  <c r="C26" i="16"/>
  <c r="I16" i="72"/>
  <c r="G16" i="72"/>
  <c r="C17" i="72" s="1"/>
  <c r="O23" i="2"/>
  <c r="P22" i="2"/>
  <c r="G10" i="39"/>
  <c r="D12" i="71"/>
  <c r="M12" i="71"/>
  <c r="L12" i="71"/>
  <c r="AW26" i="15"/>
  <c r="AZ25" i="15"/>
  <c r="BB25" i="15"/>
  <c r="V24" i="15"/>
  <c r="U24" i="15"/>
  <c r="W24" i="15"/>
  <c r="Z24" i="15"/>
  <c r="Y24" i="15"/>
  <c r="T25" i="15"/>
  <c r="X24" i="15"/>
  <c r="N18" i="32"/>
  <c r="BB24" i="15"/>
  <c r="D16" i="74"/>
  <c r="W17" i="77"/>
  <c r="AB16" i="77"/>
  <c r="D17" i="77"/>
  <c r="G16" i="19"/>
  <c r="C17" i="19" s="1"/>
  <c r="I16" i="19"/>
  <c r="T16" i="19"/>
  <c r="R16" i="19"/>
  <c r="N17" i="19" s="1"/>
  <c r="O17" i="19" s="1"/>
  <c r="C25" i="21" l="1"/>
  <c r="D25" i="21"/>
  <c r="E12" i="71"/>
  <c r="J12" i="71"/>
  <c r="D26" i="73"/>
  <c r="F26" i="73" s="1"/>
  <c r="G26" i="73" s="1"/>
  <c r="C27" i="73" s="1"/>
  <c r="M25" i="15"/>
  <c r="L26" i="15"/>
  <c r="N25" i="15"/>
  <c r="P25" i="15"/>
  <c r="Q25" i="15"/>
  <c r="R25" i="15"/>
  <c r="O25" i="15"/>
  <c r="G11" i="39"/>
  <c r="I10" i="39"/>
  <c r="S19" i="2"/>
  <c r="T19" i="2" s="1"/>
  <c r="R20" i="2"/>
  <c r="K19" i="32"/>
  <c r="L19" i="32"/>
  <c r="H10" i="39"/>
  <c r="N25" i="2"/>
  <c r="F28" i="16"/>
  <c r="E28" i="16"/>
  <c r="D28" i="16"/>
  <c r="C28" i="16"/>
  <c r="B29" i="16"/>
  <c r="G28" i="16"/>
  <c r="AM26" i="15"/>
  <c r="AO26" i="15"/>
  <c r="AN26" i="15"/>
  <c r="AJ27" i="15"/>
  <c r="AP26" i="15"/>
  <c r="AL26" i="15"/>
  <c r="AK26" i="15"/>
  <c r="W25" i="15"/>
  <c r="V25" i="15"/>
  <c r="Z25" i="15"/>
  <c r="X25" i="15"/>
  <c r="T26" i="15"/>
  <c r="U25" i="15"/>
  <c r="Y25" i="15"/>
  <c r="AW27" i="15"/>
  <c r="AZ26" i="15"/>
  <c r="BB26" i="15"/>
  <c r="R26" i="44"/>
  <c r="N27" i="44"/>
  <c r="R27" i="44" s="1"/>
  <c r="R29" i="44" s="1"/>
  <c r="O24" i="2"/>
  <c r="P23" i="2"/>
  <c r="AD27" i="15"/>
  <c r="AD29" i="15" s="1"/>
  <c r="E41" i="15" s="1"/>
  <c r="AG27" i="15"/>
  <c r="AG29" i="15" s="1"/>
  <c r="H41" i="15" s="1"/>
  <c r="AF27" i="15"/>
  <c r="AF29" i="15" s="1"/>
  <c r="G41" i="15" s="1"/>
  <c r="AC27" i="15"/>
  <c r="AC29" i="15" s="1"/>
  <c r="D41" i="15" s="1"/>
  <c r="AH27" i="15"/>
  <c r="AH29" i="15" s="1"/>
  <c r="I41" i="15" s="1"/>
  <c r="AE27" i="15"/>
  <c r="AE29" i="15" s="1"/>
  <c r="F41" i="15" s="1"/>
  <c r="AB31" i="15"/>
  <c r="D26" i="15"/>
  <c r="I26" i="15"/>
  <c r="G26" i="15"/>
  <c r="E26" i="15"/>
  <c r="C27" i="15"/>
  <c r="H26" i="15"/>
  <c r="F26" i="15"/>
  <c r="I24" i="10"/>
  <c r="K24" i="10"/>
  <c r="H25" i="10" s="1"/>
  <c r="D17" i="72"/>
  <c r="D27" i="16"/>
  <c r="D39" i="16" s="1"/>
  <c r="C27" i="16"/>
  <c r="C39" i="16" s="1"/>
  <c r="G27" i="16"/>
  <c r="G39" i="16" s="1"/>
  <c r="F27" i="16"/>
  <c r="F39" i="16" s="1"/>
  <c r="E27" i="16"/>
  <c r="E39" i="16" s="1"/>
  <c r="AU26" i="15"/>
  <c r="AY25" i="15"/>
  <c r="E16" i="74"/>
  <c r="J16" i="74"/>
  <c r="X17" i="77"/>
  <c r="Z17" i="77" s="1"/>
  <c r="E17" i="77"/>
  <c r="F17" i="77" s="1"/>
  <c r="I17" i="77"/>
  <c r="D17" i="19"/>
  <c r="D27" i="73" l="1"/>
  <c r="F27" i="73" s="1"/>
  <c r="G27" i="73" s="1"/>
  <c r="C28" i="73" s="1"/>
  <c r="I27" i="15"/>
  <c r="I29" i="15" s="1"/>
  <c r="I38" i="15" s="1"/>
  <c r="G27" i="15"/>
  <c r="G29" i="15" s="1"/>
  <c r="G38" i="15" s="1"/>
  <c r="E27" i="15"/>
  <c r="E29" i="15" s="1"/>
  <c r="E38" i="15" s="1"/>
  <c r="H27" i="15"/>
  <c r="H29" i="15" s="1"/>
  <c r="H38" i="15" s="1"/>
  <c r="F27" i="15"/>
  <c r="F29" i="15" s="1"/>
  <c r="F38" i="15" s="1"/>
  <c r="D27" i="15"/>
  <c r="D29" i="15" s="1"/>
  <c r="D38" i="15" s="1"/>
  <c r="C31" i="15"/>
  <c r="J26" i="73"/>
  <c r="J27" i="73" s="1"/>
  <c r="I16" i="74"/>
  <c r="G16" i="74"/>
  <c r="C17" i="74" s="1"/>
  <c r="E17" i="72"/>
  <c r="J17" i="72"/>
  <c r="BB27" i="15"/>
  <c r="BB31" i="15" s="1"/>
  <c r="AZ27" i="15"/>
  <c r="AZ31" i="15" s="1"/>
  <c r="AW31" i="15"/>
  <c r="B30" i="16"/>
  <c r="G29" i="16"/>
  <c r="F29" i="16"/>
  <c r="E29" i="16"/>
  <c r="D29" i="16"/>
  <c r="C29" i="16"/>
  <c r="G12" i="71"/>
  <c r="C13" i="71" s="1"/>
  <c r="I12" i="71"/>
  <c r="N19" i="32"/>
  <c r="C26" i="21"/>
  <c r="D26" i="21" s="1"/>
  <c r="AY26" i="15"/>
  <c r="AU27" i="15"/>
  <c r="I25" i="10"/>
  <c r="K25" i="10"/>
  <c r="H26" i="10" s="1"/>
  <c r="S20" i="2"/>
  <c r="T20" i="2" s="1"/>
  <c r="O25" i="2"/>
  <c r="P24" i="2"/>
  <c r="U26" i="15"/>
  <c r="V26" i="15"/>
  <c r="X26" i="15"/>
  <c r="T27" i="15"/>
  <c r="Z26" i="15"/>
  <c r="Y26" i="15"/>
  <c r="W26" i="15"/>
  <c r="AO27" i="15"/>
  <c r="AO29" i="15" s="1"/>
  <c r="H42" i="15" s="1"/>
  <c r="AP27" i="15"/>
  <c r="AP29" i="15" s="1"/>
  <c r="I42" i="15" s="1"/>
  <c r="AL27" i="15"/>
  <c r="AL29" i="15" s="1"/>
  <c r="E42" i="15" s="1"/>
  <c r="AM27" i="15"/>
  <c r="AM29" i="15" s="1"/>
  <c r="F42" i="15" s="1"/>
  <c r="AK27" i="15"/>
  <c r="AK29" i="15" s="1"/>
  <c r="D42" i="15" s="1"/>
  <c r="AN27" i="15"/>
  <c r="AN29" i="15" s="1"/>
  <c r="G42" i="15" s="1"/>
  <c r="AJ31" i="15"/>
  <c r="R26" i="15"/>
  <c r="N26" i="15"/>
  <c r="M26" i="15"/>
  <c r="Q26" i="15"/>
  <c r="P26" i="15"/>
  <c r="L27" i="15"/>
  <c r="O26" i="15"/>
  <c r="AC17" i="77"/>
  <c r="H17" i="77"/>
  <c r="C18" i="77"/>
  <c r="E17" i="19"/>
  <c r="J17" i="19"/>
  <c r="P17" i="19"/>
  <c r="U17" i="19"/>
  <c r="C27" i="21" l="1"/>
  <c r="D27" i="21" s="1"/>
  <c r="D28" i="73"/>
  <c r="F28" i="73" s="1"/>
  <c r="G28" i="73" s="1"/>
  <c r="C29" i="73" s="1"/>
  <c r="P25" i="2"/>
  <c r="O26" i="2"/>
  <c r="W27" i="15"/>
  <c r="W29" i="15" s="1"/>
  <c r="F40" i="15" s="1"/>
  <c r="Y27" i="15"/>
  <c r="Y29" i="15" s="1"/>
  <c r="H40" i="15" s="1"/>
  <c r="U27" i="15"/>
  <c r="U29" i="15" s="1"/>
  <c r="D40" i="15" s="1"/>
  <c r="Z27" i="15"/>
  <c r="Z29" i="15" s="1"/>
  <c r="I40" i="15" s="1"/>
  <c r="V27" i="15"/>
  <c r="V29" i="15" s="1"/>
  <c r="E40" i="15" s="1"/>
  <c r="X27" i="15"/>
  <c r="X29" i="15" s="1"/>
  <c r="G40" i="15" s="1"/>
  <c r="T31" i="15"/>
  <c r="I26" i="10"/>
  <c r="I31" i="10" s="1"/>
  <c r="K26" i="10"/>
  <c r="D13" i="71"/>
  <c r="M13" i="71"/>
  <c r="L13" i="71"/>
  <c r="J28" i="73"/>
  <c r="N26" i="2"/>
  <c r="AY27" i="15"/>
  <c r="AY31" i="15" s="1"/>
  <c r="AU31" i="15"/>
  <c r="G17" i="72"/>
  <c r="C18" i="72" s="1"/>
  <c r="I17" i="72"/>
  <c r="D30" i="16"/>
  <c r="C30" i="16"/>
  <c r="E30" i="16"/>
  <c r="B31" i="16"/>
  <c r="G30" i="16"/>
  <c r="F30" i="16"/>
  <c r="R21" i="2"/>
  <c r="N27" i="15"/>
  <c r="N29" i="15" s="1"/>
  <c r="E39" i="15" s="1"/>
  <c r="Q27" i="15"/>
  <c r="Q29" i="15" s="1"/>
  <c r="H39" i="15" s="1"/>
  <c r="O27" i="15"/>
  <c r="O29" i="15" s="1"/>
  <c r="F39" i="15" s="1"/>
  <c r="R27" i="15"/>
  <c r="R29" i="15" s="1"/>
  <c r="I39" i="15" s="1"/>
  <c r="M27" i="15"/>
  <c r="M29" i="15" s="1"/>
  <c r="D39" i="15" s="1"/>
  <c r="P27" i="15"/>
  <c r="P29" i="15" s="1"/>
  <c r="G39" i="15" s="1"/>
  <c r="L31" i="15"/>
  <c r="D17" i="74"/>
  <c r="L20" i="32"/>
  <c r="K20" i="32"/>
  <c r="N20" i="32" s="1"/>
  <c r="AB17" i="77"/>
  <c r="W18" i="77"/>
  <c r="D18" i="77"/>
  <c r="I17" i="19"/>
  <c r="G17" i="19"/>
  <c r="C18" i="19" s="1"/>
  <c r="T17" i="19"/>
  <c r="R17" i="19"/>
  <c r="N18" i="19" s="1"/>
  <c r="O18" i="19" s="1"/>
  <c r="D29" i="73" l="1"/>
  <c r="F29" i="73" s="1"/>
  <c r="G29" i="73" s="1"/>
  <c r="C30" i="73" s="1"/>
  <c r="C28" i="21"/>
  <c r="D28" i="21"/>
  <c r="O27" i="2"/>
  <c r="P26" i="2"/>
  <c r="N27" i="2"/>
  <c r="N28" i="2" s="1"/>
  <c r="E17" i="74"/>
  <c r="J17" i="74"/>
  <c r="S21" i="2"/>
  <c r="T21" i="2" s="1"/>
  <c r="D18" i="72"/>
  <c r="E13" i="71"/>
  <c r="J13" i="71"/>
  <c r="L21" i="32"/>
  <c r="K21" i="32"/>
  <c r="N21" i="32" s="1"/>
  <c r="B33" i="16"/>
  <c r="F31" i="16"/>
  <c r="E31" i="16"/>
  <c r="B32" i="16"/>
  <c r="G31" i="16"/>
  <c r="D31" i="16"/>
  <c r="C31" i="16"/>
  <c r="X18" i="77"/>
  <c r="Z18" i="77" s="1"/>
  <c r="E18" i="77"/>
  <c r="F18" i="77" s="1"/>
  <c r="I18" i="77"/>
  <c r="D18" i="19"/>
  <c r="D30" i="73" l="1"/>
  <c r="F30" i="73" s="1"/>
  <c r="G30" i="73"/>
  <c r="C31" i="73" s="1"/>
  <c r="G32" i="16"/>
  <c r="F32" i="16"/>
  <c r="E32" i="16"/>
  <c r="D32" i="16"/>
  <c r="C32" i="16"/>
  <c r="E18" i="72"/>
  <c r="J18" i="72"/>
  <c r="O28" i="2"/>
  <c r="P27" i="2"/>
  <c r="C33" i="16"/>
  <c r="F33" i="16"/>
  <c r="E33" i="16"/>
  <c r="D33" i="16"/>
  <c r="G33" i="16"/>
  <c r="B34" i="16"/>
  <c r="R22" i="2"/>
  <c r="C29" i="21"/>
  <c r="D29" i="21" s="1"/>
  <c r="L22" i="32"/>
  <c r="K22" i="32"/>
  <c r="N22" i="32" s="1"/>
  <c r="G17" i="74"/>
  <c r="C18" i="74" s="1"/>
  <c r="I17" i="74"/>
  <c r="I13" i="71"/>
  <c r="G13" i="71"/>
  <c r="C14" i="71" s="1"/>
  <c r="J29" i="73"/>
  <c r="J30" i="73" s="1"/>
  <c r="AC18" i="77"/>
  <c r="H18" i="77"/>
  <c r="C19" i="77"/>
  <c r="E18" i="19"/>
  <c r="J18" i="19"/>
  <c r="P18" i="19"/>
  <c r="U18" i="19"/>
  <c r="C30" i="21" l="1"/>
  <c r="D30" i="21" s="1"/>
  <c r="D14" i="71"/>
  <c r="M14" i="71"/>
  <c r="L14" i="71"/>
  <c r="S22" i="2"/>
  <c r="T22" i="2" s="1"/>
  <c r="R23" i="2"/>
  <c r="O29" i="2"/>
  <c r="P28" i="2"/>
  <c r="D18" i="74"/>
  <c r="D34" i="16"/>
  <c r="F34" i="16"/>
  <c r="B35" i="16"/>
  <c r="G34" i="16"/>
  <c r="E34" i="16"/>
  <c r="C34" i="16"/>
  <c r="N29" i="2"/>
  <c r="N30" i="2" s="1"/>
  <c r="D31" i="73"/>
  <c r="F31" i="73" s="1"/>
  <c r="G31" i="73" s="1"/>
  <c r="C32" i="73" s="1"/>
  <c r="I18" i="72"/>
  <c r="G18" i="72"/>
  <c r="C19" i="72" s="1"/>
  <c r="L23" i="32"/>
  <c r="K23" i="32"/>
  <c r="N23" i="32" s="1"/>
  <c r="W19" i="77"/>
  <c r="AB18" i="77"/>
  <c r="D19" i="77"/>
  <c r="G18" i="19"/>
  <c r="C19" i="19" s="1"/>
  <c r="I18" i="19"/>
  <c r="R18" i="19"/>
  <c r="N19" i="19" s="1"/>
  <c r="O19" i="19" s="1"/>
  <c r="T18" i="19"/>
  <c r="D32" i="73" l="1"/>
  <c r="F32" i="73" s="1"/>
  <c r="G32" i="73" s="1"/>
  <c r="C33" i="73" s="1"/>
  <c r="C31" i="21"/>
  <c r="D31" i="21" s="1"/>
  <c r="E18" i="74"/>
  <c r="J18" i="74"/>
  <c r="O30" i="2"/>
  <c r="P29" i="2"/>
  <c r="K24" i="32"/>
  <c r="L24" i="32"/>
  <c r="J31" i="73"/>
  <c r="J32" i="73" s="1"/>
  <c r="D19" i="72"/>
  <c r="F35" i="16"/>
  <c r="D35" i="16"/>
  <c r="C35" i="16"/>
  <c r="B36" i="16"/>
  <c r="G35" i="16"/>
  <c r="E35" i="16"/>
  <c r="E14" i="71"/>
  <c r="J14" i="71"/>
  <c r="R24" i="2"/>
  <c r="S23" i="2"/>
  <c r="T23" i="2" s="1"/>
  <c r="X19" i="77"/>
  <c r="Z19" i="77" s="1"/>
  <c r="E19" i="77"/>
  <c r="F19" i="77" s="1"/>
  <c r="I19" i="77"/>
  <c r="D19" i="19"/>
  <c r="C32" i="21" l="1"/>
  <c r="D32" i="21" s="1"/>
  <c r="D33" i="73"/>
  <c r="F33" i="73" s="1"/>
  <c r="G33" i="73" s="1"/>
  <c r="C34" i="73" s="1"/>
  <c r="S24" i="2"/>
  <c r="T24" i="2" s="1"/>
  <c r="O31" i="2"/>
  <c r="P30" i="2"/>
  <c r="G14" i="71"/>
  <c r="C15" i="71" s="1"/>
  <c r="I14" i="71"/>
  <c r="E19" i="72"/>
  <c r="J19" i="72"/>
  <c r="I18" i="74"/>
  <c r="G18" i="74"/>
  <c r="C19" i="74" s="1"/>
  <c r="N31" i="2"/>
  <c r="B37" i="16"/>
  <c r="C36" i="16"/>
  <c r="G36" i="16"/>
  <c r="F36" i="16"/>
  <c r="E36" i="16"/>
  <c r="D36" i="16"/>
  <c r="N24" i="32"/>
  <c r="AC19" i="77"/>
  <c r="H19" i="77"/>
  <c r="C20" i="77"/>
  <c r="E19" i="19"/>
  <c r="J19" i="19"/>
  <c r="P19" i="19"/>
  <c r="U19" i="19"/>
  <c r="D34" i="73" l="1"/>
  <c r="F34" i="73" s="1"/>
  <c r="G34" i="73"/>
  <c r="C35" i="73" s="1"/>
  <c r="C33" i="21"/>
  <c r="D33" i="21" s="1"/>
  <c r="D19" i="74"/>
  <c r="P31" i="2"/>
  <c r="O32" i="2"/>
  <c r="I19" i="72"/>
  <c r="G19" i="72"/>
  <c r="C20" i="72" s="1"/>
  <c r="R25" i="2"/>
  <c r="F37" i="16"/>
  <c r="C37" i="16"/>
  <c r="D37" i="16"/>
  <c r="E37" i="16"/>
  <c r="G37" i="16"/>
  <c r="B41" i="16"/>
  <c r="M15" i="71"/>
  <c r="D15" i="71"/>
  <c r="L15" i="71"/>
  <c r="J33" i="73"/>
  <c r="J34" i="73" s="1"/>
  <c r="K25" i="32"/>
  <c r="L25" i="32"/>
  <c r="N32" i="2"/>
  <c r="N33" i="2" s="1"/>
  <c r="AB19" i="77"/>
  <c r="W20" i="77"/>
  <c r="D20" i="77"/>
  <c r="G19" i="19"/>
  <c r="C20" i="19" s="1"/>
  <c r="I19" i="19"/>
  <c r="R19" i="19"/>
  <c r="N20" i="19" s="1"/>
  <c r="O20" i="19" s="1"/>
  <c r="T19" i="19"/>
  <c r="C34" i="21" l="1"/>
  <c r="D34" i="21" s="1"/>
  <c r="N25" i="32"/>
  <c r="D35" i="73"/>
  <c r="F35" i="73" s="1"/>
  <c r="G35" i="73" s="1"/>
  <c r="C36" i="73" s="1"/>
  <c r="P32" i="2"/>
  <c r="O33" i="2"/>
  <c r="S25" i="2"/>
  <c r="T25" i="2" s="1"/>
  <c r="R26" i="2"/>
  <c r="E15" i="71"/>
  <c r="J15" i="71"/>
  <c r="E19" i="74"/>
  <c r="J19" i="74"/>
  <c r="D20" i="72"/>
  <c r="X20" i="77"/>
  <c r="Z20" i="77" s="1"/>
  <c r="E20" i="77"/>
  <c r="F20" i="77" s="1"/>
  <c r="I20" i="77"/>
  <c r="D20" i="19"/>
  <c r="D36" i="73" l="1"/>
  <c r="F36" i="73" s="1"/>
  <c r="G36" i="73"/>
  <c r="C37" i="73" s="1"/>
  <c r="C35" i="21"/>
  <c r="D35" i="21" s="1"/>
  <c r="E20" i="72"/>
  <c r="J20" i="72"/>
  <c r="O34" i="2"/>
  <c r="P33" i="2"/>
  <c r="G19" i="74"/>
  <c r="C20" i="74" s="1"/>
  <c r="I19" i="74"/>
  <c r="N34" i="2"/>
  <c r="L26" i="32"/>
  <c r="K26" i="32"/>
  <c r="N26" i="32" s="1"/>
  <c r="J35" i="73"/>
  <c r="J36" i="73" s="1"/>
  <c r="I15" i="71"/>
  <c r="G15" i="71"/>
  <c r="C16" i="71" s="1"/>
  <c r="S26" i="2"/>
  <c r="T26" i="2" s="1"/>
  <c r="R27" i="2"/>
  <c r="AC20" i="77"/>
  <c r="C21" i="77"/>
  <c r="H20" i="77"/>
  <c r="E20" i="19"/>
  <c r="J20" i="19"/>
  <c r="P20" i="19"/>
  <c r="U20" i="19"/>
  <c r="C36" i="21" l="1"/>
  <c r="D36" i="21"/>
  <c r="K27" i="32"/>
  <c r="L27" i="32"/>
  <c r="P34" i="2"/>
  <c r="O35" i="2"/>
  <c r="G20" i="72"/>
  <c r="C21" i="72" s="1"/>
  <c r="I20" i="72"/>
  <c r="S27" i="2"/>
  <c r="T27" i="2" s="1"/>
  <c r="R28" i="2"/>
  <c r="N35" i="2"/>
  <c r="N36" i="2" s="1"/>
  <c r="M16" i="71"/>
  <c r="D16" i="71"/>
  <c r="L16" i="71"/>
  <c r="D20" i="74"/>
  <c r="D37" i="73"/>
  <c r="F37" i="73" s="1"/>
  <c r="G37" i="73" s="1"/>
  <c r="C38" i="73" s="1"/>
  <c r="W21" i="77"/>
  <c r="AB20" i="77"/>
  <c r="D21" i="77"/>
  <c r="I20" i="19"/>
  <c r="G20" i="19"/>
  <c r="C21" i="19" s="1"/>
  <c r="T20" i="19"/>
  <c r="R20" i="19"/>
  <c r="N21" i="19" s="1"/>
  <c r="O21" i="19" s="1"/>
  <c r="D38" i="73" l="1"/>
  <c r="F38" i="73" s="1"/>
  <c r="G38" i="73" s="1"/>
  <c r="C39" i="73" s="1"/>
  <c r="E16" i="71"/>
  <c r="J16" i="71"/>
  <c r="P35" i="2"/>
  <c r="O36" i="2"/>
  <c r="N37" i="2"/>
  <c r="S28" i="2"/>
  <c r="T28" i="2" s="1"/>
  <c r="R29" i="2"/>
  <c r="N27" i="32"/>
  <c r="E20" i="74"/>
  <c r="J20" i="74"/>
  <c r="J37" i="73"/>
  <c r="J38" i="73" s="1"/>
  <c r="D37" i="21"/>
  <c r="C37" i="21"/>
  <c r="D21" i="72"/>
  <c r="X21" i="77"/>
  <c r="Z21" i="77" s="1"/>
  <c r="E21" i="77"/>
  <c r="F21" i="77" s="1"/>
  <c r="I21" i="77"/>
  <c r="D21" i="19"/>
  <c r="D39" i="73" l="1"/>
  <c r="F39" i="73" s="1"/>
  <c r="G39" i="73" s="1"/>
  <c r="C40" i="73" s="1"/>
  <c r="C38" i="21"/>
  <c r="D38" i="21" s="1"/>
  <c r="O37" i="2"/>
  <c r="P36" i="2"/>
  <c r="J39" i="73"/>
  <c r="I20" i="74"/>
  <c r="G20" i="74"/>
  <c r="C21" i="74" s="1"/>
  <c r="G16" i="71"/>
  <c r="C17" i="71" s="1"/>
  <c r="I16" i="71"/>
  <c r="E21" i="72"/>
  <c r="J21" i="72"/>
  <c r="L28" i="32"/>
  <c r="K28" i="32"/>
  <c r="N28" i="32" s="1"/>
  <c r="S29" i="2"/>
  <c r="T29" i="2" s="1"/>
  <c r="AC21" i="77"/>
  <c r="C22" i="77"/>
  <c r="H21" i="77"/>
  <c r="E21" i="19"/>
  <c r="J21" i="19"/>
  <c r="P21" i="19"/>
  <c r="U21" i="19"/>
  <c r="C39" i="21" l="1"/>
  <c r="D39" i="21" s="1"/>
  <c r="D40" i="73"/>
  <c r="F40" i="73" s="1"/>
  <c r="G40" i="73" s="1"/>
  <c r="C41" i="73" s="1"/>
  <c r="J40" i="73"/>
  <c r="G21" i="72"/>
  <c r="C22" i="72" s="1"/>
  <c r="I21" i="72"/>
  <c r="O38" i="2"/>
  <c r="P37" i="2"/>
  <c r="L17" i="71"/>
  <c r="M17" i="71"/>
  <c r="D17" i="71"/>
  <c r="N38" i="2"/>
  <c r="D21" i="74"/>
  <c r="R30" i="2"/>
  <c r="L29" i="32"/>
  <c r="K29" i="32"/>
  <c r="N29" i="32" s="1"/>
  <c r="AB21" i="77"/>
  <c r="W22" i="77"/>
  <c r="D22" i="77"/>
  <c r="I22" i="77" s="1"/>
  <c r="G21" i="19"/>
  <c r="C22" i="19" s="1"/>
  <c r="I21" i="19"/>
  <c r="T21" i="19"/>
  <c r="R21" i="19"/>
  <c r="N22" i="19" s="1"/>
  <c r="O22" i="19" s="1"/>
  <c r="D41" i="73" l="1"/>
  <c r="F41" i="73" s="1"/>
  <c r="G41" i="73" s="1"/>
  <c r="C42" i="73" s="1"/>
  <c r="C40" i="21"/>
  <c r="D40" i="21" s="1"/>
  <c r="L30" i="32"/>
  <c r="K30" i="32"/>
  <c r="N30" i="32" s="1"/>
  <c r="S30" i="2"/>
  <c r="T30" i="2" s="1"/>
  <c r="O39" i="2"/>
  <c r="P38" i="2"/>
  <c r="E21" i="74"/>
  <c r="J21" i="74"/>
  <c r="N39" i="2"/>
  <c r="N40" i="2" s="1"/>
  <c r="E17" i="71"/>
  <c r="J17" i="71"/>
  <c r="D22" i="72"/>
  <c r="J41" i="73"/>
  <c r="X22" i="77"/>
  <c r="Z22" i="77" s="1"/>
  <c r="E22" i="77"/>
  <c r="F22" i="77" s="1"/>
  <c r="D22" i="19"/>
  <c r="D42" i="73" l="1"/>
  <c r="F42" i="73" s="1"/>
  <c r="G42" i="73" s="1"/>
  <c r="C43" i="73" s="1"/>
  <c r="C41" i="21"/>
  <c r="D41" i="21"/>
  <c r="G17" i="71"/>
  <c r="C18" i="71" s="1"/>
  <c r="I17" i="71"/>
  <c r="K31" i="32"/>
  <c r="L31" i="32"/>
  <c r="J42" i="73"/>
  <c r="I21" i="74"/>
  <c r="G21" i="74"/>
  <c r="C22" i="74" s="1"/>
  <c r="E22" i="72"/>
  <c r="J22" i="72"/>
  <c r="O40" i="2"/>
  <c r="P39" i="2"/>
  <c r="R31" i="2"/>
  <c r="AC22" i="77"/>
  <c r="H22" i="77"/>
  <c r="E22" i="19"/>
  <c r="J22" i="19"/>
  <c r="P22" i="19"/>
  <c r="U22" i="19"/>
  <c r="D43" i="73" l="1"/>
  <c r="F43" i="73" s="1"/>
  <c r="G43" i="73" s="1"/>
  <c r="C44" i="73" s="1"/>
  <c r="P40" i="2"/>
  <c r="O41" i="2"/>
  <c r="N31" i="32"/>
  <c r="G22" i="72"/>
  <c r="C23" i="72" s="1"/>
  <c r="I22" i="72"/>
  <c r="D22" i="74"/>
  <c r="L18" i="71"/>
  <c r="D18" i="71"/>
  <c r="M18" i="71"/>
  <c r="C42" i="21"/>
  <c r="D42" i="21"/>
  <c r="S31" i="2"/>
  <c r="T31" i="2" s="1"/>
  <c r="J43" i="73"/>
  <c r="N41" i="2"/>
  <c r="N42" i="2" s="1"/>
  <c r="AB22" i="77"/>
  <c r="I22" i="19"/>
  <c r="G22" i="19"/>
  <c r="C23" i="19" s="1"/>
  <c r="T22" i="19"/>
  <c r="R22" i="19"/>
  <c r="N23" i="19" s="1"/>
  <c r="O23" i="19" s="1"/>
  <c r="D44" i="73" l="1"/>
  <c r="F44" i="73" s="1"/>
  <c r="G44" i="73" s="1"/>
  <c r="C45" i="73" s="1"/>
  <c r="N43" i="2"/>
  <c r="D23" i="72"/>
  <c r="R32" i="2"/>
  <c r="K32" i="32"/>
  <c r="L32" i="32"/>
  <c r="O42" i="2"/>
  <c r="P41" i="2"/>
  <c r="C43" i="21"/>
  <c r="D43" i="21" s="1"/>
  <c r="E22" i="74"/>
  <c r="J22" i="74"/>
  <c r="E18" i="71"/>
  <c r="J18" i="71"/>
  <c r="J44" i="73"/>
  <c r="D23" i="19"/>
  <c r="C44" i="21" l="1"/>
  <c r="D44" i="21" s="1"/>
  <c r="D45" i="73"/>
  <c r="F45" i="73" s="1"/>
  <c r="G45" i="73" s="1"/>
  <c r="C46" i="73" s="1"/>
  <c r="S32" i="2"/>
  <c r="T32" i="2" s="1"/>
  <c r="G22" i="74"/>
  <c r="C23" i="74" s="1"/>
  <c r="I22" i="74"/>
  <c r="E23" i="72"/>
  <c r="J23" i="72"/>
  <c r="J45" i="73"/>
  <c r="P42" i="2"/>
  <c r="O43" i="2"/>
  <c r="I18" i="71"/>
  <c r="G18" i="71"/>
  <c r="C19" i="71" s="1"/>
  <c r="N32" i="32"/>
  <c r="E23" i="19"/>
  <c r="J23" i="19"/>
  <c r="P23" i="19"/>
  <c r="U23" i="19"/>
  <c r="D46" i="73" l="1"/>
  <c r="F46" i="73" s="1"/>
  <c r="G46" i="73"/>
  <c r="C47" i="73" s="1"/>
  <c r="C45" i="21"/>
  <c r="D45" i="21"/>
  <c r="D23" i="74"/>
  <c r="P43" i="2"/>
  <c r="O44" i="2"/>
  <c r="R33" i="2"/>
  <c r="J46" i="73"/>
  <c r="N44" i="2"/>
  <c r="N45" i="2" s="1"/>
  <c r="L33" i="32"/>
  <c r="K33" i="32"/>
  <c r="N33" i="32" s="1"/>
  <c r="D19" i="71"/>
  <c r="M19" i="71"/>
  <c r="L19" i="71"/>
  <c r="I23" i="72"/>
  <c r="G23" i="72"/>
  <c r="C24" i="72" s="1"/>
  <c r="G23" i="19"/>
  <c r="C24" i="19" s="1"/>
  <c r="I23" i="19"/>
  <c r="R23" i="19"/>
  <c r="N24" i="19" s="1"/>
  <c r="O24" i="19" s="1"/>
  <c r="T23" i="19"/>
  <c r="L34" i="32" l="1"/>
  <c r="K34" i="32"/>
  <c r="N34" i="32" s="1"/>
  <c r="C46" i="21"/>
  <c r="D46" i="21"/>
  <c r="N46" i="2"/>
  <c r="J47" i="73"/>
  <c r="G47" i="73"/>
  <c r="C48" i="73" s="1"/>
  <c r="D47" i="73"/>
  <c r="F47" i="73" s="1"/>
  <c r="S33" i="2"/>
  <c r="T33" i="2" s="1"/>
  <c r="R34" i="2"/>
  <c r="O45" i="2"/>
  <c r="P44" i="2"/>
  <c r="E19" i="71"/>
  <c r="J19" i="71"/>
  <c r="E23" i="74"/>
  <c r="J23" i="74"/>
  <c r="D24" i="72"/>
  <c r="D24" i="19"/>
  <c r="I23" i="74" l="1"/>
  <c r="G23" i="74"/>
  <c r="C24" i="74" s="1"/>
  <c r="D48" i="73"/>
  <c r="F48" i="73" s="1"/>
  <c r="G48" i="73" s="1"/>
  <c r="C49" i="73" s="1"/>
  <c r="J48" i="73"/>
  <c r="I19" i="71"/>
  <c r="G19" i="71"/>
  <c r="C20" i="71" s="1"/>
  <c r="O46" i="2"/>
  <c r="P45" i="2"/>
  <c r="C47" i="21"/>
  <c r="D47" i="21" s="1"/>
  <c r="S34" i="2"/>
  <c r="T34" i="2" s="1"/>
  <c r="R35" i="2"/>
  <c r="E24" i="72"/>
  <c r="J24" i="72"/>
  <c r="K35" i="32"/>
  <c r="L35" i="32"/>
  <c r="E24" i="19"/>
  <c r="J24" i="19"/>
  <c r="P24" i="19"/>
  <c r="U24" i="19"/>
  <c r="D49" i="73" l="1"/>
  <c r="F49" i="73" s="1"/>
  <c r="G49" i="73"/>
  <c r="C50" i="73" s="1"/>
  <c r="C48" i="21"/>
  <c r="D48" i="21" s="1"/>
  <c r="G24" i="72"/>
  <c r="C25" i="72" s="1"/>
  <c r="I24" i="72"/>
  <c r="M20" i="71"/>
  <c r="L20" i="71"/>
  <c r="D20" i="71"/>
  <c r="S35" i="2"/>
  <c r="T35" i="2" s="1"/>
  <c r="J49" i="73"/>
  <c r="N35" i="32"/>
  <c r="O47" i="2"/>
  <c r="P46" i="2"/>
  <c r="D24" i="74"/>
  <c r="N47" i="2"/>
  <c r="I24" i="19"/>
  <c r="G24" i="19"/>
  <c r="C25" i="19" s="1"/>
  <c r="T24" i="19"/>
  <c r="R24" i="19"/>
  <c r="N25" i="19" s="1"/>
  <c r="O25" i="19" s="1"/>
  <c r="C49" i="21" l="1"/>
  <c r="D49" i="21" s="1"/>
  <c r="P47" i="2"/>
  <c r="O48" i="2"/>
  <c r="R36" i="2"/>
  <c r="L36" i="32"/>
  <c r="K36" i="32"/>
  <c r="E24" i="74"/>
  <c r="J24" i="74"/>
  <c r="E20" i="71"/>
  <c r="J20" i="71"/>
  <c r="D50" i="73"/>
  <c r="F50" i="73" s="1"/>
  <c r="G50" i="73" s="1"/>
  <c r="C51" i="73" s="1"/>
  <c r="N48" i="2"/>
  <c r="D25" i="72"/>
  <c r="D25" i="19"/>
  <c r="D51" i="73" l="1"/>
  <c r="F51" i="73" s="1"/>
  <c r="G51" i="73" s="1"/>
  <c r="C52" i="73" s="1"/>
  <c r="C50" i="21"/>
  <c r="D50" i="21" s="1"/>
  <c r="S36" i="2"/>
  <c r="T36" i="2" s="1"/>
  <c r="R37" i="2"/>
  <c r="J50" i="73"/>
  <c r="J51" i="73" s="1"/>
  <c r="G20" i="71"/>
  <c r="C21" i="71" s="1"/>
  <c r="I20" i="71"/>
  <c r="P48" i="2"/>
  <c r="O49" i="2"/>
  <c r="G24" i="74"/>
  <c r="C25" i="74" s="1"/>
  <c r="I24" i="74"/>
  <c r="E25" i="72"/>
  <c r="J25" i="72"/>
  <c r="N49" i="2"/>
  <c r="N36" i="32"/>
  <c r="E25" i="19"/>
  <c r="J25" i="19"/>
  <c r="P25" i="19"/>
  <c r="U25" i="19"/>
  <c r="C51" i="21" l="1"/>
  <c r="D51" i="21" s="1"/>
  <c r="D52" i="73"/>
  <c r="F52" i="73" s="1"/>
  <c r="G52" i="73"/>
  <c r="C53" i="73" s="1"/>
  <c r="I25" i="72"/>
  <c r="G25" i="72"/>
  <c r="C26" i="72" s="1"/>
  <c r="D25" i="74"/>
  <c r="S37" i="2"/>
  <c r="T37" i="2" s="1"/>
  <c r="R38" i="2"/>
  <c r="O50" i="2"/>
  <c r="P49" i="2"/>
  <c r="L37" i="32"/>
  <c r="K37" i="32"/>
  <c r="N37" i="32" s="1"/>
  <c r="N50" i="2"/>
  <c r="L21" i="71"/>
  <c r="D21" i="71"/>
  <c r="M21" i="71"/>
  <c r="G25" i="19"/>
  <c r="C26" i="19" s="1"/>
  <c r="I25" i="19"/>
  <c r="T25" i="19"/>
  <c r="R25" i="19"/>
  <c r="N26" i="19" s="1"/>
  <c r="O26" i="19" s="1"/>
  <c r="C52" i="21" l="1"/>
  <c r="D52" i="21" s="1"/>
  <c r="E21" i="71"/>
  <c r="J21" i="71"/>
  <c r="L38" i="32"/>
  <c r="K38" i="32"/>
  <c r="N38" i="32" s="1"/>
  <c r="J52" i="73"/>
  <c r="J53" i="73" s="1"/>
  <c r="D26" i="72"/>
  <c r="O51" i="2"/>
  <c r="P50" i="2"/>
  <c r="D53" i="73"/>
  <c r="F53" i="73" s="1"/>
  <c r="G53" i="73" s="1"/>
  <c r="C54" i="73" s="1"/>
  <c r="S38" i="2"/>
  <c r="T38" i="2" s="1"/>
  <c r="R39" i="2"/>
  <c r="E25" i="74"/>
  <c r="J25" i="74"/>
  <c r="N51" i="2"/>
  <c r="N52" i="2" s="1"/>
  <c r="D26" i="19"/>
  <c r="D54" i="73" l="1"/>
  <c r="F54" i="73" s="1"/>
  <c r="G54" i="73" s="1"/>
  <c r="C55" i="73" s="1"/>
  <c r="C53" i="21"/>
  <c r="D53" i="21" s="1"/>
  <c r="G25" i="74"/>
  <c r="C26" i="74" s="1"/>
  <c r="I25" i="74"/>
  <c r="E26" i="72"/>
  <c r="J26" i="72"/>
  <c r="S39" i="2"/>
  <c r="T39" i="2" s="1"/>
  <c r="J54" i="73"/>
  <c r="L39" i="32"/>
  <c r="K39" i="32"/>
  <c r="N39" i="32" s="1"/>
  <c r="N53" i="2"/>
  <c r="I21" i="71"/>
  <c r="G21" i="71"/>
  <c r="C22" i="71" s="1"/>
  <c r="O52" i="2"/>
  <c r="P51" i="2"/>
  <c r="E26" i="19"/>
  <c r="J26" i="19"/>
  <c r="P26" i="19"/>
  <c r="U26" i="19"/>
  <c r="C54" i="21" l="1"/>
  <c r="D54" i="21"/>
  <c r="D55" i="73"/>
  <c r="F55" i="73" s="1"/>
  <c r="G55" i="73" s="1"/>
  <c r="C56" i="73" s="1"/>
  <c r="G26" i="72"/>
  <c r="C27" i="72" s="1"/>
  <c r="I26" i="72"/>
  <c r="K40" i="32"/>
  <c r="L40" i="32"/>
  <c r="D26" i="74"/>
  <c r="O53" i="2"/>
  <c r="P52" i="2"/>
  <c r="M22" i="71"/>
  <c r="L22" i="71"/>
  <c r="D22" i="71"/>
  <c r="R40" i="2"/>
  <c r="I26" i="19"/>
  <c r="G26" i="19"/>
  <c r="C27" i="19" s="1"/>
  <c r="T26" i="19"/>
  <c r="R26" i="19"/>
  <c r="N27" i="19" s="1"/>
  <c r="O27" i="19" s="1"/>
  <c r="D56" i="73" l="1"/>
  <c r="F56" i="73" s="1"/>
  <c r="G56" i="73"/>
  <c r="C57" i="73" s="1"/>
  <c r="E26" i="74"/>
  <c r="J26" i="74"/>
  <c r="P53" i="2"/>
  <c r="O54" i="2"/>
  <c r="D27" i="72"/>
  <c r="J55" i="73"/>
  <c r="J56" i="73" s="1"/>
  <c r="N54" i="2"/>
  <c r="N40" i="32"/>
  <c r="C55" i="21"/>
  <c r="D55" i="21" s="1"/>
  <c r="S40" i="2"/>
  <c r="T40" i="2" s="1"/>
  <c r="R41" i="2"/>
  <c r="E22" i="71"/>
  <c r="J22" i="71"/>
  <c r="D27" i="19"/>
  <c r="C56" i="21" l="1"/>
  <c r="D56" i="21" s="1"/>
  <c r="S41" i="2"/>
  <c r="T41" i="2" s="1"/>
  <c r="E27" i="72"/>
  <c r="J27" i="72"/>
  <c r="O55" i="2"/>
  <c r="P54" i="2"/>
  <c r="K41" i="32"/>
  <c r="L41" i="32"/>
  <c r="I26" i="74"/>
  <c r="G26" i="74"/>
  <c r="C27" i="74" s="1"/>
  <c r="N55" i="2"/>
  <c r="D57" i="73"/>
  <c r="F57" i="73" s="1"/>
  <c r="G57" i="73" s="1"/>
  <c r="C58" i="73" s="1"/>
  <c r="I22" i="71"/>
  <c r="G22" i="71"/>
  <c r="C23" i="71" s="1"/>
  <c r="E27" i="19"/>
  <c r="J27" i="19"/>
  <c r="P27" i="19"/>
  <c r="U27" i="19"/>
  <c r="D58" i="73" l="1"/>
  <c r="F58" i="73" s="1"/>
  <c r="G58" i="73"/>
  <c r="C59" i="73" s="1"/>
  <c r="C57" i="21"/>
  <c r="D57" i="21"/>
  <c r="P55" i="2"/>
  <c r="O56" i="2"/>
  <c r="N56" i="2"/>
  <c r="N57" i="2" s="1"/>
  <c r="D27" i="74"/>
  <c r="G27" i="72"/>
  <c r="C28" i="72" s="1"/>
  <c r="I27" i="72"/>
  <c r="D23" i="71"/>
  <c r="L23" i="71"/>
  <c r="M23" i="71"/>
  <c r="R42" i="2"/>
  <c r="J57" i="73"/>
  <c r="J58" i="73" s="1"/>
  <c r="N41" i="32"/>
  <c r="I27" i="19"/>
  <c r="G27" i="19"/>
  <c r="C28" i="19" s="1"/>
  <c r="R27" i="19"/>
  <c r="N28" i="19" s="1"/>
  <c r="O28" i="19" s="1"/>
  <c r="T27" i="19"/>
  <c r="P56" i="2" l="1"/>
  <c r="O57" i="2"/>
  <c r="L42" i="32"/>
  <c r="K42" i="32"/>
  <c r="N42" i="32" s="1"/>
  <c r="E23" i="71"/>
  <c r="J23" i="71"/>
  <c r="C58" i="21"/>
  <c r="D58" i="21" s="1"/>
  <c r="S42" i="2"/>
  <c r="T42" i="2" s="1"/>
  <c r="R43" i="2"/>
  <c r="D28" i="72"/>
  <c r="D59" i="73"/>
  <c r="F59" i="73" s="1"/>
  <c r="G59" i="73" s="1"/>
  <c r="C60" i="73" s="1"/>
  <c r="E27" i="74"/>
  <c r="J27" i="74"/>
  <c r="D28" i="19"/>
  <c r="C59" i="21" l="1"/>
  <c r="D59" i="21" s="1"/>
  <c r="D60" i="73"/>
  <c r="F60" i="73" s="1"/>
  <c r="G60" i="73" s="1"/>
  <c r="C61" i="73" s="1"/>
  <c r="I23" i="71"/>
  <c r="G23" i="71"/>
  <c r="C24" i="71" s="1"/>
  <c r="S43" i="2"/>
  <c r="T43" i="2" s="1"/>
  <c r="P57" i="2"/>
  <c r="O58" i="2"/>
  <c r="I27" i="74"/>
  <c r="G27" i="74"/>
  <c r="C28" i="74" s="1"/>
  <c r="N58" i="2"/>
  <c r="N59" i="2" s="1"/>
  <c r="J59" i="73"/>
  <c r="J60" i="73" s="1"/>
  <c r="E28" i="72"/>
  <c r="J28" i="72"/>
  <c r="K43" i="32"/>
  <c r="L43" i="32"/>
  <c r="E28" i="19"/>
  <c r="J28" i="19"/>
  <c r="P28" i="19"/>
  <c r="U28" i="19"/>
  <c r="D61" i="73" l="1"/>
  <c r="F61" i="73" s="1"/>
  <c r="G61" i="73" s="1"/>
  <c r="C62" i="73" s="1"/>
  <c r="C60" i="21"/>
  <c r="D60" i="21" s="1"/>
  <c r="J61" i="73"/>
  <c r="N60" i="2"/>
  <c r="L24" i="71"/>
  <c r="M24" i="71"/>
  <c r="D24" i="71"/>
  <c r="D28" i="74"/>
  <c r="N43" i="32"/>
  <c r="P58" i="2"/>
  <c r="O59" i="2"/>
  <c r="G28" i="72"/>
  <c r="C29" i="72" s="1"/>
  <c r="I28" i="72"/>
  <c r="R44" i="2"/>
  <c r="G28" i="19"/>
  <c r="C29" i="19" s="1"/>
  <c r="I28" i="19"/>
  <c r="T28" i="19"/>
  <c r="R28" i="19"/>
  <c r="N29" i="19" s="1"/>
  <c r="O29" i="19" s="1"/>
  <c r="C61" i="21" l="1"/>
  <c r="D61" i="21" s="1"/>
  <c r="D62" i="73"/>
  <c r="F62" i="73" s="1"/>
  <c r="G62" i="73" s="1"/>
  <c r="C63" i="73" s="1"/>
  <c r="L44" i="32"/>
  <c r="K44" i="32"/>
  <c r="S44" i="2"/>
  <c r="T44" i="2" s="1"/>
  <c r="D29" i="72"/>
  <c r="E28" i="74"/>
  <c r="J28" i="74"/>
  <c r="E24" i="71"/>
  <c r="J24" i="71"/>
  <c r="O60" i="2"/>
  <c r="P59" i="2"/>
  <c r="D29" i="19"/>
  <c r="D63" i="73" l="1"/>
  <c r="F63" i="73" s="1"/>
  <c r="G63" i="73"/>
  <c r="C64" i="73" s="1"/>
  <c r="C62" i="21"/>
  <c r="D62" i="21" s="1"/>
  <c r="N44" i="32"/>
  <c r="E29" i="72"/>
  <c r="J29" i="72"/>
  <c r="P60" i="2"/>
  <c r="O61" i="2"/>
  <c r="J62" i="73"/>
  <c r="J63" i="73" s="1"/>
  <c r="I24" i="71"/>
  <c r="G24" i="71"/>
  <c r="C25" i="71" s="1"/>
  <c r="R45" i="2"/>
  <c r="N61" i="2"/>
  <c r="G28" i="74"/>
  <c r="C29" i="74" s="1"/>
  <c r="I28" i="74"/>
  <c r="E29" i="19"/>
  <c r="J29" i="19"/>
  <c r="P29" i="19"/>
  <c r="U29" i="19"/>
  <c r="C63" i="21" l="1"/>
  <c r="D63" i="21" s="1"/>
  <c r="S45" i="2"/>
  <c r="T45" i="2" s="1"/>
  <c r="I29" i="72"/>
  <c r="G29" i="72"/>
  <c r="C30" i="72" s="1"/>
  <c r="M25" i="71"/>
  <c r="L25" i="71"/>
  <c r="D25" i="71"/>
  <c r="L45" i="32"/>
  <c r="K45" i="32"/>
  <c r="N45" i="32" s="1"/>
  <c r="J64" i="73"/>
  <c r="D64" i="73"/>
  <c r="F64" i="73" s="1"/>
  <c r="G64" i="73"/>
  <c r="C65" i="73" s="1"/>
  <c r="D29" i="74"/>
  <c r="O62" i="2"/>
  <c r="P61" i="2"/>
  <c r="N62" i="2"/>
  <c r="N63" i="2" s="1"/>
  <c r="G29" i="19"/>
  <c r="C30" i="19" s="1"/>
  <c r="I29" i="19"/>
  <c r="T29" i="19"/>
  <c r="R29" i="19"/>
  <c r="N30" i="19" s="1"/>
  <c r="O30" i="19" s="1"/>
  <c r="C64" i="21" l="1"/>
  <c r="D64" i="21" s="1"/>
  <c r="N64" i="2"/>
  <c r="D30" i="72"/>
  <c r="P62" i="2"/>
  <c r="O63" i="2"/>
  <c r="L46" i="32"/>
  <c r="K46" i="32"/>
  <c r="N46" i="32" s="1"/>
  <c r="R46" i="2"/>
  <c r="E29" i="74"/>
  <c r="J29" i="74"/>
  <c r="D65" i="73"/>
  <c r="F65" i="73" s="1"/>
  <c r="G65" i="73"/>
  <c r="C66" i="73" s="1"/>
  <c r="E25" i="71"/>
  <c r="J25" i="71"/>
  <c r="D30" i="19"/>
  <c r="C65" i="21" l="1"/>
  <c r="D65" i="21" s="1"/>
  <c r="D66" i="73"/>
  <c r="F66" i="73" s="1"/>
  <c r="G66" i="73" s="1"/>
  <c r="C67" i="73" s="1"/>
  <c r="G29" i="74"/>
  <c r="C30" i="74" s="1"/>
  <c r="I29" i="74"/>
  <c r="K47" i="32"/>
  <c r="L47" i="32"/>
  <c r="E30" i="72"/>
  <c r="J30" i="72"/>
  <c r="S46" i="2"/>
  <c r="T46" i="2" s="1"/>
  <c r="R47" i="2"/>
  <c r="J65" i="73"/>
  <c r="J66" i="73" s="1"/>
  <c r="G25" i="71"/>
  <c r="C26" i="71" s="1"/>
  <c r="I25" i="71"/>
  <c r="O64" i="2"/>
  <c r="P63" i="2"/>
  <c r="E30" i="19"/>
  <c r="J30" i="19"/>
  <c r="P30" i="19"/>
  <c r="U30" i="19"/>
  <c r="D67" i="73" l="1"/>
  <c r="F67" i="73" s="1"/>
  <c r="G67" i="73" s="1"/>
  <c r="C68" i="73" s="1"/>
  <c r="C66" i="21"/>
  <c r="D66" i="21" s="1"/>
  <c r="J67" i="73"/>
  <c r="S47" i="2"/>
  <c r="T47" i="2" s="1"/>
  <c r="R48" i="2"/>
  <c r="D30" i="74"/>
  <c r="P64" i="2"/>
  <c r="O65" i="2"/>
  <c r="G30" i="72"/>
  <c r="C31" i="72" s="1"/>
  <c r="I30" i="72"/>
  <c r="L26" i="71"/>
  <c r="D26" i="71"/>
  <c r="M26" i="71"/>
  <c r="N47" i="32"/>
  <c r="N65" i="2"/>
  <c r="N66" i="2" s="1"/>
  <c r="G30" i="19"/>
  <c r="C31" i="19" s="1"/>
  <c r="I30" i="19"/>
  <c r="R30" i="19"/>
  <c r="N31" i="19" s="1"/>
  <c r="O31" i="19" s="1"/>
  <c r="T30" i="19"/>
  <c r="C67" i="21" l="1"/>
  <c r="D67" i="21" s="1"/>
  <c r="D68" i="73"/>
  <c r="F68" i="73" s="1"/>
  <c r="G68" i="73"/>
  <c r="C69" i="73" s="1"/>
  <c r="R49" i="2"/>
  <c r="S48" i="2"/>
  <c r="T48" i="2" s="1"/>
  <c r="D31" i="72"/>
  <c r="L48" i="32"/>
  <c r="K48" i="32"/>
  <c r="N48" i="32" s="1"/>
  <c r="P65" i="2"/>
  <c r="O66" i="2"/>
  <c r="P66" i="2" s="1"/>
  <c r="O67" i="2"/>
  <c r="P67" i="2" s="1"/>
  <c r="E26" i="71"/>
  <c r="J26" i="71"/>
  <c r="E30" i="74"/>
  <c r="J30" i="74"/>
  <c r="D31" i="19"/>
  <c r="L49" i="32" l="1"/>
  <c r="K49" i="32"/>
  <c r="N49" i="32" s="1"/>
  <c r="G26" i="71"/>
  <c r="C27" i="71" s="1"/>
  <c r="I26" i="71"/>
  <c r="E31" i="72"/>
  <c r="J31" i="72"/>
  <c r="J68" i="73"/>
  <c r="N67" i="2"/>
  <c r="P69" i="2"/>
  <c r="G30" i="74"/>
  <c r="C31" i="74" s="1"/>
  <c r="I30" i="74"/>
  <c r="S49" i="2"/>
  <c r="T49" i="2" s="1"/>
  <c r="R50" i="2"/>
  <c r="D69" i="73"/>
  <c r="F69" i="73" s="1"/>
  <c r="G69" i="73" s="1"/>
  <c r="C70" i="73" s="1"/>
  <c r="E31" i="19"/>
  <c r="J31" i="19"/>
  <c r="P31" i="19"/>
  <c r="U31" i="19"/>
  <c r="D70" i="73" l="1"/>
  <c r="F70" i="73" s="1"/>
  <c r="G70" i="73"/>
  <c r="C71" i="73" s="1"/>
  <c r="S50" i="2"/>
  <c r="T50" i="2" s="1"/>
  <c r="G31" i="72"/>
  <c r="C32" i="72" s="1"/>
  <c r="I31" i="72"/>
  <c r="M27" i="71"/>
  <c r="D27" i="71"/>
  <c r="L27" i="71"/>
  <c r="D31" i="74"/>
  <c r="L50" i="32"/>
  <c r="K50" i="32"/>
  <c r="J69" i="73"/>
  <c r="J70" i="73" s="1"/>
  <c r="I31" i="19"/>
  <c r="G31" i="19"/>
  <c r="C32" i="19" s="1"/>
  <c r="T31" i="19"/>
  <c r="R31" i="19"/>
  <c r="N32" i="19" s="1"/>
  <c r="O32" i="19" s="1"/>
  <c r="E31" i="74" l="1"/>
  <c r="J31" i="74"/>
  <c r="D32" i="72"/>
  <c r="R51" i="2"/>
  <c r="E27" i="71"/>
  <c r="J27" i="71"/>
  <c r="D71" i="73"/>
  <c r="F71" i="73" s="1"/>
  <c r="G71" i="73" s="1"/>
  <c r="C72" i="73" s="1"/>
  <c r="N50" i="32"/>
  <c r="D32" i="19"/>
  <c r="D72" i="73" l="1"/>
  <c r="F72" i="73" s="1"/>
  <c r="G72" i="73" s="1"/>
  <c r="C73" i="73" s="1"/>
  <c r="K51" i="32"/>
  <c r="L51" i="32"/>
  <c r="S51" i="2"/>
  <c r="T51" i="2" s="1"/>
  <c r="R52" i="2"/>
  <c r="E32" i="72"/>
  <c r="J32" i="72"/>
  <c r="G27" i="71"/>
  <c r="C28" i="71" s="1"/>
  <c r="I27" i="71"/>
  <c r="J71" i="73"/>
  <c r="J72" i="73" s="1"/>
  <c r="I31" i="74"/>
  <c r="G31" i="74"/>
  <c r="C32" i="74" s="1"/>
  <c r="E32" i="19"/>
  <c r="J32" i="19"/>
  <c r="P32" i="19"/>
  <c r="U32" i="19"/>
  <c r="D73" i="73" l="1"/>
  <c r="F73" i="73" s="1"/>
  <c r="G73" i="73" s="1"/>
  <c r="C74" i="73" s="1"/>
  <c r="I32" i="72"/>
  <c r="G32" i="72"/>
  <c r="C33" i="72" s="1"/>
  <c r="D32" i="74"/>
  <c r="S52" i="2"/>
  <c r="T52" i="2" s="1"/>
  <c r="R53" i="2"/>
  <c r="J73" i="73"/>
  <c r="L28" i="71"/>
  <c r="M28" i="71"/>
  <c r="D28" i="71"/>
  <c r="N51" i="32"/>
  <c r="G32" i="19"/>
  <c r="C33" i="19" s="1"/>
  <c r="I32" i="19"/>
  <c r="T32" i="19"/>
  <c r="R32" i="19"/>
  <c r="N33" i="19" s="1"/>
  <c r="O33" i="19" s="1"/>
  <c r="D74" i="73" l="1"/>
  <c r="F74" i="73" s="1"/>
  <c r="G74" i="73" s="1"/>
  <c r="C75" i="73" s="1"/>
  <c r="L52" i="32"/>
  <c r="K52" i="32"/>
  <c r="N52" i="32" s="1"/>
  <c r="S53" i="2"/>
  <c r="T53" i="2" s="1"/>
  <c r="R54" i="2"/>
  <c r="E28" i="71"/>
  <c r="J28" i="71"/>
  <c r="E32" i="74"/>
  <c r="J32" i="74"/>
  <c r="D33" i="72"/>
  <c r="J74" i="73"/>
  <c r="D33" i="19"/>
  <c r="D75" i="73" l="1"/>
  <c r="F75" i="73" s="1"/>
  <c r="G75" i="73" s="1"/>
  <c r="C76" i="73" s="1"/>
  <c r="I28" i="71"/>
  <c r="G28" i="71"/>
  <c r="C29" i="71" s="1"/>
  <c r="S54" i="2"/>
  <c r="T54" i="2" s="1"/>
  <c r="L53" i="32"/>
  <c r="K53" i="32"/>
  <c r="E33" i="72"/>
  <c r="J33" i="72"/>
  <c r="I32" i="74"/>
  <c r="G32" i="74"/>
  <c r="C33" i="74" s="1"/>
  <c r="J75" i="73"/>
  <c r="E33" i="19"/>
  <c r="J33" i="19"/>
  <c r="P33" i="19"/>
  <c r="U33" i="19"/>
  <c r="D76" i="73" l="1"/>
  <c r="F76" i="73" s="1"/>
  <c r="G76" i="73" s="1"/>
  <c r="C77" i="73" s="1"/>
  <c r="J76" i="73"/>
  <c r="D33" i="74"/>
  <c r="R55" i="2"/>
  <c r="M29" i="71"/>
  <c r="L29" i="71"/>
  <c r="D29" i="71"/>
  <c r="G33" i="72"/>
  <c r="C34" i="72" s="1"/>
  <c r="I33" i="72"/>
  <c r="N53" i="32"/>
  <c r="I33" i="19"/>
  <c r="G33" i="19"/>
  <c r="C34" i="19" s="1"/>
  <c r="R33" i="19"/>
  <c r="N34" i="19" s="1"/>
  <c r="O34" i="19" s="1"/>
  <c r="T33" i="19"/>
  <c r="D77" i="73" l="1"/>
  <c r="F77" i="73" s="1"/>
  <c r="G77" i="73"/>
  <c r="C78" i="73" s="1"/>
  <c r="L54" i="32"/>
  <c r="K54" i="32"/>
  <c r="N54" i="32" s="1"/>
  <c r="D34" i="72"/>
  <c r="S55" i="2"/>
  <c r="T55" i="2" s="1"/>
  <c r="E33" i="74"/>
  <c r="J33" i="74"/>
  <c r="J77" i="73"/>
  <c r="E29" i="71"/>
  <c r="J29" i="71"/>
  <c r="D34" i="19"/>
  <c r="G29" i="71" l="1"/>
  <c r="C30" i="71" s="1"/>
  <c r="I29" i="71"/>
  <c r="E34" i="72"/>
  <c r="J34" i="72"/>
  <c r="J78" i="73"/>
  <c r="L55" i="32"/>
  <c r="K55" i="32"/>
  <c r="G33" i="74"/>
  <c r="C34" i="74" s="1"/>
  <c r="I33" i="74"/>
  <c r="D78" i="73"/>
  <c r="F78" i="73" s="1"/>
  <c r="G78" i="73"/>
  <c r="C79" i="73" s="1"/>
  <c r="R56" i="2"/>
  <c r="E34" i="19"/>
  <c r="J34" i="19"/>
  <c r="P34" i="19"/>
  <c r="U34" i="19"/>
  <c r="S56" i="2" l="1"/>
  <c r="T56" i="2" s="1"/>
  <c r="D79" i="73"/>
  <c r="F79" i="73" s="1"/>
  <c r="G79" i="73" s="1"/>
  <c r="C80" i="73" s="1"/>
  <c r="I34" i="72"/>
  <c r="G34" i="72"/>
  <c r="C35" i="72" s="1"/>
  <c r="D34" i="74"/>
  <c r="D30" i="71"/>
  <c r="M30" i="71"/>
  <c r="L30" i="71"/>
  <c r="N55" i="32"/>
  <c r="G34" i="19"/>
  <c r="C35" i="19" s="1"/>
  <c r="I34" i="19"/>
  <c r="R34" i="19"/>
  <c r="N35" i="19" s="1"/>
  <c r="O35" i="19" s="1"/>
  <c r="T34" i="19"/>
  <c r="D80" i="73" l="1"/>
  <c r="F80" i="73" s="1"/>
  <c r="G80" i="73" s="1"/>
  <c r="C81" i="73" s="1"/>
  <c r="D35" i="72"/>
  <c r="E30" i="71"/>
  <c r="J30" i="71"/>
  <c r="E34" i="74"/>
  <c r="J34" i="74"/>
  <c r="J79" i="73"/>
  <c r="J80" i="73" s="1"/>
  <c r="K56" i="32"/>
  <c r="L56" i="32"/>
  <c r="R57" i="2"/>
  <c r="D35" i="19"/>
  <c r="D81" i="73" l="1"/>
  <c r="F81" i="73" s="1"/>
  <c r="G81" i="73"/>
  <c r="C82" i="73" s="1"/>
  <c r="I30" i="71"/>
  <c r="G30" i="71"/>
  <c r="C31" i="71" s="1"/>
  <c r="S57" i="2"/>
  <c r="T57" i="2" s="1"/>
  <c r="R58" i="2"/>
  <c r="N56" i="32"/>
  <c r="E35" i="72"/>
  <c r="J35" i="72"/>
  <c r="J81" i="73"/>
  <c r="I34" i="74"/>
  <c r="G34" i="74"/>
  <c r="C35" i="74" s="1"/>
  <c r="E35" i="19"/>
  <c r="J35" i="19"/>
  <c r="P35" i="19"/>
  <c r="U35" i="19"/>
  <c r="K57" i="32" l="1"/>
  <c r="L57" i="32"/>
  <c r="S58" i="2"/>
  <c r="T58" i="2" s="1"/>
  <c r="R59" i="2"/>
  <c r="D35" i="74"/>
  <c r="M31" i="71"/>
  <c r="D31" i="71"/>
  <c r="L31" i="71"/>
  <c r="D82" i="73"/>
  <c r="F82" i="73" s="1"/>
  <c r="G82" i="73" s="1"/>
  <c r="C83" i="73" s="1"/>
  <c r="G35" i="72"/>
  <c r="C36" i="72" s="1"/>
  <c r="I35" i="72"/>
  <c r="I35" i="19"/>
  <c r="G35" i="19"/>
  <c r="C36" i="19" s="1"/>
  <c r="T35" i="19"/>
  <c r="R35" i="19"/>
  <c r="N36" i="19" s="1"/>
  <c r="O36" i="19" s="1"/>
  <c r="D83" i="73" l="1"/>
  <c r="F83" i="73" s="1"/>
  <c r="G83" i="73" s="1"/>
  <c r="C84" i="73" s="1"/>
  <c r="J82" i="73"/>
  <c r="J83" i="73" s="1"/>
  <c r="E35" i="74"/>
  <c r="J35" i="74"/>
  <c r="R60" i="2"/>
  <c r="S59" i="2"/>
  <c r="T59" i="2" s="1"/>
  <c r="E31" i="71"/>
  <c r="J31" i="71"/>
  <c r="D36" i="72"/>
  <c r="N57" i="32"/>
  <c r="D36" i="19"/>
  <c r="D84" i="73" l="1"/>
  <c r="F84" i="73" s="1"/>
  <c r="G84" i="73"/>
  <c r="C85" i="73" s="1"/>
  <c r="S60" i="2"/>
  <c r="T60" i="2" s="1"/>
  <c r="L58" i="32"/>
  <c r="K58" i="32"/>
  <c r="N58" i="32" s="1"/>
  <c r="E36" i="72"/>
  <c r="J36" i="72"/>
  <c r="G35" i="74"/>
  <c r="C36" i="74" s="1"/>
  <c r="I35" i="74"/>
  <c r="J84" i="73"/>
  <c r="G31" i="71"/>
  <c r="C32" i="71" s="1"/>
  <c r="I31" i="71"/>
  <c r="E36" i="19"/>
  <c r="J36" i="19"/>
  <c r="P36" i="19"/>
  <c r="U36" i="19"/>
  <c r="L32" i="71" l="1"/>
  <c r="M32" i="71"/>
  <c r="D32" i="71"/>
  <c r="K59" i="32"/>
  <c r="L59" i="32"/>
  <c r="J85" i="73"/>
  <c r="R61" i="2"/>
  <c r="D36" i="74"/>
  <c r="D85" i="73"/>
  <c r="F85" i="73" s="1"/>
  <c r="G85" i="73" s="1"/>
  <c r="C86" i="73" s="1"/>
  <c r="I36" i="72"/>
  <c r="G36" i="72"/>
  <c r="C37" i="72" s="1"/>
  <c r="I36" i="19"/>
  <c r="G36" i="19"/>
  <c r="C37" i="19" s="1"/>
  <c r="R36" i="19"/>
  <c r="N37" i="19" s="1"/>
  <c r="O37" i="19" s="1"/>
  <c r="T36" i="19"/>
  <c r="D86" i="73" l="1"/>
  <c r="F86" i="73" s="1"/>
  <c r="G86" i="73" s="1"/>
  <c r="C87" i="73" s="1"/>
  <c r="J86" i="73"/>
  <c r="N59" i="32"/>
  <c r="E32" i="71"/>
  <c r="J32" i="71"/>
  <c r="E36" i="74"/>
  <c r="J36" i="74"/>
  <c r="S61" i="2"/>
  <c r="T61" i="2" s="1"/>
  <c r="D37" i="72"/>
  <c r="D37" i="19"/>
  <c r="D87" i="73" l="1"/>
  <c r="F87" i="73" s="1"/>
  <c r="G87" i="73" s="1"/>
  <c r="C88" i="73" s="1"/>
  <c r="I32" i="71"/>
  <c r="G32" i="71"/>
  <c r="C33" i="71" s="1"/>
  <c r="E37" i="72"/>
  <c r="J37" i="72"/>
  <c r="L60" i="32"/>
  <c r="K60" i="32"/>
  <c r="R62" i="2"/>
  <c r="I36" i="74"/>
  <c r="G36" i="74"/>
  <c r="C37" i="74" s="1"/>
  <c r="E37" i="19"/>
  <c r="J37" i="19"/>
  <c r="P37" i="19"/>
  <c r="U37" i="19"/>
  <c r="D88" i="73" l="1"/>
  <c r="F88" i="73" s="1"/>
  <c r="G88" i="73" s="1"/>
  <c r="C89" i="73" s="1"/>
  <c r="D37" i="74"/>
  <c r="I37" i="72"/>
  <c r="G37" i="72"/>
  <c r="C38" i="72" s="1"/>
  <c r="D33" i="71"/>
  <c r="M33" i="71"/>
  <c r="L33" i="71"/>
  <c r="S62" i="2"/>
  <c r="T62" i="2" s="1"/>
  <c r="R63" i="2"/>
  <c r="J87" i="73"/>
  <c r="J88" i="73" s="1"/>
  <c r="N60" i="32"/>
  <c r="G37" i="19"/>
  <c r="C38" i="19" s="1"/>
  <c r="I37" i="19"/>
  <c r="T37" i="19"/>
  <c r="R37" i="19"/>
  <c r="N38" i="19" s="1"/>
  <c r="O38" i="19" s="1"/>
  <c r="D89" i="73" l="1"/>
  <c r="F89" i="73" s="1"/>
  <c r="G89" i="73" s="1"/>
  <c r="C90" i="73" s="1"/>
  <c r="J89" i="73"/>
  <c r="S63" i="2"/>
  <c r="T63" i="2" s="1"/>
  <c r="R64" i="2"/>
  <c r="D38" i="72"/>
  <c r="E37" i="74"/>
  <c r="J37" i="74"/>
  <c r="L61" i="32"/>
  <c r="K61" i="32"/>
  <c r="N61" i="32" s="1"/>
  <c r="E33" i="71"/>
  <c r="J33" i="71"/>
  <c r="D38" i="19"/>
  <c r="D90" i="73" l="1"/>
  <c r="F90" i="73" s="1"/>
  <c r="G90" i="73"/>
  <c r="C91" i="73" s="1"/>
  <c r="E38" i="72"/>
  <c r="J38" i="72"/>
  <c r="G33" i="71"/>
  <c r="C34" i="71" s="1"/>
  <c r="I33" i="71"/>
  <c r="S64" i="2"/>
  <c r="T64" i="2" s="1"/>
  <c r="R65" i="2"/>
  <c r="L62" i="32"/>
  <c r="K62" i="32"/>
  <c r="N62" i="32" s="1"/>
  <c r="J90" i="73"/>
  <c r="G37" i="74"/>
  <c r="C38" i="74" s="1"/>
  <c r="I37" i="74"/>
  <c r="E38" i="19"/>
  <c r="J38" i="19"/>
  <c r="P38" i="19"/>
  <c r="U38" i="19"/>
  <c r="D38" i="74" l="1"/>
  <c r="M34" i="71"/>
  <c r="D34" i="71"/>
  <c r="L34" i="71"/>
  <c r="G38" i="72"/>
  <c r="C39" i="72" s="1"/>
  <c r="I38" i="72"/>
  <c r="K63" i="32"/>
  <c r="L63" i="32"/>
  <c r="D91" i="73"/>
  <c r="F91" i="73" s="1"/>
  <c r="G91" i="73" s="1"/>
  <c r="C92" i="73" s="1"/>
  <c r="S65" i="2"/>
  <c r="T65" i="2" s="1"/>
  <c r="G38" i="19"/>
  <c r="C39" i="19" s="1"/>
  <c r="I38" i="19"/>
  <c r="R38" i="19"/>
  <c r="N39" i="19" s="1"/>
  <c r="O39" i="19" s="1"/>
  <c r="T38" i="19"/>
  <c r="D92" i="73" l="1"/>
  <c r="F92" i="73" s="1"/>
  <c r="G92" i="73"/>
  <c r="C93" i="73" s="1"/>
  <c r="E34" i="71"/>
  <c r="J34" i="71"/>
  <c r="N63" i="32"/>
  <c r="D39" i="72"/>
  <c r="E38" i="74"/>
  <c r="J38" i="74"/>
  <c r="J91" i="73"/>
  <c r="J92" i="73" s="1"/>
  <c r="R66" i="2"/>
  <c r="D39" i="19"/>
  <c r="E39" i="72" l="1"/>
  <c r="J39" i="72"/>
  <c r="L64" i="32"/>
  <c r="K64" i="32"/>
  <c r="N64" i="32" s="1"/>
  <c r="S66" i="2"/>
  <c r="T66" i="2" s="1"/>
  <c r="R67" i="2"/>
  <c r="S67" i="2" s="1"/>
  <c r="T67" i="2" s="1"/>
  <c r="T69" i="2" s="1"/>
  <c r="I34" i="71"/>
  <c r="G34" i="71"/>
  <c r="C35" i="71" s="1"/>
  <c r="D93" i="73"/>
  <c r="F93" i="73" s="1"/>
  <c r="G93" i="73" s="1"/>
  <c r="C94" i="73" s="1"/>
  <c r="I38" i="74"/>
  <c r="G38" i="74"/>
  <c r="C39" i="74" s="1"/>
  <c r="E39" i="19"/>
  <c r="J39" i="19"/>
  <c r="P39" i="19"/>
  <c r="U39" i="19"/>
  <c r="D94" i="73" l="1"/>
  <c r="F94" i="73" s="1"/>
  <c r="G94" i="73" s="1"/>
  <c r="C95" i="73" s="1"/>
  <c r="D39" i="74"/>
  <c r="L65" i="32"/>
  <c r="K65" i="32"/>
  <c r="N65" i="32" s="1"/>
  <c r="L35" i="71"/>
  <c r="D35" i="71"/>
  <c r="M35" i="71"/>
  <c r="I39" i="72"/>
  <c r="G39" i="72"/>
  <c r="C40" i="72" s="1"/>
  <c r="J93" i="73"/>
  <c r="J94" i="73" s="1"/>
  <c r="I39" i="19"/>
  <c r="G39" i="19"/>
  <c r="C40" i="19" s="1"/>
  <c r="R39" i="19"/>
  <c r="N40" i="19" s="1"/>
  <c r="O40" i="19" s="1"/>
  <c r="T39" i="19"/>
  <c r="D95" i="73" l="1"/>
  <c r="F95" i="73" s="1"/>
  <c r="G95" i="73" s="1"/>
  <c r="C96" i="73" s="1"/>
  <c r="J95" i="73"/>
  <c r="D40" i="72"/>
  <c r="L66" i="32"/>
  <c r="K66" i="32"/>
  <c r="N66" i="32" s="1"/>
  <c r="E39" i="74"/>
  <c r="J39" i="74"/>
  <c r="E35" i="71"/>
  <c r="J35" i="71"/>
  <c r="D40" i="19"/>
  <c r="D96" i="73" l="1"/>
  <c r="F96" i="73" s="1"/>
  <c r="G96" i="73" s="1"/>
  <c r="C97" i="73" s="1"/>
  <c r="K67" i="32"/>
  <c r="L67" i="32"/>
  <c r="E40" i="72"/>
  <c r="J40" i="72"/>
  <c r="G35" i="71"/>
  <c r="C36" i="71" s="1"/>
  <c r="I35" i="71"/>
  <c r="J96" i="73"/>
  <c r="I39" i="74"/>
  <c r="G39" i="74"/>
  <c r="C40" i="74" s="1"/>
  <c r="E40" i="19"/>
  <c r="J40" i="19"/>
  <c r="P40" i="19"/>
  <c r="U40" i="19"/>
  <c r="D97" i="73" l="1"/>
  <c r="F97" i="73" s="1"/>
  <c r="G97" i="73"/>
  <c r="C98" i="73" s="1"/>
  <c r="D40" i="74"/>
  <c r="G40" i="72"/>
  <c r="C41" i="72" s="1"/>
  <c r="I40" i="72"/>
  <c r="N67" i="32"/>
  <c r="J97" i="73"/>
  <c r="M36" i="71"/>
  <c r="D36" i="71"/>
  <c r="L36" i="71"/>
  <c r="I40" i="19"/>
  <c r="G40" i="19"/>
  <c r="C41" i="19" s="1"/>
  <c r="R40" i="19"/>
  <c r="T40" i="19"/>
  <c r="E36" i="71" l="1"/>
  <c r="J36" i="71"/>
  <c r="D41" i="72"/>
  <c r="E40" i="74"/>
  <c r="J40" i="74"/>
  <c r="J98" i="73"/>
  <c r="D98" i="73"/>
  <c r="F98" i="73" s="1"/>
  <c r="G98" i="73" s="1"/>
  <c r="C99" i="73" s="1"/>
  <c r="L68" i="32"/>
  <c r="K68" i="32"/>
  <c r="N68" i="32" s="1"/>
  <c r="D41" i="19"/>
  <c r="D99" i="73" l="1"/>
  <c r="F99" i="73" s="1"/>
  <c r="G99" i="73"/>
  <c r="C100" i="73" s="1"/>
  <c r="J99" i="73"/>
  <c r="I40" i="74"/>
  <c r="G40" i="74"/>
  <c r="C41" i="74" s="1"/>
  <c r="K69" i="32"/>
  <c r="L69" i="32"/>
  <c r="E41" i="72"/>
  <c r="J41" i="72"/>
  <c r="I36" i="71"/>
  <c r="G36" i="71"/>
  <c r="C37" i="71" s="1"/>
  <c r="E41" i="19"/>
  <c r="J41" i="19"/>
  <c r="D41" i="74" l="1"/>
  <c r="M37" i="71"/>
  <c r="L37" i="71"/>
  <c r="D37" i="71"/>
  <c r="D100" i="73"/>
  <c r="F100" i="73" s="1"/>
  <c r="G100" i="73"/>
  <c r="C101" i="73" s="1"/>
  <c r="I41" i="72"/>
  <c r="G41" i="72"/>
  <c r="C42" i="72" s="1"/>
  <c r="N69" i="32"/>
  <c r="G41" i="19"/>
  <c r="C42" i="19" s="1"/>
  <c r="I41" i="19"/>
  <c r="L70" i="32" l="1"/>
  <c r="K70" i="32"/>
  <c r="N70" i="32" s="1"/>
  <c r="D42" i="72"/>
  <c r="E37" i="71"/>
  <c r="J37" i="71"/>
  <c r="G101" i="73"/>
  <c r="C102" i="73" s="1"/>
  <c r="D101" i="73"/>
  <c r="F101" i="73" s="1"/>
  <c r="J100" i="73"/>
  <c r="J101" i="73" s="1"/>
  <c r="E41" i="74"/>
  <c r="J41" i="74"/>
  <c r="D42" i="19"/>
  <c r="D102" i="73" l="1"/>
  <c r="F102" i="73" s="1"/>
  <c r="G102" i="73"/>
  <c r="C103" i="73" s="1"/>
  <c r="I37" i="71"/>
  <c r="G37" i="71"/>
  <c r="C38" i="71" s="1"/>
  <c r="E42" i="72"/>
  <c r="J42" i="72"/>
  <c r="L71" i="32"/>
  <c r="K71" i="32"/>
  <c r="G41" i="74"/>
  <c r="C42" i="74" s="1"/>
  <c r="I41" i="74"/>
  <c r="J102" i="73"/>
  <c r="E42" i="19"/>
  <c r="J42" i="19"/>
  <c r="G42" i="72" l="1"/>
  <c r="C43" i="72" s="1"/>
  <c r="I42" i="72"/>
  <c r="M38" i="71"/>
  <c r="L38" i="71"/>
  <c r="D38" i="71"/>
  <c r="D42" i="74"/>
  <c r="D103" i="73"/>
  <c r="F103" i="73" s="1"/>
  <c r="G103" i="73" s="1"/>
  <c r="C104" i="73" s="1"/>
  <c r="N71" i="32"/>
  <c r="I42" i="19"/>
  <c r="G42" i="19"/>
  <c r="C43" i="19" s="1"/>
  <c r="D104" i="73" l="1"/>
  <c r="F104" i="73" s="1"/>
  <c r="G104" i="73" s="1"/>
  <c r="C105" i="73" s="1"/>
  <c r="K72" i="32"/>
  <c r="L72" i="32"/>
  <c r="D43" i="72"/>
  <c r="E42" i="74"/>
  <c r="J42" i="74"/>
  <c r="J103" i="73"/>
  <c r="J104" i="73" s="1"/>
  <c r="E38" i="71"/>
  <c r="J38" i="71"/>
  <c r="D43" i="19"/>
  <c r="D105" i="73" l="1"/>
  <c r="F105" i="73" s="1"/>
  <c r="G105" i="73" s="1"/>
  <c r="C106" i="73" s="1"/>
  <c r="G42" i="74"/>
  <c r="C43" i="74" s="1"/>
  <c r="I42" i="74"/>
  <c r="E43" i="72"/>
  <c r="J43" i="72"/>
  <c r="I38" i="71"/>
  <c r="G38" i="71"/>
  <c r="C39" i="71" s="1"/>
  <c r="N72" i="32"/>
  <c r="J105" i="73"/>
  <c r="E43" i="19"/>
  <c r="J43" i="19"/>
  <c r="D106" i="73" l="1"/>
  <c r="F106" i="73" s="1"/>
  <c r="G106" i="73" s="1"/>
  <c r="C107" i="73" s="1"/>
  <c r="I43" i="72"/>
  <c r="G43" i="72"/>
  <c r="C44" i="72" s="1"/>
  <c r="J106" i="73"/>
  <c r="K73" i="32"/>
  <c r="L73" i="32"/>
  <c r="D43" i="74"/>
  <c r="L39" i="71"/>
  <c r="D39" i="71"/>
  <c r="M39" i="71"/>
  <c r="I43" i="19"/>
  <c r="G43" i="19"/>
  <c r="C44" i="19" s="1"/>
  <c r="D107" i="73" l="1"/>
  <c r="F107" i="73" s="1"/>
  <c r="G107" i="73" s="1"/>
  <c r="C108" i="73" s="1"/>
  <c r="E39" i="71"/>
  <c r="J39" i="71"/>
  <c r="N73" i="32"/>
  <c r="J107" i="73"/>
  <c r="E43" i="74"/>
  <c r="J43" i="74"/>
  <c r="D44" i="72"/>
  <c r="D44" i="19"/>
  <c r="D108" i="73" l="1"/>
  <c r="F108" i="73" s="1"/>
  <c r="G108" i="73" s="1"/>
  <c r="C109" i="73" s="1"/>
  <c r="I43" i="74"/>
  <c r="G43" i="74"/>
  <c r="C44" i="74" s="1"/>
  <c r="J108" i="73"/>
  <c r="L74" i="32"/>
  <c r="K74" i="32"/>
  <c r="N74" i="32" s="1"/>
  <c r="I39" i="71"/>
  <c r="G39" i="71"/>
  <c r="C40" i="71" s="1"/>
  <c r="E44" i="72"/>
  <c r="J44" i="72"/>
  <c r="E44" i="19"/>
  <c r="J44" i="19"/>
  <c r="D109" i="73" l="1"/>
  <c r="F109" i="73" s="1"/>
  <c r="G109" i="73"/>
  <c r="C110" i="73" s="1"/>
  <c r="D44" i="74"/>
  <c r="G44" i="72"/>
  <c r="C45" i="72" s="1"/>
  <c r="I44" i="72"/>
  <c r="L40" i="71"/>
  <c r="D40" i="71"/>
  <c r="M40" i="71"/>
  <c r="K75" i="32"/>
  <c r="L75" i="32"/>
  <c r="G44" i="19"/>
  <c r="C45" i="19" s="1"/>
  <c r="I44" i="19"/>
  <c r="N75" i="32" l="1"/>
  <c r="D45" i="72"/>
  <c r="E44" i="74"/>
  <c r="J44" i="74"/>
  <c r="E40" i="71"/>
  <c r="J40" i="71"/>
  <c r="D110" i="73"/>
  <c r="F110" i="73" s="1"/>
  <c r="G110" i="73" s="1"/>
  <c r="C111" i="73" s="1"/>
  <c r="J109" i="73"/>
  <c r="J110" i="73" s="1"/>
  <c r="D45" i="19"/>
  <c r="D111" i="73" l="1"/>
  <c r="F111" i="73" s="1"/>
  <c r="G111" i="73" s="1"/>
  <c r="C112" i="73" s="1"/>
  <c r="G40" i="71"/>
  <c r="C41" i="71" s="1"/>
  <c r="I40" i="71"/>
  <c r="I44" i="74"/>
  <c r="G44" i="74"/>
  <c r="C45" i="74" s="1"/>
  <c r="E45" i="72"/>
  <c r="J45" i="72"/>
  <c r="K76" i="32"/>
  <c r="L76" i="32"/>
  <c r="E45" i="19"/>
  <c r="J45" i="19"/>
  <c r="D112" i="73" l="1"/>
  <c r="F112" i="73" s="1"/>
  <c r="G112" i="73"/>
  <c r="C113" i="73" s="1"/>
  <c r="N76" i="32"/>
  <c r="M41" i="71"/>
  <c r="D41" i="71"/>
  <c r="L41" i="71"/>
  <c r="I45" i="72"/>
  <c r="G45" i="72"/>
  <c r="C46" i="72" s="1"/>
  <c r="J111" i="73"/>
  <c r="J112" i="73" s="1"/>
  <c r="D45" i="74"/>
  <c r="G45" i="19"/>
  <c r="C46" i="19" s="1"/>
  <c r="I45" i="19"/>
  <c r="E41" i="71" l="1"/>
  <c r="J41" i="71"/>
  <c r="E45" i="74"/>
  <c r="J45" i="74"/>
  <c r="J113" i="73"/>
  <c r="L77" i="32"/>
  <c r="K77" i="32"/>
  <c r="N77" i="32" s="1"/>
  <c r="D46" i="72"/>
  <c r="D113" i="73"/>
  <c r="F113" i="73" s="1"/>
  <c r="G113" i="73"/>
  <c r="C114" i="73" s="1"/>
  <c r="D46" i="19"/>
  <c r="L78" i="32" l="1"/>
  <c r="K78" i="32"/>
  <c r="N78" i="32" s="1"/>
  <c r="D114" i="73"/>
  <c r="F114" i="73" s="1"/>
  <c r="G114" i="73" s="1"/>
  <c r="C115" i="73" s="1"/>
  <c r="G45" i="74"/>
  <c r="C46" i="74" s="1"/>
  <c r="I45" i="74"/>
  <c r="E46" i="72"/>
  <c r="J46" i="72"/>
  <c r="I41" i="71"/>
  <c r="G41" i="71"/>
  <c r="C42" i="71" s="1"/>
  <c r="E46" i="19"/>
  <c r="J46" i="19"/>
  <c r="D115" i="73" l="1"/>
  <c r="F115" i="73" s="1"/>
  <c r="G115" i="73" s="1"/>
  <c r="C116" i="73" s="1"/>
  <c r="D42" i="71"/>
  <c r="L42" i="71"/>
  <c r="M42" i="71"/>
  <c r="J114" i="73"/>
  <c r="I46" i="72"/>
  <c r="G46" i="72"/>
  <c r="C47" i="72" s="1"/>
  <c r="K79" i="32"/>
  <c r="L79" i="32"/>
  <c r="D46" i="74"/>
  <c r="I46" i="19"/>
  <c r="G46" i="19"/>
  <c r="C47" i="19" s="1"/>
  <c r="D116" i="73" l="1"/>
  <c r="F116" i="73" s="1"/>
  <c r="G116" i="73"/>
  <c r="C117" i="73" s="1"/>
  <c r="E46" i="74"/>
  <c r="J46" i="74"/>
  <c r="N79" i="32"/>
  <c r="E42" i="71"/>
  <c r="J42" i="71"/>
  <c r="D47" i="72"/>
  <c r="J115" i="73"/>
  <c r="J116" i="73" s="1"/>
  <c r="D47" i="19"/>
  <c r="E47" i="72" l="1"/>
  <c r="J47" i="72"/>
  <c r="G42" i="71"/>
  <c r="C43" i="71" s="1"/>
  <c r="I42" i="71"/>
  <c r="L80" i="32"/>
  <c r="K80" i="32"/>
  <c r="G46" i="74"/>
  <c r="C47" i="74" s="1"/>
  <c r="I46" i="74"/>
  <c r="D117" i="73"/>
  <c r="F117" i="73" s="1"/>
  <c r="G117" i="73" s="1"/>
  <c r="C118" i="73" s="1"/>
  <c r="E47" i="19"/>
  <c r="J47" i="19"/>
  <c r="D118" i="73" l="1"/>
  <c r="F118" i="73" s="1"/>
  <c r="G118" i="73"/>
  <c r="C119" i="73" s="1"/>
  <c r="D43" i="71"/>
  <c r="M43" i="71"/>
  <c r="L43" i="71"/>
  <c r="D47" i="74"/>
  <c r="J117" i="73"/>
  <c r="J118" i="73" s="1"/>
  <c r="G47" i="72"/>
  <c r="C48" i="72" s="1"/>
  <c r="I47" i="72"/>
  <c r="N80" i="32"/>
  <c r="G47" i="19"/>
  <c r="C48" i="19" s="1"/>
  <c r="I47" i="19"/>
  <c r="L81" i="32" l="1"/>
  <c r="K81" i="32"/>
  <c r="N81" i="32" s="1"/>
  <c r="D48" i="72"/>
  <c r="J119" i="73"/>
  <c r="E43" i="71"/>
  <c r="J43" i="71"/>
  <c r="D119" i="73"/>
  <c r="F119" i="73" s="1"/>
  <c r="G119" i="73"/>
  <c r="C120" i="73" s="1"/>
  <c r="E47" i="74"/>
  <c r="J47" i="74"/>
  <c r="D48" i="19"/>
  <c r="I43" i="71" l="1"/>
  <c r="G43" i="71"/>
  <c r="C44" i="71" s="1"/>
  <c r="J120" i="73"/>
  <c r="E48" i="72"/>
  <c r="J48" i="72"/>
  <c r="G47" i="74"/>
  <c r="C48" i="74" s="1"/>
  <c r="I47" i="74"/>
  <c r="D120" i="73"/>
  <c r="F120" i="73" s="1"/>
  <c r="G120" i="73" s="1"/>
  <c r="C121" i="73" s="1"/>
  <c r="L82" i="32"/>
  <c r="K82" i="32"/>
  <c r="N82" i="32" s="1"/>
  <c r="E48" i="19"/>
  <c r="J48" i="19"/>
  <c r="D121" i="73" l="1"/>
  <c r="F121" i="73" s="1"/>
  <c r="G121" i="73" s="1"/>
  <c r="C122" i="73" s="1"/>
  <c r="L44" i="71"/>
  <c r="D44" i="71"/>
  <c r="M44" i="71"/>
  <c r="D48" i="74"/>
  <c r="I48" i="72"/>
  <c r="G48" i="72"/>
  <c r="C49" i="72" s="1"/>
  <c r="K83" i="32"/>
  <c r="L83" i="32"/>
  <c r="J121" i="73"/>
  <c r="G48" i="19"/>
  <c r="C49" i="19" s="1"/>
  <c r="I48" i="19"/>
  <c r="D122" i="73" l="1"/>
  <c r="F122" i="73" s="1"/>
  <c r="G122" i="73" s="1"/>
  <c r="C123" i="73" s="1"/>
  <c r="J122" i="73"/>
  <c r="N83" i="32"/>
  <c r="E44" i="71"/>
  <c r="J44" i="71"/>
  <c r="D49" i="72"/>
  <c r="E48" i="74"/>
  <c r="J48" i="74"/>
  <c r="D49" i="19"/>
  <c r="D123" i="73" l="1"/>
  <c r="F123" i="73" s="1"/>
  <c r="G123" i="73"/>
  <c r="C124" i="73" s="1"/>
  <c r="E49" i="72"/>
  <c r="J49" i="72"/>
  <c r="I44" i="71"/>
  <c r="G44" i="71"/>
  <c r="C45" i="71" s="1"/>
  <c r="L84" i="32"/>
  <c r="K84" i="32"/>
  <c r="N84" i="32" s="1"/>
  <c r="I48" i="74"/>
  <c r="G48" i="74"/>
  <c r="C49" i="74" s="1"/>
  <c r="E49" i="19"/>
  <c r="J49" i="19"/>
  <c r="M45" i="71" l="1"/>
  <c r="L45" i="71"/>
  <c r="D45" i="71"/>
  <c r="D49" i="74"/>
  <c r="J123" i="73"/>
  <c r="I49" i="72"/>
  <c r="G49" i="72"/>
  <c r="C50" i="72" s="1"/>
  <c r="D124" i="73"/>
  <c r="F124" i="73" s="1"/>
  <c r="G124" i="73"/>
  <c r="C125" i="73" s="1"/>
  <c r="K85" i="32"/>
  <c r="N85" i="32" s="1"/>
  <c r="L85" i="32"/>
  <c r="I49" i="19"/>
  <c r="G49" i="19"/>
  <c r="C50" i="19" s="1"/>
  <c r="L86" i="32" l="1"/>
  <c r="K86" i="32"/>
  <c r="N86" i="32" s="1"/>
  <c r="E49" i="74"/>
  <c r="J49" i="74"/>
  <c r="D125" i="73"/>
  <c r="F125" i="73" s="1"/>
  <c r="G125" i="73"/>
  <c r="C126" i="73" s="1"/>
  <c r="E45" i="71"/>
  <c r="J45" i="71"/>
  <c r="D50" i="72"/>
  <c r="J124" i="73"/>
  <c r="D50" i="19"/>
  <c r="G45" i="71" l="1"/>
  <c r="C46" i="71" s="1"/>
  <c r="I45" i="71"/>
  <c r="D126" i="73"/>
  <c r="F126" i="73" s="1"/>
  <c r="G126" i="73"/>
  <c r="C127" i="73" s="1"/>
  <c r="J125" i="73"/>
  <c r="J126" i="73" s="1"/>
  <c r="G49" i="74"/>
  <c r="C50" i="74" s="1"/>
  <c r="I49" i="74"/>
  <c r="E50" i="72"/>
  <c r="J50" i="72"/>
  <c r="L87" i="32"/>
  <c r="K87" i="32"/>
  <c r="N87" i="32" s="1"/>
  <c r="E50" i="19"/>
  <c r="J50" i="19"/>
  <c r="K88" i="32" l="1"/>
  <c r="L88" i="32"/>
  <c r="D127" i="73"/>
  <c r="F127" i="73" s="1"/>
  <c r="G127" i="73" s="1"/>
  <c r="C128" i="73" s="1"/>
  <c r="G50" i="72"/>
  <c r="C51" i="72" s="1"/>
  <c r="I50" i="72"/>
  <c r="D46" i="71"/>
  <c r="M46" i="71"/>
  <c r="L46" i="71"/>
  <c r="D50" i="74"/>
  <c r="G50" i="19"/>
  <c r="C51" i="19" s="1"/>
  <c r="I50" i="19"/>
  <c r="D128" i="73" l="1"/>
  <c r="F128" i="73" s="1"/>
  <c r="G128" i="73" s="1"/>
  <c r="C129" i="73" s="1"/>
  <c r="E50" i="74"/>
  <c r="J50" i="74"/>
  <c r="E46" i="71"/>
  <c r="J46" i="71"/>
  <c r="N88" i="32"/>
  <c r="J127" i="73"/>
  <c r="D51" i="72"/>
  <c r="D51" i="19"/>
  <c r="D129" i="73" l="1"/>
  <c r="G129" i="73"/>
  <c r="C130" i="73" s="1"/>
  <c r="L89" i="32"/>
  <c r="K89" i="32"/>
  <c r="N89" i="32" s="1"/>
  <c r="G46" i="71"/>
  <c r="C47" i="71" s="1"/>
  <c r="I46" i="71"/>
  <c r="G50" i="74"/>
  <c r="C51" i="74" s="1"/>
  <c r="I50" i="74"/>
  <c r="E51" i="72"/>
  <c r="J51" i="72"/>
  <c r="J128" i="73"/>
  <c r="J129" i="73" s="1"/>
  <c r="E51" i="19"/>
  <c r="J51" i="19"/>
  <c r="D47" i="71" l="1"/>
  <c r="M47" i="71"/>
  <c r="L47" i="71"/>
  <c r="J130" i="73"/>
  <c r="L90" i="32"/>
  <c r="K90" i="32"/>
  <c r="G51" i="72"/>
  <c r="C52" i="72" s="1"/>
  <c r="I51" i="72"/>
  <c r="D130" i="73"/>
  <c r="G130" i="73"/>
  <c r="C131" i="73" s="1"/>
  <c r="D51" i="74"/>
  <c r="I51" i="19"/>
  <c r="G51" i="19"/>
  <c r="C52" i="19" s="1"/>
  <c r="E51" i="74" l="1"/>
  <c r="J51" i="74"/>
  <c r="D131" i="73"/>
  <c r="G131" i="73"/>
  <c r="C132" i="73" s="1"/>
  <c r="J131" i="73"/>
  <c r="E47" i="71"/>
  <c r="J47" i="71"/>
  <c r="D52" i="72"/>
  <c r="N90" i="32"/>
  <c r="D52" i="19"/>
  <c r="I47" i="71" l="1"/>
  <c r="G47" i="71"/>
  <c r="C48" i="71" s="1"/>
  <c r="D132" i="73"/>
  <c r="J132" i="73" s="1"/>
  <c r="G132" i="73"/>
  <c r="C133" i="73" s="1"/>
  <c r="K91" i="32"/>
  <c r="L91" i="32"/>
  <c r="E52" i="72"/>
  <c r="J52" i="72"/>
  <c r="I51" i="74"/>
  <c r="G51" i="74"/>
  <c r="C52" i="74" s="1"/>
  <c r="E52" i="19"/>
  <c r="J52" i="19"/>
  <c r="D133" i="73" l="1"/>
  <c r="J133" i="73" s="1"/>
  <c r="G133" i="73"/>
  <c r="C134" i="73" s="1"/>
  <c r="D52" i="74"/>
  <c r="L48" i="71"/>
  <c r="M48" i="71"/>
  <c r="D48" i="71"/>
  <c r="G52" i="72"/>
  <c r="C53" i="72" s="1"/>
  <c r="I52" i="72"/>
  <c r="N91" i="32"/>
  <c r="G52" i="19"/>
  <c r="C53" i="19" s="1"/>
  <c r="I52" i="19"/>
  <c r="L92" i="32" l="1"/>
  <c r="K92" i="32"/>
  <c r="N92" i="32" s="1"/>
  <c r="D53" i="72"/>
  <c r="E52" i="74"/>
  <c r="J52" i="74"/>
  <c r="E48" i="71"/>
  <c r="J48" i="71"/>
  <c r="D134" i="73"/>
  <c r="J134" i="73" s="1"/>
  <c r="G134" i="73"/>
  <c r="C135" i="73" s="1"/>
  <c r="D53" i="19"/>
  <c r="E53" i="72" l="1"/>
  <c r="J53" i="72"/>
  <c r="L93" i="32"/>
  <c r="K93" i="32"/>
  <c r="N93" i="32" s="1"/>
  <c r="G52" i="74"/>
  <c r="C53" i="74" s="1"/>
  <c r="I52" i="74"/>
  <c r="D135" i="73"/>
  <c r="J135" i="73" s="1"/>
  <c r="G135" i="73"/>
  <c r="C136" i="73" s="1"/>
  <c r="G48" i="71"/>
  <c r="C49" i="71" s="1"/>
  <c r="I48" i="71"/>
  <c r="E53" i="19"/>
  <c r="J53" i="19"/>
  <c r="D53" i="74" l="1"/>
  <c r="L94" i="32"/>
  <c r="K94" i="32"/>
  <c r="N94" i="32" s="1"/>
  <c r="L49" i="71"/>
  <c r="M49" i="71"/>
  <c r="D49" i="71"/>
  <c r="I53" i="72"/>
  <c r="G53" i="72"/>
  <c r="C54" i="72" s="1"/>
  <c r="G136" i="73"/>
  <c r="C137" i="73" s="1"/>
  <c r="D136" i="73"/>
  <c r="J136" i="73" s="1"/>
  <c r="G53" i="19"/>
  <c r="C54" i="19" s="1"/>
  <c r="I53" i="19"/>
  <c r="G137" i="73" l="1"/>
  <c r="C138" i="73" s="1"/>
  <c r="D137" i="73"/>
  <c r="J137" i="73" s="1"/>
  <c r="D54" i="72"/>
  <c r="K95" i="32"/>
  <c r="L95" i="32"/>
  <c r="E53" i="74"/>
  <c r="J53" i="74"/>
  <c r="E49" i="71"/>
  <c r="J49" i="71"/>
  <c r="D54" i="19"/>
  <c r="N95" i="32" l="1"/>
  <c r="E54" i="72"/>
  <c r="J54" i="72"/>
  <c r="I49" i="71"/>
  <c r="G49" i="71"/>
  <c r="C50" i="71" s="1"/>
  <c r="G138" i="73"/>
  <c r="C139" i="73" s="1"/>
  <c r="D138" i="73"/>
  <c r="J138" i="73" s="1"/>
  <c r="I53" i="74"/>
  <c r="G53" i="74"/>
  <c r="C54" i="74" s="1"/>
  <c r="E54" i="19"/>
  <c r="J54" i="19"/>
  <c r="D54" i="74" l="1"/>
  <c r="G54" i="72"/>
  <c r="C55" i="72" s="1"/>
  <c r="I54" i="72"/>
  <c r="L96" i="32"/>
  <c r="K96" i="32"/>
  <c r="N96" i="32" s="1"/>
  <c r="D139" i="73"/>
  <c r="J139" i="73" s="1"/>
  <c r="G139" i="73"/>
  <c r="C140" i="73" s="1"/>
  <c r="M50" i="71"/>
  <c r="L50" i="71"/>
  <c r="D50" i="71"/>
  <c r="I54" i="19"/>
  <c r="G54" i="19"/>
  <c r="C55" i="19" s="1"/>
  <c r="D55" i="72" l="1"/>
  <c r="G140" i="73"/>
  <c r="C141" i="73" s="1"/>
  <c r="D140" i="73"/>
  <c r="J140" i="73" s="1"/>
  <c r="E54" i="74"/>
  <c r="J54" i="74"/>
  <c r="E50" i="71"/>
  <c r="J50" i="71"/>
  <c r="D55" i="19"/>
  <c r="D141" i="73" l="1"/>
  <c r="J141" i="73" s="1"/>
  <c r="G141" i="73"/>
  <c r="C142" i="73" s="1"/>
  <c r="I54" i="74"/>
  <c r="G54" i="74"/>
  <c r="C55" i="74" s="1"/>
  <c r="E55" i="72"/>
  <c r="J55" i="72"/>
  <c r="I50" i="71"/>
  <c r="G50" i="71"/>
  <c r="C51" i="71" s="1"/>
  <c r="E55" i="19"/>
  <c r="J55" i="19"/>
  <c r="D55" i="74" l="1"/>
  <c r="G142" i="73"/>
  <c r="C143" i="73" s="1"/>
  <c r="D142" i="73"/>
  <c r="J142" i="73" s="1"/>
  <c r="D51" i="71"/>
  <c r="M51" i="71"/>
  <c r="L51" i="71"/>
  <c r="G55" i="72"/>
  <c r="C56" i="72" s="1"/>
  <c r="I55" i="72"/>
  <c r="G55" i="19"/>
  <c r="C56" i="19" s="1"/>
  <c r="I55" i="19"/>
  <c r="D56" i="72" l="1"/>
  <c r="G143" i="73"/>
  <c r="C144" i="73" s="1"/>
  <c r="D143" i="73"/>
  <c r="J143" i="73" s="1"/>
  <c r="E55" i="74"/>
  <c r="J55" i="74"/>
  <c r="E51" i="71"/>
  <c r="J51" i="71"/>
  <c r="D56" i="19"/>
  <c r="G55" i="74" l="1"/>
  <c r="C56" i="74" s="1"/>
  <c r="I55" i="74"/>
  <c r="G144" i="73"/>
  <c r="C145" i="73" s="1"/>
  <c r="D144" i="73"/>
  <c r="J144" i="73" s="1"/>
  <c r="E56" i="72"/>
  <c r="J56" i="72"/>
  <c r="I51" i="71"/>
  <c r="G51" i="71"/>
  <c r="C52" i="71" s="1"/>
  <c r="E56" i="19"/>
  <c r="J56" i="19"/>
  <c r="G145" i="73" l="1"/>
  <c r="C146" i="73" s="1"/>
  <c r="D145" i="73"/>
  <c r="J145" i="73" s="1"/>
  <c r="D52" i="71"/>
  <c r="L52" i="71"/>
  <c r="M52" i="71"/>
  <c r="D56" i="74"/>
  <c r="I56" i="72"/>
  <c r="G56" i="72"/>
  <c r="C57" i="72" s="1"/>
  <c r="I56" i="19"/>
  <c r="G56" i="19"/>
  <c r="C57" i="19" s="1"/>
  <c r="D57" i="72" l="1"/>
  <c r="E52" i="71"/>
  <c r="J52" i="71"/>
  <c r="G146" i="73"/>
  <c r="C147" i="73" s="1"/>
  <c r="D146" i="73"/>
  <c r="J146" i="73" s="1"/>
  <c r="E56" i="74"/>
  <c r="J56" i="74"/>
  <c r="D57" i="19"/>
  <c r="D147" i="73" l="1"/>
  <c r="J147" i="73" s="1"/>
  <c r="G147" i="73"/>
  <c r="C148" i="73" s="1"/>
  <c r="I52" i="71"/>
  <c r="G52" i="71"/>
  <c r="C53" i="71" s="1"/>
  <c r="E57" i="72"/>
  <c r="J57" i="72"/>
  <c r="G56" i="74"/>
  <c r="C57" i="74" s="1"/>
  <c r="I56" i="74"/>
  <c r="E57" i="19"/>
  <c r="J57" i="19"/>
  <c r="D53" i="71" l="1"/>
  <c r="M53" i="71"/>
  <c r="L53" i="71"/>
  <c r="G148" i="73"/>
  <c r="C149" i="73" s="1"/>
  <c r="D148" i="73"/>
  <c r="J148" i="73" s="1"/>
  <c r="D57" i="74"/>
  <c r="G57" i="72"/>
  <c r="C58" i="72" s="1"/>
  <c r="I57" i="72"/>
  <c r="G57" i="19"/>
  <c r="C58" i="19" s="1"/>
  <c r="I57" i="19"/>
  <c r="D58" i="72" l="1"/>
  <c r="E57" i="74"/>
  <c r="J57" i="74"/>
  <c r="E53" i="71"/>
  <c r="J53" i="71"/>
  <c r="D149" i="73"/>
  <c r="J149" i="73" s="1"/>
  <c r="G149" i="73"/>
  <c r="C150" i="73" s="1"/>
  <c r="D58" i="19"/>
  <c r="G53" i="71" l="1"/>
  <c r="C54" i="71" s="1"/>
  <c r="I53" i="71"/>
  <c r="G57" i="74"/>
  <c r="C58" i="74" s="1"/>
  <c r="I57" i="74"/>
  <c r="E58" i="72"/>
  <c r="J58" i="72"/>
  <c r="G150" i="73"/>
  <c r="C151" i="73" s="1"/>
  <c r="D150" i="73"/>
  <c r="J150" i="73" s="1"/>
  <c r="E58" i="19"/>
  <c r="J58" i="19"/>
  <c r="D58" i="74" l="1"/>
  <c r="I58" i="72"/>
  <c r="G58" i="72"/>
  <c r="C59" i="72" s="1"/>
  <c r="D54" i="71"/>
  <c r="L54" i="71"/>
  <c r="M54" i="71"/>
  <c r="G151" i="73"/>
  <c r="C152" i="73" s="1"/>
  <c r="D151" i="73"/>
  <c r="J151" i="73" s="1"/>
  <c r="I58" i="19"/>
  <c r="G58" i="19"/>
  <c r="C59" i="19" s="1"/>
  <c r="D59" i="72" l="1"/>
  <c r="D152" i="73"/>
  <c r="J152" i="73" s="1"/>
  <c r="G152" i="73"/>
  <c r="C153" i="73" s="1"/>
  <c r="E58" i="74"/>
  <c r="J58" i="74"/>
  <c r="E54" i="71"/>
  <c r="J54" i="71"/>
  <c r="D59" i="19"/>
  <c r="G58" i="74" l="1"/>
  <c r="C59" i="74" s="1"/>
  <c r="I58" i="74"/>
  <c r="G153" i="73"/>
  <c r="C154" i="73" s="1"/>
  <c r="D153" i="73"/>
  <c r="J153" i="73" s="1"/>
  <c r="E59" i="72"/>
  <c r="J59" i="72"/>
  <c r="G54" i="71"/>
  <c r="C55" i="71" s="1"/>
  <c r="I54" i="71"/>
  <c r="E59" i="19"/>
  <c r="J59" i="19"/>
  <c r="D154" i="73" l="1"/>
  <c r="J154" i="73" s="1"/>
  <c r="G154" i="73"/>
  <c r="C155" i="73" s="1"/>
  <c r="D59" i="74"/>
  <c r="M55" i="71"/>
  <c r="L55" i="71"/>
  <c r="D55" i="71"/>
  <c r="G59" i="72"/>
  <c r="C60" i="72" s="1"/>
  <c r="I59" i="72"/>
  <c r="G59" i="19"/>
  <c r="C60" i="19" s="1"/>
  <c r="I59" i="19"/>
  <c r="E59" i="74" l="1"/>
  <c r="J59" i="74"/>
  <c r="D60" i="72"/>
  <c r="D155" i="73"/>
  <c r="J155" i="73" s="1"/>
  <c r="G155" i="73"/>
  <c r="C156" i="73" s="1"/>
  <c r="E55" i="71"/>
  <c r="J55" i="71"/>
  <c r="D60" i="19"/>
  <c r="G156" i="73" l="1"/>
  <c r="C157" i="73" s="1"/>
  <c r="D156" i="73"/>
  <c r="J156" i="73" s="1"/>
  <c r="E60" i="72"/>
  <c r="J60" i="72"/>
  <c r="I59" i="74"/>
  <c r="G59" i="74"/>
  <c r="C60" i="74" s="1"/>
  <c r="G55" i="71"/>
  <c r="C56" i="71" s="1"/>
  <c r="I55" i="71"/>
  <c r="E60" i="19"/>
  <c r="J60" i="19"/>
  <c r="I60" i="72" l="1"/>
  <c r="G60" i="72"/>
  <c r="C61" i="72" s="1"/>
  <c r="D56" i="71"/>
  <c r="L56" i="71"/>
  <c r="M56" i="71"/>
  <c r="G157" i="73"/>
  <c r="C158" i="73" s="1"/>
  <c r="D157" i="73"/>
  <c r="J157" i="73" s="1"/>
  <c r="D60" i="74"/>
  <c r="I60" i="19"/>
  <c r="G60" i="19"/>
  <c r="C61" i="19" s="1"/>
  <c r="E56" i="71" l="1"/>
  <c r="J56" i="71"/>
  <c r="E60" i="74"/>
  <c r="J60" i="74"/>
  <c r="D61" i="72"/>
  <c r="G158" i="73"/>
  <c r="C159" i="73" s="1"/>
  <c r="D158" i="73"/>
  <c r="J158" i="73" s="1"/>
  <c r="D61" i="19"/>
  <c r="E61" i="72" l="1"/>
  <c r="J61" i="72"/>
  <c r="G60" i="74"/>
  <c r="C61" i="74" s="1"/>
  <c r="I60" i="74"/>
  <c r="G56" i="71"/>
  <c r="C57" i="71" s="1"/>
  <c r="I56" i="71"/>
  <c r="D159" i="73"/>
  <c r="J159" i="73" s="1"/>
  <c r="G159" i="73"/>
  <c r="C160" i="73" s="1"/>
  <c r="E61" i="19"/>
  <c r="J61" i="19"/>
  <c r="D61" i="74" l="1"/>
  <c r="D57" i="71"/>
  <c r="M57" i="71"/>
  <c r="L57" i="71"/>
  <c r="G61" i="72"/>
  <c r="C62" i="72" s="1"/>
  <c r="I61" i="72"/>
  <c r="D160" i="73"/>
  <c r="J160" i="73" s="1"/>
  <c r="G160" i="73"/>
  <c r="C161" i="73" s="1"/>
  <c r="G61" i="19"/>
  <c r="C62" i="19" s="1"/>
  <c r="I61" i="19"/>
  <c r="G161" i="73" l="1"/>
  <c r="C162" i="73" s="1"/>
  <c r="D161" i="73"/>
  <c r="J161" i="73" s="1"/>
  <c r="E57" i="71"/>
  <c r="J57" i="71"/>
  <c r="D62" i="72"/>
  <c r="E61" i="74"/>
  <c r="J61" i="74"/>
  <c r="D62" i="19"/>
  <c r="E62" i="72" l="1"/>
  <c r="J62" i="72"/>
  <c r="G57" i="71"/>
  <c r="C58" i="71" s="1"/>
  <c r="I57" i="71"/>
  <c r="G162" i="73"/>
  <c r="C163" i="73" s="1"/>
  <c r="D162" i="73"/>
  <c r="J162" i="73" s="1"/>
  <c r="I61" i="74"/>
  <c r="G61" i="74"/>
  <c r="C62" i="74" s="1"/>
  <c r="E62" i="19"/>
  <c r="J62" i="19"/>
  <c r="M58" i="71" l="1"/>
  <c r="D58" i="71"/>
  <c r="L58" i="71"/>
  <c r="D62" i="74"/>
  <c r="I62" i="72"/>
  <c r="G62" i="72"/>
  <c r="C63" i="72" s="1"/>
  <c r="D163" i="73"/>
  <c r="J163" i="73" s="1"/>
  <c r="G163" i="73"/>
  <c r="C164" i="73" s="1"/>
  <c r="I62" i="19"/>
  <c r="G62" i="19"/>
  <c r="C63" i="19" s="1"/>
  <c r="E62" i="74" l="1"/>
  <c r="J62" i="74"/>
  <c r="G164" i="73"/>
  <c r="C165" i="73" s="1"/>
  <c r="D164" i="73"/>
  <c r="J164" i="73" s="1"/>
  <c r="D63" i="72"/>
  <c r="E58" i="71"/>
  <c r="J58" i="71"/>
  <c r="D63" i="19"/>
  <c r="I58" i="71" l="1"/>
  <c r="G58" i="71"/>
  <c r="C59" i="71" s="1"/>
  <c r="E63" i="72"/>
  <c r="J63" i="72"/>
  <c r="G165" i="73"/>
  <c r="C166" i="73" s="1"/>
  <c r="D165" i="73"/>
  <c r="J165" i="73" s="1"/>
  <c r="G62" i="74"/>
  <c r="C63" i="74" s="1"/>
  <c r="I62" i="74"/>
  <c r="E63" i="19"/>
  <c r="J63" i="19"/>
  <c r="G166" i="73" l="1"/>
  <c r="C167" i="73" s="1"/>
  <c r="D166" i="73"/>
  <c r="J166" i="73" s="1"/>
  <c r="I63" i="72"/>
  <c r="G63" i="72"/>
  <c r="C64" i="72" s="1"/>
  <c r="M59" i="71"/>
  <c r="L59" i="71"/>
  <c r="D59" i="71"/>
  <c r="D63" i="74"/>
  <c r="G63" i="19"/>
  <c r="C64" i="19" s="1"/>
  <c r="I63" i="19"/>
  <c r="D64" i="72" l="1"/>
  <c r="E63" i="74"/>
  <c r="J63" i="74"/>
  <c r="E59" i="71"/>
  <c r="J59" i="71"/>
  <c r="G167" i="73"/>
  <c r="C168" i="73" s="1"/>
  <c r="D167" i="73"/>
  <c r="J167" i="73" s="1"/>
  <c r="D64" i="19"/>
  <c r="I59" i="71" l="1"/>
  <c r="G59" i="71"/>
  <c r="C60" i="71" s="1"/>
  <c r="I63" i="74"/>
  <c r="G63" i="74"/>
  <c r="C64" i="74" s="1"/>
  <c r="E64" i="72"/>
  <c r="J64" i="72"/>
  <c r="D168" i="73"/>
  <c r="J168" i="73" s="1"/>
  <c r="G168" i="73"/>
  <c r="C169" i="73" s="1"/>
  <c r="E64" i="19"/>
  <c r="J64" i="19"/>
  <c r="M60" i="71" l="1"/>
  <c r="L60" i="71"/>
  <c r="D60" i="71"/>
  <c r="D169" i="73"/>
  <c r="J169" i="73" s="1"/>
  <c r="G169" i="73"/>
  <c r="C170" i="73" s="1"/>
  <c r="G64" i="72"/>
  <c r="C65" i="72" s="1"/>
  <c r="I64" i="72"/>
  <c r="D64" i="74"/>
  <c r="I64" i="19"/>
  <c r="G64" i="19"/>
  <c r="C65" i="19" s="1"/>
  <c r="E60" i="71" l="1"/>
  <c r="J60" i="71"/>
  <c r="E64" i="74"/>
  <c r="J64" i="74"/>
  <c r="D65" i="72"/>
  <c r="G170" i="73"/>
  <c r="C171" i="73" s="1"/>
  <c r="D170" i="73"/>
  <c r="J170" i="73" s="1"/>
  <c r="D65" i="19"/>
  <c r="E65" i="72" l="1"/>
  <c r="J65" i="72"/>
  <c r="I64" i="74"/>
  <c r="G64" i="74"/>
  <c r="C65" i="74" s="1"/>
  <c r="I60" i="71"/>
  <c r="G60" i="71"/>
  <c r="C61" i="71" s="1"/>
  <c r="D171" i="73"/>
  <c r="J171" i="73" s="1"/>
  <c r="G171" i="73"/>
  <c r="C172" i="73" s="1"/>
  <c r="E65" i="19"/>
  <c r="J65" i="19"/>
  <c r="D65" i="74" l="1"/>
  <c r="D172" i="73"/>
  <c r="J172" i="73" s="1"/>
  <c r="G172" i="73"/>
  <c r="C173" i="73" s="1"/>
  <c r="I65" i="72"/>
  <c r="G65" i="72"/>
  <c r="C66" i="72" s="1"/>
  <c r="D61" i="71"/>
  <c r="M61" i="71"/>
  <c r="L61" i="71"/>
  <c r="G65" i="19"/>
  <c r="C66" i="19" s="1"/>
  <c r="I65" i="19"/>
  <c r="D173" i="73" l="1"/>
  <c r="J173" i="73" s="1"/>
  <c r="G173" i="73"/>
  <c r="C174" i="73" s="1"/>
  <c r="E65" i="74"/>
  <c r="J65" i="74"/>
  <c r="E61" i="71"/>
  <c r="J61" i="71"/>
  <c r="D66" i="72"/>
  <c r="D66" i="19"/>
  <c r="E66" i="72" l="1"/>
  <c r="J66" i="72"/>
  <c r="I61" i="71"/>
  <c r="G61" i="71"/>
  <c r="C62" i="71" s="1"/>
  <c r="G65" i="74"/>
  <c r="C66" i="74" s="1"/>
  <c r="I65" i="74"/>
  <c r="D174" i="73"/>
  <c r="J174" i="73" s="1"/>
  <c r="G174" i="73"/>
  <c r="C175" i="73" s="1"/>
  <c r="E66" i="19"/>
  <c r="J66" i="19"/>
  <c r="M62" i="71" l="1"/>
  <c r="D62" i="71"/>
  <c r="L62" i="71"/>
  <c r="D175" i="73"/>
  <c r="J175" i="73" s="1"/>
  <c r="G175" i="73"/>
  <c r="C176" i="73" s="1"/>
  <c r="G66" i="72"/>
  <c r="C67" i="72" s="1"/>
  <c r="I66" i="72"/>
  <c r="D66" i="74"/>
  <c r="I66" i="19"/>
  <c r="G66" i="19"/>
  <c r="C67" i="19" s="1"/>
  <c r="E66" i="74" l="1"/>
  <c r="J66" i="74"/>
  <c r="E62" i="71"/>
  <c r="J62" i="71"/>
  <c r="D67" i="72"/>
  <c r="G176" i="73"/>
  <c r="C177" i="73" s="1"/>
  <c r="D176" i="73"/>
  <c r="J176" i="73" s="1"/>
  <c r="D67" i="19"/>
  <c r="E67" i="72" l="1"/>
  <c r="J67" i="72"/>
  <c r="G62" i="71"/>
  <c r="C63" i="71" s="1"/>
  <c r="I62" i="71"/>
  <c r="I66" i="74"/>
  <c r="G66" i="74"/>
  <c r="C67" i="74" s="1"/>
  <c r="D177" i="73"/>
  <c r="J177" i="73" s="1"/>
  <c r="G177" i="73"/>
  <c r="C178" i="73" s="1"/>
  <c r="E67" i="19"/>
  <c r="J67" i="19"/>
  <c r="L63" i="71" l="1"/>
  <c r="M63" i="71"/>
  <c r="D63" i="71"/>
  <c r="D178" i="73"/>
  <c r="J178" i="73" s="1"/>
  <c r="G178" i="73"/>
  <c r="C179" i="73" s="1"/>
  <c r="I67" i="72"/>
  <c r="G67" i="72"/>
  <c r="C68" i="72" s="1"/>
  <c r="D67" i="74"/>
  <c r="G67" i="19"/>
  <c r="C68" i="19" s="1"/>
  <c r="I67" i="19"/>
  <c r="E63" i="71" l="1"/>
  <c r="J63" i="71"/>
  <c r="E67" i="74"/>
  <c r="J67" i="74"/>
  <c r="D68" i="72"/>
  <c r="D179" i="73"/>
  <c r="J179" i="73" s="1"/>
  <c r="G179" i="73"/>
  <c r="C180" i="73" s="1"/>
  <c r="D68" i="19"/>
  <c r="E68" i="72" l="1"/>
  <c r="J68" i="72"/>
  <c r="G67" i="74"/>
  <c r="C68" i="74" s="1"/>
  <c r="I67" i="74"/>
  <c r="G180" i="73"/>
  <c r="C181" i="73" s="1"/>
  <c r="D180" i="73"/>
  <c r="J180" i="73" s="1"/>
  <c r="I63" i="71"/>
  <c r="G63" i="71"/>
  <c r="C64" i="71" s="1"/>
  <c r="E68" i="19"/>
  <c r="J68" i="19"/>
  <c r="D68" i="74" l="1"/>
  <c r="L64" i="71"/>
  <c r="D64" i="71"/>
  <c r="M64" i="71"/>
  <c r="G68" i="72"/>
  <c r="C69" i="72" s="1"/>
  <c r="I68" i="72"/>
  <c r="G181" i="73"/>
  <c r="C182" i="73" s="1"/>
  <c r="D181" i="73"/>
  <c r="J181" i="73" s="1"/>
  <c r="I68" i="19"/>
  <c r="G68" i="19"/>
  <c r="C69" i="19" s="1"/>
  <c r="E64" i="71" l="1"/>
  <c r="J64" i="71"/>
  <c r="G182" i="73"/>
  <c r="C183" i="73" s="1"/>
  <c r="D182" i="73"/>
  <c r="J182" i="73" s="1"/>
  <c r="D69" i="72"/>
  <c r="E68" i="74"/>
  <c r="J68" i="74"/>
  <c r="D69" i="19"/>
  <c r="E69" i="72" l="1"/>
  <c r="J69" i="72"/>
  <c r="D183" i="73"/>
  <c r="J183" i="73" s="1"/>
  <c r="G183" i="73"/>
  <c r="C184" i="73" s="1"/>
  <c r="I64" i="71"/>
  <c r="G64" i="71"/>
  <c r="C65" i="71" s="1"/>
  <c r="I68" i="74"/>
  <c r="G68" i="74"/>
  <c r="C69" i="74" s="1"/>
  <c r="E69" i="19"/>
  <c r="J69" i="19"/>
  <c r="D184" i="73" l="1"/>
  <c r="J184" i="73" s="1"/>
  <c r="G184" i="73"/>
  <c r="C185" i="73" s="1"/>
  <c r="D69" i="74"/>
  <c r="I69" i="72"/>
  <c r="G69" i="72"/>
  <c r="C70" i="72" s="1"/>
  <c r="D65" i="71"/>
  <c r="M65" i="71"/>
  <c r="L65" i="71"/>
  <c r="G69" i="19"/>
  <c r="C70" i="19" s="1"/>
  <c r="I69" i="19"/>
  <c r="E69" i="74" l="1"/>
  <c r="J69" i="74"/>
  <c r="G185" i="73"/>
  <c r="C186" i="73" s="1"/>
  <c r="D185" i="73"/>
  <c r="J185" i="73" s="1"/>
  <c r="E65" i="71"/>
  <c r="J65" i="71"/>
  <c r="D70" i="72"/>
  <c r="D70" i="19"/>
  <c r="G65" i="71" l="1"/>
  <c r="C66" i="71" s="1"/>
  <c r="I65" i="71"/>
  <c r="D186" i="73"/>
  <c r="J186" i="73" s="1"/>
  <c r="G186" i="73"/>
  <c r="C187" i="73" s="1"/>
  <c r="G69" i="74"/>
  <c r="C70" i="74" s="1"/>
  <c r="I69" i="74"/>
  <c r="E70" i="72"/>
  <c r="J70" i="72"/>
  <c r="E70" i="19"/>
  <c r="J70" i="19"/>
  <c r="D187" i="73" l="1"/>
  <c r="J187" i="73" s="1"/>
  <c r="G187" i="73"/>
  <c r="C188" i="73" s="1"/>
  <c r="L66" i="71"/>
  <c r="M66" i="71"/>
  <c r="D66" i="71"/>
  <c r="I70" i="72"/>
  <c r="G70" i="72"/>
  <c r="C71" i="72" s="1"/>
  <c r="D70" i="74"/>
  <c r="I70" i="19"/>
  <c r="G70" i="19"/>
  <c r="C71" i="19" s="1"/>
  <c r="E70" i="74" l="1"/>
  <c r="J70" i="74"/>
  <c r="D71" i="72"/>
  <c r="D188" i="73"/>
  <c r="J188" i="73" s="1"/>
  <c r="G188" i="73"/>
  <c r="C189" i="73" s="1"/>
  <c r="E66" i="71"/>
  <c r="J66" i="71"/>
  <c r="D71" i="19"/>
  <c r="E71" i="72" l="1"/>
  <c r="J71" i="72"/>
  <c r="I70" i="74"/>
  <c r="G70" i="74"/>
  <c r="C71" i="74" s="1"/>
  <c r="D189" i="73"/>
  <c r="J189" i="73" s="1"/>
  <c r="G189" i="73"/>
  <c r="C190" i="73" s="1"/>
  <c r="I66" i="71"/>
  <c r="G66" i="71"/>
  <c r="E71" i="19"/>
  <c r="J71" i="19"/>
  <c r="G190" i="73" l="1"/>
  <c r="C191" i="73" s="1"/>
  <c r="D190" i="73"/>
  <c r="J190" i="73" s="1"/>
  <c r="D71" i="74"/>
  <c r="G71" i="72"/>
  <c r="C72" i="72" s="1"/>
  <c r="I71" i="72"/>
  <c r="G71" i="19"/>
  <c r="C72" i="19" s="1"/>
  <c r="I71" i="19"/>
  <c r="E71" i="74" l="1"/>
  <c r="J71" i="74"/>
  <c r="D191" i="73"/>
  <c r="J191" i="73" s="1"/>
  <c r="G191" i="73"/>
  <c r="C192" i="73" s="1"/>
  <c r="D72" i="72"/>
  <c r="D72" i="19"/>
  <c r="E72" i="72" l="1"/>
  <c r="J72" i="72"/>
  <c r="D192" i="73"/>
  <c r="J192" i="73" s="1"/>
  <c r="G192" i="73"/>
  <c r="C193" i="73" s="1"/>
  <c r="G71" i="74"/>
  <c r="C72" i="74" s="1"/>
  <c r="I71" i="74"/>
  <c r="E72" i="19"/>
  <c r="J72" i="19"/>
  <c r="D193" i="73" l="1"/>
  <c r="J193" i="73" s="1"/>
  <c r="G193" i="73"/>
  <c r="C194" i="73" s="1"/>
  <c r="I72" i="72"/>
  <c r="G72" i="72"/>
  <c r="C73" i="72" s="1"/>
  <c r="D72" i="74"/>
  <c r="I72" i="19"/>
  <c r="G72" i="19"/>
  <c r="C73" i="19" s="1"/>
  <c r="D73" i="72" l="1"/>
  <c r="D194" i="73"/>
  <c r="J194" i="73" s="1"/>
  <c r="G194" i="73"/>
  <c r="C195" i="73" s="1"/>
  <c r="E72" i="74"/>
  <c r="J72" i="74"/>
  <c r="D73" i="19"/>
  <c r="G72" i="74" l="1"/>
  <c r="C73" i="74" s="1"/>
  <c r="I72" i="74"/>
  <c r="D195" i="73"/>
  <c r="J195" i="73" s="1"/>
  <c r="G195" i="73"/>
  <c r="C196" i="73" s="1"/>
  <c r="E73" i="72"/>
  <c r="J73" i="72"/>
  <c r="E73" i="19"/>
  <c r="J73" i="19"/>
  <c r="G73" i="72" l="1"/>
  <c r="C74" i="72" s="1"/>
  <c r="I73" i="72"/>
  <c r="G196" i="73"/>
  <c r="C197" i="73" s="1"/>
  <c r="D196" i="73"/>
  <c r="J196" i="73" s="1"/>
  <c r="D73" i="74"/>
  <c r="G73" i="19"/>
  <c r="C74" i="19" s="1"/>
  <c r="I73" i="19"/>
  <c r="E73" i="74" l="1"/>
  <c r="J73" i="74"/>
  <c r="D197" i="73"/>
  <c r="J197" i="73" s="1"/>
  <c r="G197" i="73"/>
  <c r="C198" i="73" s="1"/>
  <c r="D74" i="72"/>
  <c r="D74" i="19"/>
  <c r="E74" i="72" l="1"/>
  <c r="J74" i="72"/>
  <c r="D198" i="73"/>
  <c r="J198" i="73" s="1"/>
  <c r="G198" i="73"/>
  <c r="C199" i="73" s="1"/>
  <c r="G73" i="74"/>
  <c r="C74" i="74" s="1"/>
  <c r="I73" i="74"/>
  <c r="E74" i="19"/>
  <c r="J74" i="19"/>
  <c r="G199" i="73" l="1"/>
  <c r="C200" i="73" s="1"/>
  <c r="D199" i="73"/>
  <c r="J199" i="73" s="1"/>
  <c r="I74" i="72"/>
  <c r="G74" i="72"/>
  <c r="C75" i="72" s="1"/>
  <c r="D74" i="74"/>
  <c r="G74" i="19"/>
  <c r="C75" i="19" s="1"/>
  <c r="I74" i="19"/>
  <c r="E74" i="74" l="1"/>
  <c r="J74" i="74"/>
  <c r="D75" i="72"/>
  <c r="G200" i="73"/>
  <c r="C201" i="73" s="1"/>
  <c r="D200" i="73"/>
  <c r="J200" i="73" s="1"/>
  <c r="D75" i="19"/>
  <c r="G201" i="73" l="1"/>
  <c r="C202" i="73" s="1"/>
  <c r="D201" i="73"/>
  <c r="J201" i="73" s="1"/>
  <c r="E75" i="72"/>
  <c r="J75" i="72"/>
  <c r="G74" i="74"/>
  <c r="C75" i="74" s="1"/>
  <c r="I74" i="74"/>
  <c r="E75" i="19"/>
  <c r="J75" i="19"/>
  <c r="G75" i="72" l="1"/>
  <c r="C76" i="72" s="1"/>
  <c r="I75" i="72"/>
  <c r="D202" i="73"/>
  <c r="J202" i="73" s="1"/>
  <c r="G202" i="73"/>
  <c r="C203" i="73" s="1"/>
  <c r="D75" i="74"/>
  <c r="I75" i="19"/>
  <c r="G75" i="19"/>
  <c r="C76" i="19" s="1"/>
  <c r="G203" i="73" l="1"/>
  <c r="C204" i="73" s="1"/>
  <c r="D203" i="73"/>
  <c r="J203" i="73" s="1"/>
  <c r="D76" i="72"/>
  <c r="E75" i="74"/>
  <c r="J75" i="74"/>
  <c r="D76" i="19"/>
  <c r="J204" i="73" l="1"/>
  <c r="G75" i="74"/>
  <c r="C76" i="74" s="1"/>
  <c r="I75" i="74"/>
  <c r="E76" i="72"/>
  <c r="J76" i="72"/>
  <c r="D204" i="73"/>
  <c r="G204" i="73"/>
  <c r="C205" i="73" s="1"/>
  <c r="E76" i="19"/>
  <c r="J76" i="19"/>
  <c r="I76" i="72" l="1"/>
  <c r="G76" i="72"/>
  <c r="C77" i="72" s="1"/>
  <c r="D76" i="74"/>
  <c r="J205" i="73"/>
  <c r="D205" i="73"/>
  <c r="G205" i="73"/>
  <c r="C206" i="73" s="1"/>
  <c r="G76" i="19"/>
  <c r="C77" i="19" s="1"/>
  <c r="I76" i="19"/>
  <c r="E76" i="74" l="1"/>
  <c r="J76" i="74"/>
  <c r="D77" i="72"/>
  <c r="G206" i="73"/>
  <c r="C207" i="73" s="1"/>
  <c r="D206" i="73"/>
  <c r="J206" i="73" s="1"/>
  <c r="D77" i="19"/>
  <c r="G207" i="73" l="1"/>
  <c r="C208" i="73" s="1"/>
  <c r="D207" i="73"/>
  <c r="J207" i="73" s="1"/>
  <c r="E77" i="72"/>
  <c r="J77" i="72"/>
  <c r="I76" i="74"/>
  <c r="G76" i="74"/>
  <c r="C77" i="74" s="1"/>
  <c r="E77" i="19"/>
  <c r="J77" i="19"/>
  <c r="G77" i="72" l="1"/>
  <c r="C78" i="72" s="1"/>
  <c r="I77" i="72"/>
  <c r="G208" i="73"/>
  <c r="C209" i="73" s="1"/>
  <c r="D208" i="73"/>
  <c r="J208" i="73" s="1"/>
  <c r="D77" i="74"/>
  <c r="I77" i="19"/>
  <c r="G77" i="19"/>
  <c r="C78" i="19" s="1"/>
  <c r="E77" i="74" l="1"/>
  <c r="J77" i="74"/>
  <c r="D209" i="73"/>
  <c r="J209" i="73" s="1"/>
  <c r="G209" i="73"/>
  <c r="C210" i="73" s="1"/>
  <c r="D78" i="72"/>
  <c r="D78" i="19"/>
  <c r="E78" i="72" l="1"/>
  <c r="J78" i="72"/>
  <c r="D210" i="73"/>
  <c r="J210" i="73" s="1"/>
  <c r="G210" i="73"/>
  <c r="C211" i="73" s="1"/>
  <c r="G77" i="74"/>
  <c r="C78" i="74" s="1"/>
  <c r="I77" i="74"/>
  <c r="E78" i="19"/>
  <c r="J78" i="19"/>
  <c r="G211" i="73" l="1"/>
  <c r="C212" i="73" s="1"/>
  <c r="D211" i="73"/>
  <c r="J211" i="73" s="1"/>
  <c r="I78" i="72"/>
  <c r="G78" i="72"/>
  <c r="C79" i="72" s="1"/>
  <c r="D78" i="74"/>
  <c r="G78" i="19"/>
  <c r="C79" i="19" s="1"/>
  <c r="I78" i="19"/>
  <c r="D79" i="72" l="1"/>
  <c r="D212" i="73"/>
  <c r="J212" i="73" s="1"/>
  <c r="G212" i="73"/>
  <c r="C213" i="73" s="1"/>
  <c r="E78" i="74"/>
  <c r="J78" i="74"/>
  <c r="D79" i="19"/>
  <c r="G78" i="74" l="1"/>
  <c r="C79" i="74" s="1"/>
  <c r="I78" i="74"/>
  <c r="D213" i="73"/>
  <c r="J213" i="73" s="1"/>
  <c r="G213" i="73"/>
  <c r="C214" i="73" s="1"/>
  <c r="E79" i="72"/>
  <c r="J79" i="72"/>
  <c r="E79" i="19"/>
  <c r="J79" i="19"/>
  <c r="D214" i="73" l="1"/>
  <c r="J214" i="73" s="1"/>
  <c r="G214" i="73"/>
  <c r="C215" i="73" s="1"/>
  <c r="D79" i="74"/>
  <c r="G79" i="72"/>
  <c r="C80" i="72" s="1"/>
  <c r="I79" i="72"/>
  <c r="I79" i="19"/>
  <c r="G79" i="19"/>
  <c r="C80" i="19" s="1"/>
  <c r="E79" i="74" l="1"/>
  <c r="J79" i="74"/>
  <c r="G215" i="73"/>
  <c r="C216" i="73" s="1"/>
  <c r="D215" i="73"/>
  <c r="J215" i="73" s="1"/>
  <c r="D80" i="72"/>
  <c r="D80" i="19"/>
  <c r="E80" i="72" l="1"/>
  <c r="J80" i="72"/>
  <c r="G216" i="73"/>
  <c r="C217" i="73" s="1"/>
  <c r="D216" i="73"/>
  <c r="J216" i="73" s="1"/>
  <c r="I79" i="74"/>
  <c r="G79" i="74"/>
  <c r="C80" i="74" s="1"/>
  <c r="E80" i="19"/>
  <c r="J80" i="19"/>
  <c r="G217" i="73" l="1"/>
  <c r="C218" i="73" s="1"/>
  <c r="D217" i="73"/>
  <c r="J217" i="73" s="1"/>
  <c r="I80" i="72"/>
  <c r="G80" i="72"/>
  <c r="C81" i="72" s="1"/>
  <c r="D80" i="74"/>
  <c r="G80" i="19"/>
  <c r="C81" i="19" s="1"/>
  <c r="I80" i="19"/>
  <c r="E80" i="74" l="1"/>
  <c r="J80" i="74"/>
  <c r="D81" i="72"/>
  <c r="D218" i="73"/>
  <c r="J218" i="73" s="1"/>
  <c r="G218" i="73"/>
  <c r="C219" i="73" s="1"/>
  <c r="D81" i="19"/>
  <c r="D219" i="73" l="1"/>
  <c r="J219" i="73" s="1"/>
  <c r="G219" i="73"/>
  <c r="C220" i="73" s="1"/>
  <c r="E81" i="72"/>
  <c r="J81" i="72"/>
  <c r="I80" i="74"/>
  <c r="G80" i="74"/>
  <c r="C81" i="74" s="1"/>
  <c r="E81" i="19"/>
  <c r="J81" i="19"/>
  <c r="G81" i="72" l="1"/>
  <c r="C82" i="72" s="1"/>
  <c r="I81" i="72"/>
  <c r="G220" i="73"/>
  <c r="C221" i="73" s="1"/>
  <c r="D220" i="73"/>
  <c r="J220" i="73" s="1"/>
  <c r="D81" i="74"/>
  <c r="I81" i="19"/>
  <c r="G81" i="19"/>
  <c r="C82" i="19" s="1"/>
  <c r="D221" i="73" l="1"/>
  <c r="J221" i="73" s="1"/>
  <c r="G221" i="73"/>
  <c r="C222" i="73" s="1"/>
  <c r="D82" i="72"/>
  <c r="E81" i="74"/>
  <c r="J81" i="74"/>
  <c r="D82" i="19"/>
  <c r="J222" i="73" l="1"/>
  <c r="I81" i="74"/>
  <c r="G81" i="74"/>
  <c r="C82" i="74" s="1"/>
  <c r="E82" i="72"/>
  <c r="J82" i="72"/>
  <c r="D222" i="73"/>
  <c r="G222" i="73"/>
  <c r="C223" i="73" s="1"/>
  <c r="E82" i="19"/>
  <c r="J82" i="19"/>
  <c r="I82" i="72" l="1"/>
  <c r="G82" i="72"/>
  <c r="C83" i="72" s="1"/>
  <c r="D82" i="74"/>
  <c r="J223" i="73"/>
  <c r="D223" i="73"/>
  <c r="G223" i="73"/>
  <c r="C224" i="73" s="1"/>
  <c r="G82" i="19"/>
  <c r="C83" i="19" s="1"/>
  <c r="I82" i="19"/>
  <c r="E82" i="74" l="1"/>
  <c r="J82" i="74"/>
  <c r="D83" i="72"/>
  <c r="D224" i="73"/>
  <c r="J224" i="73" s="1"/>
  <c r="G224" i="73"/>
  <c r="C225" i="73" s="1"/>
  <c r="D83" i="19"/>
  <c r="G225" i="73" l="1"/>
  <c r="C226" i="73" s="1"/>
  <c r="D225" i="73"/>
  <c r="J225" i="73" s="1"/>
  <c r="E83" i="72"/>
  <c r="J83" i="72"/>
  <c r="G82" i="74"/>
  <c r="C83" i="74" s="1"/>
  <c r="I82" i="74"/>
  <c r="E83" i="19"/>
  <c r="J83" i="19"/>
  <c r="G83" i="72" l="1"/>
  <c r="C84" i="72" s="1"/>
  <c r="I83" i="72"/>
  <c r="D226" i="73"/>
  <c r="J226" i="73" s="1"/>
  <c r="G226" i="73"/>
  <c r="C227" i="73" s="1"/>
  <c r="D83" i="74"/>
  <c r="I83" i="19"/>
  <c r="G83" i="19"/>
  <c r="C84" i="19" s="1"/>
  <c r="G227" i="73" l="1"/>
  <c r="C228" i="73" s="1"/>
  <c r="D227" i="73"/>
  <c r="J227" i="73" s="1"/>
  <c r="D84" i="72"/>
  <c r="E83" i="74"/>
  <c r="J83" i="74"/>
  <c r="D84" i="19"/>
  <c r="D228" i="73" l="1"/>
  <c r="J228" i="73" s="1"/>
  <c r="G228" i="73"/>
  <c r="C229" i="73" s="1"/>
  <c r="G83" i="74"/>
  <c r="C84" i="74" s="1"/>
  <c r="I83" i="74"/>
  <c r="E84" i="72"/>
  <c r="J84" i="72"/>
  <c r="E84" i="19"/>
  <c r="J84" i="19"/>
  <c r="I84" i="72" l="1"/>
  <c r="G84" i="72"/>
  <c r="C85" i="72" s="1"/>
  <c r="D84" i="74"/>
  <c r="D229" i="73"/>
  <c r="J229" i="73" s="1"/>
  <c r="G229" i="73"/>
  <c r="C230" i="73" s="1"/>
  <c r="G84" i="19"/>
  <c r="C85" i="19" s="1"/>
  <c r="I84" i="19"/>
  <c r="G230" i="73" l="1"/>
  <c r="C231" i="73" s="1"/>
  <c r="D230" i="73"/>
  <c r="J230" i="73" s="1"/>
  <c r="E84" i="74"/>
  <c r="J84" i="74"/>
  <c r="D85" i="72"/>
  <c r="D85" i="19"/>
  <c r="J231" i="73" l="1"/>
  <c r="E85" i="72"/>
  <c r="J85" i="72"/>
  <c r="I84" i="74"/>
  <c r="G84" i="74"/>
  <c r="C85" i="74" s="1"/>
  <c r="G231" i="73"/>
  <c r="C232" i="73" s="1"/>
  <c r="D231" i="73"/>
  <c r="E85" i="19"/>
  <c r="J85" i="19"/>
  <c r="D85" i="74" l="1"/>
  <c r="G85" i="72"/>
  <c r="C86" i="72" s="1"/>
  <c r="I85" i="72"/>
  <c r="J232" i="73"/>
  <c r="D232" i="73"/>
  <c r="G232" i="73"/>
  <c r="C233" i="73" s="1"/>
  <c r="I85" i="19"/>
  <c r="G85" i="19"/>
  <c r="C86" i="19" s="1"/>
  <c r="D86" i="72" l="1"/>
  <c r="E85" i="74"/>
  <c r="J85" i="74"/>
  <c r="D233" i="73"/>
  <c r="J233" i="73" s="1"/>
  <c r="G233" i="73"/>
  <c r="C234" i="73" s="1"/>
  <c r="D86" i="19"/>
  <c r="D234" i="73" l="1"/>
  <c r="J234" i="73" s="1"/>
  <c r="G234" i="73"/>
  <c r="C235" i="73" s="1"/>
  <c r="G85" i="74"/>
  <c r="C86" i="74" s="1"/>
  <c r="I85" i="74"/>
  <c r="E86" i="72"/>
  <c r="J86" i="72"/>
  <c r="E86" i="19"/>
  <c r="J86" i="19"/>
  <c r="I86" i="72" l="1"/>
  <c r="G86" i="72"/>
  <c r="C87" i="72" s="1"/>
  <c r="D86" i="74"/>
  <c r="G235" i="73"/>
  <c r="C236" i="73" s="1"/>
  <c r="D235" i="73"/>
  <c r="J235" i="73" s="1"/>
  <c r="G86" i="19"/>
  <c r="C87" i="19" s="1"/>
  <c r="I86" i="19"/>
  <c r="D236" i="73" l="1"/>
  <c r="J236" i="73" s="1"/>
  <c r="G236" i="73"/>
  <c r="C237" i="73" s="1"/>
  <c r="E86" i="74"/>
  <c r="J86" i="74"/>
  <c r="D87" i="72"/>
  <c r="D87" i="19"/>
  <c r="J237" i="73" l="1"/>
  <c r="E87" i="72"/>
  <c r="J87" i="72"/>
  <c r="I86" i="74"/>
  <c r="G86" i="74"/>
  <c r="C87" i="74" s="1"/>
  <c r="G237" i="73"/>
  <c r="C238" i="73" s="1"/>
  <c r="D237" i="73"/>
  <c r="E87" i="19"/>
  <c r="J87" i="19"/>
  <c r="D87" i="74" l="1"/>
  <c r="G87" i="72"/>
  <c r="C88" i="72" s="1"/>
  <c r="I87" i="72"/>
  <c r="J238" i="73"/>
  <c r="D238" i="73"/>
  <c r="G238" i="73"/>
  <c r="C239" i="73" s="1"/>
  <c r="I87" i="19"/>
  <c r="G87" i="19"/>
  <c r="C88" i="19" s="1"/>
  <c r="D88" i="72" l="1"/>
  <c r="G239" i="73"/>
  <c r="C240" i="73" s="1"/>
  <c r="D239" i="73"/>
  <c r="J239" i="73" s="1"/>
  <c r="E87" i="74"/>
  <c r="J87" i="74"/>
  <c r="D88" i="19"/>
  <c r="G87" i="74" l="1"/>
  <c r="C88" i="74" s="1"/>
  <c r="I87" i="74"/>
  <c r="G240" i="73"/>
  <c r="C241" i="73" s="1"/>
  <c r="D240" i="73"/>
  <c r="J240" i="73" s="1"/>
  <c r="E88" i="72"/>
  <c r="J88" i="72"/>
  <c r="E88" i="19"/>
  <c r="J88" i="19"/>
  <c r="I88" i="72" l="1"/>
  <c r="G88" i="72"/>
  <c r="C89" i="72" s="1"/>
  <c r="D241" i="73"/>
  <c r="J241" i="73" s="1"/>
  <c r="G241" i="73"/>
  <c r="C242" i="73" s="1"/>
  <c r="D88" i="74"/>
  <c r="I88" i="19"/>
  <c r="G88" i="19"/>
  <c r="C89" i="19" s="1"/>
  <c r="E88" i="74" l="1"/>
  <c r="J88" i="74"/>
  <c r="D242" i="73"/>
  <c r="J242" i="73" s="1"/>
  <c r="G242" i="73"/>
  <c r="C243" i="73" s="1"/>
  <c r="D89" i="72"/>
  <c r="D89" i="19"/>
  <c r="E89" i="72" l="1"/>
  <c r="J89" i="72"/>
  <c r="G243" i="73"/>
  <c r="C244" i="73" s="1"/>
  <c r="D243" i="73"/>
  <c r="J243" i="73" s="1"/>
  <c r="I88" i="74"/>
  <c r="G88" i="74"/>
  <c r="C89" i="74" s="1"/>
  <c r="E89" i="19"/>
  <c r="J89" i="19"/>
  <c r="D89" i="74" l="1"/>
  <c r="D244" i="73"/>
  <c r="J244" i="73" s="1"/>
  <c r="G244" i="73"/>
  <c r="C245" i="73" s="1"/>
  <c r="G89" i="72"/>
  <c r="C90" i="72" s="1"/>
  <c r="I89" i="72"/>
  <c r="G89" i="19"/>
  <c r="C90" i="19" s="1"/>
  <c r="I89" i="19"/>
  <c r="G245" i="73" l="1"/>
  <c r="C246" i="73" s="1"/>
  <c r="D245" i="73"/>
  <c r="J245" i="73" s="1"/>
  <c r="E89" i="74"/>
  <c r="J89" i="74"/>
  <c r="D90" i="72"/>
  <c r="D90" i="19"/>
  <c r="G89" i="74" l="1"/>
  <c r="C90" i="74" s="1"/>
  <c r="I89" i="74"/>
  <c r="D246" i="73"/>
  <c r="J246" i="73" s="1"/>
  <c r="G246" i="73"/>
  <c r="C247" i="73" s="1"/>
  <c r="E90" i="72"/>
  <c r="J90" i="72"/>
  <c r="E90" i="19"/>
  <c r="J90" i="19"/>
  <c r="D247" i="73" l="1"/>
  <c r="J247" i="73" s="1"/>
  <c r="G247" i="73"/>
  <c r="C248" i="73" s="1"/>
  <c r="I90" i="72"/>
  <c r="G90" i="72"/>
  <c r="C91" i="72" s="1"/>
  <c r="D90" i="74"/>
  <c r="G90" i="19"/>
  <c r="C91" i="19" s="1"/>
  <c r="I90" i="19"/>
  <c r="E90" i="74" l="1"/>
  <c r="J90" i="74"/>
  <c r="D91" i="72"/>
  <c r="G248" i="73"/>
  <c r="C249" i="73" s="1"/>
  <c r="D248" i="73"/>
  <c r="J248" i="73" s="1"/>
  <c r="D91" i="19"/>
  <c r="G249" i="73" l="1"/>
  <c r="C250" i="73" s="1"/>
  <c r="D249" i="73"/>
  <c r="J249" i="73" s="1"/>
  <c r="E91" i="72"/>
  <c r="J91" i="72"/>
  <c r="G90" i="74"/>
  <c r="C91" i="74" s="1"/>
  <c r="I90" i="74"/>
  <c r="E91" i="19"/>
  <c r="J91" i="19"/>
  <c r="G91" i="72" l="1"/>
  <c r="C92" i="72" s="1"/>
  <c r="I91" i="72"/>
  <c r="D250" i="73"/>
  <c r="J250" i="73" s="1"/>
  <c r="G250" i="73"/>
  <c r="C251" i="73" s="1"/>
  <c r="D91" i="74"/>
  <c r="G91" i="19"/>
  <c r="C92" i="19" s="1"/>
  <c r="I91" i="19"/>
  <c r="E91" i="74" l="1"/>
  <c r="J91" i="74"/>
  <c r="G251" i="73"/>
  <c r="C252" i="73" s="1"/>
  <c r="D251" i="73"/>
  <c r="J251" i="73" s="1"/>
  <c r="D92" i="72"/>
  <c r="D92" i="19"/>
  <c r="E92" i="72" l="1"/>
  <c r="J92" i="72"/>
  <c r="G252" i="73"/>
  <c r="C253" i="73" s="1"/>
  <c r="D252" i="73"/>
  <c r="J252" i="73" s="1"/>
  <c r="G91" i="74"/>
  <c r="C92" i="74" s="1"/>
  <c r="I91" i="74"/>
  <c r="E92" i="19"/>
  <c r="J92" i="19"/>
  <c r="D253" i="73" l="1"/>
  <c r="J253" i="73" s="1"/>
  <c r="G253" i="73"/>
  <c r="C254" i="73" s="1"/>
  <c r="I92" i="72"/>
  <c r="G92" i="72"/>
  <c r="C93" i="72" s="1"/>
  <c r="D92" i="74"/>
  <c r="I92" i="19"/>
  <c r="G92" i="19"/>
  <c r="C93" i="19" s="1"/>
  <c r="D93" i="72" l="1"/>
  <c r="G254" i="73"/>
  <c r="C255" i="73" s="1"/>
  <c r="D254" i="73"/>
  <c r="J254" i="73" s="1"/>
  <c r="E92" i="74"/>
  <c r="J92" i="74"/>
  <c r="D93" i="19"/>
  <c r="G92" i="74" l="1"/>
  <c r="C93" i="74" s="1"/>
  <c r="I92" i="74"/>
  <c r="G255" i="73"/>
  <c r="C256" i="73" s="1"/>
  <c r="D255" i="73"/>
  <c r="J255" i="73" s="1"/>
  <c r="E93" i="72"/>
  <c r="J93" i="72"/>
  <c r="E93" i="19"/>
  <c r="J93" i="19"/>
  <c r="G93" i="72" l="1"/>
  <c r="C94" i="72" s="1"/>
  <c r="I93" i="72"/>
  <c r="G256" i="73"/>
  <c r="C257" i="73" s="1"/>
  <c r="D256" i="73"/>
  <c r="J256" i="73" s="1"/>
  <c r="D93" i="74"/>
  <c r="G93" i="19"/>
  <c r="C94" i="19" s="1"/>
  <c r="I93" i="19"/>
  <c r="E93" i="74" l="1"/>
  <c r="J93" i="74"/>
  <c r="D257" i="73"/>
  <c r="J257" i="73" s="1"/>
  <c r="G257" i="73"/>
  <c r="C258" i="73" s="1"/>
  <c r="D94" i="72"/>
  <c r="D94" i="19"/>
  <c r="E94" i="72" l="1"/>
  <c r="J94" i="72"/>
  <c r="D258" i="73"/>
  <c r="J258" i="73" s="1"/>
  <c r="G258" i="73"/>
  <c r="C259" i="73" s="1"/>
  <c r="I93" i="74"/>
  <c r="G93" i="74"/>
  <c r="C94" i="74" s="1"/>
  <c r="E94" i="19"/>
  <c r="J94" i="19"/>
  <c r="D259" i="73" l="1"/>
  <c r="J259" i="73" s="1"/>
  <c r="G259" i="73"/>
  <c r="C260" i="73" s="1"/>
  <c r="I94" i="72"/>
  <c r="G94" i="72"/>
  <c r="C95" i="72" s="1"/>
  <c r="D94" i="74"/>
  <c r="I94" i="19"/>
  <c r="G94" i="19"/>
  <c r="C95" i="19" s="1"/>
  <c r="E94" i="74" l="1"/>
  <c r="J94" i="74"/>
  <c r="D95" i="72"/>
  <c r="D260" i="73"/>
  <c r="J260" i="73" s="1"/>
  <c r="G260" i="73"/>
  <c r="C261" i="73" s="1"/>
  <c r="D95" i="19"/>
  <c r="D261" i="73" l="1"/>
  <c r="J261" i="73" s="1"/>
  <c r="G261" i="73"/>
  <c r="C262" i="73" s="1"/>
  <c r="E95" i="72"/>
  <c r="J95" i="72"/>
  <c r="I94" i="74"/>
  <c r="G94" i="74"/>
  <c r="C95" i="74" s="1"/>
  <c r="E95" i="19"/>
  <c r="J95" i="19"/>
  <c r="G95" i="72" l="1"/>
  <c r="C96" i="72" s="1"/>
  <c r="I95" i="72"/>
  <c r="D262" i="73"/>
  <c r="J262" i="73" s="1"/>
  <c r="G262" i="73"/>
  <c r="C263" i="73" s="1"/>
  <c r="D95" i="74"/>
  <c r="G95" i="19"/>
  <c r="C96" i="19" s="1"/>
  <c r="I95" i="19"/>
  <c r="E95" i="74" l="1"/>
  <c r="J95" i="74"/>
  <c r="D263" i="73"/>
  <c r="J263" i="73" s="1"/>
  <c r="G263" i="73"/>
  <c r="C264" i="73" s="1"/>
  <c r="D96" i="72"/>
  <c r="D96" i="19"/>
  <c r="E96" i="72" l="1"/>
  <c r="J96" i="72"/>
  <c r="G264" i="73"/>
  <c r="C265" i="73" s="1"/>
  <c r="D264" i="73"/>
  <c r="J264" i="73" s="1"/>
  <c r="I95" i="74"/>
  <c r="G95" i="74"/>
  <c r="C96" i="74" s="1"/>
  <c r="E96" i="19"/>
  <c r="J96" i="19"/>
  <c r="D265" i="73" l="1"/>
  <c r="J265" i="73" s="1"/>
  <c r="G265" i="73"/>
  <c r="C266" i="73" s="1"/>
  <c r="I96" i="72"/>
  <c r="G96" i="72"/>
  <c r="C97" i="72" s="1"/>
  <c r="D96" i="74"/>
  <c r="G96" i="19"/>
  <c r="C97" i="19" s="1"/>
  <c r="I96" i="19"/>
  <c r="E96" i="74" l="1"/>
  <c r="J96" i="74"/>
  <c r="D97" i="72"/>
  <c r="D266" i="73"/>
  <c r="J266" i="73" s="1"/>
  <c r="G266" i="73"/>
  <c r="C267" i="73" s="1"/>
  <c r="D97" i="19"/>
  <c r="G267" i="73" l="1"/>
  <c r="C268" i="73" s="1"/>
  <c r="D267" i="73"/>
  <c r="J267" i="73" s="1"/>
  <c r="E97" i="72"/>
  <c r="J97" i="72"/>
  <c r="I96" i="74"/>
  <c r="G96" i="74"/>
  <c r="C97" i="74" s="1"/>
  <c r="E97" i="19"/>
  <c r="J97" i="19"/>
  <c r="G97" i="72" l="1"/>
  <c r="C98" i="72" s="1"/>
  <c r="I97" i="72"/>
  <c r="G268" i="73"/>
  <c r="C269" i="73" s="1"/>
  <c r="D268" i="73"/>
  <c r="J268" i="73" s="1"/>
  <c r="D97" i="74"/>
  <c r="I97" i="19"/>
  <c r="G97" i="19"/>
  <c r="C98" i="19" s="1"/>
  <c r="E97" i="74" l="1"/>
  <c r="J97" i="74"/>
  <c r="G269" i="73"/>
  <c r="C270" i="73" s="1"/>
  <c r="D269" i="73"/>
  <c r="J269" i="73" s="1"/>
  <c r="D98" i="72"/>
  <c r="D98" i="19"/>
  <c r="E98" i="72" l="1"/>
  <c r="J98" i="72"/>
  <c r="G270" i="73"/>
  <c r="C271" i="73" s="1"/>
  <c r="D270" i="73"/>
  <c r="J270" i="73" s="1"/>
  <c r="I97" i="74"/>
  <c r="G97" i="74"/>
  <c r="C98" i="74" s="1"/>
  <c r="E98" i="19"/>
  <c r="J98" i="19"/>
  <c r="G271" i="73" l="1"/>
  <c r="C272" i="73" s="1"/>
  <c r="D271" i="73"/>
  <c r="J271" i="73" s="1"/>
  <c r="I98" i="72"/>
  <c r="G98" i="72"/>
  <c r="C99" i="72" s="1"/>
  <c r="D98" i="74"/>
  <c r="G98" i="19"/>
  <c r="C99" i="19" s="1"/>
  <c r="I98" i="19"/>
  <c r="E98" i="74" l="1"/>
  <c r="J98" i="74"/>
  <c r="D99" i="72"/>
  <c r="G272" i="73"/>
  <c r="C273" i="73" s="1"/>
  <c r="D272" i="73"/>
  <c r="J272" i="73" s="1"/>
  <c r="D99" i="19"/>
  <c r="G273" i="73" l="1"/>
  <c r="C274" i="73" s="1"/>
  <c r="D273" i="73"/>
  <c r="J273" i="73" s="1"/>
  <c r="E99" i="72"/>
  <c r="J99" i="72"/>
  <c r="G98" i="74"/>
  <c r="C99" i="74" s="1"/>
  <c r="I98" i="74"/>
  <c r="E99" i="19"/>
  <c r="J99" i="19"/>
  <c r="G99" i="72" l="1"/>
  <c r="C100" i="72" s="1"/>
  <c r="I99" i="72"/>
  <c r="D274" i="73"/>
  <c r="J274" i="73" s="1"/>
  <c r="G274" i="73"/>
  <c r="C275" i="73" s="1"/>
  <c r="D99" i="74"/>
  <c r="G99" i="19"/>
  <c r="C100" i="19" s="1"/>
  <c r="I99" i="19"/>
  <c r="G275" i="73" l="1"/>
  <c r="C276" i="73" s="1"/>
  <c r="D275" i="73"/>
  <c r="J275" i="73" s="1"/>
  <c r="D100" i="72"/>
  <c r="E99" i="74"/>
  <c r="J99" i="74"/>
  <c r="D100" i="19"/>
  <c r="G99" i="74" l="1"/>
  <c r="C100" i="74" s="1"/>
  <c r="I99" i="74"/>
  <c r="E100" i="72"/>
  <c r="J100" i="72"/>
  <c r="D276" i="73"/>
  <c r="J276" i="73" s="1"/>
  <c r="G276" i="73"/>
  <c r="C277" i="73" s="1"/>
  <c r="E100" i="19"/>
  <c r="J100" i="19"/>
  <c r="D277" i="73" l="1"/>
  <c r="J277" i="73" s="1"/>
  <c r="G277" i="73"/>
  <c r="C278" i="73" s="1"/>
  <c r="I100" i="72"/>
  <c r="G100" i="72"/>
  <c r="C101" i="72" s="1"/>
  <c r="D100" i="74"/>
  <c r="G100" i="19"/>
  <c r="C101" i="19" s="1"/>
  <c r="I100" i="19"/>
  <c r="D101" i="72" l="1"/>
  <c r="D278" i="73"/>
  <c r="J278" i="73" s="1"/>
  <c r="G278" i="73"/>
  <c r="C279" i="73" s="1"/>
  <c r="E100" i="74"/>
  <c r="J100" i="74"/>
  <c r="D101" i="19"/>
  <c r="G100" i="74" l="1"/>
  <c r="C101" i="74" s="1"/>
  <c r="I100" i="74"/>
  <c r="G279" i="73"/>
  <c r="C280" i="73" s="1"/>
  <c r="D279" i="73"/>
  <c r="J279" i="73" s="1"/>
  <c r="E101" i="72"/>
  <c r="J101" i="72"/>
  <c r="E101" i="19"/>
  <c r="J101" i="19"/>
  <c r="D280" i="73" l="1"/>
  <c r="J280" i="73" s="1"/>
  <c r="G280" i="73"/>
  <c r="C281" i="73" s="1"/>
  <c r="D101" i="74"/>
  <c r="G101" i="72"/>
  <c r="C102" i="72" s="1"/>
  <c r="I101" i="72"/>
  <c r="G101" i="19"/>
  <c r="C102" i="19" s="1"/>
  <c r="I101" i="19"/>
  <c r="E101" i="74" l="1"/>
  <c r="J101" i="74"/>
  <c r="D281" i="73"/>
  <c r="J281" i="73" s="1"/>
  <c r="G281" i="73"/>
  <c r="C282" i="73" s="1"/>
  <c r="D102" i="72"/>
  <c r="D102" i="19"/>
  <c r="E102" i="72" l="1"/>
  <c r="J102" i="72"/>
  <c r="D282" i="73"/>
  <c r="J282" i="73" s="1"/>
  <c r="G282" i="73"/>
  <c r="C283" i="73" s="1"/>
  <c r="I101" i="74"/>
  <c r="G101" i="74"/>
  <c r="C102" i="74" s="1"/>
  <c r="E102" i="19"/>
  <c r="J102" i="19"/>
  <c r="G283" i="73" l="1"/>
  <c r="C284" i="73" s="1"/>
  <c r="D283" i="73"/>
  <c r="J283" i="73" s="1"/>
  <c r="I102" i="72"/>
  <c r="G102" i="72"/>
  <c r="C103" i="72" s="1"/>
  <c r="D102" i="74"/>
  <c r="I102" i="19"/>
  <c r="G102" i="19"/>
  <c r="C103" i="19" s="1"/>
  <c r="E102" i="74" l="1"/>
  <c r="J102" i="74"/>
  <c r="D103" i="72"/>
  <c r="G284" i="73"/>
  <c r="C285" i="73" s="1"/>
  <c r="D284" i="73"/>
  <c r="J284" i="73" s="1"/>
  <c r="D103" i="19"/>
  <c r="D285" i="73" l="1"/>
  <c r="J285" i="73" s="1"/>
  <c r="G285" i="73"/>
  <c r="C286" i="73" s="1"/>
  <c r="E103" i="72"/>
  <c r="J103" i="72"/>
  <c r="G102" i="74"/>
  <c r="C103" i="74" s="1"/>
  <c r="I102" i="74"/>
  <c r="E103" i="19"/>
  <c r="J103" i="19"/>
  <c r="G103" i="72" l="1"/>
  <c r="C104" i="72" s="1"/>
  <c r="I103" i="72"/>
  <c r="G286" i="73"/>
  <c r="C287" i="73" s="1"/>
  <c r="D286" i="73"/>
  <c r="J286" i="73" s="1"/>
  <c r="D103" i="74"/>
  <c r="G103" i="19"/>
  <c r="C104" i="19" s="1"/>
  <c r="I103" i="19"/>
  <c r="D287" i="73" l="1"/>
  <c r="J287" i="73" s="1"/>
  <c r="G287" i="73"/>
  <c r="C288" i="73" s="1"/>
  <c r="D104" i="72"/>
  <c r="E103" i="74"/>
  <c r="J103" i="74"/>
  <c r="D104" i="19"/>
  <c r="G103" i="74" l="1"/>
  <c r="C104" i="74" s="1"/>
  <c r="I103" i="74"/>
  <c r="E104" i="72"/>
  <c r="J104" i="72"/>
  <c r="G288" i="73"/>
  <c r="C289" i="73" s="1"/>
  <c r="D288" i="73"/>
  <c r="J288" i="73" s="1"/>
  <c r="E104" i="19"/>
  <c r="J104" i="19"/>
  <c r="G289" i="73" l="1"/>
  <c r="C290" i="73" s="1"/>
  <c r="D289" i="73"/>
  <c r="J289" i="73" s="1"/>
  <c r="I104" i="72"/>
  <c r="G104" i="72"/>
  <c r="C105" i="72" s="1"/>
  <c r="D104" i="74"/>
  <c r="G104" i="19"/>
  <c r="C105" i="19" s="1"/>
  <c r="I104" i="19"/>
  <c r="D105" i="72" l="1"/>
  <c r="D290" i="73"/>
  <c r="J290" i="73" s="1"/>
  <c r="G290" i="73"/>
  <c r="C291" i="73" s="1"/>
  <c r="E104" i="74"/>
  <c r="J104" i="74"/>
  <c r="D105" i="19"/>
  <c r="G104" i="74" l="1"/>
  <c r="C105" i="74" s="1"/>
  <c r="I104" i="74"/>
  <c r="G291" i="73"/>
  <c r="C292" i="73" s="1"/>
  <c r="D291" i="73"/>
  <c r="J291" i="73" s="1"/>
  <c r="E105" i="72"/>
  <c r="J105" i="72"/>
  <c r="E105" i="19"/>
  <c r="J105" i="19"/>
  <c r="G105" i="72" l="1"/>
  <c r="C106" i="72" s="1"/>
  <c r="I105" i="72"/>
  <c r="D292" i="73"/>
  <c r="J292" i="73" s="1"/>
  <c r="G292" i="73"/>
  <c r="C293" i="73" s="1"/>
  <c r="D105" i="74"/>
  <c r="I105" i="19"/>
  <c r="G105" i="19"/>
  <c r="C106" i="19" s="1"/>
  <c r="E105" i="74" l="1"/>
  <c r="J105" i="74"/>
  <c r="G293" i="73"/>
  <c r="C294" i="73" s="1"/>
  <c r="D293" i="73"/>
  <c r="J293" i="73" s="1"/>
  <c r="D106" i="72"/>
  <c r="D106" i="19"/>
  <c r="E106" i="72" l="1"/>
  <c r="J106" i="72"/>
  <c r="G294" i="73"/>
  <c r="C295" i="73" s="1"/>
  <c r="D294" i="73"/>
  <c r="J294" i="73" s="1"/>
  <c r="I105" i="74"/>
  <c r="G105" i="74"/>
  <c r="C106" i="74" s="1"/>
  <c r="E106" i="19"/>
  <c r="J106" i="19"/>
  <c r="D295" i="73" l="1"/>
  <c r="J295" i="73" s="1"/>
  <c r="G295" i="73"/>
  <c r="C296" i="73" s="1"/>
  <c r="I106" i="72"/>
  <c r="G106" i="72"/>
  <c r="C107" i="72" s="1"/>
  <c r="D106" i="74"/>
  <c r="I106" i="19"/>
  <c r="G106" i="19"/>
  <c r="C107" i="19" s="1"/>
  <c r="E106" i="74" l="1"/>
  <c r="J106" i="74"/>
  <c r="D107" i="72"/>
  <c r="G296" i="73"/>
  <c r="C297" i="73" s="1"/>
  <c r="D296" i="73"/>
  <c r="J296" i="73" s="1"/>
  <c r="D107" i="19"/>
  <c r="D297" i="73" l="1"/>
  <c r="J297" i="73" s="1"/>
  <c r="G297" i="73"/>
  <c r="C298" i="73" s="1"/>
  <c r="E107" i="72"/>
  <c r="J107" i="72"/>
  <c r="G106" i="74"/>
  <c r="C107" i="74" s="1"/>
  <c r="I106" i="74"/>
  <c r="E107" i="19"/>
  <c r="J107" i="19"/>
  <c r="D107" i="74" l="1"/>
  <c r="G107" i="72"/>
  <c r="C108" i="72" s="1"/>
  <c r="I107" i="72"/>
  <c r="D298" i="73"/>
  <c r="J298" i="73" s="1"/>
  <c r="G298" i="73"/>
  <c r="C299" i="73" s="1"/>
  <c r="G107" i="19"/>
  <c r="C108" i="19" s="1"/>
  <c r="I107" i="19"/>
  <c r="G299" i="73" l="1"/>
  <c r="C300" i="73" s="1"/>
  <c r="D299" i="73"/>
  <c r="J299" i="73" s="1"/>
  <c r="D108" i="72"/>
  <c r="E107" i="74"/>
  <c r="J107" i="74"/>
  <c r="D108" i="19"/>
  <c r="E108" i="72" l="1"/>
  <c r="J108" i="72"/>
  <c r="D300" i="73"/>
  <c r="J300" i="73" s="1"/>
  <c r="G300" i="73"/>
  <c r="C301" i="73" s="1"/>
  <c r="I107" i="74"/>
  <c r="G107" i="74"/>
  <c r="C108" i="74" s="1"/>
  <c r="E108" i="19"/>
  <c r="J108" i="19"/>
  <c r="D108" i="74" l="1"/>
  <c r="D301" i="73"/>
  <c r="J301" i="73" s="1"/>
  <c r="G301" i="73"/>
  <c r="C302" i="73" s="1"/>
  <c r="I108" i="72"/>
  <c r="G108" i="72"/>
  <c r="C109" i="72" s="1"/>
  <c r="G108" i="19"/>
  <c r="C109" i="19" s="1"/>
  <c r="I108" i="19"/>
  <c r="D302" i="73" l="1"/>
  <c r="J302" i="73" s="1"/>
  <c r="G302" i="73"/>
  <c r="C303" i="73" s="1"/>
  <c r="E108" i="74"/>
  <c r="J108" i="74"/>
  <c r="D109" i="72"/>
  <c r="D109" i="19"/>
  <c r="G108" i="74" l="1"/>
  <c r="C109" i="74" s="1"/>
  <c r="I108" i="74"/>
  <c r="G303" i="73"/>
  <c r="C304" i="73" s="1"/>
  <c r="D303" i="73"/>
  <c r="J303" i="73" s="1"/>
  <c r="E109" i="72"/>
  <c r="J109" i="72"/>
  <c r="E109" i="19"/>
  <c r="J109" i="19"/>
  <c r="G109" i="72" l="1"/>
  <c r="C110" i="72" s="1"/>
  <c r="I109" i="72"/>
  <c r="G304" i="73"/>
  <c r="C305" i="73" s="1"/>
  <c r="D304" i="73"/>
  <c r="J304" i="73" s="1"/>
  <c r="D109" i="74"/>
  <c r="I109" i="19"/>
  <c r="G109" i="19"/>
  <c r="C110" i="19" s="1"/>
  <c r="E109" i="74" l="1"/>
  <c r="J109" i="74"/>
  <c r="G305" i="73"/>
  <c r="C306" i="73" s="1"/>
  <c r="D305" i="73"/>
  <c r="J305" i="73" s="1"/>
  <c r="D110" i="72"/>
  <c r="D110" i="19"/>
  <c r="E110" i="72" l="1"/>
  <c r="J110" i="72"/>
  <c r="D306" i="73"/>
  <c r="J306" i="73" s="1"/>
  <c r="G306" i="73"/>
  <c r="C307" i="73" s="1"/>
  <c r="I109" i="74"/>
  <c r="G109" i="74"/>
  <c r="C110" i="74" s="1"/>
  <c r="E110" i="19"/>
  <c r="J110" i="19"/>
  <c r="D307" i="73" l="1"/>
  <c r="J307" i="73" s="1"/>
  <c r="G307" i="73"/>
  <c r="C308" i="73" s="1"/>
  <c r="I110" i="72"/>
  <c r="G110" i="72"/>
  <c r="C111" i="72" s="1"/>
  <c r="D110" i="74"/>
  <c r="G110" i="19"/>
  <c r="C111" i="19" s="1"/>
  <c r="I110" i="19"/>
  <c r="J308" i="73" l="1"/>
  <c r="E110" i="74"/>
  <c r="J110" i="74"/>
  <c r="D111" i="72"/>
  <c r="G308" i="73"/>
  <c r="C309" i="73" s="1"/>
  <c r="D308" i="73"/>
  <c r="D111" i="19"/>
  <c r="E111" i="72" l="1"/>
  <c r="J111" i="72"/>
  <c r="G110" i="74"/>
  <c r="C111" i="74" s="1"/>
  <c r="I110" i="74"/>
  <c r="J309" i="73"/>
  <c r="G309" i="73"/>
  <c r="C310" i="73" s="1"/>
  <c r="D309" i="73"/>
  <c r="E111" i="19"/>
  <c r="J111" i="19"/>
  <c r="G310" i="73" l="1"/>
  <c r="C311" i="73" s="1"/>
  <c r="D310" i="73"/>
  <c r="J310" i="73"/>
  <c r="D111" i="74"/>
  <c r="G111" i="72"/>
  <c r="C112" i="72" s="1"/>
  <c r="I111" i="72"/>
  <c r="I111" i="19"/>
  <c r="G111" i="19"/>
  <c r="C112" i="19" s="1"/>
  <c r="D112" i="72" l="1"/>
  <c r="E111" i="74"/>
  <c r="J111" i="74"/>
  <c r="J311" i="73"/>
  <c r="G311" i="73"/>
  <c r="C312" i="73" s="1"/>
  <c r="D311" i="73"/>
  <c r="D112" i="19"/>
  <c r="I111" i="74" l="1"/>
  <c r="G111" i="74"/>
  <c r="C112" i="74" s="1"/>
  <c r="E112" i="72"/>
  <c r="J112" i="72"/>
  <c r="G312" i="73"/>
  <c r="C313" i="73" s="1"/>
  <c r="D312" i="73"/>
  <c r="J312" i="73" s="1"/>
  <c r="E112" i="19"/>
  <c r="J112" i="19"/>
  <c r="G313" i="73" l="1"/>
  <c r="C314" i="73" s="1"/>
  <c r="D313" i="73"/>
  <c r="J313" i="73" s="1"/>
  <c r="G112" i="72"/>
  <c r="C113" i="72" s="1"/>
  <c r="I112" i="72"/>
  <c r="D112" i="74"/>
  <c r="G112" i="19"/>
  <c r="C113" i="19" s="1"/>
  <c r="I112" i="19"/>
  <c r="J314" i="73" l="1"/>
  <c r="E112" i="74"/>
  <c r="J112" i="74"/>
  <c r="D113" i="72"/>
  <c r="D314" i="73"/>
  <c r="G314" i="73"/>
  <c r="C315" i="73" s="1"/>
  <c r="D113" i="19"/>
  <c r="E113" i="72" l="1"/>
  <c r="J113" i="72"/>
  <c r="I112" i="74"/>
  <c r="G112" i="74"/>
  <c r="C113" i="74" s="1"/>
  <c r="G315" i="73"/>
  <c r="C316" i="73" s="1"/>
  <c r="D315" i="73"/>
  <c r="J315" i="73" s="1"/>
  <c r="E113" i="19"/>
  <c r="J113" i="19"/>
  <c r="D316" i="73" l="1"/>
  <c r="J316" i="73" s="1"/>
  <c r="G316" i="73"/>
  <c r="C317" i="73" s="1"/>
  <c r="D113" i="74"/>
  <c r="I113" i="72"/>
  <c r="G113" i="72"/>
  <c r="C114" i="72" s="1"/>
  <c r="I113" i="19"/>
  <c r="G113" i="19"/>
  <c r="C114" i="19" s="1"/>
  <c r="E113" i="74" l="1"/>
  <c r="J113" i="74"/>
  <c r="D317" i="73"/>
  <c r="J317" i="73" s="1"/>
  <c r="G317" i="73"/>
  <c r="C318" i="73" s="1"/>
  <c r="D114" i="72"/>
  <c r="D114" i="19"/>
  <c r="D318" i="73" l="1"/>
  <c r="J318" i="73" s="1"/>
  <c r="G318" i="73"/>
  <c r="C319" i="73" s="1"/>
  <c r="G113" i="74"/>
  <c r="C114" i="74" s="1"/>
  <c r="I113" i="74"/>
  <c r="E114" i="72"/>
  <c r="J114" i="72"/>
  <c r="E114" i="19"/>
  <c r="J114" i="19"/>
  <c r="G114" i="72" l="1"/>
  <c r="C115" i="72" s="1"/>
  <c r="I114" i="72"/>
  <c r="D114" i="74"/>
  <c r="G319" i="73"/>
  <c r="C320" i="73" s="1"/>
  <c r="D319" i="73"/>
  <c r="J319" i="73" s="1"/>
  <c r="I114" i="19"/>
  <c r="G114" i="19"/>
  <c r="C115" i="19" s="1"/>
  <c r="G320" i="73" l="1"/>
  <c r="C321" i="73" s="1"/>
  <c r="D320" i="73"/>
  <c r="J320" i="73" s="1"/>
  <c r="E114" i="74"/>
  <c r="J114" i="74"/>
  <c r="D115" i="72"/>
  <c r="D115" i="19"/>
  <c r="I114" i="74" l="1"/>
  <c r="G114" i="74"/>
  <c r="C115" i="74" s="1"/>
  <c r="D321" i="73"/>
  <c r="J321" i="73" s="1"/>
  <c r="G321" i="73"/>
  <c r="C322" i="73" s="1"/>
  <c r="E115" i="72"/>
  <c r="J115" i="72"/>
  <c r="E115" i="19"/>
  <c r="J115" i="19"/>
  <c r="I115" i="72" l="1"/>
  <c r="G115" i="72"/>
  <c r="C116" i="72" s="1"/>
  <c r="D322" i="73"/>
  <c r="J322" i="73" s="1"/>
  <c r="G322" i="73"/>
  <c r="C323" i="73" s="1"/>
  <c r="D115" i="74"/>
  <c r="G115" i="19"/>
  <c r="C116" i="19" s="1"/>
  <c r="I115" i="19"/>
  <c r="E115" i="74" l="1"/>
  <c r="J115" i="74"/>
  <c r="G323" i="73"/>
  <c r="C324" i="73" s="1"/>
  <c r="D323" i="73"/>
  <c r="J323" i="73" s="1"/>
  <c r="D116" i="72"/>
  <c r="D116" i="19"/>
  <c r="E116" i="72" l="1"/>
  <c r="J116" i="72"/>
  <c r="G324" i="73"/>
  <c r="C325" i="73" s="1"/>
  <c r="D324" i="73"/>
  <c r="J324" i="73" s="1"/>
  <c r="G115" i="74"/>
  <c r="C116" i="74" s="1"/>
  <c r="I115" i="74"/>
  <c r="E116" i="19"/>
  <c r="J116" i="19"/>
  <c r="D116" i="74" l="1"/>
  <c r="G325" i="73"/>
  <c r="C326" i="73" s="1"/>
  <c r="D325" i="73"/>
  <c r="J325" i="73" s="1"/>
  <c r="I116" i="72"/>
  <c r="G116" i="72"/>
  <c r="C117" i="72" s="1"/>
  <c r="I116" i="19"/>
  <c r="G116" i="19"/>
  <c r="C117" i="19" s="1"/>
  <c r="G326" i="73" l="1"/>
  <c r="C327" i="73" s="1"/>
  <c r="D326" i="73"/>
  <c r="J326" i="73" s="1"/>
  <c r="E116" i="74"/>
  <c r="J116" i="74"/>
  <c r="D117" i="72"/>
  <c r="D117" i="19"/>
  <c r="I116" i="74" l="1"/>
  <c r="G116" i="74"/>
  <c r="C117" i="74" s="1"/>
  <c r="G327" i="73"/>
  <c r="C328" i="73" s="1"/>
  <c r="D327" i="73"/>
  <c r="J327" i="73" s="1"/>
  <c r="E117" i="72"/>
  <c r="J117" i="72"/>
  <c r="E117" i="19"/>
  <c r="J117" i="19"/>
  <c r="G117" i="72" l="1"/>
  <c r="C118" i="72" s="1"/>
  <c r="I117" i="72"/>
  <c r="G328" i="73"/>
  <c r="C329" i="73" s="1"/>
  <c r="D328" i="73"/>
  <c r="J328" i="73" s="1"/>
  <c r="D117" i="74"/>
  <c r="G117" i="19"/>
  <c r="C118" i="19" s="1"/>
  <c r="I117" i="19"/>
  <c r="E117" i="74" l="1"/>
  <c r="J117" i="74"/>
  <c r="G329" i="73"/>
  <c r="C330" i="73" s="1"/>
  <c r="D329" i="73"/>
  <c r="J329" i="73" s="1"/>
  <c r="D118" i="72"/>
  <c r="D118" i="19"/>
  <c r="E118" i="72" l="1"/>
  <c r="J118" i="72"/>
  <c r="D330" i="73"/>
  <c r="J330" i="73" s="1"/>
  <c r="G330" i="73"/>
  <c r="C331" i="73" s="1"/>
  <c r="G117" i="74"/>
  <c r="C118" i="74" s="1"/>
  <c r="I117" i="74"/>
  <c r="E118" i="19"/>
  <c r="J118" i="19"/>
  <c r="D118" i="74" l="1"/>
  <c r="G331" i="73"/>
  <c r="C332" i="73" s="1"/>
  <c r="D331" i="73"/>
  <c r="J331" i="73" s="1"/>
  <c r="I118" i="72"/>
  <c r="G118" i="72"/>
  <c r="C119" i="72" s="1"/>
  <c r="I118" i="19"/>
  <c r="G118" i="19"/>
  <c r="C119" i="19" s="1"/>
  <c r="D332" i="73" l="1"/>
  <c r="J332" i="73" s="1"/>
  <c r="G332" i="73"/>
  <c r="C333" i="73" s="1"/>
  <c r="E118" i="74"/>
  <c r="J118" i="74"/>
  <c r="D119" i="72"/>
  <c r="D119" i="19"/>
  <c r="I118" i="74" l="1"/>
  <c r="G118" i="74"/>
  <c r="C119" i="74" s="1"/>
  <c r="G333" i="73"/>
  <c r="C334" i="73" s="1"/>
  <c r="D333" i="73"/>
  <c r="J333" i="73" s="1"/>
  <c r="E119" i="72"/>
  <c r="J119" i="72"/>
  <c r="E119" i="19"/>
  <c r="J119" i="19"/>
  <c r="G119" i="72" l="1"/>
  <c r="C120" i="72" s="1"/>
  <c r="I119" i="72"/>
  <c r="D334" i="73"/>
  <c r="J334" i="73" s="1"/>
  <c r="G334" i="73"/>
  <c r="C335" i="73" s="1"/>
  <c r="D119" i="74"/>
  <c r="I119" i="19"/>
  <c r="G119" i="19"/>
  <c r="C120" i="19" s="1"/>
  <c r="E119" i="74" l="1"/>
  <c r="J119" i="74"/>
  <c r="D335" i="73"/>
  <c r="J335" i="73" s="1"/>
  <c r="G335" i="73"/>
  <c r="C336" i="73" s="1"/>
  <c r="D120" i="72"/>
  <c r="D120" i="19"/>
  <c r="E120" i="72" l="1"/>
  <c r="J120" i="72"/>
  <c r="D336" i="73"/>
  <c r="J336" i="73" s="1"/>
  <c r="G336" i="73"/>
  <c r="C337" i="73" s="1"/>
  <c r="G119" i="74"/>
  <c r="C120" i="74" s="1"/>
  <c r="I119" i="74"/>
  <c r="E120" i="19"/>
  <c r="J120" i="19"/>
  <c r="D120" i="74" l="1"/>
  <c r="D337" i="73"/>
  <c r="J337" i="73" s="1"/>
  <c r="G337" i="73"/>
  <c r="C338" i="73" s="1"/>
  <c r="I120" i="72"/>
  <c r="G120" i="72"/>
  <c r="C121" i="72" s="1"/>
  <c r="G120" i="19"/>
  <c r="C121" i="19" s="1"/>
  <c r="I120" i="19"/>
  <c r="D121" i="72" l="1"/>
  <c r="D338" i="73"/>
  <c r="J338" i="73" s="1"/>
  <c r="G338" i="73"/>
  <c r="C339" i="73" s="1"/>
  <c r="E120" i="74"/>
  <c r="J120" i="74"/>
  <c r="D121" i="19"/>
  <c r="D339" i="73" l="1"/>
  <c r="J339" i="73" s="1"/>
  <c r="G339" i="73"/>
  <c r="C340" i="73" s="1"/>
  <c r="E121" i="72"/>
  <c r="J121" i="72"/>
  <c r="I120" i="74"/>
  <c r="G120" i="74"/>
  <c r="C121" i="74" s="1"/>
  <c r="E121" i="19"/>
  <c r="J121" i="19"/>
  <c r="G121" i="72" l="1"/>
  <c r="C122" i="72" s="1"/>
  <c r="I121" i="72"/>
  <c r="D340" i="73"/>
  <c r="J340" i="73" s="1"/>
  <c r="G340" i="73"/>
  <c r="C341" i="73" s="1"/>
  <c r="D121" i="74"/>
  <c r="I121" i="19"/>
  <c r="G121" i="19"/>
  <c r="C122" i="19" s="1"/>
  <c r="D341" i="73" l="1"/>
  <c r="J341" i="73" s="1"/>
  <c r="G341" i="73"/>
  <c r="C342" i="73" s="1"/>
  <c r="D122" i="72"/>
  <c r="E121" i="74"/>
  <c r="J121" i="74"/>
  <c r="D122" i="19"/>
  <c r="E122" i="72" l="1"/>
  <c r="J122" i="72"/>
  <c r="G342" i="73"/>
  <c r="C343" i="73" s="1"/>
  <c r="D342" i="73"/>
  <c r="J342" i="73" s="1"/>
  <c r="I121" i="74"/>
  <c r="G121" i="74"/>
  <c r="C122" i="74" s="1"/>
  <c r="E122" i="19"/>
  <c r="J122" i="19"/>
  <c r="G343" i="73" l="1"/>
  <c r="C344" i="73" s="1"/>
  <c r="D343" i="73"/>
  <c r="J343" i="73" s="1"/>
  <c r="I122" i="72"/>
  <c r="G122" i="72"/>
  <c r="C123" i="72" s="1"/>
  <c r="D122" i="74"/>
  <c r="G122" i="19"/>
  <c r="C123" i="19" s="1"/>
  <c r="I122" i="19"/>
  <c r="E122" i="74" l="1"/>
  <c r="J122" i="74"/>
  <c r="D123" i="72"/>
  <c r="G344" i="73"/>
  <c r="C345" i="73" s="1"/>
  <c r="D344" i="73"/>
  <c r="J344" i="73" s="1"/>
  <c r="D123" i="19"/>
  <c r="E123" i="72" l="1"/>
  <c r="J123" i="72"/>
  <c r="G122" i="74"/>
  <c r="C123" i="74" s="1"/>
  <c r="I122" i="74"/>
  <c r="G345" i="73"/>
  <c r="C346" i="73" s="1"/>
  <c r="D345" i="73"/>
  <c r="J345" i="73" s="1"/>
  <c r="E123" i="19"/>
  <c r="J123" i="19"/>
  <c r="D346" i="73" l="1"/>
  <c r="J346" i="73" s="1"/>
  <c r="G346" i="73"/>
  <c r="C347" i="73" s="1"/>
  <c r="D123" i="74"/>
  <c r="G123" i="72"/>
  <c r="C124" i="72" s="1"/>
  <c r="I123" i="72"/>
  <c r="I123" i="19"/>
  <c r="G123" i="19"/>
  <c r="C124" i="19" s="1"/>
  <c r="D124" i="72" l="1"/>
  <c r="E123" i="74"/>
  <c r="J123" i="74"/>
  <c r="G347" i="73"/>
  <c r="C348" i="73" s="1"/>
  <c r="D347" i="73"/>
  <c r="J347" i="73" s="1"/>
  <c r="D124" i="19"/>
  <c r="G348" i="73" l="1"/>
  <c r="C349" i="73" s="1"/>
  <c r="D348" i="73"/>
  <c r="J348" i="73" s="1"/>
  <c r="I123" i="74"/>
  <c r="G123" i="74"/>
  <c r="C124" i="74" s="1"/>
  <c r="E124" i="72"/>
  <c r="J124" i="72"/>
  <c r="E124" i="19"/>
  <c r="J124" i="19"/>
  <c r="I124" i="72" l="1"/>
  <c r="G124" i="72"/>
  <c r="C125" i="72" s="1"/>
  <c r="D124" i="74"/>
  <c r="G349" i="73"/>
  <c r="C350" i="73" s="1"/>
  <c r="D349" i="73"/>
  <c r="J349" i="73" s="1"/>
  <c r="I124" i="19"/>
  <c r="G124" i="19"/>
  <c r="C125" i="19" s="1"/>
  <c r="G350" i="73" l="1"/>
  <c r="C351" i="73" s="1"/>
  <c r="D350" i="73"/>
  <c r="J350" i="73" s="1"/>
  <c r="E124" i="74"/>
  <c r="J124" i="74"/>
  <c r="D125" i="72"/>
  <c r="D125" i="19"/>
  <c r="G124" i="74" l="1"/>
  <c r="C125" i="74" s="1"/>
  <c r="I124" i="74"/>
  <c r="D351" i="73"/>
  <c r="J351" i="73" s="1"/>
  <c r="G351" i="73"/>
  <c r="C352" i="73" s="1"/>
  <c r="E125" i="72"/>
  <c r="J125" i="72"/>
  <c r="E125" i="19"/>
  <c r="J125" i="19"/>
  <c r="I125" i="72" l="1"/>
  <c r="G125" i="72"/>
  <c r="C126" i="72" s="1"/>
  <c r="D352" i="73"/>
  <c r="J352" i="73" s="1"/>
  <c r="G352" i="73"/>
  <c r="C353" i="73" s="1"/>
  <c r="D125" i="74"/>
  <c r="G125" i="19"/>
  <c r="C126" i="19" s="1"/>
  <c r="I125" i="19"/>
  <c r="E125" i="74" l="1"/>
  <c r="J125" i="74"/>
  <c r="D353" i="73"/>
  <c r="J353" i="73" s="1"/>
  <c r="G353" i="73"/>
  <c r="C354" i="73" s="1"/>
  <c r="D126" i="72"/>
  <c r="D126" i="19"/>
  <c r="E126" i="72" l="1"/>
  <c r="J126" i="72"/>
  <c r="D354" i="73"/>
  <c r="J354" i="73" s="1"/>
  <c r="G354" i="73"/>
  <c r="C355" i="73" s="1"/>
  <c r="I125" i="74"/>
  <c r="G125" i="74"/>
  <c r="C126" i="74" s="1"/>
  <c r="E126" i="19"/>
  <c r="J126" i="19"/>
  <c r="G355" i="73" l="1"/>
  <c r="C356" i="73" s="1"/>
  <c r="D355" i="73"/>
  <c r="J355" i="73" s="1"/>
  <c r="G126" i="72"/>
  <c r="C127" i="72" s="1"/>
  <c r="I126" i="72"/>
  <c r="D126" i="74"/>
  <c r="I126" i="19"/>
  <c r="G126" i="19"/>
  <c r="C127" i="19" s="1"/>
  <c r="J356" i="73" l="1"/>
  <c r="E126" i="74"/>
  <c r="J126" i="74"/>
  <c r="D127" i="72"/>
  <c r="D356" i="73"/>
  <c r="G356" i="73"/>
  <c r="C357" i="73" s="1"/>
  <c r="D127" i="19"/>
  <c r="E127" i="72" l="1"/>
  <c r="J127" i="72"/>
  <c r="G126" i="74"/>
  <c r="C127" i="74" s="1"/>
  <c r="I126" i="74"/>
  <c r="D357" i="73"/>
  <c r="J357" i="73" s="1"/>
  <c r="G357" i="73"/>
  <c r="C358" i="73" s="1"/>
  <c r="E127" i="19"/>
  <c r="J127" i="19"/>
  <c r="G358" i="73" l="1"/>
  <c r="C359" i="73" s="1"/>
  <c r="D358" i="73"/>
  <c r="J358" i="73" s="1"/>
  <c r="D127" i="74"/>
  <c r="I127" i="72"/>
  <c r="G127" i="72"/>
  <c r="C128" i="72" s="1"/>
  <c r="G127" i="19"/>
  <c r="C128" i="19" s="1"/>
  <c r="I127" i="19"/>
  <c r="E127" i="74" l="1"/>
  <c r="J127" i="74"/>
  <c r="D359" i="73"/>
  <c r="J359" i="73" s="1"/>
  <c r="G359" i="73"/>
  <c r="C360" i="73" s="1"/>
  <c r="D128" i="72"/>
  <c r="D128" i="19"/>
  <c r="E128" i="72" l="1"/>
  <c r="J128" i="72"/>
  <c r="G360" i="73"/>
  <c r="C361" i="73" s="1"/>
  <c r="D360" i="73"/>
  <c r="J360" i="73" s="1"/>
  <c r="I127" i="74"/>
  <c r="G127" i="74"/>
  <c r="C128" i="74" s="1"/>
  <c r="E128" i="19"/>
  <c r="J128" i="19"/>
  <c r="D361" i="73" l="1"/>
  <c r="J361" i="73" s="1"/>
  <c r="G361" i="73"/>
  <c r="C362" i="73" s="1"/>
  <c r="G128" i="72"/>
  <c r="C129" i="72" s="1"/>
  <c r="I128" i="72"/>
  <c r="D128" i="74"/>
  <c r="I128" i="19"/>
  <c r="G128" i="19"/>
  <c r="C129" i="19" s="1"/>
  <c r="E128" i="74" l="1"/>
  <c r="J128" i="74"/>
  <c r="D129" i="72"/>
  <c r="D362" i="73"/>
  <c r="J362" i="73" s="1"/>
  <c r="G362" i="73"/>
  <c r="C363" i="73" s="1"/>
  <c r="D129" i="19"/>
  <c r="G363" i="73" l="1"/>
  <c r="C364" i="73" s="1"/>
  <c r="D363" i="73"/>
  <c r="J363" i="73" s="1"/>
  <c r="E129" i="72"/>
  <c r="J129" i="72"/>
  <c r="G128" i="74"/>
  <c r="C129" i="74" s="1"/>
  <c r="I128" i="74"/>
  <c r="E129" i="19"/>
  <c r="J129" i="19"/>
  <c r="D129" i="74" l="1"/>
  <c r="I129" i="72"/>
  <c r="G129" i="72"/>
  <c r="C130" i="72" s="1"/>
  <c r="G364" i="73"/>
  <c r="C365" i="73" s="1"/>
  <c r="D364" i="73"/>
  <c r="J364" i="73" s="1"/>
  <c r="I129" i="19"/>
  <c r="G129" i="19"/>
  <c r="C130" i="19" s="1"/>
  <c r="G365" i="73" l="1"/>
  <c r="C366" i="73" s="1"/>
  <c r="D365" i="73"/>
  <c r="J365" i="73" s="1"/>
  <c r="D130" i="72"/>
  <c r="E129" i="74"/>
  <c r="J129" i="74"/>
  <c r="D130" i="19"/>
  <c r="E130" i="72" l="1"/>
  <c r="J130" i="72"/>
  <c r="D366" i="73"/>
  <c r="J366" i="73" s="1"/>
  <c r="G366" i="73"/>
  <c r="C367" i="73" s="1"/>
  <c r="I129" i="74"/>
  <c r="G129" i="74"/>
  <c r="C130" i="74" s="1"/>
  <c r="E130" i="19"/>
  <c r="J130" i="19"/>
  <c r="D130" i="74" l="1"/>
  <c r="G367" i="73"/>
  <c r="C368" i="73" s="1"/>
  <c r="D367" i="73"/>
  <c r="J367" i="73" s="1"/>
  <c r="G130" i="72"/>
  <c r="C131" i="72" s="1"/>
  <c r="I130" i="72"/>
  <c r="G130" i="19"/>
  <c r="C131" i="19" s="1"/>
  <c r="I130" i="19"/>
  <c r="D131" i="72" l="1"/>
  <c r="G368" i="73"/>
  <c r="C369" i="73" s="1"/>
  <c r="D368" i="73"/>
  <c r="J368" i="73" s="1"/>
  <c r="E130" i="74"/>
  <c r="J130" i="74"/>
  <c r="D131" i="19"/>
  <c r="G130" i="74" l="1"/>
  <c r="C131" i="74" s="1"/>
  <c r="I130" i="74"/>
  <c r="G369" i="73"/>
  <c r="C370" i="73" s="1"/>
  <c r="D369" i="73"/>
  <c r="J369" i="73" s="1"/>
  <c r="E131" i="72"/>
  <c r="J131" i="72"/>
  <c r="E131" i="19"/>
  <c r="J131" i="19"/>
  <c r="I131" i="72" l="1"/>
  <c r="G131" i="72"/>
  <c r="C132" i="72" s="1"/>
  <c r="D370" i="73"/>
  <c r="J370" i="73" s="1"/>
  <c r="G370" i="73"/>
  <c r="D131" i="74"/>
  <c r="I131" i="19"/>
  <c r="G131" i="19"/>
  <c r="C132" i="19" s="1"/>
  <c r="D132" i="72" l="1"/>
  <c r="E131" i="74"/>
  <c r="J131" i="74"/>
  <c r="D132" i="19"/>
  <c r="I131" i="74" l="1"/>
  <c r="G131" i="74"/>
  <c r="C132" i="74" s="1"/>
  <c r="E132" i="72"/>
  <c r="J132" i="72"/>
  <c r="E132" i="19"/>
  <c r="J132" i="19"/>
  <c r="G132" i="72" l="1"/>
  <c r="C133" i="72" s="1"/>
  <c r="I132" i="72"/>
  <c r="D132" i="74"/>
  <c r="G132" i="19"/>
  <c r="C133" i="19" s="1"/>
  <c r="I132" i="19"/>
  <c r="E132" i="74" l="1"/>
  <c r="J132" i="74"/>
  <c r="D133" i="72"/>
  <c r="D133" i="19"/>
  <c r="E133" i="72" l="1"/>
  <c r="J133" i="72"/>
  <c r="G132" i="74"/>
  <c r="C133" i="74" s="1"/>
  <c r="I132" i="74"/>
  <c r="E133" i="19"/>
  <c r="J133" i="19"/>
  <c r="D133" i="74" l="1"/>
  <c r="I133" i="72"/>
  <c r="G133" i="72"/>
  <c r="C134" i="72" s="1"/>
  <c r="I133" i="19"/>
  <c r="G133" i="19"/>
  <c r="C134" i="19" s="1"/>
  <c r="E133" i="74" l="1"/>
  <c r="J133" i="74"/>
  <c r="D134" i="72"/>
  <c r="D134" i="19"/>
  <c r="E134" i="72" l="1"/>
  <c r="J134" i="72"/>
  <c r="I133" i="74"/>
  <c r="G133" i="74"/>
  <c r="C134" i="74" s="1"/>
  <c r="E134" i="19"/>
  <c r="J134" i="19"/>
  <c r="D134" i="74" l="1"/>
  <c r="I134" i="72"/>
  <c r="G134" i="72"/>
  <c r="C135" i="72" s="1"/>
  <c r="I134" i="19"/>
  <c r="G134" i="19"/>
  <c r="C135" i="19" s="1"/>
  <c r="D135" i="72" l="1"/>
  <c r="E134" i="74"/>
  <c r="J134" i="74"/>
  <c r="D135" i="19"/>
  <c r="G134" i="74" l="1"/>
  <c r="C135" i="74" s="1"/>
  <c r="I134" i="74"/>
  <c r="E135" i="72"/>
  <c r="J135" i="72"/>
  <c r="E135" i="19"/>
  <c r="J135" i="19"/>
  <c r="G135" i="72" l="1"/>
  <c r="C136" i="72" s="1"/>
  <c r="I135" i="72"/>
  <c r="D135" i="74"/>
  <c r="I135" i="19"/>
  <c r="G135" i="19"/>
  <c r="C136" i="19" s="1"/>
  <c r="E135" i="74" l="1"/>
  <c r="J135" i="74"/>
  <c r="D136" i="72"/>
  <c r="D136" i="19"/>
  <c r="E136" i="72" l="1"/>
  <c r="J136" i="72"/>
  <c r="I135" i="74"/>
  <c r="G135" i="74"/>
  <c r="C136" i="74" s="1"/>
  <c r="E136" i="19"/>
  <c r="J136" i="19"/>
  <c r="D136" i="74" l="1"/>
  <c r="I136" i="72"/>
  <c r="G136" i="72"/>
  <c r="C137" i="72" s="1"/>
  <c r="G136" i="19"/>
  <c r="C137" i="19" s="1"/>
  <c r="I136" i="19"/>
  <c r="D137" i="72" l="1"/>
  <c r="E136" i="74"/>
  <c r="J136" i="74"/>
  <c r="D137" i="19"/>
  <c r="G136" i="74" l="1"/>
  <c r="C137" i="74" s="1"/>
  <c r="I136" i="74"/>
  <c r="E137" i="72"/>
  <c r="J137" i="72"/>
  <c r="E137" i="19"/>
  <c r="J137" i="19"/>
  <c r="G137" i="72" l="1"/>
  <c r="C138" i="72" s="1"/>
  <c r="I137" i="72"/>
  <c r="D137" i="74"/>
  <c r="G137" i="19"/>
  <c r="C138" i="19" s="1"/>
  <c r="I137" i="19"/>
  <c r="E137" i="74" l="1"/>
  <c r="J137" i="74"/>
  <c r="D138" i="72"/>
  <c r="D138" i="19"/>
  <c r="E138" i="72" l="1"/>
  <c r="J138" i="72"/>
  <c r="I137" i="74"/>
  <c r="G137" i="74"/>
  <c r="C138" i="74" s="1"/>
  <c r="E138" i="19"/>
  <c r="J138" i="19"/>
  <c r="D138" i="74" l="1"/>
  <c r="I138" i="72"/>
  <c r="G138" i="72"/>
  <c r="C139" i="72" s="1"/>
  <c r="I138" i="19"/>
  <c r="G138" i="19"/>
  <c r="C139" i="19" s="1"/>
  <c r="D139" i="72" l="1"/>
  <c r="E138" i="74"/>
  <c r="J138" i="74"/>
  <c r="D139" i="19"/>
  <c r="G138" i="74" l="1"/>
  <c r="C139" i="74" s="1"/>
  <c r="I138" i="74"/>
  <c r="E139" i="72"/>
  <c r="J139" i="72"/>
  <c r="E139" i="19"/>
  <c r="J139" i="19"/>
  <c r="G139" i="72" l="1"/>
  <c r="C140" i="72" s="1"/>
  <c r="I139" i="72"/>
  <c r="D139" i="74"/>
  <c r="G139" i="19"/>
  <c r="C140" i="19" s="1"/>
  <c r="I139" i="19"/>
  <c r="E139" i="74" l="1"/>
  <c r="J139" i="74"/>
  <c r="D140" i="72"/>
  <c r="D140" i="19"/>
  <c r="E140" i="72" l="1"/>
  <c r="J140" i="72"/>
  <c r="I139" i="74"/>
  <c r="G139" i="74"/>
  <c r="C140" i="74" s="1"/>
  <c r="E140" i="19"/>
  <c r="J140" i="19"/>
  <c r="D140" i="74" l="1"/>
  <c r="I140" i="72"/>
  <c r="G140" i="72"/>
  <c r="C141" i="72" s="1"/>
  <c r="G140" i="19"/>
  <c r="C141" i="19" s="1"/>
  <c r="I140" i="19"/>
  <c r="D141" i="72" l="1"/>
  <c r="E140" i="74"/>
  <c r="J140" i="74"/>
  <c r="D141" i="19"/>
  <c r="G140" i="74" l="1"/>
  <c r="C141" i="74" s="1"/>
  <c r="I140" i="74"/>
  <c r="E141" i="72"/>
  <c r="J141" i="72"/>
  <c r="E141" i="19"/>
  <c r="J141" i="19"/>
  <c r="G141" i="72" l="1"/>
  <c r="C142" i="72" s="1"/>
  <c r="I141" i="72"/>
  <c r="D141" i="74"/>
  <c r="I141" i="19"/>
  <c r="G141" i="19"/>
  <c r="C142" i="19" s="1"/>
  <c r="E141" i="74" l="1"/>
  <c r="J141" i="74"/>
  <c r="D142" i="72"/>
  <c r="D142" i="19"/>
  <c r="E142" i="72" l="1"/>
  <c r="J142" i="72"/>
  <c r="I141" i="74"/>
  <c r="G141" i="74"/>
  <c r="C142" i="74" s="1"/>
  <c r="E142" i="19"/>
  <c r="J142" i="19"/>
  <c r="D142" i="74" l="1"/>
  <c r="I142" i="72"/>
  <c r="G142" i="72"/>
  <c r="C143" i="72" s="1"/>
  <c r="I142" i="19"/>
  <c r="G142" i="19"/>
  <c r="C143" i="19" s="1"/>
  <c r="D143" i="72" l="1"/>
  <c r="E142" i="74"/>
  <c r="J142" i="74"/>
  <c r="D143" i="19"/>
  <c r="G142" i="74" l="1"/>
  <c r="C143" i="74" s="1"/>
  <c r="I142" i="74"/>
  <c r="E143" i="72"/>
  <c r="J143" i="72"/>
  <c r="E143" i="19"/>
  <c r="J143" i="19"/>
  <c r="G143" i="72" l="1"/>
  <c r="C144" i="72" s="1"/>
  <c r="I143" i="72"/>
  <c r="D143" i="74"/>
  <c r="G143" i="19"/>
  <c r="C144" i="19" s="1"/>
  <c r="I143" i="19"/>
  <c r="E143" i="74" l="1"/>
  <c r="J143" i="74"/>
  <c r="D144" i="72"/>
  <c r="D144" i="19"/>
  <c r="E144" i="72" l="1"/>
  <c r="J144" i="72"/>
  <c r="I143" i="74"/>
  <c r="G143" i="74"/>
  <c r="C144" i="74" s="1"/>
  <c r="E144" i="19"/>
  <c r="J144" i="19"/>
  <c r="D144" i="74" l="1"/>
  <c r="I144" i="72"/>
  <c r="G144" i="72"/>
  <c r="C145" i="72" s="1"/>
  <c r="I144" i="19"/>
  <c r="G144" i="19"/>
  <c r="C145" i="19" s="1"/>
  <c r="D145" i="72" l="1"/>
  <c r="E144" i="74"/>
  <c r="J144" i="74"/>
  <c r="D145" i="19"/>
  <c r="G144" i="74" l="1"/>
  <c r="C145" i="74" s="1"/>
  <c r="I144" i="74"/>
  <c r="E145" i="72"/>
  <c r="J145" i="72"/>
  <c r="E145" i="19"/>
  <c r="J145" i="19"/>
  <c r="G145" i="72" l="1"/>
  <c r="C146" i="72" s="1"/>
  <c r="I145" i="72"/>
  <c r="D145" i="74"/>
  <c r="I145" i="19"/>
  <c r="G145" i="19"/>
  <c r="C146" i="19" s="1"/>
  <c r="E145" i="74" l="1"/>
  <c r="J145" i="74"/>
  <c r="D146" i="72"/>
  <c r="D146" i="19"/>
  <c r="E146" i="72" l="1"/>
  <c r="J146" i="72"/>
  <c r="I145" i="74"/>
  <c r="G145" i="74"/>
  <c r="C146" i="74" s="1"/>
  <c r="E146" i="19"/>
  <c r="J146" i="19"/>
  <c r="D146" i="74" l="1"/>
  <c r="I146" i="72"/>
  <c r="G146" i="72"/>
  <c r="C147" i="72" s="1"/>
  <c r="G146" i="19"/>
  <c r="C147" i="19" s="1"/>
  <c r="I146" i="19"/>
  <c r="D147" i="72" l="1"/>
  <c r="E146" i="74"/>
  <c r="J146" i="74"/>
  <c r="D147" i="19"/>
  <c r="G146" i="74" l="1"/>
  <c r="C147" i="74" s="1"/>
  <c r="I146" i="74"/>
  <c r="E147" i="72"/>
  <c r="J147" i="72"/>
  <c r="E147" i="19"/>
  <c r="J147" i="19"/>
  <c r="G147" i="72" l="1"/>
  <c r="C148" i="72" s="1"/>
  <c r="I147" i="72"/>
  <c r="D147" i="74"/>
  <c r="I147" i="19"/>
  <c r="G147" i="19"/>
  <c r="C148" i="19" s="1"/>
  <c r="E147" i="74" l="1"/>
  <c r="J147" i="74"/>
  <c r="D148" i="72"/>
  <c r="D148" i="19"/>
  <c r="E148" i="72" l="1"/>
  <c r="J148" i="72"/>
  <c r="I147" i="74"/>
  <c r="G147" i="74"/>
  <c r="C148" i="74" s="1"/>
  <c r="E148" i="19"/>
  <c r="J148" i="19"/>
  <c r="D148" i="74" l="1"/>
  <c r="I148" i="72"/>
  <c r="G148" i="72"/>
  <c r="C149" i="72" s="1"/>
  <c r="I148" i="19"/>
  <c r="G148" i="19"/>
  <c r="C149" i="19" s="1"/>
  <c r="D149" i="72" l="1"/>
  <c r="E148" i="74"/>
  <c r="J148" i="74"/>
  <c r="D149" i="19"/>
  <c r="G148" i="74" l="1"/>
  <c r="C149" i="74" s="1"/>
  <c r="I148" i="74"/>
  <c r="E149" i="72"/>
  <c r="J149" i="72"/>
  <c r="E149" i="19"/>
  <c r="J149" i="19"/>
  <c r="G149" i="72" l="1"/>
  <c r="C150" i="72" s="1"/>
  <c r="I149" i="72"/>
  <c r="D149" i="74"/>
  <c r="G149" i="19"/>
  <c r="C150" i="19" s="1"/>
  <c r="I149" i="19"/>
  <c r="E149" i="74" l="1"/>
  <c r="J149" i="74"/>
  <c r="D150" i="72"/>
  <c r="D150" i="19"/>
  <c r="E150" i="72" l="1"/>
  <c r="J150" i="72"/>
  <c r="I149" i="74"/>
  <c r="G149" i="74"/>
  <c r="C150" i="74" s="1"/>
  <c r="E150" i="19"/>
  <c r="J150" i="19"/>
  <c r="D150" i="74" l="1"/>
  <c r="I150" i="72"/>
  <c r="G150" i="72"/>
  <c r="C151" i="72" s="1"/>
  <c r="G150" i="19"/>
  <c r="C151" i="19" s="1"/>
  <c r="I150" i="19"/>
  <c r="D151" i="72" l="1"/>
  <c r="E150" i="74"/>
  <c r="J150" i="74"/>
  <c r="D151" i="19"/>
  <c r="G150" i="74" l="1"/>
  <c r="C151" i="74" s="1"/>
  <c r="I150" i="74"/>
  <c r="E151" i="72"/>
  <c r="J151" i="72"/>
  <c r="E151" i="19"/>
  <c r="J151" i="19"/>
  <c r="G151" i="72" l="1"/>
  <c r="C152" i="72" s="1"/>
  <c r="I151" i="72"/>
  <c r="D151" i="74"/>
  <c r="I151" i="19"/>
  <c r="G151" i="19"/>
  <c r="C152" i="19" s="1"/>
  <c r="E151" i="74" l="1"/>
  <c r="J151" i="74"/>
  <c r="D152" i="72"/>
  <c r="D152" i="19"/>
  <c r="E152" i="72" l="1"/>
  <c r="J152" i="72"/>
  <c r="I151" i="74"/>
  <c r="G151" i="74"/>
  <c r="C152" i="74" s="1"/>
  <c r="E152" i="19"/>
  <c r="J152" i="19"/>
  <c r="D152" i="74" l="1"/>
  <c r="I152" i="72"/>
  <c r="G152" i="72"/>
  <c r="C153" i="72" s="1"/>
  <c r="G152" i="19"/>
  <c r="C153" i="19" s="1"/>
  <c r="I152" i="19"/>
  <c r="D153" i="72" l="1"/>
  <c r="E152" i="74"/>
  <c r="J152" i="74"/>
  <c r="D153" i="19"/>
  <c r="I152" i="74" l="1"/>
  <c r="G152" i="74"/>
  <c r="C153" i="74" s="1"/>
  <c r="E153" i="72"/>
  <c r="J153" i="72"/>
  <c r="E153" i="19"/>
  <c r="J153" i="19"/>
  <c r="G153" i="72" l="1"/>
  <c r="C154" i="72" s="1"/>
  <c r="I153" i="72"/>
  <c r="D153" i="74"/>
  <c r="G153" i="19"/>
  <c r="C154" i="19" s="1"/>
  <c r="I153" i="19"/>
  <c r="E153" i="74" l="1"/>
  <c r="J153" i="74"/>
  <c r="D154" i="72"/>
  <c r="D154" i="19"/>
  <c r="E154" i="72" l="1"/>
  <c r="J154" i="72"/>
  <c r="G153" i="74"/>
  <c r="C154" i="74" s="1"/>
  <c r="I153" i="74"/>
  <c r="E154" i="19"/>
  <c r="J154" i="19"/>
  <c r="D154" i="74" l="1"/>
  <c r="I154" i="72"/>
  <c r="G154" i="72"/>
  <c r="C155" i="72" s="1"/>
  <c r="I154" i="19"/>
  <c r="G154" i="19"/>
  <c r="C155" i="19" s="1"/>
  <c r="D155" i="72" l="1"/>
  <c r="E154" i="74"/>
  <c r="J154" i="74"/>
  <c r="D155" i="19"/>
  <c r="I154" i="74" l="1"/>
  <c r="G154" i="74"/>
  <c r="C155" i="74" s="1"/>
  <c r="E155" i="72"/>
  <c r="J155" i="72"/>
  <c r="E155" i="19"/>
  <c r="J155" i="19"/>
  <c r="G155" i="72" l="1"/>
  <c r="C156" i="72" s="1"/>
  <c r="I155" i="72"/>
  <c r="D155" i="74"/>
  <c r="I155" i="19"/>
  <c r="G155" i="19"/>
  <c r="C156" i="19" s="1"/>
  <c r="E155" i="74" l="1"/>
  <c r="J155" i="74"/>
  <c r="D156" i="72"/>
  <c r="D156" i="19"/>
  <c r="E156" i="72" l="1"/>
  <c r="J156" i="72"/>
  <c r="G155" i="74"/>
  <c r="C156" i="74" s="1"/>
  <c r="I155" i="74"/>
  <c r="E156" i="19"/>
  <c r="J156" i="19"/>
  <c r="D156" i="74" l="1"/>
  <c r="I156" i="72"/>
  <c r="G156" i="72"/>
  <c r="C157" i="72" s="1"/>
  <c r="I156" i="19"/>
  <c r="G156" i="19"/>
  <c r="C157" i="19" s="1"/>
  <c r="D157" i="72" l="1"/>
  <c r="E156" i="74"/>
  <c r="J156" i="74"/>
  <c r="D157" i="19"/>
  <c r="I156" i="74" l="1"/>
  <c r="G156" i="74"/>
  <c r="C157" i="74" s="1"/>
  <c r="E157" i="72"/>
  <c r="J157" i="72"/>
  <c r="E157" i="19"/>
  <c r="J157" i="19"/>
  <c r="G157" i="72" l="1"/>
  <c r="C158" i="72" s="1"/>
  <c r="I157" i="72"/>
  <c r="D157" i="74"/>
  <c r="G157" i="19"/>
  <c r="C158" i="19" s="1"/>
  <c r="I157" i="19"/>
  <c r="D158" i="72" l="1"/>
  <c r="E157" i="74"/>
  <c r="J157" i="74"/>
  <c r="D158" i="19"/>
  <c r="G157" i="74" l="1"/>
  <c r="C158" i="74" s="1"/>
  <c r="I157" i="74"/>
  <c r="E158" i="72"/>
  <c r="J158" i="72"/>
  <c r="E158" i="19"/>
  <c r="J158" i="19"/>
  <c r="G158" i="72" l="1"/>
  <c r="C159" i="72" s="1"/>
  <c r="I158" i="72"/>
  <c r="D158" i="74"/>
  <c r="G158" i="19"/>
  <c r="C159" i="19" s="1"/>
  <c r="I158" i="19"/>
  <c r="E158" i="74" l="1"/>
  <c r="J158" i="74"/>
  <c r="D159" i="72"/>
  <c r="D159" i="19"/>
  <c r="E159" i="72" l="1"/>
  <c r="J159" i="72"/>
  <c r="I158" i="74"/>
  <c r="G158" i="74"/>
  <c r="C159" i="74" s="1"/>
  <c r="E159" i="19"/>
  <c r="J159" i="19"/>
  <c r="D159" i="74" l="1"/>
  <c r="I159" i="72"/>
  <c r="G159" i="72"/>
  <c r="C160" i="72" s="1"/>
  <c r="I159" i="19"/>
  <c r="G159" i="19"/>
  <c r="C160" i="19" s="1"/>
  <c r="D160" i="72" l="1"/>
  <c r="E159" i="74"/>
  <c r="J159" i="74"/>
  <c r="D160" i="19"/>
  <c r="G159" i="74" l="1"/>
  <c r="C160" i="74" s="1"/>
  <c r="I159" i="74"/>
  <c r="E160" i="72"/>
  <c r="J160" i="72"/>
  <c r="E160" i="19"/>
  <c r="J160" i="19"/>
  <c r="G160" i="72" l="1"/>
  <c r="C161" i="72" s="1"/>
  <c r="I160" i="72"/>
  <c r="D160" i="74"/>
  <c r="I160" i="19"/>
  <c r="G160" i="19"/>
  <c r="C161" i="19" s="1"/>
  <c r="E160" i="74" l="1"/>
  <c r="J160" i="74"/>
  <c r="D161" i="72"/>
  <c r="D161" i="19"/>
  <c r="E161" i="72" l="1"/>
  <c r="J161" i="72"/>
  <c r="I160" i="74"/>
  <c r="G160" i="74"/>
  <c r="C161" i="74" s="1"/>
  <c r="E161" i="19"/>
  <c r="J161" i="19"/>
  <c r="D161" i="74" l="1"/>
  <c r="I161" i="72"/>
  <c r="G161" i="72"/>
  <c r="C162" i="72" s="1"/>
  <c r="G161" i="19"/>
  <c r="C162" i="19" s="1"/>
  <c r="I161" i="19"/>
  <c r="D162" i="72" l="1"/>
  <c r="E161" i="74"/>
  <c r="J161" i="74"/>
  <c r="D162" i="19"/>
  <c r="G161" i="74" l="1"/>
  <c r="C162" i="74" s="1"/>
  <c r="I161" i="74"/>
  <c r="E162" i="72"/>
  <c r="J162" i="72"/>
  <c r="E162" i="19"/>
  <c r="J162" i="19"/>
  <c r="G162" i="72" l="1"/>
  <c r="C163" i="72" s="1"/>
  <c r="I162" i="72"/>
  <c r="D162" i="74"/>
  <c r="G162" i="19"/>
  <c r="C163" i="19" s="1"/>
  <c r="I162" i="19"/>
  <c r="E162" i="74" l="1"/>
  <c r="J162" i="74"/>
  <c r="D163" i="72"/>
  <c r="D163" i="19"/>
  <c r="E163" i="72" l="1"/>
  <c r="J163" i="72"/>
  <c r="I162" i="74"/>
  <c r="G162" i="74"/>
  <c r="C163" i="74" s="1"/>
  <c r="E163" i="19"/>
  <c r="J163" i="19"/>
  <c r="D163" i="74" l="1"/>
  <c r="I163" i="72"/>
  <c r="G163" i="72"/>
  <c r="C164" i="72" s="1"/>
  <c r="I163" i="19"/>
  <c r="G163" i="19"/>
  <c r="C164" i="19" s="1"/>
  <c r="D164" i="72" l="1"/>
  <c r="E163" i="74"/>
  <c r="J163" i="74"/>
  <c r="D164" i="19"/>
  <c r="G163" i="74" l="1"/>
  <c r="C164" i="74" s="1"/>
  <c r="I163" i="74"/>
  <c r="E164" i="72"/>
  <c r="J164" i="72"/>
  <c r="E164" i="19"/>
  <c r="J164" i="19"/>
  <c r="G164" i="72" l="1"/>
  <c r="C165" i="72" s="1"/>
  <c r="I164" i="72"/>
  <c r="D164" i="74"/>
  <c r="G164" i="19"/>
  <c r="C165" i="19" s="1"/>
  <c r="I164" i="19"/>
  <c r="E164" i="74" l="1"/>
  <c r="J164" i="74"/>
  <c r="D165" i="72"/>
  <c r="D165" i="19"/>
  <c r="E165" i="72" l="1"/>
  <c r="J165" i="72"/>
  <c r="I164" i="74"/>
  <c r="G164" i="74"/>
  <c r="C165" i="74" s="1"/>
  <c r="E165" i="19"/>
  <c r="J165" i="19"/>
  <c r="D165" i="74" l="1"/>
  <c r="I165" i="72"/>
  <c r="G165" i="72"/>
  <c r="C166" i="72" s="1"/>
  <c r="I165" i="19"/>
  <c r="G165" i="19"/>
  <c r="C166" i="19" s="1"/>
  <c r="D166" i="72" l="1"/>
  <c r="E165" i="74"/>
  <c r="J165" i="74"/>
  <c r="D166" i="19"/>
  <c r="G165" i="74" l="1"/>
  <c r="C166" i="74" s="1"/>
  <c r="I165" i="74"/>
  <c r="E166" i="72"/>
  <c r="J166" i="72"/>
  <c r="E166" i="19"/>
  <c r="J166" i="19"/>
  <c r="G166" i="72" l="1"/>
  <c r="C167" i="72" s="1"/>
  <c r="I166" i="72"/>
  <c r="D166" i="74"/>
  <c r="G166" i="19"/>
  <c r="C167" i="19" s="1"/>
  <c r="I166" i="19"/>
  <c r="E166" i="74" l="1"/>
  <c r="J166" i="74"/>
  <c r="D167" i="72"/>
  <c r="D167" i="19"/>
  <c r="E167" i="72" l="1"/>
  <c r="J167" i="72"/>
  <c r="I166" i="74"/>
  <c r="G166" i="74"/>
  <c r="C167" i="74" s="1"/>
  <c r="E167" i="19"/>
  <c r="J167" i="19"/>
  <c r="D167" i="74" l="1"/>
  <c r="G167" i="72"/>
  <c r="C168" i="72" s="1"/>
  <c r="I167" i="72"/>
  <c r="I167" i="19"/>
  <c r="G167" i="19"/>
  <c r="C168" i="19" s="1"/>
  <c r="D168" i="72" l="1"/>
  <c r="E167" i="74"/>
  <c r="J167" i="74"/>
  <c r="D168" i="19"/>
  <c r="G167" i="74" l="1"/>
  <c r="C168" i="74" s="1"/>
  <c r="I167" i="74"/>
  <c r="E168" i="72"/>
  <c r="J168" i="72"/>
  <c r="E168" i="19"/>
  <c r="J168" i="19"/>
  <c r="I168" i="72" l="1"/>
  <c r="G168" i="72"/>
  <c r="C169" i="72" s="1"/>
  <c r="D168" i="74"/>
  <c r="G168" i="19"/>
  <c r="C169" i="19" s="1"/>
  <c r="I168" i="19"/>
  <c r="E168" i="74" l="1"/>
  <c r="J168" i="74"/>
  <c r="D169" i="72"/>
  <c r="D169" i="19"/>
  <c r="E169" i="72" l="1"/>
  <c r="J169" i="72"/>
  <c r="I168" i="74"/>
  <c r="G168" i="74"/>
  <c r="C169" i="74" s="1"/>
  <c r="E169" i="19"/>
  <c r="J169" i="19"/>
  <c r="D169" i="74" l="1"/>
  <c r="G169" i="72"/>
  <c r="C170" i="72" s="1"/>
  <c r="I169" i="72"/>
  <c r="I169" i="19"/>
  <c r="G169" i="19"/>
  <c r="C170" i="19" s="1"/>
  <c r="D170" i="72" l="1"/>
  <c r="E169" i="74"/>
  <c r="J169" i="74"/>
  <c r="D170" i="19"/>
  <c r="G169" i="74" l="1"/>
  <c r="C170" i="74" s="1"/>
  <c r="I169" i="74"/>
  <c r="E170" i="72"/>
  <c r="J170" i="72"/>
  <c r="E170" i="19"/>
  <c r="J170" i="19"/>
  <c r="I170" i="72" l="1"/>
  <c r="G170" i="72"/>
  <c r="C171" i="72" s="1"/>
  <c r="D170" i="74"/>
  <c r="I170" i="19"/>
  <c r="G170" i="19"/>
  <c r="C171" i="19" s="1"/>
  <c r="E170" i="74" l="1"/>
  <c r="J170" i="74"/>
  <c r="D171" i="72"/>
  <c r="D171" i="19"/>
  <c r="E171" i="72" l="1"/>
  <c r="J171" i="72"/>
  <c r="I170" i="74"/>
  <c r="G170" i="74"/>
  <c r="C171" i="74" s="1"/>
  <c r="E171" i="19"/>
  <c r="J171" i="19"/>
  <c r="D171" i="74" l="1"/>
  <c r="G171" i="72"/>
  <c r="C172" i="72" s="1"/>
  <c r="I171" i="72"/>
  <c r="G171" i="19"/>
  <c r="C172" i="19" s="1"/>
  <c r="I171" i="19"/>
  <c r="D172" i="72" l="1"/>
  <c r="E171" i="74"/>
  <c r="J171" i="74"/>
  <c r="D172" i="19"/>
  <c r="G171" i="74" l="1"/>
  <c r="C172" i="74" s="1"/>
  <c r="I171" i="74"/>
  <c r="E172" i="72"/>
  <c r="J172" i="72"/>
  <c r="E172" i="19"/>
  <c r="J172" i="19"/>
  <c r="G172" i="72" l="1"/>
  <c r="C173" i="72" s="1"/>
  <c r="I172" i="72"/>
  <c r="D172" i="74"/>
  <c r="I172" i="19"/>
  <c r="G172" i="19"/>
  <c r="C173" i="19" s="1"/>
  <c r="E172" i="74" l="1"/>
  <c r="J172" i="74"/>
  <c r="D173" i="72"/>
  <c r="D173" i="19"/>
  <c r="E173" i="72" l="1"/>
  <c r="J173" i="72"/>
  <c r="I172" i="74"/>
  <c r="G172" i="74"/>
  <c r="C173" i="74" s="1"/>
  <c r="E173" i="19"/>
  <c r="J173" i="19"/>
  <c r="D173" i="74" l="1"/>
  <c r="I173" i="72"/>
  <c r="G173" i="72"/>
  <c r="C174" i="72" s="1"/>
  <c r="G173" i="19"/>
  <c r="C174" i="19" s="1"/>
  <c r="I173" i="19"/>
  <c r="D174" i="72" l="1"/>
  <c r="E173" i="74"/>
  <c r="J173" i="74"/>
  <c r="D174" i="19"/>
  <c r="G173" i="74" l="1"/>
  <c r="C174" i="74" s="1"/>
  <c r="I173" i="74"/>
  <c r="E174" i="72"/>
  <c r="J174" i="72"/>
  <c r="E174" i="19"/>
  <c r="J174" i="19"/>
  <c r="I174" i="72" l="1"/>
  <c r="G174" i="72"/>
  <c r="C175" i="72" s="1"/>
  <c r="D174" i="74"/>
  <c r="G174" i="19"/>
  <c r="C175" i="19" s="1"/>
  <c r="I174" i="19"/>
  <c r="E174" i="74" l="1"/>
  <c r="J174" i="74"/>
  <c r="D175" i="72"/>
  <c r="D175" i="19"/>
  <c r="E175" i="72" l="1"/>
  <c r="J175" i="72"/>
  <c r="I174" i="74"/>
  <c r="G174" i="74"/>
  <c r="C175" i="74" s="1"/>
  <c r="E175" i="19"/>
  <c r="J175" i="19"/>
  <c r="D175" i="74" l="1"/>
  <c r="G175" i="72"/>
  <c r="C176" i="72" s="1"/>
  <c r="I175" i="72"/>
  <c r="I175" i="19"/>
  <c r="G175" i="19"/>
  <c r="C176" i="19" s="1"/>
  <c r="D176" i="72" l="1"/>
  <c r="E175" i="74"/>
  <c r="J175" i="74"/>
  <c r="D176" i="19"/>
  <c r="G175" i="74" l="1"/>
  <c r="C176" i="74" s="1"/>
  <c r="I175" i="74"/>
  <c r="E176" i="72"/>
  <c r="J176" i="72"/>
  <c r="E176" i="19"/>
  <c r="J176" i="19"/>
  <c r="I176" i="72" l="1"/>
  <c r="G176" i="72"/>
  <c r="C177" i="72" s="1"/>
  <c r="D176" i="74"/>
  <c r="G176" i="19"/>
  <c r="C177" i="19" s="1"/>
  <c r="I176" i="19"/>
  <c r="E176" i="74" l="1"/>
  <c r="J176" i="74"/>
  <c r="D177" i="72"/>
  <c r="D177" i="19"/>
  <c r="E177" i="72" l="1"/>
  <c r="J177" i="72"/>
  <c r="I176" i="74"/>
  <c r="G176" i="74"/>
  <c r="C177" i="74" s="1"/>
  <c r="E177" i="19"/>
  <c r="J177" i="19"/>
  <c r="D177" i="74" l="1"/>
  <c r="G177" i="72"/>
  <c r="C178" i="72" s="1"/>
  <c r="I177" i="72"/>
  <c r="I177" i="19"/>
  <c r="G177" i="19"/>
  <c r="C178" i="19" s="1"/>
  <c r="D178" i="72" l="1"/>
  <c r="E177" i="74"/>
  <c r="J177" i="74"/>
  <c r="D178" i="19"/>
  <c r="G177" i="74" l="1"/>
  <c r="C178" i="74" s="1"/>
  <c r="I177" i="74"/>
  <c r="E178" i="72"/>
  <c r="J178" i="72"/>
  <c r="E178" i="19"/>
  <c r="J178" i="19"/>
  <c r="I178" i="72" l="1"/>
  <c r="G178" i="72"/>
  <c r="C179" i="72" s="1"/>
  <c r="D178" i="74"/>
  <c r="I178" i="19"/>
  <c r="G178" i="19"/>
  <c r="C179" i="19" s="1"/>
  <c r="E178" i="74" l="1"/>
  <c r="J178" i="74"/>
  <c r="D179" i="72"/>
  <c r="D179" i="19"/>
  <c r="E179" i="72" l="1"/>
  <c r="J179" i="72"/>
  <c r="I178" i="74"/>
  <c r="G178" i="74"/>
  <c r="C179" i="74" s="1"/>
  <c r="E179" i="19"/>
  <c r="J179" i="19"/>
  <c r="D179" i="74" l="1"/>
  <c r="G179" i="72"/>
  <c r="C180" i="72" s="1"/>
  <c r="I179" i="72"/>
  <c r="G179" i="19"/>
  <c r="C180" i="19" s="1"/>
  <c r="I179" i="19"/>
  <c r="D180" i="72" l="1"/>
  <c r="E179" i="74"/>
  <c r="J179" i="74"/>
  <c r="D180" i="19"/>
  <c r="G179" i="74" l="1"/>
  <c r="C180" i="74" s="1"/>
  <c r="I179" i="74"/>
  <c r="E180" i="72"/>
  <c r="J180" i="72"/>
  <c r="E180" i="19"/>
  <c r="J180" i="19"/>
  <c r="I180" i="72" l="1"/>
  <c r="G180" i="72"/>
  <c r="C181" i="72" s="1"/>
  <c r="D180" i="74"/>
  <c r="I180" i="19"/>
  <c r="G180" i="19"/>
  <c r="C181" i="19" s="1"/>
  <c r="E180" i="74" l="1"/>
  <c r="J180" i="74"/>
  <c r="D181" i="72"/>
  <c r="D181" i="19"/>
  <c r="E181" i="72" l="1"/>
  <c r="J181" i="72"/>
  <c r="I180" i="74"/>
  <c r="G180" i="74"/>
  <c r="C181" i="74" s="1"/>
  <c r="E181" i="19"/>
  <c r="J181" i="19"/>
  <c r="D181" i="74" l="1"/>
  <c r="G181" i="72"/>
  <c r="C182" i="72" s="1"/>
  <c r="I181" i="72"/>
  <c r="I181" i="19"/>
  <c r="G181" i="19"/>
  <c r="C182" i="19" s="1"/>
  <c r="D182" i="72" l="1"/>
  <c r="E181" i="74"/>
  <c r="J181" i="74"/>
  <c r="D182" i="19"/>
  <c r="E182" i="72" l="1"/>
  <c r="J182" i="72"/>
  <c r="G181" i="74"/>
  <c r="C182" i="74" s="1"/>
  <c r="I181" i="74"/>
  <c r="E182" i="19"/>
  <c r="J182" i="19"/>
  <c r="D182" i="74" l="1"/>
  <c r="I182" i="72"/>
  <c r="G182" i="72"/>
  <c r="C183" i="72" s="1"/>
  <c r="I182" i="19"/>
  <c r="G182" i="19"/>
  <c r="C183" i="19" s="1"/>
  <c r="D183" i="72" l="1"/>
  <c r="E182" i="74"/>
  <c r="J182" i="74"/>
  <c r="D183" i="19"/>
  <c r="I182" i="74" l="1"/>
  <c r="G182" i="74"/>
  <c r="C183" i="74" s="1"/>
  <c r="E183" i="72"/>
  <c r="J183" i="72"/>
  <c r="E183" i="19"/>
  <c r="J183" i="19"/>
  <c r="G183" i="72" l="1"/>
  <c r="C184" i="72" s="1"/>
  <c r="I183" i="72"/>
  <c r="D183" i="74"/>
  <c r="G183" i="19"/>
  <c r="C184" i="19" s="1"/>
  <c r="I183" i="19"/>
  <c r="E183" i="74" l="1"/>
  <c r="J183" i="74"/>
  <c r="D184" i="72"/>
  <c r="D184" i="19"/>
  <c r="E184" i="72" l="1"/>
  <c r="J184" i="72"/>
  <c r="G183" i="74"/>
  <c r="C184" i="74" s="1"/>
  <c r="I183" i="74"/>
  <c r="E184" i="19"/>
  <c r="J184" i="19"/>
  <c r="D184" i="74" l="1"/>
  <c r="I184" i="72"/>
  <c r="G184" i="72"/>
  <c r="C185" i="72" s="1"/>
  <c r="I184" i="19"/>
  <c r="G184" i="19"/>
  <c r="C185" i="19" s="1"/>
  <c r="D185" i="72" l="1"/>
  <c r="E184" i="74"/>
  <c r="J184" i="74"/>
  <c r="D185" i="19"/>
  <c r="I184" i="74" l="1"/>
  <c r="G184" i="74"/>
  <c r="C185" i="74" s="1"/>
  <c r="E185" i="72"/>
  <c r="J185" i="72"/>
  <c r="E185" i="19"/>
  <c r="J185" i="19"/>
  <c r="D185" i="74" l="1"/>
  <c r="G185" i="72"/>
  <c r="C186" i="72" s="1"/>
  <c r="I185" i="72"/>
  <c r="G185" i="19"/>
  <c r="C186" i="19" s="1"/>
  <c r="I185" i="19"/>
  <c r="D186" i="72" l="1"/>
  <c r="E185" i="74"/>
  <c r="J185" i="74"/>
  <c r="D186" i="19"/>
  <c r="G185" i="74" l="1"/>
  <c r="C186" i="74" s="1"/>
  <c r="I185" i="74"/>
  <c r="E186" i="72"/>
  <c r="J186" i="72"/>
  <c r="E186" i="19"/>
  <c r="J186" i="19"/>
  <c r="I186" i="72" l="1"/>
  <c r="G186" i="72"/>
  <c r="C187" i="72" s="1"/>
  <c r="D186" i="74"/>
  <c r="G186" i="19"/>
  <c r="C187" i="19" s="1"/>
  <c r="I186" i="19"/>
  <c r="E186" i="74" l="1"/>
  <c r="J186" i="74"/>
  <c r="D187" i="72"/>
  <c r="D187" i="19"/>
  <c r="E187" i="72" l="1"/>
  <c r="J187" i="72"/>
  <c r="I186" i="74"/>
  <c r="G186" i="74"/>
  <c r="C187" i="74" s="1"/>
  <c r="E187" i="19"/>
  <c r="J187" i="19"/>
  <c r="D187" i="74" l="1"/>
  <c r="G187" i="72"/>
  <c r="C188" i="72" s="1"/>
  <c r="I187" i="72"/>
  <c r="I187" i="19"/>
  <c r="G187" i="19"/>
  <c r="C188" i="19" s="1"/>
  <c r="D188" i="72" l="1"/>
  <c r="E187" i="74"/>
  <c r="J187" i="74"/>
  <c r="D188" i="19"/>
  <c r="G187" i="74" l="1"/>
  <c r="C188" i="74" s="1"/>
  <c r="I187" i="74"/>
  <c r="E188" i="72"/>
  <c r="J188" i="72"/>
  <c r="E188" i="19"/>
  <c r="J188" i="19"/>
  <c r="I188" i="72" l="1"/>
  <c r="G188" i="72"/>
  <c r="C189" i="72" s="1"/>
  <c r="D188" i="74"/>
  <c r="G188" i="19"/>
  <c r="C189" i="19" s="1"/>
  <c r="I188" i="19"/>
  <c r="E188" i="74" l="1"/>
  <c r="J188" i="74"/>
  <c r="D189" i="72"/>
  <c r="D189" i="19"/>
  <c r="E189" i="72" l="1"/>
  <c r="J189" i="72"/>
  <c r="I188" i="74"/>
  <c r="G188" i="74"/>
  <c r="C189" i="74" s="1"/>
  <c r="E189" i="19"/>
  <c r="J189" i="19"/>
  <c r="D189" i="74" l="1"/>
  <c r="G189" i="72"/>
  <c r="C190" i="72" s="1"/>
  <c r="I189" i="72"/>
  <c r="I189" i="19"/>
  <c r="G189" i="19"/>
  <c r="C190" i="19" s="1"/>
  <c r="D190" i="72" l="1"/>
  <c r="E189" i="74"/>
  <c r="J189" i="74"/>
  <c r="D190" i="19"/>
  <c r="G189" i="74" l="1"/>
  <c r="C190" i="74" s="1"/>
  <c r="I189" i="74"/>
  <c r="E190" i="72"/>
  <c r="J190" i="72"/>
  <c r="E190" i="19"/>
  <c r="J190" i="19"/>
  <c r="I190" i="72" l="1"/>
  <c r="G190" i="72"/>
  <c r="C191" i="72" s="1"/>
  <c r="D190" i="74"/>
  <c r="I190" i="19"/>
  <c r="G190" i="19"/>
  <c r="C191" i="19" s="1"/>
  <c r="E190" i="74" l="1"/>
  <c r="J190" i="74"/>
  <c r="D191" i="72"/>
  <c r="D191" i="19"/>
  <c r="E191" i="72" l="1"/>
  <c r="J191" i="72"/>
  <c r="I190" i="74"/>
  <c r="G190" i="74"/>
  <c r="C191" i="74" s="1"/>
  <c r="E191" i="19"/>
  <c r="J191" i="19"/>
  <c r="D191" i="74" l="1"/>
  <c r="G191" i="72"/>
  <c r="C192" i="72" s="1"/>
  <c r="I191" i="72"/>
  <c r="G191" i="19"/>
  <c r="C192" i="19" s="1"/>
  <c r="I191" i="19"/>
  <c r="D192" i="72" l="1"/>
  <c r="E191" i="74"/>
  <c r="J191" i="74"/>
  <c r="D192" i="19"/>
  <c r="G191" i="74" l="1"/>
  <c r="C192" i="74" s="1"/>
  <c r="I191" i="74"/>
  <c r="E192" i="72"/>
  <c r="J192" i="72"/>
  <c r="E192" i="19"/>
  <c r="J192" i="19"/>
  <c r="I192" i="72" l="1"/>
  <c r="G192" i="72"/>
  <c r="C193" i="72" s="1"/>
  <c r="D192" i="74"/>
  <c r="I192" i="19"/>
  <c r="G192" i="19"/>
  <c r="C193" i="19" s="1"/>
  <c r="E192" i="74" l="1"/>
  <c r="J192" i="74"/>
  <c r="D193" i="72"/>
  <c r="D193" i="19"/>
  <c r="E193" i="72" l="1"/>
  <c r="J193" i="72"/>
  <c r="I192" i="74"/>
  <c r="G192" i="74"/>
  <c r="C193" i="74" s="1"/>
  <c r="E193" i="19"/>
  <c r="J193" i="19"/>
  <c r="D193" i="74" l="1"/>
  <c r="G193" i="72"/>
  <c r="C194" i="72" s="1"/>
  <c r="I193" i="72"/>
  <c r="I193" i="19"/>
  <c r="G193" i="19"/>
  <c r="C194" i="19" s="1"/>
  <c r="D194" i="72" l="1"/>
  <c r="E193" i="74"/>
  <c r="J193" i="74"/>
  <c r="D194" i="19"/>
  <c r="G193" i="74" l="1"/>
  <c r="C194" i="74" s="1"/>
  <c r="I193" i="74"/>
  <c r="E194" i="72"/>
  <c r="J194" i="72"/>
  <c r="E194" i="19"/>
  <c r="J194" i="19"/>
  <c r="I194" i="72" l="1"/>
  <c r="G194" i="72"/>
  <c r="C195" i="72" s="1"/>
  <c r="D194" i="74"/>
  <c r="G194" i="19"/>
  <c r="C195" i="19" s="1"/>
  <c r="I194" i="19"/>
  <c r="E194" i="74" l="1"/>
  <c r="J194" i="74"/>
  <c r="D195" i="72"/>
  <c r="D195" i="19"/>
  <c r="E195" i="72" l="1"/>
  <c r="J195" i="72"/>
  <c r="I194" i="74"/>
  <c r="G194" i="74"/>
  <c r="C195" i="74" s="1"/>
  <c r="E195" i="19"/>
  <c r="J195" i="19"/>
  <c r="D195" i="74" l="1"/>
  <c r="G195" i="72"/>
  <c r="C196" i="72" s="1"/>
  <c r="I195" i="72"/>
  <c r="G195" i="19"/>
  <c r="C196" i="19" s="1"/>
  <c r="I195" i="19"/>
  <c r="D196" i="72" l="1"/>
  <c r="E195" i="74"/>
  <c r="J195" i="74"/>
  <c r="D196" i="19"/>
  <c r="G195" i="74" l="1"/>
  <c r="C196" i="74" s="1"/>
  <c r="I195" i="74"/>
  <c r="E196" i="72"/>
  <c r="J196" i="72"/>
  <c r="E196" i="19"/>
  <c r="J196" i="19"/>
  <c r="I196" i="72" l="1"/>
  <c r="G196" i="72"/>
  <c r="C197" i="72" s="1"/>
  <c r="D196" i="74"/>
  <c r="G196" i="19"/>
  <c r="C197" i="19" s="1"/>
  <c r="I196" i="19"/>
  <c r="E196" i="74" l="1"/>
  <c r="J196" i="74"/>
  <c r="D197" i="72"/>
  <c r="D197" i="19"/>
  <c r="E197" i="72" l="1"/>
  <c r="J197" i="72"/>
  <c r="I196" i="74"/>
  <c r="G196" i="74"/>
  <c r="C197" i="74" s="1"/>
  <c r="E197" i="19"/>
  <c r="J197" i="19"/>
  <c r="D197" i="74" l="1"/>
  <c r="G197" i="72"/>
  <c r="C198" i="72" s="1"/>
  <c r="I197" i="72"/>
  <c r="G197" i="19"/>
  <c r="C198" i="19" s="1"/>
  <c r="I197" i="19"/>
  <c r="D198" i="72" l="1"/>
  <c r="E197" i="74"/>
  <c r="J197" i="74"/>
  <c r="D198" i="19"/>
  <c r="G197" i="74" l="1"/>
  <c r="C198" i="74" s="1"/>
  <c r="I197" i="74"/>
  <c r="E198" i="72"/>
  <c r="J198" i="72"/>
  <c r="E198" i="19"/>
  <c r="J198" i="19"/>
  <c r="I198" i="72" l="1"/>
  <c r="G198" i="72"/>
  <c r="C199" i="72" s="1"/>
  <c r="D198" i="74"/>
  <c r="I198" i="19"/>
  <c r="G198" i="19"/>
  <c r="C199" i="19" s="1"/>
  <c r="E198" i="74" l="1"/>
  <c r="J198" i="74"/>
  <c r="D199" i="72"/>
  <c r="D199" i="19"/>
  <c r="E199" i="72" l="1"/>
  <c r="J199" i="72"/>
  <c r="I198" i="74"/>
  <c r="G198" i="74"/>
  <c r="C199" i="74" s="1"/>
  <c r="E199" i="19"/>
  <c r="J199" i="19"/>
  <c r="D199" i="74" l="1"/>
  <c r="G199" i="72"/>
  <c r="C200" i="72" s="1"/>
  <c r="I199" i="72"/>
  <c r="G199" i="19"/>
  <c r="C200" i="19" s="1"/>
  <c r="I199" i="19"/>
  <c r="D200" i="72" l="1"/>
  <c r="E199" i="74"/>
  <c r="J199" i="74"/>
  <c r="D200" i="19"/>
  <c r="G199" i="74" l="1"/>
  <c r="C200" i="74" s="1"/>
  <c r="I199" i="74"/>
  <c r="E200" i="72"/>
  <c r="J200" i="72"/>
  <c r="E200" i="19"/>
  <c r="J200" i="19"/>
  <c r="I200" i="72" l="1"/>
  <c r="G200" i="72"/>
  <c r="C201" i="72" s="1"/>
  <c r="D200" i="74"/>
  <c r="I200" i="19"/>
  <c r="G200" i="19"/>
  <c r="C201" i="19" s="1"/>
  <c r="E200" i="74" l="1"/>
  <c r="J200" i="74"/>
  <c r="D201" i="72"/>
  <c r="D201" i="19"/>
  <c r="E201" i="72" l="1"/>
  <c r="J201" i="72"/>
  <c r="I200" i="74"/>
  <c r="G200" i="74"/>
  <c r="C201" i="74" s="1"/>
  <c r="E201" i="19"/>
  <c r="J201" i="19"/>
  <c r="D201" i="74" l="1"/>
  <c r="G201" i="72"/>
  <c r="C202" i="72" s="1"/>
  <c r="I201" i="72"/>
  <c r="G201" i="19"/>
  <c r="C202" i="19" s="1"/>
  <c r="I201" i="19"/>
  <c r="D202" i="72" l="1"/>
  <c r="E201" i="74"/>
  <c r="J201" i="74"/>
  <c r="D202" i="19"/>
  <c r="G201" i="74" l="1"/>
  <c r="C202" i="74" s="1"/>
  <c r="I201" i="74"/>
  <c r="E202" i="72"/>
  <c r="J202" i="72"/>
  <c r="E202" i="19"/>
  <c r="J202" i="19"/>
  <c r="I202" i="72" l="1"/>
  <c r="G202" i="72"/>
  <c r="C203" i="72" s="1"/>
  <c r="D202" i="74"/>
  <c r="G202" i="19"/>
  <c r="C203" i="19" s="1"/>
  <c r="I202" i="19"/>
  <c r="E202" i="74" l="1"/>
  <c r="J202" i="74"/>
  <c r="D203" i="72"/>
  <c r="D203" i="19"/>
  <c r="E203" i="72" l="1"/>
  <c r="J203" i="72"/>
  <c r="I202" i="74"/>
  <c r="G202" i="74"/>
  <c r="C203" i="74" s="1"/>
  <c r="E203" i="19"/>
  <c r="J203" i="19"/>
  <c r="D203" i="74" l="1"/>
  <c r="G203" i="72"/>
  <c r="C204" i="72" s="1"/>
  <c r="I203" i="72"/>
  <c r="I203" i="19"/>
  <c r="G203" i="19"/>
  <c r="C204" i="19" s="1"/>
  <c r="D204" i="72" l="1"/>
  <c r="E203" i="74"/>
  <c r="J203" i="74"/>
  <c r="D204" i="19"/>
  <c r="E204" i="72" l="1"/>
  <c r="J204" i="72"/>
  <c r="G203" i="74"/>
  <c r="C204" i="74" s="1"/>
  <c r="I203" i="74"/>
  <c r="E204" i="19"/>
  <c r="J204" i="19"/>
  <c r="D204" i="74" l="1"/>
  <c r="I204" i="72"/>
  <c r="G204" i="72"/>
  <c r="C205" i="72" s="1"/>
  <c r="I204" i="19"/>
  <c r="G204" i="19"/>
  <c r="C205" i="19" s="1"/>
  <c r="D205" i="72" l="1"/>
  <c r="E204" i="74"/>
  <c r="J204" i="74"/>
  <c r="D205" i="19"/>
  <c r="I204" i="74" l="1"/>
  <c r="G204" i="74"/>
  <c r="C205" i="74" s="1"/>
  <c r="E205" i="72"/>
  <c r="J205" i="72"/>
  <c r="E205" i="19"/>
  <c r="J205" i="19"/>
  <c r="G205" i="72" l="1"/>
  <c r="C206" i="72" s="1"/>
  <c r="I205" i="72"/>
  <c r="D205" i="74"/>
  <c r="I205" i="19"/>
  <c r="G205" i="19"/>
  <c r="C206" i="19" s="1"/>
  <c r="E205" i="74" l="1"/>
  <c r="J205" i="74"/>
  <c r="D206" i="72"/>
  <c r="D206" i="19"/>
  <c r="E206" i="72" l="1"/>
  <c r="J206" i="72"/>
  <c r="G205" i="74"/>
  <c r="C206" i="74" s="1"/>
  <c r="I205" i="74"/>
  <c r="E206" i="19"/>
  <c r="J206" i="19"/>
  <c r="D206" i="74" l="1"/>
  <c r="I206" i="72"/>
  <c r="G206" i="72"/>
  <c r="C207" i="72" s="1"/>
  <c r="G206" i="19"/>
  <c r="C207" i="19" s="1"/>
  <c r="I206" i="19"/>
  <c r="D207" i="72" l="1"/>
  <c r="E206" i="74"/>
  <c r="J206" i="74"/>
  <c r="D207" i="19"/>
  <c r="I206" i="74" l="1"/>
  <c r="G206" i="74"/>
  <c r="C207" i="74" s="1"/>
  <c r="E207" i="72"/>
  <c r="J207" i="72"/>
  <c r="E207" i="19"/>
  <c r="J207" i="19"/>
  <c r="G207" i="72" l="1"/>
  <c r="C208" i="72" s="1"/>
  <c r="I207" i="72"/>
  <c r="D207" i="74"/>
  <c r="I207" i="19"/>
  <c r="G207" i="19"/>
  <c r="C208" i="19" s="1"/>
  <c r="E207" i="74" l="1"/>
  <c r="J207" i="74"/>
  <c r="D208" i="72"/>
  <c r="D208" i="19"/>
  <c r="E208" i="72" l="1"/>
  <c r="J208" i="72"/>
  <c r="G207" i="74"/>
  <c r="C208" i="74" s="1"/>
  <c r="I207" i="74"/>
  <c r="E208" i="19"/>
  <c r="J208" i="19"/>
  <c r="D208" i="74" l="1"/>
  <c r="I208" i="72"/>
  <c r="G208" i="72"/>
  <c r="C209" i="72" s="1"/>
  <c r="I208" i="19"/>
  <c r="G208" i="19"/>
  <c r="C209" i="19" s="1"/>
  <c r="D209" i="72" l="1"/>
  <c r="E208" i="74"/>
  <c r="J208" i="74"/>
  <c r="D209" i="19"/>
  <c r="I208" i="74" l="1"/>
  <c r="G208" i="74"/>
  <c r="C209" i="74" s="1"/>
  <c r="E209" i="72"/>
  <c r="J209" i="72"/>
  <c r="E209" i="19"/>
  <c r="J209" i="19"/>
  <c r="G209" i="72" l="1"/>
  <c r="C210" i="72" s="1"/>
  <c r="I209" i="72"/>
  <c r="D209" i="74"/>
  <c r="G209" i="19"/>
  <c r="C210" i="19" s="1"/>
  <c r="I209" i="19"/>
  <c r="E209" i="74" l="1"/>
  <c r="J209" i="74"/>
  <c r="D210" i="72"/>
  <c r="D210" i="19"/>
  <c r="E210" i="72" l="1"/>
  <c r="J210" i="72"/>
  <c r="G209" i="74"/>
  <c r="C210" i="74" s="1"/>
  <c r="I209" i="74"/>
  <c r="E210" i="19"/>
  <c r="J210" i="19"/>
  <c r="D210" i="74" l="1"/>
  <c r="I210" i="72"/>
  <c r="G210" i="72"/>
  <c r="C211" i="72" s="1"/>
  <c r="G210" i="19"/>
  <c r="C211" i="19" s="1"/>
  <c r="I210" i="19"/>
  <c r="D211" i="72" l="1"/>
  <c r="E210" i="74"/>
  <c r="J210" i="74"/>
  <c r="D211" i="19"/>
  <c r="I210" i="74" l="1"/>
  <c r="G210" i="74"/>
  <c r="C211" i="74" s="1"/>
  <c r="E211" i="72"/>
  <c r="J211" i="72"/>
  <c r="E211" i="19"/>
  <c r="J211" i="19"/>
  <c r="G211" i="72" l="1"/>
  <c r="C212" i="72" s="1"/>
  <c r="I211" i="72"/>
  <c r="D211" i="74"/>
  <c r="G211" i="19"/>
  <c r="C212" i="19" s="1"/>
  <c r="I211" i="19"/>
  <c r="E211" i="74" l="1"/>
  <c r="J211" i="74"/>
  <c r="D212" i="72"/>
  <c r="D212" i="19"/>
  <c r="E212" i="72" l="1"/>
  <c r="J212" i="72"/>
  <c r="G211" i="74"/>
  <c r="C212" i="74" s="1"/>
  <c r="I211" i="74"/>
  <c r="E212" i="19"/>
  <c r="J212" i="19"/>
  <c r="D212" i="74" l="1"/>
  <c r="I212" i="72"/>
  <c r="G212" i="72"/>
  <c r="C213" i="72" s="1"/>
  <c r="I212" i="19"/>
  <c r="G212" i="19"/>
  <c r="C213" i="19" s="1"/>
  <c r="D213" i="72" l="1"/>
  <c r="E212" i="74"/>
  <c r="J212" i="74"/>
  <c r="D213" i="19"/>
  <c r="I212" i="74" l="1"/>
  <c r="G212" i="74"/>
  <c r="C213" i="74" s="1"/>
  <c r="E213" i="72"/>
  <c r="J213" i="72"/>
  <c r="E213" i="19"/>
  <c r="J213" i="19"/>
  <c r="G213" i="72" l="1"/>
  <c r="C214" i="72" s="1"/>
  <c r="I213" i="72"/>
  <c r="D213" i="74"/>
  <c r="G213" i="19"/>
  <c r="C214" i="19" s="1"/>
  <c r="I213" i="19"/>
  <c r="E213" i="74" l="1"/>
  <c r="J213" i="74"/>
  <c r="D214" i="72"/>
  <c r="D214" i="19"/>
  <c r="E214" i="72" l="1"/>
  <c r="J214" i="72"/>
  <c r="G213" i="74"/>
  <c r="C214" i="74" s="1"/>
  <c r="I213" i="74"/>
  <c r="E214" i="19"/>
  <c r="J214" i="19"/>
  <c r="D214" i="74" l="1"/>
  <c r="I214" i="72"/>
  <c r="G214" i="72"/>
  <c r="C215" i="72" s="1"/>
  <c r="I214" i="19"/>
  <c r="G214" i="19"/>
  <c r="C215" i="19" s="1"/>
  <c r="D215" i="72" l="1"/>
  <c r="E214" i="74"/>
  <c r="J214" i="74"/>
  <c r="D215" i="19"/>
  <c r="I214" i="74" l="1"/>
  <c r="G214" i="74"/>
  <c r="C215" i="74" s="1"/>
  <c r="E215" i="72"/>
  <c r="J215" i="72"/>
  <c r="E215" i="19"/>
  <c r="J215" i="19"/>
  <c r="G215" i="72" l="1"/>
  <c r="C216" i="72" s="1"/>
  <c r="I215" i="72"/>
  <c r="D215" i="74"/>
  <c r="I215" i="19"/>
  <c r="G215" i="19"/>
  <c r="C216" i="19" s="1"/>
  <c r="E215" i="74" l="1"/>
  <c r="J215" i="74"/>
  <c r="D216" i="72"/>
  <c r="D216" i="19"/>
  <c r="E216" i="72" l="1"/>
  <c r="J216" i="72"/>
  <c r="G215" i="74"/>
  <c r="C216" i="74" s="1"/>
  <c r="I215" i="74"/>
  <c r="E216" i="19"/>
  <c r="J216" i="19"/>
  <c r="D216" i="74" l="1"/>
  <c r="G216" i="72"/>
  <c r="C217" i="72" s="1"/>
  <c r="I216" i="72"/>
  <c r="G216" i="19"/>
  <c r="C217" i="19" s="1"/>
  <c r="I216" i="19"/>
  <c r="D217" i="72" l="1"/>
  <c r="E216" i="74"/>
  <c r="J216" i="74"/>
  <c r="D217" i="19"/>
  <c r="I216" i="74" l="1"/>
  <c r="G216" i="74"/>
  <c r="C217" i="74" s="1"/>
  <c r="E217" i="72"/>
  <c r="J217" i="72"/>
  <c r="E217" i="19"/>
  <c r="J217" i="19"/>
  <c r="I217" i="72" l="1"/>
  <c r="G217" i="72"/>
  <c r="C218" i="72" s="1"/>
  <c r="D217" i="74"/>
  <c r="I217" i="19"/>
  <c r="G217" i="19"/>
  <c r="C218" i="19" s="1"/>
  <c r="E217" i="74" l="1"/>
  <c r="J217" i="74"/>
  <c r="D218" i="72"/>
  <c r="D218" i="19"/>
  <c r="E218" i="72" l="1"/>
  <c r="J218" i="72"/>
  <c r="G217" i="74"/>
  <c r="C218" i="74" s="1"/>
  <c r="I217" i="74"/>
  <c r="E218" i="19"/>
  <c r="J218" i="19"/>
  <c r="D218" i="74" l="1"/>
  <c r="G218" i="72"/>
  <c r="C219" i="72" s="1"/>
  <c r="I218" i="72"/>
  <c r="I218" i="19"/>
  <c r="G218" i="19"/>
  <c r="C219" i="19" s="1"/>
  <c r="D219" i="72" l="1"/>
  <c r="E218" i="74"/>
  <c r="J218" i="74"/>
  <c r="D219" i="19"/>
  <c r="I218" i="74" l="1"/>
  <c r="G218" i="74"/>
  <c r="C219" i="74" s="1"/>
  <c r="E219" i="72"/>
  <c r="J219" i="72"/>
  <c r="E219" i="19"/>
  <c r="J219" i="19"/>
  <c r="I219" i="72" l="1"/>
  <c r="G219" i="72"/>
  <c r="C220" i="72" s="1"/>
  <c r="D219" i="74"/>
  <c r="I219" i="19"/>
  <c r="G219" i="19"/>
  <c r="C220" i="19" s="1"/>
  <c r="E219" i="74" l="1"/>
  <c r="J219" i="74"/>
  <c r="D220" i="72"/>
  <c r="D220" i="19"/>
  <c r="E220" i="72" l="1"/>
  <c r="J220" i="72"/>
  <c r="G219" i="74"/>
  <c r="C220" i="74" s="1"/>
  <c r="I219" i="74"/>
  <c r="E220" i="19"/>
  <c r="J220" i="19"/>
  <c r="D220" i="74" l="1"/>
  <c r="G220" i="72"/>
  <c r="C221" i="72" s="1"/>
  <c r="I220" i="72"/>
  <c r="I220" i="19"/>
  <c r="G220" i="19"/>
  <c r="C221" i="19" s="1"/>
  <c r="D221" i="72" l="1"/>
  <c r="E220" i="74"/>
  <c r="J220" i="74"/>
  <c r="D221" i="19"/>
  <c r="I220" i="74" l="1"/>
  <c r="G220" i="74"/>
  <c r="C221" i="74" s="1"/>
  <c r="E221" i="72"/>
  <c r="J221" i="72"/>
  <c r="E221" i="19"/>
  <c r="J221" i="19"/>
  <c r="I221" i="72" l="1"/>
  <c r="G221" i="72"/>
  <c r="C222" i="72" s="1"/>
  <c r="D221" i="74"/>
  <c r="G221" i="19"/>
  <c r="C222" i="19" s="1"/>
  <c r="I221" i="19"/>
  <c r="E221" i="74" l="1"/>
  <c r="J221" i="74"/>
  <c r="D222" i="72"/>
  <c r="D222" i="19"/>
  <c r="E222" i="72" l="1"/>
  <c r="J222" i="72"/>
  <c r="I221" i="74"/>
  <c r="G221" i="74"/>
  <c r="C222" i="74" s="1"/>
  <c r="E222" i="19"/>
  <c r="J222" i="19"/>
  <c r="D222" i="74" l="1"/>
  <c r="G222" i="72"/>
  <c r="C223" i="72" s="1"/>
  <c r="I222" i="72"/>
  <c r="G222" i="19"/>
  <c r="C223" i="19" s="1"/>
  <c r="I222" i="19"/>
  <c r="D223" i="72" l="1"/>
  <c r="E222" i="74"/>
  <c r="J222" i="74"/>
  <c r="D223" i="19"/>
  <c r="G222" i="74" l="1"/>
  <c r="C223" i="74" s="1"/>
  <c r="I222" i="74"/>
  <c r="E223" i="72"/>
  <c r="J223" i="72"/>
  <c r="E223" i="19"/>
  <c r="J223" i="19"/>
  <c r="D223" i="74" l="1"/>
  <c r="I223" i="72"/>
  <c r="G223" i="72"/>
  <c r="C224" i="72" s="1"/>
  <c r="I223" i="19"/>
  <c r="G223" i="19"/>
  <c r="C224" i="19" s="1"/>
  <c r="D224" i="72" l="1"/>
  <c r="E223" i="74"/>
  <c r="J223" i="74"/>
  <c r="D224" i="19"/>
  <c r="G223" i="74" l="1"/>
  <c r="C224" i="74" s="1"/>
  <c r="I223" i="74"/>
  <c r="E224" i="72"/>
  <c r="J224" i="72"/>
  <c r="E224" i="19"/>
  <c r="J224" i="19"/>
  <c r="G224" i="72" l="1"/>
  <c r="C225" i="72" s="1"/>
  <c r="I224" i="72"/>
  <c r="D224" i="74"/>
  <c r="G224" i="19"/>
  <c r="C225" i="19" s="1"/>
  <c r="I224" i="19"/>
  <c r="E224" i="74" l="1"/>
  <c r="J224" i="74"/>
  <c r="D225" i="72"/>
  <c r="D225" i="19"/>
  <c r="E225" i="72" l="1"/>
  <c r="J225" i="72"/>
  <c r="I224" i="74"/>
  <c r="G224" i="74"/>
  <c r="C225" i="74" s="1"/>
  <c r="E225" i="19"/>
  <c r="J225" i="19"/>
  <c r="D225" i="74" l="1"/>
  <c r="I225" i="72"/>
  <c r="G225" i="72"/>
  <c r="C226" i="72" s="1"/>
  <c r="I225" i="19"/>
  <c r="G225" i="19"/>
  <c r="C226" i="19" s="1"/>
  <c r="D226" i="72" l="1"/>
  <c r="E225" i="74"/>
  <c r="J225" i="74"/>
  <c r="D226" i="19"/>
  <c r="G225" i="74" l="1"/>
  <c r="C226" i="74" s="1"/>
  <c r="I225" i="74"/>
  <c r="E226" i="72"/>
  <c r="J226" i="72"/>
  <c r="E226" i="19"/>
  <c r="J226" i="19"/>
  <c r="D226" i="74" l="1"/>
  <c r="G226" i="72"/>
  <c r="C227" i="72" s="1"/>
  <c r="I226" i="72"/>
  <c r="I226" i="19"/>
  <c r="G226" i="19"/>
  <c r="C227" i="19" s="1"/>
  <c r="D227" i="72" l="1"/>
  <c r="E226" i="74"/>
  <c r="J226" i="74"/>
  <c r="D227" i="19"/>
  <c r="I226" i="74" l="1"/>
  <c r="G226" i="74"/>
  <c r="C227" i="74" s="1"/>
  <c r="E227" i="72"/>
  <c r="J227" i="72"/>
  <c r="E227" i="19"/>
  <c r="J227" i="19"/>
  <c r="D227" i="74" l="1"/>
  <c r="I227" i="72"/>
  <c r="G227" i="72"/>
  <c r="C228" i="72" s="1"/>
  <c r="G227" i="19"/>
  <c r="C228" i="19" s="1"/>
  <c r="I227" i="19"/>
  <c r="D228" i="72" l="1"/>
  <c r="E227" i="74"/>
  <c r="J227" i="74"/>
  <c r="D228" i="19"/>
  <c r="G227" i="74" l="1"/>
  <c r="C228" i="74" s="1"/>
  <c r="I227" i="74"/>
  <c r="E228" i="72"/>
  <c r="J228" i="72"/>
  <c r="E228" i="19"/>
  <c r="J228" i="19"/>
  <c r="G228" i="72" l="1"/>
  <c r="C229" i="72" s="1"/>
  <c r="I228" i="72"/>
  <c r="D228" i="74"/>
  <c r="I228" i="19"/>
  <c r="G228" i="19"/>
  <c r="C229" i="19" s="1"/>
  <c r="E228" i="74" l="1"/>
  <c r="J228" i="74"/>
  <c r="D229" i="72"/>
  <c r="D229" i="19"/>
  <c r="E229" i="72" l="1"/>
  <c r="J229" i="72"/>
  <c r="I228" i="74"/>
  <c r="G228" i="74"/>
  <c r="C229" i="74" s="1"/>
  <c r="E229" i="19"/>
  <c r="J229" i="19"/>
  <c r="D229" i="74" l="1"/>
  <c r="I229" i="72"/>
  <c r="G229" i="72"/>
  <c r="C230" i="72" s="1"/>
  <c r="G229" i="19"/>
  <c r="C230" i="19" s="1"/>
  <c r="I229" i="19"/>
  <c r="D230" i="72" l="1"/>
  <c r="E229" i="74"/>
  <c r="J229" i="74"/>
  <c r="D230" i="19"/>
  <c r="G229" i="74" l="1"/>
  <c r="C230" i="74" s="1"/>
  <c r="I229" i="74"/>
  <c r="E230" i="72"/>
  <c r="J230" i="72"/>
  <c r="E230" i="19"/>
  <c r="J230" i="19"/>
  <c r="G230" i="72" l="1"/>
  <c r="C231" i="72" s="1"/>
  <c r="I230" i="72"/>
  <c r="D230" i="74"/>
  <c r="I230" i="19"/>
  <c r="G230" i="19"/>
  <c r="C231" i="19" s="1"/>
  <c r="E230" i="74" l="1"/>
  <c r="J230" i="74"/>
  <c r="D231" i="72"/>
  <c r="D231" i="19"/>
  <c r="E231" i="72" l="1"/>
  <c r="J231" i="72"/>
  <c r="G230" i="74"/>
  <c r="C231" i="74" s="1"/>
  <c r="I230" i="74"/>
  <c r="E231" i="19"/>
  <c r="J231" i="19"/>
  <c r="D231" i="74" l="1"/>
  <c r="I231" i="72"/>
  <c r="G231" i="72"/>
  <c r="C232" i="72" s="1"/>
  <c r="G231" i="19"/>
  <c r="C232" i="19" s="1"/>
  <c r="I231" i="19"/>
  <c r="D232" i="72" l="1"/>
  <c r="E231" i="74"/>
  <c r="J231" i="74"/>
  <c r="D232" i="19"/>
  <c r="G231" i="74" l="1"/>
  <c r="C232" i="74" s="1"/>
  <c r="I231" i="74"/>
  <c r="E232" i="72"/>
  <c r="J232" i="72"/>
  <c r="E232" i="19"/>
  <c r="J232" i="19"/>
  <c r="G232" i="72" l="1"/>
  <c r="C233" i="72" s="1"/>
  <c r="I232" i="72"/>
  <c r="D232" i="74"/>
  <c r="G232" i="19"/>
  <c r="C233" i="19" s="1"/>
  <c r="I232" i="19"/>
  <c r="E232" i="74" l="1"/>
  <c r="J232" i="74"/>
  <c r="D233" i="72"/>
  <c r="D233" i="19"/>
  <c r="E233" i="72" l="1"/>
  <c r="J233" i="72"/>
  <c r="I232" i="74"/>
  <c r="G232" i="74"/>
  <c r="C233" i="74" s="1"/>
  <c r="E233" i="19"/>
  <c r="J233" i="19"/>
  <c r="D233" i="74" l="1"/>
  <c r="I233" i="72"/>
  <c r="G233" i="72"/>
  <c r="C234" i="72" s="1"/>
  <c r="G233" i="19"/>
  <c r="C234" i="19" s="1"/>
  <c r="I233" i="19"/>
  <c r="D234" i="72" l="1"/>
  <c r="E233" i="74"/>
  <c r="J233" i="74"/>
  <c r="D234" i="19"/>
  <c r="G233" i="74" l="1"/>
  <c r="C234" i="74" s="1"/>
  <c r="I233" i="74"/>
  <c r="E234" i="72"/>
  <c r="J234" i="72"/>
  <c r="E234" i="19"/>
  <c r="J234" i="19"/>
  <c r="G234" i="72" l="1"/>
  <c r="C235" i="72" s="1"/>
  <c r="I234" i="72"/>
  <c r="D234" i="74"/>
  <c r="G234" i="19"/>
  <c r="C235" i="19" s="1"/>
  <c r="I234" i="19"/>
  <c r="E234" i="74" l="1"/>
  <c r="J234" i="74"/>
  <c r="D235" i="72"/>
  <c r="D235" i="19"/>
  <c r="E235" i="72" l="1"/>
  <c r="J235" i="72"/>
  <c r="I234" i="74"/>
  <c r="G234" i="74"/>
  <c r="C235" i="74" s="1"/>
  <c r="E235" i="19"/>
  <c r="J235" i="19"/>
  <c r="D235" i="74" l="1"/>
  <c r="I235" i="72"/>
  <c r="G235" i="72"/>
  <c r="C236" i="72" s="1"/>
  <c r="G235" i="19"/>
  <c r="C236" i="19" s="1"/>
  <c r="I235" i="19"/>
  <c r="D236" i="72" l="1"/>
  <c r="E235" i="74"/>
  <c r="J235" i="74"/>
  <c r="D236" i="19"/>
  <c r="G235" i="74" l="1"/>
  <c r="C236" i="74" s="1"/>
  <c r="I235" i="74"/>
  <c r="E236" i="72"/>
  <c r="J236" i="72"/>
  <c r="E236" i="19"/>
  <c r="J236" i="19"/>
  <c r="G236" i="72" l="1"/>
  <c r="C237" i="72" s="1"/>
  <c r="I236" i="72"/>
  <c r="D236" i="74"/>
  <c r="I236" i="19"/>
  <c r="G236" i="19"/>
  <c r="C237" i="19" s="1"/>
  <c r="E236" i="74" l="1"/>
  <c r="J236" i="74"/>
  <c r="D237" i="72"/>
  <c r="D237" i="19"/>
  <c r="E237" i="72" l="1"/>
  <c r="J237" i="72"/>
  <c r="I236" i="74"/>
  <c r="G236" i="74"/>
  <c r="C237" i="74" s="1"/>
  <c r="E237" i="19"/>
  <c r="J237" i="19"/>
  <c r="D237" i="74" l="1"/>
  <c r="I237" i="72"/>
  <c r="G237" i="72"/>
  <c r="C238" i="72" s="1"/>
  <c r="I237" i="19"/>
  <c r="G237" i="19"/>
  <c r="C238" i="19" s="1"/>
  <c r="D238" i="72" l="1"/>
  <c r="E237" i="74"/>
  <c r="J237" i="74"/>
  <c r="D238" i="19"/>
  <c r="G237" i="74" l="1"/>
  <c r="C238" i="74" s="1"/>
  <c r="I237" i="74"/>
  <c r="E238" i="72"/>
  <c r="J238" i="72"/>
  <c r="E238" i="19"/>
  <c r="J238" i="19"/>
  <c r="G238" i="72" l="1"/>
  <c r="C239" i="72" s="1"/>
  <c r="I238" i="72"/>
  <c r="D238" i="74"/>
  <c r="G238" i="19"/>
  <c r="C239" i="19" s="1"/>
  <c r="I238" i="19"/>
  <c r="E238" i="74" l="1"/>
  <c r="J238" i="74"/>
  <c r="D239" i="72"/>
  <c r="D239" i="19"/>
  <c r="E239" i="72" l="1"/>
  <c r="J239" i="72"/>
  <c r="I238" i="74"/>
  <c r="G238" i="74"/>
  <c r="C239" i="74" s="1"/>
  <c r="E239" i="19"/>
  <c r="J239" i="19"/>
  <c r="D239" i="74" l="1"/>
  <c r="I239" i="72"/>
  <c r="G239" i="72"/>
  <c r="C240" i="72" s="1"/>
  <c r="I239" i="19"/>
  <c r="G239" i="19"/>
  <c r="C240" i="19" s="1"/>
  <c r="D240" i="72" l="1"/>
  <c r="E239" i="74"/>
  <c r="J239" i="74"/>
  <c r="D240" i="19"/>
  <c r="G239" i="74" l="1"/>
  <c r="C240" i="74" s="1"/>
  <c r="I239" i="74"/>
  <c r="E240" i="72"/>
  <c r="J240" i="72"/>
  <c r="E240" i="19"/>
  <c r="J240" i="19"/>
  <c r="G240" i="72" l="1"/>
  <c r="C241" i="72" s="1"/>
  <c r="I240" i="72"/>
  <c r="D240" i="74"/>
  <c r="I240" i="19"/>
  <c r="G240" i="19"/>
  <c r="C241" i="19" s="1"/>
  <c r="E240" i="74" l="1"/>
  <c r="J240" i="74"/>
  <c r="D241" i="72"/>
  <c r="D241" i="19"/>
  <c r="E241" i="72" l="1"/>
  <c r="J241" i="72"/>
  <c r="I240" i="74"/>
  <c r="G240" i="74"/>
  <c r="C241" i="74" s="1"/>
  <c r="E241" i="19"/>
  <c r="J241" i="19"/>
  <c r="D241" i="74" l="1"/>
  <c r="I241" i="72"/>
  <c r="G241" i="72"/>
  <c r="C242" i="72" s="1"/>
  <c r="I241" i="19"/>
  <c r="G241" i="19"/>
  <c r="C242" i="19" s="1"/>
  <c r="D242" i="72" l="1"/>
  <c r="E241" i="74"/>
  <c r="J241" i="74"/>
  <c r="D242" i="19"/>
  <c r="G241" i="74" l="1"/>
  <c r="C242" i="74" s="1"/>
  <c r="I241" i="74"/>
  <c r="E242" i="72"/>
  <c r="J242" i="72"/>
  <c r="E242" i="19"/>
  <c r="J242" i="19"/>
  <c r="G242" i="72" l="1"/>
  <c r="C243" i="72" s="1"/>
  <c r="I242" i="72"/>
  <c r="D242" i="74"/>
  <c r="G242" i="19"/>
  <c r="C243" i="19" s="1"/>
  <c r="I242" i="19"/>
  <c r="E242" i="74" l="1"/>
  <c r="J242" i="74"/>
  <c r="D243" i="72"/>
  <c r="D243" i="19"/>
  <c r="E243" i="72" l="1"/>
  <c r="J243" i="72"/>
  <c r="I242" i="74"/>
  <c r="G242" i="74"/>
  <c r="C243" i="74" s="1"/>
  <c r="E243" i="19"/>
  <c r="J243" i="19"/>
  <c r="D243" i="74" l="1"/>
  <c r="I243" i="72"/>
  <c r="G243" i="72"/>
  <c r="C244" i="72" s="1"/>
  <c r="I243" i="19"/>
  <c r="G243" i="19"/>
  <c r="C244" i="19" s="1"/>
  <c r="D244" i="72" l="1"/>
  <c r="E243" i="74"/>
  <c r="J243" i="74"/>
  <c r="D244" i="19"/>
  <c r="G243" i="74" l="1"/>
  <c r="C244" i="74" s="1"/>
  <c r="I243" i="74"/>
  <c r="E244" i="72"/>
  <c r="J244" i="72"/>
  <c r="E244" i="19"/>
  <c r="J244" i="19"/>
  <c r="G244" i="72" l="1"/>
  <c r="C245" i="72" s="1"/>
  <c r="I244" i="72"/>
  <c r="D244" i="74"/>
  <c r="I244" i="19"/>
  <c r="G244" i="19"/>
  <c r="C245" i="19" s="1"/>
  <c r="E244" i="74" l="1"/>
  <c r="J244" i="74"/>
  <c r="D245" i="72"/>
  <c r="D245" i="19"/>
  <c r="E245" i="72" l="1"/>
  <c r="J245" i="72"/>
  <c r="I244" i="74"/>
  <c r="G244" i="74"/>
  <c r="C245" i="74" s="1"/>
  <c r="E245" i="19"/>
  <c r="J245" i="19"/>
  <c r="D245" i="74" l="1"/>
  <c r="I245" i="72"/>
  <c r="G245" i="72"/>
  <c r="C246" i="72" s="1"/>
  <c r="G245" i="19"/>
  <c r="C246" i="19" s="1"/>
  <c r="I245" i="19"/>
  <c r="D246" i="72" l="1"/>
  <c r="E245" i="74"/>
  <c r="J245" i="74"/>
  <c r="D246" i="19"/>
  <c r="E246" i="72" l="1"/>
  <c r="J246" i="72"/>
  <c r="G245" i="74"/>
  <c r="C246" i="74" s="1"/>
  <c r="I245" i="74"/>
  <c r="E246" i="19"/>
  <c r="J246" i="19"/>
  <c r="D246" i="74" l="1"/>
  <c r="G246" i="72"/>
  <c r="C247" i="72" s="1"/>
  <c r="I246" i="72"/>
  <c r="I246" i="19"/>
  <c r="G246" i="19"/>
  <c r="C247" i="19" s="1"/>
  <c r="D247" i="72" l="1"/>
  <c r="E246" i="74"/>
  <c r="J246" i="74"/>
  <c r="D247" i="19"/>
  <c r="E247" i="72" l="1"/>
  <c r="J247" i="72"/>
  <c r="I246" i="74"/>
  <c r="G246" i="74"/>
  <c r="C247" i="74" s="1"/>
  <c r="E247" i="19"/>
  <c r="J247" i="19"/>
  <c r="D247" i="74" l="1"/>
  <c r="I247" i="72"/>
  <c r="G247" i="72"/>
  <c r="C248" i="72" s="1"/>
  <c r="G247" i="19"/>
  <c r="C248" i="19" s="1"/>
  <c r="I247" i="19"/>
  <c r="D248" i="72" l="1"/>
  <c r="E247" i="74"/>
  <c r="J247" i="74"/>
  <c r="D248" i="19"/>
  <c r="G247" i="74" l="1"/>
  <c r="C248" i="74" s="1"/>
  <c r="I247" i="74"/>
  <c r="E248" i="72"/>
  <c r="J248" i="72"/>
  <c r="E248" i="19"/>
  <c r="J248" i="19"/>
  <c r="G248" i="72" l="1"/>
  <c r="C249" i="72" s="1"/>
  <c r="I248" i="72"/>
  <c r="D248" i="74"/>
  <c r="G248" i="19"/>
  <c r="C249" i="19" s="1"/>
  <c r="I248" i="19"/>
  <c r="E248" i="74" l="1"/>
  <c r="J248" i="74"/>
  <c r="D249" i="72"/>
  <c r="D249" i="19"/>
  <c r="E249" i="72" l="1"/>
  <c r="J249" i="72"/>
  <c r="I248" i="74"/>
  <c r="G248" i="74"/>
  <c r="C249" i="74" s="1"/>
  <c r="E249" i="19"/>
  <c r="J249" i="19"/>
  <c r="D249" i="74" l="1"/>
  <c r="I249" i="72"/>
  <c r="G249" i="72"/>
  <c r="C250" i="72" s="1"/>
  <c r="I249" i="19"/>
  <c r="G249" i="19"/>
  <c r="C250" i="19" s="1"/>
  <c r="D250" i="72" l="1"/>
  <c r="E249" i="74"/>
  <c r="J249" i="74"/>
  <c r="D250" i="19"/>
  <c r="G249" i="74" l="1"/>
  <c r="C250" i="74" s="1"/>
  <c r="I249" i="74"/>
  <c r="E250" i="72"/>
  <c r="J250" i="72"/>
  <c r="E250" i="19"/>
  <c r="J250" i="19"/>
  <c r="G250" i="72" l="1"/>
  <c r="C251" i="72" s="1"/>
  <c r="I250" i="72"/>
  <c r="D250" i="74"/>
  <c r="G250" i="19"/>
  <c r="C251" i="19" s="1"/>
  <c r="I250" i="19"/>
  <c r="E250" i="74" l="1"/>
  <c r="J250" i="74"/>
  <c r="D251" i="72"/>
  <c r="D251" i="19"/>
  <c r="E251" i="72" l="1"/>
  <c r="J251" i="72"/>
  <c r="I250" i="74"/>
  <c r="G250" i="74"/>
  <c r="C251" i="74" s="1"/>
  <c r="E251" i="19"/>
  <c r="J251" i="19"/>
  <c r="D251" i="74" l="1"/>
  <c r="I251" i="72"/>
  <c r="G251" i="72"/>
  <c r="C252" i="72" s="1"/>
  <c r="G251" i="19"/>
  <c r="C252" i="19" s="1"/>
  <c r="I251" i="19"/>
  <c r="D252" i="72" l="1"/>
  <c r="E251" i="74"/>
  <c r="J251" i="74"/>
  <c r="D252" i="19"/>
  <c r="G251" i="74" l="1"/>
  <c r="C252" i="74" s="1"/>
  <c r="I251" i="74"/>
  <c r="E252" i="72"/>
  <c r="J252" i="72"/>
  <c r="E252" i="19"/>
  <c r="J252" i="19"/>
  <c r="G252" i="72" l="1"/>
  <c r="C253" i="72" s="1"/>
  <c r="I252" i="72"/>
  <c r="D252" i="74"/>
  <c r="I252" i="19"/>
  <c r="G252" i="19"/>
  <c r="C253" i="19" s="1"/>
  <c r="E252" i="74" l="1"/>
  <c r="J252" i="74"/>
  <c r="D253" i="72"/>
  <c r="D253" i="19"/>
  <c r="E253" i="72" l="1"/>
  <c r="J253" i="72"/>
  <c r="I252" i="74"/>
  <c r="G252" i="74"/>
  <c r="C253" i="74" s="1"/>
  <c r="E253" i="19"/>
  <c r="J253" i="19"/>
  <c r="D253" i="74" l="1"/>
  <c r="I253" i="72"/>
  <c r="G253" i="72"/>
  <c r="C254" i="72" s="1"/>
  <c r="I253" i="19"/>
  <c r="G253" i="19"/>
  <c r="C254" i="19" s="1"/>
  <c r="D254" i="72" l="1"/>
  <c r="E253" i="74"/>
  <c r="J253" i="74"/>
  <c r="D254" i="19"/>
  <c r="G253" i="74" l="1"/>
  <c r="C254" i="74" s="1"/>
  <c r="I253" i="74"/>
  <c r="E254" i="72"/>
  <c r="J254" i="72"/>
  <c r="E254" i="19"/>
  <c r="J254" i="19"/>
  <c r="G254" i="72" l="1"/>
  <c r="C255" i="72" s="1"/>
  <c r="I254" i="72"/>
  <c r="D254" i="74"/>
  <c r="I254" i="19"/>
  <c r="G254" i="19"/>
  <c r="C255" i="19" s="1"/>
  <c r="E254" i="74" l="1"/>
  <c r="J254" i="74"/>
  <c r="D255" i="72"/>
  <c r="D255" i="19"/>
  <c r="E255" i="72" l="1"/>
  <c r="J255" i="72"/>
  <c r="I254" i="74"/>
  <c r="G254" i="74"/>
  <c r="C255" i="74" s="1"/>
  <c r="E255" i="19"/>
  <c r="J255" i="19"/>
  <c r="D255" i="74" l="1"/>
  <c r="I255" i="72"/>
  <c r="G255" i="72"/>
  <c r="C256" i="72" s="1"/>
  <c r="I255" i="19"/>
  <c r="G255" i="19"/>
  <c r="C256" i="19" s="1"/>
  <c r="D256" i="72" l="1"/>
  <c r="E255" i="74"/>
  <c r="J255" i="74"/>
  <c r="D256" i="19"/>
  <c r="G255" i="74" l="1"/>
  <c r="C256" i="74" s="1"/>
  <c r="I255" i="74"/>
  <c r="E256" i="72"/>
  <c r="J256" i="72"/>
  <c r="E256" i="19"/>
  <c r="J256" i="19"/>
  <c r="G256" i="72" l="1"/>
  <c r="C257" i="72" s="1"/>
  <c r="I256" i="72"/>
  <c r="D256" i="74"/>
  <c r="G256" i="19"/>
  <c r="C257" i="19" s="1"/>
  <c r="I256" i="19"/>
  <c r="E256" i="74" l="1"/>
  <c r="J256" i="74"/>
  <c r="D257" i="72"/>
  <c r="D257" i="19"/>
  <c r="E257" i="72" l="1"/>
  <c r="J257" i="72"/>
  <c r="I256" i="74"/>
  <c r="G256" i="74"/>
  <c r="C257" i="74" s="1"/>
  <c r="E257" i="19"/>
  <c r="J257" i="19"/>
  <c r="D257" i="74" l="1"/>
  <c r="I257" i="72"/>
  <c r="G257" i="72"/>
  <c r="C258" i="72" s="1"/>
  <c r="I257" i="19"/>
  <c r="G257" i="19"/>
  <c r="C258" i="19" s="1"/>
  <c r="D258" i="72" l="1"/>
  <c r="E257" i="74"/>
  <c r="J257" i="74"/>
  <c r="D258" i="19"/>
  <c r="G257" i="74" l="1"/>
  <c r="C258" i="74" s="1"/>
  <c r="I257" i="74"/>
  <c r="E258" i="72"/>
  <c r="J258" i="72"/>
  <c r="E258" i="19"/>
  <c r="J258" i="19"/>
  <c r="G258" i="72" l="1"/>
  <c r="C259" i="72" s="1"/>
  <c r="I258" i="72"/>
  <c r="D258" i="74"/>
  <c r="I258" i="19"/>
  <c r="G258" i="19"/>
  <c r="C259" i="19" s="1"/>
  <c r="E258" i="74" l="1"/>
  <c r="J258" i="74"/>
  <c r="D259" i="72"/>
  <c r="D259" i="19"/>
  <c r="E259" i="72" l="1"/>
  <c r="J259" i="72"/>
  <c r="I258" i="74"/>
  <c r="G258" i="74"/>
  <c r="C259" i="74" s="1"/>
  <c r="E259" i="19"/>
  <c r="J259" i="19"/>
  <c r="D259" i="74" l="1"/>
  <c r="I259" i="72"/>
  <c r="G259" i="72"/>
  <c r="C260" i="72" s="1"/>
  <c r="I259" i="19"/>
  <c r="G259" i="19"/>
  <c r="C260" i="19" s="1"/>
  <c r="D260" i="72" l="1"/>
  <c r="E259" i="74"/>
  <c r="J259" i="74"/>
  <c r="D260" i="19"/>
  <c r="G259" i="74" l="1"/>
  <c r="C260" i="74" s="1"/>
  <c r="I259" i="74"/>
  <c r="E260" i="72"/>
  <c r="J260" i="72"/>
  <c r="E260" i="19"/>
  <c r="J260" i="19"/>
  <c r="G260" i="72" l="1"/>
  <c r="C261" i="72" s="1"/>
  <c r="I260" i="72"/>
  <c r="D260" i="74"/>
  <c r="I260" i="19"/>
  <c r="G260" i="19"/>
  <c r="C261" i="19" s="1"/>
  <c r="E260" i="74" l="1"/>
  <c r="J260" i="74"/>
  <c r="D261" i="72"/>
  <c r="D261" i="19"/>
  <c r="E261" i="72" l="1"/>
  <c r="J261" i="72"/>
  <c r="I260" i="74"/>
  <c r="G260" i="74"/>
  <c r="C261" i="74" s="1"/>
  <c r="E261" i="19"/>
  <c r="J261" i="19"/>
  <c r="D261" i="74" l="1"/>
  <c r="I261" i="72"/>
  <c r="G261" i="72"/>
  <c r="C262" i="72" s="1"/>
  <c r="G261" i="19"/>
  <c r="C262" i="19" s="1"/>
  <c r="I261" i="19"/>
  <c r="D262" i="72" l="1"/>
  <c r="E261" i="74"/>
  <c r="J261" i="74"/>
  <c r="D262" i="19"/>
  <c r="G261" i="74" l="1"/>
  <c r="C262" i="74" s="1"/>
  <c r="I261" i="74"/>
  <c r="E262" i="72"/>
  <c r="J262" i="72"/>
  <c r="E262" i="19"/>
  <c r="J262" i="19"/>
  <c r="G262" i="72" l="1"/>
  <c r="C263" i="72" s="1"/>
  <c r="I262" i="72"/>
  <c r="D262" i="74"/>
  <c r="I262" i="19"/>
  <c r="G262" i="19"/>
  <c r="C263" i="19" s="1"/>
  <c r="E262" i="74" l="1"/>
  <c r="J262" i="74"/>
  <c r="D263" i="72"/>
  <c r="D263" i="19"/>
  <c r="E263" i="72" l="1"/>
  <c r="J263" i="72"/>
  <c r="I262" i="74"/>
  <c r="G262" i="74"/>
  <c r="C263" i="74" s="1"/>
  <c r="E263" i="19"/>
  <c r="J263" i="19"/>
  <c r="D263" i="74" l="1"/>
  <c r="I263" i="72"/>
  <c r="G263" i="72"/>
  <c r="C264" i="72" s="1"/>
  <c r="I263" i="19"/>
  <c r="G263" i="19"/>
  <c r="C264" i="19" s="1"/>
  <c r="D264" i="72" l="1"/>
  <c r="E263" i="74"/>
  <c r="J263" i="74"/>
  <c r="D264" i="19"/>
  <c r="G263" i="74" l="1"/>
  <c r="C264" i="74" s="1"/>
  <c r="I263" i="74"/>
  <c r="E264" i="72"/>
  <c r="J264" i="72"/>
  <c r="E264" i="19"/>
  <c r="J264" i="19"/>
  <c r="G264" i="72" l="1"/>
  <c r="C265" i="72" s="1"/>
  <c r="I264" i="72"/>
  <c r="D264" i="74"/>
  <c r="I264" i="19"/>
  <c r="G264" i="19"/>
  <c r="C265" i="19" s="1"/>
  <c r="E264" i="74" l="1"/>
  <c r="J264" i="74"/>
  <c r="D265" i="72"/>
  <c r="D265" i="19"/>
  <c r="E265" i="72" l="1"/>
  <c r="J265" i="72"/>
  <c r="I264" i="74"/>
  <c r="G264" i="74"/>
  <c r="C265" i="74" s="1"/>
  <c r="E265" i="19"/>
  <c r="J265" i="19"/>
  <c r="D265" i="74" l="1"/>
  <c r="G265" i="72"/>
  <c r="C266" i="72" s="1"/>
  <c r="I265" i="72"/>
  <c r="I265" i="19"/>
  <c r="G265" i="19"/>
  <c r="C266" i="19" s="1"/>
  <c r="D266" i="72" l="1"/>
  <c r="E265" i="74"/>
  <c r="J265" i="74"/>
  <c r="D266" i="19"/>
  <c r="G265" i="74" l="1"/>
  <c r="C266" i="74" s="1"/>
  <c r="I265" i="74"/>
  <c r="E266" i="72"/>
  <c r="J266" i="72"/>
  <c r="E266" i="19"/>
  <c r="J266" i="19"/>
  <c r="I266" i="72" l="1"/>
  <c r="G266" i="72"/>
  <c r="C267" i="72" s="1"/>
  <c r="D266" i="74"/>
  <c r="G266" i="19"/>
  <c r="C267" i="19" s="1"/>
  <c r="I266" i="19"/>
  <c r="E266" i="74" l="1"/>
  <c r="J266" i="74"/>
  <c r="D267" i="72"/>
  <c r="D267" i="19"/>
  <c r="E267" i="72" l="1"/>
  <c r="J267" i="72"/>
  <c r="I266" i="74"/>
  <c r="G266" i="74"/>
  <c r="C267" i="74" s="1"/>
  <c r="E267" i="19"/>
  <c r="J267" i="19"/>
  <c r="D267" i="74" l="1"/>
  <c r="G267" i="72"/>
  <c r="C268" i="72" s="1"/>
  <c r="I267" i="72"/>
  <c r="G267" i="19"/>
  <c r="C268" i="19" s="1"/>
  <c r="I267" i="19"/>
  <c r="D268" i="72" l="1"/>
  <c r="E267" i="74"/>
  <c r="J267" i="74"/>
  <c r="D268" i="19"/>
  <c r="G267" i="74" l="1"/>
  <c r="C268" i="74" s="1"/>
  <c r="I267" i="74"/>
  <c r="E268" i="72"/>
  <c r="J268" i="72"/>
  <c r="E268" i="19"/>
  <c r="J268" i="19"/>
  <c r="I268" i="72" l="1"/>
  <c r="G268" i="72"/>
  <c r="C269" i="72" s="1"/>
  <c r="D268" i="74"/>
  <c r="G268" i="19"/>
  <c r="C269" i="19" s="1"/>
  <c r="I268" i="19"/>
  <c r="E268" i="74" l="1"/>
  <c r="J268" i="74"/>
  <c r="D269" i="72"/>
  <c r="D269" i="19"/>
  <c r="E269" i="72" l="1"/>
  <c r="J269" i="72"/>
  <c r="I268" i="74"/>
  <c r="G268" i="74"/>
  <c r="C269" i="74" s="1"/>
  <c r="E269" i="19"/>
  <c r="J269" i="19"/>
  <c r="D269" i="74" l="1"/>
  <c r="G269" i="72"/>
  <c r="C270" i="72" s="1"/>
  <c r="I269" i="72"/>
  <c r="G269" i="19"/>
  <c r="C270" i="19" s="1"/>
  <c r="I269" i="19"/>
  <c r="D270" i="72" l="1"/>
  <c r="E269" i="74"/>
  <c r="J269" i="74"/>
  <c r="D270" i="19"/>
  <c r="G269" i="74" l="1"/>
  <c r="C270" i="74" s="1"/>
  <c r="I269" i="74"/>
  <c r="E270" i="72"/>
  <c r="J270" i="72"/>
  <c r="E270" i="19"/>
  <c r="J270" i="19"/>
  <c r="I270" i="72" l="1"/>
  <c r="G270" i="72"/>
  <c r="C271" i="72" s="1"/>
  <c r="D270" i="74"/>
  <c r="I270" i="19"/>
  <c r="G270" i="19"/>
  <c r="C271" i="19" s="1"/>
  <c r="E270" i="74" l="1"/>
  <c r="J270" i="74"/>
  <c r="D271" i="72"/>
  <c r="D271" i="19"/>
  <c r="E271" i="72" l="1"/>
  <c r="J271" i="72"/>
  <c r="I270" i="74"/>
  <c r="G270" i="74"/>
  <c r="C271" i="74" s="1"/>
  <c r="E271" i="19"/>
  <c r="J271" i="19"/>
  <c r="D271" i="74" l="1"/>
  <c r="G271" i="72"/>
  <c r="C272" i="72" s="1"/>
  <c r="I271" i="72"/>
  <c r="I271" i="19"/>
  <c r="G271" i="19"/>
  <c r="C272" i="19" s="1"/>
  <c r="D272" i="72" l="1"/>
  <c r="E271" i="74"/>
  <c r="J271" i="74"/>
  <c r="D272" i="19"/>
  <c r="G271" i="74" l="1"/>
  <c r="C272" i="74" s="1"/>
  <c r="I271" i="74"/>
  <c r="E272" i="72"/>
  <c r="J272" i="72"/>
  <c r="E272" i="19"/>
  <c r="J272" i="19"/>
  <c r="I272" i="72" l="1"/>
  <c r="G272" i="72"/>
  <c r="C273" i="72" s="1"/>
  <c r="D272" i="74"/>
  <c r="I272" i="19"/>
  <c r="G272" i="19"/>
  <c r="C273" i="19" s="1"/>
  <c r="E272" i="74" l="1"/>
  <c r="J272" i="74"/>
  <c r="D273" i="72"/>
  <c r="D273" i="19"/>
  <c r="E273" i="72" l="1"/>
  <c r="J273" i="72"/>
  <c r="I272" i="74"/>
  <c r="G272" i="74"/>
  <c r="C273" i="74" s="1"/>
  <c r="E273" i="19"/>
  <c r="J273" i="19"/>
  <c r="D273" i="74" l="1"/>
  <c r="G273" i="72"/>
  <c r="C274" i="72" s="1"/>
  <c r="I273" i="72"/>
  <c r="I273" i="19"/>
  <c r="G273" i="19"/>
  <c r="C274" i="19" s="1"/>
  <c r="D274" i="72" l="1"/>
  <c r="E273" i="74"/>
  <c r="J273" i="74"/>
  <c r="D274" i="19"/>
  <c r="G273" i="74" l="1"/>
  <c r="C274" i="74" s="1"/>
  <c r="I273" i="74"/>
  <c r="E274" i="72"/>
  <c r="J274" i="72"/>
  <c r="E274" i="19"/>
  <c r="J274" i="19"/>
  <c r="I274" i="72" l="1"/>
  <c r="G274" i="72"/>
  <c r="C275" i="72" s="1"/>
  <c r="D274" i="74"/>
  <c r="G274" i="19"/>
  <c r="C275" i="19" s="1"/>
  <c r="I274" i="19"/>
  <c r="E274" i="74" l="1"/>
  <c r="J274" i="74"/>
  <c r="D275" i="72"/>
  <c r="D275" i="19"/>
  <c r="E275" i="72" l="1"/>
  <c r="J275" i="72"/>
  <c r="I274" i="74"/>
  <c r="G274" i="74"/>
  <c r="C275" i="74" s="1"/>
  <c r="E275" i="19"/>
  <c r="J275" i="19"/>
  <c r="D275" i="74" l="1"/>
  <c r="G275" i="72"/>
  <c r="C276" i="72" s="1"/>
  <c r="I275" i="72"/>
  <c r="I275" i="19"/>
  <c r="G275" i="19"/>
  <c r="C276" i="19" s="1"/>
  <c r="D276" i="72" l="1"/>
  <c r="E275" i="74"/>
  <c r="J275" i="74"/>
  <c r="D276" i="19"/>
  <c r="G275" i="74" l="1"/>
  <c r="C276" i="74" s="1"/>
  <c r="I275" i="74"/>
  <c r="E276" i="72"/>
  <c r="J276" i="72"/>
  <c r="E276" i="19"/>
  <c r="J276" i="19"/>
  <c r="I276" i="72" l="1"/>
  <c r="G276" i="72"/>
  <c r="C277" i="72" s="1"/>
  <c r="D276" i="74"/>
  <c r="G276" i="19"/>
  <c r="C277" i="19" s="1"/>
  <c r="I276" i="19"/>
  <c r="E276" i="74" l="1"/>
  <c r="J276" i="74"/>
  <c r="D277" i="72"/>
  <c r="D277" i="19"/>
  <c r="E277" i="72" l="1"/>
  <c r="J277" i="72"/>
  <c r="I276" i="74"/>
  <c r="G276" i="74"/>
  <c r="C277" i="74" s="1"/>
  <c r="E277" i="19"/>
  <c r="J277" i="19"/>
  <c r="D277" i="74" l="1"/>
  <c r="G277" i="72"/>
  <c r="C278" i="72" s="1"/>
  <c r="I277" i="72"/>
  <c r="G277" i="19"/>
  <c r="C278" i="19" s="1"/>
  <c r="I277" i="19"/>
  <c r="D278" i="72" l="1"/>
  <c r="E277" i="74"/>
  <c r="J277" i="74"/>
  <c r="D278" i="19"/>
  <c r="G277" i="74" l="1"/>
  <c r="C278" i="74" s="1"/>
  <c r="I277" i="74"/>
  <c r="E278" i="72"/>
  <c r="J278" i="72"/>
  <c r="E278" i="19"/>
  <c r="J278" i="19"/>
  <c r="I278" i="72" l="1"/>
  <c r="G278" i="72"/>
  <c r="C279" i="72" s="1"/>
  <c r="D278" i="74"/>
  <c r="I278" i="19"/>
  <c r="G278" i="19"/>
  <c r="C279" i="19" s="1"/>
  <c r="E278" i="74" l="1"/>
  <c r="J278" i="74"/>
  <c r="D279" i="72"/>
  <c r="D279" i="19"/>
  <c r="E279" i="72" l="1"/>
  <c r="J279" i="72"/>
  <c r="I278" i="74"/>
  <c r="G278" i="74"/>
  <c r="C279" i="74" s="1"/>
  <c r="E279" i="19"/>
  <c r="J279" i="19"/>
  <c r="D279" i="74" l="1"/>
  <c r="I279" i="72"/>
  <c r="G279" i="72"/>
  <c r="C280" i="72" s="1"/>
  <c r="G279" i="19"/>
  <c r="C280" i="19" s="1"/>
  <c r="I279" i="19"/>
  <c r="D280" i="72" l="1"/>
  <c r="E279" i="74"/>
  <c r="J279" i="74"/>
  <c r="D280" i="19"/>
  <c r="G279" i="74" l="1"/>
  <c r="C280" i="74" s="1"/>
  <c r="I279" i="74"/>
  <c r="E280" i="72"/>
  <c r="J280" i="72"/>
  <c r="E280" i="19"/>
  <c r="J280" i="19"/>
  <c r="G280" i="72" l="1"/>
  <c r="C281" i="72" s="1"/>
  <c r="I280" i="72"/>
  <c r="D280" i="74"/>
  <c r="I280" i="19"/>
  <c r="G280" i="19"/>
  <c r="C281" i="19" s="1"/>
  <c r="D281" i="72" l="1"/>
  <c r="E280" i="74"/>
  <c r="J280" i="74"/>
  <c r="D281" i="19"/>
  <c r="I280" i="74" l="1"/>
  <c r="G280" i="74"/>
  <c r="C281" i="74" s="1"/>
  <c r="E281" i="72"/>
  <c r="J281" i="72"/>
  <c r="E281" i="19"/>
  <c r="J281" i="19"/>
  <c r="I281" i="72" l="1"/>
  <c r="G281" i="72"/>
  <c r="C282" i="72" s="1"/>
  <c r="D281" i="74"/>
  <c r="G281" i="19"/>
  <c r="C282" i="19" s="1"/>
  <c r="I281" i="19"/>
  <c r="E281" i="74" l="1"/>
  <c r="J281" i="74"/>
  <c r="D282" i="72"/>
  <c r="D282" i="19"/>
  <c r="E282" i="72" l="1"/>
  <c r="J282" i="72"/>
  <c r="G281" i="74"/>
  <c r="C282" i="74" s="1"/>
  <c r="I281" i="74"/>
  <c r="E282" i="19"/>
  <c r="J282" i="19"/>
  <c r="D282" i="74" l="1"/>
  <c r="G282" i="72"/>
  <c r="C283" i="72" s="1"/>
  <c r="I282" i="72"/>
  <c r="I282" i="19"/>
  <c r="G282" i="19"/>
  <c r="C283" i="19" s="1"/>
  <c r="D283" i="72" l="1"/>
  <c r="E282" i="74"/>
  <c r="J282" i="74"/>
  <c r="D283" i="19"/>
  <c r="I282" i="74" l="1"/>
  <c r="G282" i="74"/>
  <c r="C283" i="74" s="1"/>
  <c r="E283" i="72"/>
  <c r="J283" i="72"/>
  <c r="E283" i="19"/>
  <c r="J283" i="19"/>
  <c r="I283" i="72" l="1"/>
  <c r="G283" i="72"/>
  <c r="C284" i="72" s="1"/>
  <c r="D283" i="74"/>
  <c r="G283" i="19"/>
  <c r="C284" i="19" s="1"/>
  <c r="I283" i="19"/>
  <c r="E283" i="74" l="1"/>
  <c r="J283" i="74"/>
  <c r="D284" i="72"/>
  <c r="D284" i="19"/>
  <c r="E284" i="72" l="1"/>
  <c r="J284" i="72"/>
  <c r="G283" i="74"/>
  <c r="C284" i="74" s="1"/>
  <c r="I283" i="74"/>
  <c r="E284" i="19"/>
  <c r="J284" i="19"/>
  <c r="D284" i="74" l="1"/>
  <c r="G284" i="72"/>
  <c r="C285" i="72" s="1"/>
  <c r="I284" i="72"/>
  <c r="I284" i="19"/>
  <c r="G284" i="19"/>
  <c r="C285" i="19" s="1"/>
  <c r="D285" i="72" l="1"/>
  <c r="E284" i="74"/>
  <c r="J284" i="74"/>
  <c r="D285" i="19"/>
  <c r="I284" i="74" l="1"/>
  <c r="G284" i="74"/>
  <c r="C285" i="74" s="1"/>
  <c r="E285" i="72"/>
  <c r="J285" i="72"/>
  <c r="E285" i="19"/>
  <c r="J285" i="19"/>
  <c r="I285" i="72" l="1"/>
  <c r="G285" i="72"/>
  <c r="C286" i="72" s="1"/>
  <c r="D285" i="74"/>
  <c r="G285" i="19"/>
  <c r="C286" i="19" s="1"/>
  <c r="I285" i="19"/>
  <c r="E285" i="74" l="1"/>
  <c r="J285" i="74"/>
  <c r="D286" i="72"/>
  <c r="D286" i="19"/>
  <c r="E286" i="72" l="1"/>
  <c r="J286" i="72"/>
  <c r="G285" i="74"/>
  <c r="C286" i="74" s="1"/>
  <c r="I285" i="74"/>
  <c r="E286" i="19"/>
  <c r="J286" i="19"/>
  <c r="D286" i="74" l="1"/>
  <c r="G286" i="72"/>
  <c r="C287" i="72" s="1"/>
  <c r="I286" i="72"/>
  <c r="I286" i="19"/>
  <c r="G286" i="19"/>
  <c r="C287" i="19" s="1"/>
  <c r="D287" i="72" l="1"/>
  <c r="E286" i="74"/>
  <c r="J286" i="74"/>
  <c r="D287" i="19"/>
  <c r="I286" i="74" l="1"/>
  <c r="G286" i="74"/>
  <c r="C287" i="74" s="1"/>
  <c r="E287" i="72"/>
  <c r="J287" i="72"/>
  <c r="E287" i="19"/>
  <c r="J287" i="19"/>
  <c r="I287" i="72" l="1"/>
  <c r="G287" i="72"/>
  <c r="C288" i="72" s="1"/>
  <c r="D287" i="74"/>
  <c r="I287" i="19"/>
  <c r="G287" i="19"/>
  <c r="C288" i="19" s="1"/>
  <c r="E287" i="74" l="1"/>
  <c r="J287" i="74"/>
  <c r="D288" i="72"/>
  <c r="D288" i="19"/>
  <c r="E288" i="72" l="1"/>
  <c r="J288" i="72"/>
  <c r="G287" i="74"/>
  <c r="C288" i="74" s="1"/>
  <c r="I287" i="74"/>
  <c r="E288" i="19"/>
  <c r="J288" i="19"/>
  <c r="D288" i="74" l="1"/>
  <c r="G288" i="72"/>
  <c r="C289" i="72" s="1"/>
  <c r="I288" i="72"/>
  <c r="G288" i="19"/>
  <c r="C289" i="19" s="1"/>
  <c r="I288" i="19"/>
  <c r="D289" i="72" l="1"/>
  <c r="E288" i="74"/>
  <c r="J288" i="74"/>
  <c r="D289" i="19"/>
  <c r="I288" i="74" l="1"/>
  <c r="G288" i="74"/>
  <c r="C289" i="74" s="1"/>
  <c r="E289" i="72"/>
  <c r="J289" i="72"/>
  <c r="E289" i="19"/>
  <c r="J289" i="19"/>
  <c r="I289" i="72" l="1"/>
  <c r="G289" i="72"/>
  <c r="C290" i="72" s="1"/>
  <c r="D289" i="74"/>
  <c r="G289" i="19"/>
  <c r="C290" i="19" s="1"/>
  <c r="I289" i="19"/>
  <c r="E289" i="74" l="1"/>
  <c r="J289" i="74"/>
  <c r="D290" i="72"/>
  <c r="D290" i="19"/>
  <c r="E290" i="72" l="1"/>
  <c r="J290" i="72"/>
  <c r="I289" i="74"/>
  <c r="G289" i="74"/>
  <c r="C290" i="74" s="1"/>
  <c r="E290" i="19"/>
  <c r="J290" i="19"/>
  <c r="D290" i="74" l="1"/>
  <c r="G290" i="72"/>
  <c r="C291" i="72" s="1"/>
  <c r="I290" i="72"/>
  <c r="I290" i="19"/>
  <c r="G290" i="19"/>
  <c r="C291" i="19" s="1"/>
  <c r="D291" i="72" l="1"/>
  <c r="E290" i="74"/>
  <c r="J290" i="74"/>
  <c r="D291" i="19"/>
  <c r="G290" i="74" l="1"/>
  <c r="C291" i="74" s="1"/>
  <c r="I290" i="74"/>
  <c r="E291" i="72"/>
  <c r="J291" i="72"/>
  <c r="E291" i="19"/>
  <c r="J291" i="19"/>
  <c r="I291" i="72" l="1"/>
  <c r="G291" i="72"/>
  <c r="C292" i="72" s="1"/>
  <c r="D291" i="74"/>
  <c r="G291" i="19"/>
  <c r="C292" i="19" s="1"/>
  <c r="I291" i="19"/>
  <c r="E291" i="74" l="1"/>
  <c r="J291" i="74"/>
  <c r="D292" i="72"/>
  <c r="D292" i="19"/>
  <c r="E292" i="72" l="1"/>
  <c r="J292" i="72"/>
  <c r="I291" i="74"/>
  <c r="G291" i="74"/>
  <c r="C292" i="74" s="1"/>
  <c r="E292" i="19"/>
  <c r="J292" i="19"/>
  <c r="D292" i="74" l="1"/>
  <c r="I292" i="72"/>
  <c r="G292" i="72"/>
  <c r="C293" i="72" s="1"/>
  <c r="I292" i="19"/>
  <c r="G292" i="19"/>
  <c r="C293" i="19" s="1"/>
  <c r="D293" i="72" l="1"/>
  <c r="E292" i="74"/>
  <c r="J292" i="74"/>
  <c r="D293" i="19"/>
  <c r="G292" i="74" l="1"/>
  <c r="C293" i="74" s="1"/>
  <c r="I292" i="74"/>
  <c r="E293" i="72"/>
  <c r="J293" i="72"/>
  <c r="E293" i="19"/>
  <c r="J293" i="19"/>
  <c r="G293" i="72" l="1"/>
  <c r="C294" i="72" s="1"/>
  <c r="I293" i="72"/>
  <c r="D293" i="74"/>
  <c r="I293" i="19"/>
  <c r="G293" i="19"/>
  <c r="C294" i="19" s="1"/>
  <c r="E293" i="74" l="1"/>
  <c r="J293" i="74"/>
  <c r="D294" i="72"/>
  <c r="D294" i="19"/>
  <c r="E294" i="72" l="1"/>
  <c r="J294" i="72"/>
  <c r="I293" i="74"/>
  <c r="G293" i="74"/>
  <c r="C294" i="74" s="1"/>
  <c r="E294" i="19"/>
  <c r="J294" i="19"/>
  <c r="D294" i="74" l="1"/>
  <c r="I294" i="72"/>
  <c r="G294" i="72"/>
  <c r="C295" i="72" s="1"/>
  <c r="G294" i="19"/>
  <c r="C295" i="19" s="1"/>
  <c r="I294" i="19"/>
  <c r="D295" i="72" l="1"/>
  <c r="E294" i="74"/>
  <c r="J294" i="74"/>
  <c r="D295" i="19"/>
  <c r="G294" i="74" l="1"/>
  <c r="C295" i="74" s="1"/>
  <c r="I294" i="74"/>
  <c r="E295" i="72"/>
  <c r="J295" i="72"/>
  <c r="E295" i="19"/>
  <c r="J295" i="19"/>
  <c r="G295" i="72" l="1"/>
  <c r="C296" i="72" s="1"/>
  <c r="I295" i="72"/>
  <c r="D295" i="74"/>
  <c r="G295" i="19"/>
  <c r="C296" i="19" s="1"/>
  <c r="I295" i="19"/>
  <c r="E295" i="74" l="1"/>
  <c r="J295" i="74"/>
  <c r="D296" i="72"/>
  <c r="D296" i="19"/>
  <c r="E296" i="72" l="1"/>
  <c r="J296" i="72"/>
  <c r="I295" i="74"/>
  <c r="G295" i="74"/>
  <c r="C296" i="74" s="1"/>
  <c r="E296" i="19"/>
  <c r="J296" i="19"/>
  <c r="D296" i="74" l="1"/>
  <c r="I296" i="72"/>
  <c r="G296" i="72"/>
  <c r="C297" i="72" s="1"/>
  <c r="I296" i="19"/>
  <c r="G296" i="19"/>
  <c r="C297" i="19" s="1"/>
  <c r="D297" i="72" l="1"/>
  <c r="E296" i="74"/>
  <c r="J296" i="74"/>
  <c r="D297" i="19"/>
  <c r="G296" i="74" l="1"/>
  <c r="C297" i="74" s="1"/>
  <c r="I296" i="74"/>
  <c r="E297" i="72"/>
  <c r="J297" i="72"/>
  <c r="E297" i="19"/>
  <c r="J297" i="19"/>
  <c r="D297" i="74" l="1"/>
  <c r="G297" i="72"/>
  <c r="C298" i="72" s="1"/>
  <c r="I297" i="72"/>
  <c r="I297" i="19"/>
  <c r="G297" i="19"/>
  <c r="C298" i="19" s="1"/>
  <c r="D298" i="72" l="1"/>
  <c r="E297" i="74"/>
  <c r="J297" i="74"/>
  <c r="D298" i="19"/>
  <c r="G297" i="74" l="1"/>
  <c r="C298" i="74" s="1"/>
  <c r="I297" i="74"/>
  <c r="E298" i="72"/>
  <c r="J298" i="72"/>
  <c r="E298" i="19"/>
  <c r="J298" i="19"/>
  <c r="I298" i="72" l="1"/>
  <c r="G298" i="72"/>
  <c r="C299" i="72" s="1"/>
  <c r="D298" i="74"/>
  <c r="I298" i="19"/>
  <c r="G298" i="19"/>
  <c r="C299" i="19" s="1"/>
  <c r="E298" i="74" l="1"/>
  <c r="J298" i="74"/>
  <c r="D299" i="72"/>
  <c r="D299" i="19"/>
  <c r="E299" i="72" l="1"/>
  <c r="J299" i="72"/>
  <c r="I298" i="74"/>
  <c r="G298" i="74"/>
  <c r="C299" i="74" s="1"/>
  <c r="E299" i="19"/>
  <c r="J299" i="19"/>
  <c r="D299" i="74" l="1"/>
  <c r="G299" i="72"/>
  <c r="C300" i="72" s="1"/>
  <c r="I299" i="72"/>
  <c r="G299" i="19"/>
  <c r="C300" i="19" s="1"/>
  <c r="I299" i="19"/>
  <c r="D300" i="72" l="1"/>
  <c r="E299" i="74"/>
  <c r="J299" i="74"/>
  <c r="D300" i="19"/>
  <c r="E300" i="72" l="1"/>
  <c r="J300" i="72"/>
  <c r="G299" i="74"/>
  <c r="C300" i="74" s="1"/>
  <c r="I299" i="74"/>
  <c r="E300" i="19"/>
  <c r="J300" i="19"/>
  <c r="D300" i="74" l="1"/>
  <c r="I300" i="72"/>
  <c r="G300" i="72"/>
  <c r="C301" i="72" s="1"/>
  <c r="I300" i="19"/>
  <c r="G300" i="19"/>
  <c r="C301" i="19" s="1"/>
  <c r="D301" i="72" l="1"/>
  <c r="E300" i="74"/>
  <c r="J300" i="74"/>
  <c r="D301" i="19"/>
  <c r="I300" i="74" l="1"/>
  <c r="G300" i="74"/>
  <c r="C301" i="74" s="1"/>
  <c r="E301" i="72"/>
  <c r="J301" i="72"/>
  <c r="E301" i="19"/>
  <c r="J301" i="19"/>
  <c r="G301" i="72" l="1"/>
  <c r="C302" i="72" s="1"/>
  <c r="I301" i="72"/>
  <c r="D301" i="74"/>
  <c r="I301" i="19"/>
  <c r="G301" i="19"/>
  <c r="C302" i="19" s="1"/>
  <c r="E301" i="74" l="1"/>
  <c r="J301" i="74"/>
  <c r="D302" i="72"/>
  <c r="D302" i="19"/>
  <c r="E302" i="72" l="1"/>
  <c r="J302" i="72"/>
  <c r="G301" i="74"/>
  <c r="C302" i="74" s="1"/>
  <c r="I301" i="74"/>
  <c r="E302" i="19"/>
  <c r="J302" i="19"/>
  <c r="D302" i="74" l="1"/>
  <c r="I302" i="72"/>
  <c r="G302" i="72"/>
  <c r="C303" i="72" s="1"/>
  <c r="G302" i="19"/>
  <c r="C303" i="19" s="1"/>
  <c r="I302" i="19"/>
  <c r="D303" i="72" l="1"/>
  <c r="E302" i="74"/>
  <c r="J302" i="74"/>
  <c r="D303" i="19"/>
  <c r="I302" i="74" l="1"/>
  <c r="G302" i="74"/>
  <c r="C303" i="74" s="1"/>
  <c r="E303" i="72"/>
  <c r="J303" i="72"/>
  <c r="E303" i="19"/>
  <c r="J303" i="19"/>
  <c r="G303" i="72" l="1"/>
  <c r="C304" i="72" s="1"/>
  <c r="I303" i="72"/>
  <c r="D303" i="74"/>
  <c r="I303" i="19"/>
  <c r="G303" i="19"/>
  <c r="C304" i="19" s="1"/>
  <c r="E303" i="74" l="1"/>
  <c r="J303" i="74"/>
  <c r="D304" i="72"/>
  <c r="D304" i="19"/>
  <c r="E304" i="72" l="1"/>
  <c r="J304" i="72"/>
  <c r="G303" i="74"/>
  <c r="C304" i="74" s="1"/>
  <c r="I303" i="74"/>
  <c r="E304" i="19"/>
  <c r="J304" i="19"/>
  <c r="D304" i="74" l="1"/>
  <c r="I304" i="72"/>
  <c r="G304" i="72"/>
  <c r="C305" i="72" s="1"/>
  <c r="I304" i="19"/>
  <c r="G304" i="19"/>
  <c r="C305" i="19" s="1"/>
  <c r="E304" i="74" l="1"/>
  <c r="J304" i="74"/>
  <c r="D305" i="72"/>
  <c r="D305" i="19"/>
  <c r="E305" i="72" l="1"/>
  <c r="J305" i="72"/>
  <c r="I304" i="74"/>
  <c r="G304" i="74"/>
  <c r="C305" i="74" s="1"/>
  <c r="E305" i="19"/>
  <c r="J305" i="19"/>
  <c r="D305" i="74" l="1"/>
  <c r="I305" i="72"/>
  <c r="G305" i="72"/>
  <c r="C306" i="72" s="1"/>
  <c r="G305" i="19"/>
  <c r="C306" i="19" s="1"/>
  <c r="I305" i="19"/>
  <c r="D306" i="72" l="1"/>
  <c r="E305" i="74"/>
  <c r="J305" i="74"/>
  <c r="D306" i="19"/>
  <c r="G305" i="74" l="1"/>
  <c r="C306" i="74" s="1"/>
  <c r="I305" i="74"/>
  <c r="E306" i="72"/>
  <c r="J306" i="72"/>
  <c r="E306" i="19"/>
  <c r="J306" i="19"/>
  <c r="G306" i="72" l="1"/>
  <c r="C307" i="72" s="1"/>
  <c r="I306" i="72"/>
  <c r="D306" i="74"/>
  <c r="I306" i="19"/>
  <c r="G306" i="19"/>
  <c r="C307" i="19" s="1"/>
  <c r="E306" i="74" l="1"/>
  <c r="J306" i="74"/>
  <c r="D307" i="72"/>
  <c r="D307" i="19"/>
  <c r="E307" i="72" l="1"/>
  <c r="J307" i="72"/>
  <c r="I306" i="74"/>
  <c r="G306" i="74"/>
  <c r="C307" i="74" s="1"/>
  <c r="E307" i="19"/>
  <c r="J307" i="19"/>
  <c r="D307" i="74" l="1"/>
  <c r="I307" i="72"/>
  <c r="G307" i="72"/>
  <c r="C308" i="72" s="1"/>
  <c r="G307" i="19"/>
  <c r="C308" i="19" s="1"/>
  <c r="I307" i="19"/>
  <c r="E307" i="74" l="1"/>
  <c r="J307" i="74"/>
  <c r="D308" i="72"/>
  <c r="D308" i="19"/>
  <c r="E308" i="72" l="1"/>
  <c r="J308" i="72"/>
  <c r="G307" i="74"/>
  <c r="C308" i="74" s="1"/>
  <c r="I307" i="74"/>
  <c r="E308" i="19"/>
  <c r="J308" i="19"/>
  <c r="D308" i="74" l="1"/>
  <c r="G308" i="72"/>
  <c r="C309" i="72" s="1"/>
  <c r="I308" i="72"/>
  <c r="G308" i="19"/>
  <c r="C309" i="19" s="1"/>
  <c r="I308" i="19"/>
  <c r="D309" i="72" l="1"/>
  <c r="E308" i="74"/>
  <c r="J308" i="74"/>
  <c r="D309" i="19"/>
  <c r="I308" i="74" l="1"/>
  <c r="G308" i="74"/>
  <c r="C309" i="74" s="1"/>
  <c r="E309" i="72"/>
  <c r="J309" i="72"/>
  <c r="E309" i="19"/>
  <c r="J309" i="19"/>
  <c r="I309" i="72" l="1"/>
  <c r="G309" i="72"/>
  <c r="C310" i="72" s="1"/>
  <c r="D309" i="74"/>
  <c r="I309" i="19"/>
  <c r="G309" i="19"/>
  <c r="C310" i="19" s="1"/>
  <c r="E309" i="74" l="1"/>
  <c r="J309" i="74"/>
  <c r="D310" i="72"/>
  <c r="D310" i="19"/>
  <c r="E310" i="72" l="1"/>
  <c r="J310" i="72"/>
  <c r="G309" i="74"/>
  <c r="C310" i="74" s="1"/>
  <c r="I309" i="74"/>
  <c r="E310" i="19"/>
  <c r="J310" i="19"/>
  <c r="D310" i="74" l="1"/>
  <c r="G310" i="72"/>
  <c r="C311" i="72" s="1"/>
  <c r="I310" i="72"/>
  <c r="G310" i="19"/>
  <c r="C311" i="19" s="1"/>
  <c r="I310" i="19"/>
  <c r="D311" i="72" l="1"/>
  <c r="E310" i="74"/>
  <c r="J310" i="74"/>
  <c r="D311" i="19"/>
  <c r="I310" i="74" l="1"/>
  <c r="G310" i="74"/>
  <c r="C311" i="74" s="1"/>
  <c r="E311" i="72"/>
  <c r="J311" i="72"/>
  <c r="E311" i="19"/>
  <c r="J311" i="19"/>
  <c r="I311" i="72" l="1"/>
  <c r="G311" i="72"/>
  <c r="D311" i="74"/>
  <c r="I311" i="19"/>
  <c r="G311" i="19"/>
  <c r="C312" i="19" s="1"/>
  <c r="E311" i="74" l="1"/>
  <c r="J311" i="74"/>
  <c r="D312" i="19"/>
  <c r="G311" i="74" l="1"/>
  <c r="C312" i="74" s="1"/>
  <c r="I311" i="74"/>
  <c r="E312" i="19"/>
  <c r="J312" i="19"/>
  <c r="D312" i="74" l="1"/>
  <c r="G312" i="19"/>
  <c r="C313" i="19" s="1"/>
  <c r="I312" i="19"/>
  <c r="E312" i="74" l="1"/>
  <c r="J312" i="74"/>
  <c r="D313" i="19"/>
  <c r="I312" i="74" l="1"/>
  <c r="G312" i="74"/>
  <c r="C313" i="74" s="1"/>
  <c r="E313" i="19"/>
  <c r="J313" i="19"/>
  <c r="D313" i="74" l="1"/>
  <c r="I313" i="19"/>
  <c r="G313" i="19"/>
  <c r="C314" i="19" s="1"/>
  <c r="E313" i="74" l="1"/>
  <c r="J313" i="74"/>
  <c r="D314" i="19"/>
  <c r="G313" i="74" l="1"/>
  <c r="C314" i="74" s="1"/>
  <c r="I313" i="74"/>
  <c r="E314" i="19"/>
  <c r="J314" i="19"/>
  <c r="D314" i="74" l="1"/>
  <c r="G314" i="19"/>
  <c r="C315" i="19" s="1"/>
  <c r="I314" i="19"/>
  <c r="E314" i="74" l="1"/>
  <c r="J314" i="74"/>
  <c r="D315" i="19"/>
  <c r="I314" i="74" l="1"/>
  <c r="G314" i="74"/>
  <c r="C315" i="74" s="1"/>
  <c r="E315" i="19"/>
  <c r="J315" i="19"/>
  <c r="D315" i="74" l="1"/>
  <c r="G315" i="19"/>
  <c r="C316" i="19" s="1"/>
  <c r="I315" i="19"/>
  <c r="E315" i="74" l="1"/>
  <c r="J315" i="74"/>
  <c r="D316" i="19"/>
  <c r="G315" i="74" l="1"/>
  <c r="C316" i="74" s="1"/>
  <c r="I315" i="74"/>
  <c r="E316" i="19"/>
  <c r="J316" i="19"/>
  <c r="D316" i="74" l="1"/>
  <c r="G316" i="19"/>
  <c r="C317" i="19" s="1"/>
  <c r="I316" i="19"/>
  <c r="E316" i="74" l="1"/>
  <c r="J316" i="74"/>
  <c r="D317" i="19"/>
  <c r="G316" i="74" l="1"/>
  <c r="C317" i="74" s="1"/>
  <c r="I316" i="74"/>
  <c r="E317" i="19"/>
  <c r="J317" i="19"/>
  <c r="D317" i="74" l="1"/>
  <c r="I317" i="19"/>
  <c r="G317" i="19"/>
  <c r="C318" i="19" s="1"/>
  <c r="E317" i="74" l="1"/>
  <c r="J317" i="74"/>
  <c r="D318" i="19"/>
  <c r="I317" i="74" l="1"/>
  <c r="G317" i="74"/>
  <c r="C318" i="74" s="1"/>
  <c r="E318" i="19"/>
  <c r="J318" i="19"/>
  <c r="D318" i="74" l="1"/>
  <c r="G318" i="19"/>
  <c r="C319" i="19" s="1"/>
  <c r="I318" i="19"/>
  <c r="E318" i="74" l="1"/>
  <c r="J318" i="74"/>
  <c r="D319" i="19"/>
  <c r="G318" i="74" l="1"/>
  <c r="C319" i="74" s="1"/>
  <c r="I318" i="74"/>
  <c r="E319" i="19"/>
  <c r="J319" i="19"/>
  <c r="D319" i="74" l="1"/>
  <c r="G319" i="19"/>
  <c r="C320" i="19" s="1"/>
  <c r="I319" i="19"/>
  <c r="E319" i="74" l="1"/>
  <c r="J319" i="74"/>
  <c r="D320" i="19"/>
  <c r="I319" i="74" l="1"/>
  <c r="G319" i="74"/>
  <c r="C320" i="74" s="1"/>
  <c r="E320" i="19"/>
  <c r="J320" i="19"/>
  <c r="D320" i="74" l="1"/>
  <c r="I320" i="19"/>
  <c r="G320" i="19"/>
  <c r="C321" i="19" s="1"/>
  <c r="E320" i="74" l="1"/>
  <c r="J320" i="74"/>
  <c r="D321" i="19"/>
  <c r="G320" i="74" l="1"/>
  <c r="C321" i="74" s="1"/>
  <c r="I320" i="74"/>
  <c r="E321" i="19"/>
  <c r="J321" i="19"/>
  <c r="D321" i="74" l="1"/>
  <c r="G321" i="19"/>
  <c r="C322" i="19" s="1"/>
  <c r="I321" i="19"/>
  <c r="E321" i="74" l="1"/>
  <c r="J321" i="74"/>
  <c r="D322" i="19"/>
  <c r="I321" i="74" l="1"/>
  <c r="G321" i="74"/>
  <c r="C322" i="74" s="1"/>
  <c r="E322" i="19"/>
  <c r="J322" i="19"/>
  <c r="D322" i="74" l="1"/>
  <c r="I322" i="19"/>
  <c r="G322" i="19"/>
  <c r="C323" i="19" s="1"/>
  <c r="E322" i="74" l="1"/>
  <c r="J322" i="74"/>
  <c r="D323" i="19"/>
  <c r="G322" i="74" l="1"/>
  <c r="C323" i="74" s="1"/>
  <c r="I322" i="74"/>
  <c r="E323" i="19"/>
  <c r="J323" i="19"/>
  <c r="D323" i="74" l="1"/>
  <c r="G323" i="19"/>
  <c r="C324" i="19" s="1"/>
  <c r="I323" i="19"/>
  <c r="E323" i="74" l="1"/>
  <c r="J323" i="74"/>
  <c r="D324" i="19"/>
  <c r="I323" i="74" l="1"/>
  <c r="G323" i="74"/>
  <c r="C324" i="74" s="1"/>
  <c r="E324" i="19"/>
  <c r="J324" i="19"/>
  <c r="D324" i="74" l="1"/>
  <c r="G324" i="19"/>
  <c r="C325" i="19" s="1"/>
  <c r="I324" i="19"/>
  <c r="E324" i="74" l="1"/>
  <c r="J324" i="74"/>
  <c r="D325" i="19"/>
  <c r="G324" i="74" l="1"/>
  <c r="C325" i="74" s="1"/>
  <c r="I324" i="74"/>
  <c r="E325" i="19"/>
  <c r="J325" i="19"/>
  <c r="D325" i="74" l="1"/>
  <c r="I325" i="19"/>
  <c r="G325" i="19"/>
  <c r="C326" i="19" s="1"/>
  <c r="E325" i="74" l="1"/>
  <c r="J325" i="74"/>
  <c r="D326" i="19"/>
  <c r="I325" i="74" l="1"/>
  <c r="G325" i="74"/>
  <c r="C326" i="74" s="1"/>
  <c r="E326" i="19"/>
  <c r="J326" i="19"/>
  <c r="D326" i="74" l="1"/>
  <c r="G326" i="19"/>
  <c r="C327" i="19" s="1"/>
  <c r="I326" i="19"/>
  <c r="E326" i="74" l="1"/>
  <c r="J326" i="74"/>
  <c r="D327" i="19"/>
  <c r="G326" i="74" l="1"/>
  <c r="C327" i="74" s="1"/>
  <c r="I326" i="74"/>
  <c r="E327" i="19"/>
  <c r="J327" i="19"/>
  <c r="D327" i="74" l="1"/>
  <c r="I327" i="19"/>
  <c r="G327" i="19"/>
  <c r="C328" i="19" s="1"/>
  <c r="E327" i="74" l="1"/>
  <c r="J327" i="74"/>
  <c r="D328" i="19"/>
  <c r="I327" i="74" l="1"/>
  <c r="G327" i="74"/>
  <c r="C328" i="74" s="1"/>
  <c r="E328" i="19"/>
  <c r="J328" i="19"/>
  <c r="D328" i="74" l="1"/>
  <c r="I328" i="19"/>
  <c r="G328" i="19"/>
  <c r="C329" i="19" s="1"/>
  <c r="E328" i="74" l="1"/>
  <c r="J328" i="74"/>
  <c r="D329" i="19"/>
  <c r="G328" i="74" l="1"/>
  <c r="C329" i="74" s="1"/>
  <c r="I328" i="74"/>
  <c r="E329" i="19"/>
  <c r="J329" i="19"/>
  <c r="D329" i="74" l="1"/>
  <c r="G329" i="19"/>
  <c r="C330" i="19" s="1"/>
  <c r="I329" i="19"/>
  <c r="E329" i="74" l="1"/>
  <c r="J329" i="74"/>
  <c r="D330" i="19"/>
  <c r="I329" i="74" l="1"/>
  <c r="G329" i="74"/>
  <c r="C330" i="74" s="1"/>
  <c r="E330" i="19"/>
  <c r="J330" i="19"/>
  <c r="D330" i="74" l="1"/>
  <c r="I330" i="19"/>
  <c r="G330" i="19"/>
  <c r="C331" i="19" s="1"/>
  <c r="E330" i="74" l="1"/>
  <c r="J330" i="74"/>
  <c r="D331" i="19"/>
  <c r="G330" i="74" l="1"/>
  <c r="C331" i="74" s="1"/>
  <c r="I330" i="74"/>
  <c r="E331" i="19"/>
  <c r="J331" i="19"/>
  <c r="D331" i="74" l="1"/>
  <c r="G331" i="19"/>
  <c r="C332" i="19" s="1"/>
  <c r="I331" i="19"/>
  <c r="E331" i="74" l="1"/>
  <c r="J331" i="74"/>
  <c r="D332" i="19"/>
  <c r="I331" i="74" l="1"/>
  <c r="G331" i="74"/>
  <c r="C332" i="74" s="1"/>
  <c r="E332" i="19"/>
  <c r="J332" i="19"/>
  <c r="D332" i="74" l="1"/>
  <c r="I332" i="19"/>
  <c r="G332" i="19"/>
  <c r="C333" i="19" s="1"/>
  <c r="E332" i="74" l="1"/>
  <c r="J332" i="74"/>
  <c r="D333" i="19"/>
  <c r="G332" i="74" l="1"/>
  <c r="C333" i="74" s="1"/>
  <c r="I332" i="74"/>
  <c r="E333" i="19"/>
  <c r="J333" i="19"/>
  <c r="D333" i="74" l="1"/>
  <c r="G333" i="19"/>
  <c r="C334" i="19" s="1"/>
  <c r="I333" i="19"/>
  <c r="E333" i="74" l="1"/>
  <c r="J333" i="74"/>
  <c r="D334" i="19"/>
  <c r="I333" i="74" l="1"/>
  <c r="G333" i="74"/>
  <c r="C334" i="74" s="1"/>
  <c r="E334" i="19"/>
  <c r="J334" i="19"/>
  <c r="D334" i="74" l="1"/>
  <c r="I334" i="19"/>
  <c r="G334" i="19"/>
  <c r="C335" i="19" s="1"/>
  <c r="E334" i="74" l="1"/>
  <c r="J334" i="74"/>
  <c r="D335" i="19"/>
  <c r="G334" i="74" l="1"/>
  <c r="C335" i="74" s="1"/>
  <c r="I334" i="74"/>
  <c r="E335" i="19"/>
  <c r="J335" i="19"/>
  <c r="D335" i="74" l="1"/>
  <c r="G335" i="19"/>
  <c r="C336" i="19" s="1"/>
  <c r="I335" i="19"/>
  <c r="E335" i="74" l="1"/>
  <c r="J335" i="74"/>
  <c r="D336" i="19"/>
  <c r="I335" i="74" l="1"/>
  <c r="G335" i="74"/>
  <c r="C336" i="74" s="1"/>
  <c r="E336" i="19"/>
  <c r="J336" i="19"/>
  <c r="D336" i="74" l="1"/>
  <c r="I336" i="19"/>
  <c r="G336" i="19"/>
  <c r="C337" i="19" s="1"/>
  <c r="E336" i="74" l="1"/>
  <c r="J336" i="74"/>
  <c r="D337" i="19"/>
  <c r="G336" i="74" l="1"/>
  <c r="C337" i="74" s="1"/>
  <c r="I336" i="74"/>
  <c r="E337" i="19"/>
  <c r="J337" i="19"/>
  <c r="D337" i="74" l="1"/>
  <c r="I337" i="19"/>
  <c r="G337" i="19"/>
  <c r="C338" i="19" s="1"/>
  <c r="E337" i="74" l="1"/>
  <c r="J337" i="74"/>
  <c r="D338" i="19"/>
  <c r="I337" i="74" l="1"/>
  <c r="G337" i="74"/>
  <c r="C338" i="74" s="1"/>
  <c r="E338" i="19"/>
  <c r="J338" i="19"/>
  <c r="D338" i="74" l="1"/>
  <c r="G338" i="19"/>
  <c r="C339" i="19" s="1"/>
  <c r="I338" i="19"/>
  <c r="E338" i="74" l="1"/>
  <c r="J338" i="74"/>
  <c r="D339" i="19"/>
  <c r="G338" i="74" l="1"/>
  <c r="C339" i="74" s="1"/>
  <c r="I338" i="74"/>
  <c r="E339" i="19"/>
  <c r="J339" i="19"/>
  <c r="D339" i="74" l="1"/>
  <c r="I339" i="19"/>
  <c r="G339" i="19"/>
  <c r="C340" i="19" s="1"/>
  <c r="E339" i="74" l="1"/>
  <c r="J339" i="74"/>
  <c r="D340" i="19"/>
  <c r="I339" i="74" l="1"/>
  <c r="G339" i="74"/>
  <c r="C340" i="74" s="1"/>
  <c r="E340" i="19"/>
  <c r="J340" i="19"/>
  <c r="D340" i="74" l="1"/>
  <c r="G340" i="19"/>
  <c r="C341" i="19" s="1"/>
  <c r="I340" i="19"/>
  <c r="E340" i="74" l="1"/>
  <c r="J340" i="74"/>
  <c r="D341" i="19"/>
  <c r="G340" i="74" l="1"/>
  <c r="C341" i="74" s="1"/>
  <c r="I340" i="74"/>
  <c r="E341" i="19"/>
  <c r="J341" i="19"/>
  <c r="D341" i="74" l="1"/>
  <c r="I341" i="19"/>
  <c r="G341" i="19"/>
  <c r="C342" i="19" s="1"/>
  <c r="E341" i="74" l="1"/>
  <c r="J341" i="74"/>
  <c r="D342" i="19"/>
  <c r="I341" i="74" l="1"/>
  <c r="G341" i="74"/>
  <c r="C342" i="74" s="1"/>
  <c r="E342" i="19"/>
  <c r="J342" i="19"/>
  <c r="D342" i="74" l="1"/>
  <c r="G342" i="19"/>
  <c r="C343" i="19" s="1"/>
  <c r="I342" i="19"/>
  <c r="E342" i="74" l="1"/>
  <c r="J342" i="74"/>
  <c r="D343" i="19"/>
  <c r="G342" i="74" l="1"/>
  <c r="C343" i="74" s="1"/>
  <c r="I342" i="74"/>
  <c r="E343" i="19"/>
  <c r="J343" i="19"/>
  <c r="D343" i="74" l="1"/>
  <c r="G343" i="19"/>
  <c r="C344" i="19" s="1"/>
  <c r="I343" i="19"/>
  <c r="E343" i="74" l="1"/>
  <c r="J343" i="74"/>
  <c r="D344" i="19"/>
  <c r="I343" i="74" l="1"/>
  <c r="G343" i="74"/>
  <c r="C344" i="74" s="1"/>
  <c r="E344" i="19"/>
  <c r="J344" i="19"/>
  <c r="D344" i="74" l="1"/>
  <c r="G344" i="19"/>
  <c r="C345" i="19" s="1"/>
  <c r="I344" i="19"/>
  <c r="E344" i="74" l="1"/>
  <c r="J344" i="74"/>
  <c r="D345" i="19"/>
  <c r="G344" i="74" l="1"/>
  <c r="C345" i="74" s="1"/>
  <c r="I344" i="74"/>
  <c r="E345" i="19"/>
  <c r="J345" i="19"/>
  <c r="D345" i="74" l="1"/>
  <c r="I345" i="19"/>
  <c r="G345" i="19"/>
  <c r="C346" i="19" s="1"/>
  <c r="E345" i="74" l="1"/>
  <c r="J345" i="74"/>
  <c r="D346" i="19"/>
  <c r="I345" i="74" l="1"/>
  <c r="G345" i="74"/>
  <c r="C346" i="74" s="1"/>
  <c r="E346" i="19"/>
  <c r="J346" i="19"/>
  <c r="D346" i="74" l="1"/>
  <c r="I346" i="19"/>
  <c r="G346" i="19"/>
  <c r="C347" i="19" s="1"/>
  <c r="E346" i="74" l="1"/>
  <c r="J346" i="74"/>
  <c r="D347" i="19"/>
  <c r="G346" i="74" l="1"/>
  <c r="C347" i="74" s="1"/>
  <c r="I346" i="74"/>
  <c r="E347" i="19"/>
  <c r="J347" i="19"/>
  <c r="D347" i="74" l="1"/>
  <c r="I347" i="19"/>
  <c r="G347" i="19"/>
  <c r="C348" i="19" s="1"/>
  <c r="E347" i="74" l="1"/>
  <c r="J347" i="74"/>
  <c r="D348" i="19"/>
  <c r="I347" i="74" l="1"/>
  <c r="G347" i="74"/>
  <c r="C348" i="74" s="1"/>
  <c r="E348" i="19"/>
  <c r="J348" i="19"/>
  <c r="D348" i="74" l="1"/>
  <c r="G348" i="19"/>
  <c r="C349" i="19" s="1"/>
  <c r="I348" i="19"/>
  <c r="E348" i="74" l="1"/>
  <c r="J348" i="74"/>
  <c r="D349" i="19"/>
  <c r="G348" i="74" l="1"/>
  <c r="C349" i="74" s="1"/>
  <c r="I348" i="74"/>
  <c r="E349" i="19"/>
  <c r="J349" i="19"/>
  <c r="D349" i="74" l="1"/>
  <c r="G349" i="19"/>
  <c r="C350" i="19" s="1"/>
  <c r="I349" i="19"/>
  <c r="E349" i="74" l="1"/>
  <c r="J349" i="74"/>
  <c r="D350" i="19"/>
  <c r="I349" i="74" l="1"/>
  <c r="G349" i="74"/>
  <c r="C350" i="74" s="1"/>
  <c r="E350" i="19"/>
  <c r="J350" i="19"/>
  <c r="D350" i="74" l="1"/>
  <c r="I350" i="19"/>
  <c r="G350" i="19"/>
  <c r="C351" i="19" s="1"/>
  <c r="E350" i="74" l="1"/>
  <c r="J350" i="74"/>
  <c r="D351" i="19"/>
  <c r="G350" i="74" l="1"/>
  <c r="C351" i="74" s="1"/>
  <c r="I350" i="74"/>
  <c r="E351" i="19"/>
  <c r="J351" i="19"/>
  <c r="D351" i="74" l="1"/>
  <c r="I351" i="19"/>
  <c r="G351" i="19"/>
  <c r="C352" i="19" s="1"/>
  <c r="E351" i="74" l="1"/>
  <c r="J351" i="74"/>
  <c r="D352" i="19"/>
  <c r="I351" i="74" l="1"/>
  <c r="G351" i="74"/>
  <c r="C352" i="74" s="1"/>
  <c r="E352" i="19"/>
  <c r="J352" i="19"/>
  <c r="D352" i="74" l="1"/>
  <c r="I352" i="19"/>
  <c r="G352" i="19"/>
  <c r="C353" i="19" s="1"/>
  <c r="E352" i="74" l="1"/>
  <c r="J352" i="74"/>
  <c r="D353" i="19"/>
  <c r="G352" i="74" l="1"/>
  <c r="C353" i="74" s="1"/>
  <c r="I352" i="74"/>
  <c r="E353" i="19"/>
  <c r="J353" i="19"/>
  <c r="D353" i="74" l="1"/>
  <c r="I353" i="19"/>
  <c r="G353" i="19"/>
  <c r="C354" i="19" s="1"/>
  <c r="E353" i="74" l="1"/>
  <c r="J353" i="74"/>
  <c r="D354" i="19"/>
  <c r="I353" i="74" l="1"/>
  <c r="G353" i="74"/>
  <c r="C354" i="74" s="1"/>
  <c r="E354" i="19"/>
  <c r="J354" i="19"/>
  <c r="D354" i="74" l="1"/>
  <c r="G354" i="19"/>
  <c r="C355" i="19" s="1"/>
  <c r="I354" i="19"/>
  <c r="E354" i="74" l="1"/>
  <c r="J354" i="74"/>
  <c r="D355" i="19"/>
  <c r="G354" i="74" l="1"/>
  <c r="C355" i="74" s="1"/>
  <c r="I354" i="74"/>
  <c r="E355" i="19"/>
  <c r="J355" i="19"/>
  <c r="D355" i="74" l="1"/>
  <c r="I355" i="19"/>
  <c r="G355" i="19"/>
  <c r="C356" i="19" s="1"/>
  <c r="E355" i="74" l="1"/>
  <c r="J355" i="74"/>
  <c r="D356" i="19"/>
  <c r="I355" i="74" l="1"/>
  <c r="G355" i="74"/>
  <c r="C356" i="74" s="1"/>
  <c r="E356" i="19"/>
  <c r="J356" i="19"/>
  <c r="D356" i="74" l="1"/>
  <c r="I356" i="19"/>
  <c r="G356" i="19"/>
  <c r="C357" i="19" s="1"/>
  <c r="E356" i="74" l="1"/>
  <c r="J356" i="74"/>
  <c r="D357" i="19"/>
  <c r="G356" i="74" l="1"/>
  <c r="C357" i="74" s="1"/>
  <c r="I356" i="74"/>
  <c r="E357" i="19"/>
  <c r="J357" i="19"/>
  <c r="D357" i="74" l="1"/>
  <c r="G357" i="19"/>
  <c r="C358" i="19" s="1"/>
  <c r="I357" i="19"/>
  <c r="E357" i="74" l="1"/>
  <c r="J357" i="74"/>
  <c r="D358" i="19"/>
  <c r="I357" i="74" l="1"/>
  <c r="G357" i="74"/>
  <c r="C358" i="74" s="1"/>
  <c r="E358" i="19"/>
  <c r="J358" i="19"/>
  <c r="D358" i="74" l="1"/>
  <c r="G358" i="19"/>
  <c r="C359" i="19" s="1"/>
  <c r="I358" i="19"/>
  <c r="E358" i="74" l="1"/>
  <c r="J358" i="74"/>
  <c r="D359" i="19"/>
  <c r="G358" i="74" l="1"/>
  <c r="C359" i="74" s="1"/>
  <c r="I358" i="74"/>
  <c r="E359" i="19"/>
  <c r="J359" i="19"/>
  <c r="D359" i="74" l="1"/>
  <c r="I359" i="19"/>
  <c r="G359" i="19"/>
  <c r="C360" i="19" s="1"/>
  <c r="E359" i="74" l="1"/>
  <c r="J359" i="74"/>
  <c r="D360" i="19"/>
  <c r="I359" i="74" l="1"/>
  <c r="G359" i="74"/>
  <c r="C360" i="74" s="1"/>
  <c r="E360" i="19"/>
  <c r="J360" i="19"/>
  <c r="D360" i="74" l="1"/>
  <c r="G360" i="19"/>
  <c r="C361" i="19" s="1"/>
  <c r="I360" i="19"/>
  <c r="E360" i="74" l="1"/>
  <c r="J360" i="74"/>
  <c r="D361" i="19"/>
  <c r="G360" i="74" l="1"/>
  <c r="C361" i="74" s="1"/>
  <c r="I360" i="74"/>
  <c r="E361" i="19"/>
  <c r="J361" i="19"/>
  <c r="D361" i="74" l="1"/>
  <c r="I361" i="19"/>
  <c r="G361" i="19"/>
  <c r="C362" i="19" s="1"/>
  <c r="E361" i="74" l="1"/>
  <c r="J361" i="74"/>
  <c r="D362" i="19"/>
  <c r="I361" i="74" l="1"/>
  <c r="G361" i="74"/>
  <c r="C362" i="74" s="1"/>
  <c r="E362" i="19"/>
  <c r="J362" i="19"/>
  <c r="D362" i="74" l="1"/>
  <c r="G362" i="19"/>
  <c r="C363" i="19" s="1"/>
  <c r="I362" i="19"/>
  <c r="E362" i="74" l="1"/>
  <c r="J362" i="74"/>
  <c r="D363" i="19"/>
  <c r="G362" i="74" l="1"/>
  <c r="C363" i="74" s="1"/>
  <c r="I362" i="74"/>
  <c r="E363" i="19"/>
  <c r="J363" i="19"/>
  <c r="D363" i="74" l="1"/>
  <c r="G363" i="19"/>
  <c r="C364" i="19" s="1"/>
  <c r="I363" i="19"/>
  <c r="E363" i="74" l="1"/>
  <c r="J363" i="74"/>
  <c r="D364" i="19"/>
  <c r="I363" i="74" l="1"/>
  <c r="G363" i="74"/>
  <c r="C364" i="74" s="1"/>
  <c r="E364" i="19"/>
  <c r="J364" i="19"/>
  <c r="D364" i="74" l="1"/>
  <c r="G364" i="19"/>
  <c r="C365" i="19" s="1"/>
  <c r="I364" i="19"/>
  <c r="E364" i="74" l="1"/>
  <c r="J364" i="74"/>
  <c r="D365" i="19"/>
  <c r="G364" i="74" l="1"/>
  <c r="C365" i="74" s="1"/>
  <c r="I364" i="74"/>
  <c r="E365" i="19"/>
  <c r="J365" i="19"/>
  <c r="D365" i="74" l="1"/>
  <c r="I365" i="19"/>
  <c r="G365" i="19"/>
  <c r="C366" i="19" s="1"/>
  <c r="E365" i="74" l="1"/>
  <c r="J365" i="74"/>
  <c r="D366" i="19"/>
  <c r="I365" i="74" l="1"/>
  <c r="G365" i="74"/>
  <c r="C366" i="74" s="1"/>
  <c r="E366" i="19"/>
  <c r="J366" i="19"/>
  <c r="D366" i="74" l="1"/>
  <c r="I366" i="19"/>
  <c r="G366" i="19"/>
  <c r="C367" i="19" s="1"/>
  <c r="E366" i="74" l="1"/>
  <c r="J366" i="74"/>
  <c r="D367" i="19"/>
  <c r="G366" i="74" l="1"/>
  <c r="C367" i="74" s="1"/>
  <c r="I366" i="74"/>
  <c r="E367" i="19"/>
  <c r="J367" i="19"/>
  <c r="D367" i="74" l="1"/>
  <c r="G367" i="19"/>
  <c r="C368" i="19" s="1"/>
  <c r="I367" i="19"/>
  <c r="E367" i="74" l="1"/>
  <c r="J367" i="74"/>
  <c r="D368" i="19"/>
  <c r="I367" i="74" l="1"/>
  <c r="G367" i="74"/>
  <c r="C368" i="74" s="1"/>
  <c r="E368" i="19"/>
  <c r="J368" i="19"/>
  <c r="D368" i="74" l="1"/>
  <c r="I368" i="19"/>
  <c r="G368" i="19"/>
  <c r="C369" i="19" s="1"/>
  <c r="E368" i="74" l="1"/>
  <c r="J368" i="74"/>
  <c r="D369" i="19"/>
  <c r="G368" i="74" l="1"/>
  <c r="C369" i="74" s="1"/>
  <c r="I368" i="74"/>
  <c r="E369" i="19"/>
  <c r="J369" i="19"/>
  <c r="D369" i="74" l="1"/>
  <c r="G369" i="19"/>
  <c r="C370" i="19" s="1"/>
  <c r="I369" i="19"/>
  <c r="E369" i="74" l="1"/>
  <c r="J369" i="74"/>
  <c r="D370" i="19"/>
  <c r="I369" i="74" l="1"/>
  <c r="G369" i="74"/>
  <c r="C370" i="74" s="1"/>
  <c r="E370" i="19"/>
  <c r="J370" i="19"/>
  <c r="D370" i="74" l="1"/>
  <c r="I370" i="19"/>
  <c r="G370" i="19"/>
  <c r="E370" i="74" l="1"/>
  <c r="J370" i="74"/>
  <c r="G370" i="74" l="1"/>
  <c r="I370" i="74"/>
</calcChain>
</file>

<file path=xl/sharedStrings.xml><?xml version="1.0" encoding="utf-8"?>
<sst xmlns="http://schemas.openxmlformats.org/spreadsheetml/2006/main" count="1413" uniqueCount="664">
  <si>
    <t>Example 4-3</t>
  </si>
  <si>
    <t>done manually and done by Excel formula</t>
  </si>
  <si>
    <t>Manual setup (goal seek)</t>
  </si>
  <si>
    <t>interest on loan</t>
  </si>
  <si>
    <t>principal repayment</t>
  </si>
  <si>
    <t>total</t>
  </si>
  <si>
    <t>interest rate</t>
  </si>
  <si>
    <t>uniform series capital recovery factor</t>
  </si>
  <si>
    <t>reqd savings per year</t>
  </si>
  <si>
    <t>Formula in textbook</t>
  </si>
  <si>
    <t>BUT this doesn't give us steady payments</t>
  </si>
  <si>
    <t>year</t>
  </si>
  <si>
    <t>uniform series present worth factor</t>
  </si>
  <si>
    <t>A (regular payment amt)</t>
  </si>
  <si>
    <t>present value of stream of future income</t>
  </si>
  <si>
    <t>discount rate</t>
  </si>
  <si>
    <t>income</t>
  </si>
  <si>
    <t>Sum</t>
  </si>
  <si>
    <t>discounted income</t>
  </si>
  <si>
    <t>Manual setup (discounted future values)</t>
  </si>
  <si>
    <t>Manual setup (alternatives)</t>
  </si>
  <si>
    <t>income or paymt</t>
  </si>
  <si>
    <t>month</t>
  </si>
  <si>
    <t>discounted</t>
  </si>
  <si>
    <t>Alt 1: buy series of payments</t>
  </si>
  <si>
    <t>Alt 2: non-compounding interest on same investment</t>
  </si>
  <si>
    <t>Formula in textbook (goal seek)</t>
  </si>
  <si>
    <t>Manual setup (discounted future values: goal seek)</t>
  </si>
  <si>
    <t>income / payments</t>
  </si>
  <si>
    <t>show how goal seek works</t>
  </si>
  <si>
    <t>present value</t>
  </si>
  <si>
    <t>Manual setup (present value calculations)</t>
  </si>
  <si>
    <t>present value (how much money to set aside now)</t>
  </si>
  <si>
    <t>Uniform alternative (using goal seek)</t>
  </si>
  <si>
    <t>Can achieve this by trial and error, but goal seek is quicker.</t>
  </si>
  <si>
    <t>Show how goal seek gives equivalent sum of present value</t>
  </si>
  <si>
    <t>maintenance cost inflation</t>
  </si>
  <si>
    <t>future, inflated maintenance costs</t>
  </si>
  <si>
    <t>Notice these two numbers may be entirely unrelated.</t>
  </si>
  <si>
    <t>quarter</t>
  </si>
  <si>
    <t>initial deposit</t>
  </si>
  <si>
    <t>interest</t>
  </si>
  <si>
    <t>withdrawal</t>
  </si>
  <si>
    <t>ending balance</t>
  </si>
  <si>
    <t>initial balance</t>
  </si>
  <si>
    <t>Net present value</t>
  </si>
  <si>
    <t>B/C ratio</t>
  </si>
  <si>
    <t>Project 1</t>
  </si>
  <si>
    <t>Project 2</t>
  </si>
  <si>
    <t>Project 3</t>
  </si>
  <si>
    <t>income / payment</t>
  </si>
  <si>
    <t>IRR</t>
  </si>
  <si>
    <t>BAU</t>
  </si>
  <si>
    <t xml:space="preserve">  How do they compare with the BAU?</t>
  </si>
  <si>
    <t>Projects 2 + 3</t>
  </si>
  <si>
    <t>Project 4</t>
  </si>
  <si>
    <t>present value (PV)</t>
  </si>
  <si>
    <t>PV</t>
  </si>
  <si>
    <t xml:space="preserve">    1, 2 or 3 are all better than BAU. 4 is worse.</t>
  </si>
  <si>
    <t xml:space="preserve">If can do more than one: </t>
  </si>
  <si>
    <t xml:space="preserve">If can only do one: </t>
  </si>
  <si>
    <t xml:space="preserve">    2 + 3 yield largest total $ return, and highest ratio and highest combined IRR.</t>
  </si>
  <si>
    <t xml:space="preserve">    2 yields highest % return and highest ratio.</t>
  </si>
  <si>
    <t xml:space="preserve">    1 yields largest $ return (though not highest rate or ratio).</t>
  </si>
  <si>
    <t>payments</t>
  </si>
  <si>
    <t>discounted payments</t>
  </si>
  <si>
    <t>Present value / present worth</t>
  </si>
  <si>
    <t>Formulas in textbook</t>
  </si>
  <si>
    <t>1. Sum</t>
  </si>
  <si>
    <t>2. uniform series capital recovery factor</t>
  </si>
  <si>
    <t>PMT formula in Excel</t>
  </si>
  <si>
    <t>Demonstrating that solution is equivalent</t>
  </si>
  <si>
    <t xml:space="preserve">    2 + 3 yield higher combined IRR than 1.</t>
  </si>
  <si>
    <t>rate of return</t>
  </si>
  <si>
    <t>sum of present worth (net present value)</t>
  </si>
  <si>
    <t>By Excel formula</t>
  </si>
  <si>
    <t>IRR formula</t>
  </si>
  <si>
    <t xml:space="preserve">  defined as rate at which NPV=0</t>
  </si>
  <si>
    <t xml:space="preserve">  Can solve by goal seek or trial and error</t>
  </si>
  <si>
    <t>By goal seek or trial and error</t>
  </si>
  <si>
    <t xml:space="preserve">present worth </t>
  </si>
  <si>
    <t>value including interest</t>
  </si>
  <si>
    <t>Putting your $700 in the bank and earning 6.9% interest would be just as good as</t>
  </si>
  <si>
    <t>making the investment that gives the payments listed in column B.</t>
  </si>
  <si>
    <t>The IRR is the equivalent rate of interest that those payments earn for you.</t>
  </si>
  <si>
    <t>Project A</t>
  </si>
  <si>
    <t>Project B</t>
  </si>
  <si>
    <t>Project C</t>
  </si>
  <si>
    <t>Project D</t>
  </si>
  <si>
    <t>Project E</t>
  </si>
  <si>
    <t>income / paymt</t>
  </si>
  <si>
    <t>Summary</t>
  </si>
  <si>
    <t>Project</t>
  </si>
  <si>
    <t>A</t>
  </si>
  <si>
    <t>B</t>
  </si>
  <si>
    <t>C</t>
  </si>
  <si>
    <t>D</t>
  </si>
  <si>
    <t>E</t>
  </si>
  <si>
    <t>NPV at different interest rates</t>
  </si>
  <si>
    <t>Best project at this interest rate</t>
  </si>
  <si>
    <t>PV @ 5%</t>
  </si>
  <si>
    <t xml:space="preserve">Project A's IRR can't be calculated. </t>
  </si>
  <si>
    <t>This often happens when series include a mix of costs and savings over time.</t>
  </si>
  <si>
    <t>payment / cost savings</t>
  </si>
  <si>
    <t>Note though that the present worth (NPV) at, for example 10%, is still positive, indicating that the project pays for itself over time.</t>
  </si>
  <si>
    <t>Other measures (like NPV) must be used in these situations.</t>
  </si>
  <si>
    <t>Installed cost</t>
  </si>
  <si>
    <t>Net annual benefit after all</t>
  </si>
  <si>
    <t xml:space="preserve">    annual expenses have been </t>
  </si>
  <si>
    <t xml:space="preserve">    deducted</t>
  </si>
  <si>
    <t>Useful life, in years</t>
  </si>
  <si>
    <t>Tempo Machine</t>
  </si>
  <si>
    <t>$12,000 the first year, declining</t>
  </si>
  <si>
    <t xml:space="preserve">    $3,000  per year thereafter</t>
  </si>
  <si>
    <t>Dura Machine</t>
  </si>
  <si>
    <t xml:space="preserve">$1,000 the first year, </t>
  </si>
  <si>
    <t xml:space="preserve">    increasing $3,000  per</t>
  </si>
  <si>
    <t xml:space="preserve">    year thereafter</t>
  </si>
  <si>
    <t>Neither machine has any salvage value. Compute the payback period for each machine.</t>
  </si>
  <si>
    <t>of return (interest rate)</t>
  </si>
  <si>
    <t xml:space="preserve">minimum attractive rate </t>
  </si>
  <si>
    <t>cash flow</t>
  </si>
  <si>
    <t>discounted cash flow</t>
  </si>
  <si>
    <t>cumulative cash flow</t>
  </si>
  <si>
    <t>Payback period</t>
  </si>
  <si>
    <t>4 years</t>
  </si>
  <si>
    <t>Tempo Machine pays back more quickly but has an inferior IRR and NPV.</t>
  </si>
  <si>
    <t>So Payback Period isn't the best method: it's simple, but sometimes leads to poor economic decisions.</t>
  </si>
  <si>
    <t>(5 yrs later)</t>
  </si>
  <si>
    <t>Cumulative interest to date</t>
  </si>
  <si>
    <t>Cumulative principal to date</t>
  </si>
  <si>
    <t>Adjusted amount owed</t>
  </si>
  <si>
    <t>Extra payment</t>
  </si>
  <si>
    <t>Interest paid</t>
  </si>
  <si>
    <t>Principal paid</t>
  </si>
  <si>
    <t>Initial amount owed</t>
  </si>
  <si>
    <t>Date</t>
  </si>
  <si>
    <t>fixed monthly payment, by PMT formula</t>
  </si>
  <si>
    <t>annual effective interest rate</t>
  </si>
  <si>
    <t>Mortgage example</t>
  </si>
  <si>
    <t>Initial deposit</t>
  </si>
  <si>
    <t>Year</t>
  </si>
  <si>
    <t>Beginning of year acct balance</t>
  </si>
  <si>
    <t>interest earned</t>
  </si>
  <si>
    <t>number of periods</t>
  </si>
  <si>
    <t>Amount owed</t>
  </si>
  <si>
    <t>A. Formula in textbook</t>
  </si>
  <si>
    <t>B. Manual setup (loan plus interest): Plan 2, Table 3-1</t>
  </si>
  <si>
    <t>C. Manual setup (goal seek)</t>
  </si>
  <si>
    <t>D. Loan equivalent (including PMT formula)</t>
  </si>
  <si>
    <t>Alt 3: compounding interest on same investment</t>
  </si>
  <si>
    <t>Alt 3 earns more than Alt 1.</t>
  </si>
  <si>
    <t>Alt 2 earns more than Alt 1.</t>
  </si>
  <si>
    <t>Manual setup</t>
  </si>
  <si>
    <t>deposits</t>
  </si>
  <si>
    <t>loan</t>
  </si>
  <si>
    <t>period</t>
  </si>
  <si>
    <t>principal</t>
  </si>
  <si>
    <t>remaining owed</t>
  </si>
  <si>
    <t>owed</t>
  </si>
  <si>
    <t>Textbook formula:</t>
  </si>
  <si>
    <t>P</t>
  </si>
  <si>
    <t>i</t>
  </si>
  <si>
    <t>n</t>
  </si>
  <si>
    <t>(rounded to nearest dollar)</t>
  </si>
  <si>
    <t>Note that PMT formula matches this.</t>
  </si>
  <si>
    <t>Chapter 4 PPT Problem 2</t>
  </si>
  <si>
    <t>Chapter 4 PPT Problem 1</t>
  </si>
  <si>
    <t>Using textbook formula</t>
  </si>
  <si>
    <t>Using textbook formulas</t>
  </si>
  <si>
    <t>G</t>
  </si>
  <si>
    <t>P'</t>
  </si>
  <si>
    <t>P''</t>
  </si>
  <si>
    <t>Ex 4-9</t>
  </si>
  <si>
    <t>g</t>
  </si>
  <si>
    <t>Present value sum (P):</t>
  </si>
  <si>
    <t>Ex 4-12</t>
  </si>
  <si>
    <t>Ex 4-13</t>
  </si>
  <si>
    <t>nominal i</t>
  </si>
  <si>
    <t>F</t>
  </si>
  <si>
    <t>(which is W in this case)</t>
  </si>
  <si>
    <t>Each W includes 4 'A's, so now n = 4.</t>
  </si>
  <si>
    <t>Goal seek: Set cell K26 to 0 by changing cell J10.</t>
  </si>
  <si>
    <t>Can alternatively reach solution by trial and error by testing values for J10.</t>
  </si>
  <si>
    <t>Ex 4-14</t>
  </si>
  <si>
    <t>cost</t>
  </si>
  <si>
    <t>present worth</t>
  </si>
  <si>
    <t>Option A</t>
  </si>
  <si>
    <t>Ex 5-1</t>
  </si>
  <si>
    <t>F1</t>
  </si>
  <si>
    <t>F2</t>
  </si>
  <si>
    <t>n2</t>
  </si>
  <si>
    <t>n1</t>
  </si>
  <si>
    <t>PW1</t>
  </si>
  <si>
    <t>PW2</t>
  </si>
  <si>
    <t>Option B</t>
  </si>
  <si>
    <t>Sum of PW</t>
  </si>
  <si>
    <t>future costs</t>
  </si>
  <si>
    <t>Using simple Excel setup (with formulas as well)</t>
  </si>
  <si>
    <t>costs and savings</t>
  </si>
  <si>
    <t>Ex 5-2</t>
  </si>
  <si>
    <t>P"</t>
  </si>
  <si>
    <t>Option A (uniform series)</t>
  </si>
  <si>
    <t>Option B (arithmetric series)</t>
  </si>
  <si>
    <t>P'+P''</t>
  </si>
  <si>
    <t>Sum of discounted savings</t>
  </si>
  <si>
    <t xml:space="preserve">Using simple Excel setup </t>
  </si>
  <si>
    <t>Ex 5-3</t>
  </si>
  <si>
    <t>F0</t>
  </si>
  <si>
    <t>n5</t>
  </si>
  <si>
    <t>P0</t>
  </si>
  <si>
    <t>P5</t>
  </si>
  <si>
    <t>net F5</t>
  </si>
  <si>
    <t>F10</t>
  </si>
  <si>
    <t>n10</t>
  </si>
  <si>
    <t>P10</t>
  </si>
  <si>
    <t>Ex 5-4</t>
  </si>
  <si>
    <t>Approximating same time frame</t>
  </si>
  <si>
    <t>Using simple Excel setup: with unequal time frames</t>
  </si>
  <si>
    <t>missing an estimate of what Option A would be worth at end of yr 13</t>
  </si>
  <si>
    <t>applies to each separate estimate</t>
  </si>
  <si>
    <t>Ex 5-6</t>
  </si>
  <si>
    <t>For one pipeline, 70 year life:</t>
  </si>
  <si>
    <t>Capitalized cost</t>
  </si>
  <si>
    <t>Initial capital cost</t>
  </si>
  <si>
    <t>Total capitalized cost</t>
  </si>
  <si>
    <t>…</t>
  </si>
  <si>
    <t>They just ignored further future costs.</t>
  </si>
  <si>
    <t xml:space="preserve">Notice how small this gets. </t>
  </si>
  <si>
    <t>Using Excel setup</t>
  </si>
  <si>
    <t>Option C</t>
  </si>
  <si>
    <t>Option D</t>
  </si>
  <si>
    <t>PW</t>
  </si>
  <si>
    <t>Ex 5-7</t>
  </si>
  <si>
    <t>Each renovation cost</t>
  </si>
  <si>
    <t>Frequency of renovation</t>
  </si>
  <si>
    <t>Capitalized cost of infinite renovations</t>
  </si>
  <si>
    <t>Ex 5-9</t>
  </si>
  <si>
    <t>half-year</t>
  </si>
  <si>
    <t>semi-annual interest rate</t>
  </si>
  <si>
    <t>Option B (new bond at current market rate)</t>
  </si>
  <si>
    <t>Option A (old bond)</t>
  </si>
  <si>
    <t>B is worth more than A.</t>
  </si>
  <si>
    <t>coupon rate</t>
  </si>
  <si>
    <t>semi-annual coupon rate</t>
  </si>
  <si>
    <t>semi-annual discount rate (current interest rate)</t>
  </si>
  <si>
    <t>market interest rate</t>
  </si>
  <si>
    <t>earnings</t>
  </si>
  <si>
    <t>coupon cost</t>
  </si>
  <si>
    <t>Assumption is that discount rate equals current interest rate.</t>
  </si>
  <si>
    <t>Ex 5-10</t>
  </si>
  <si>
    <t>Ron's age</t>
  </si>
  <si>
    <t>(difference from ppt is due to rounding)</t>
  </si>
  <si>
    <t>Formula application:</t>
  </si>
  <si>
    <t>uniform series capital recovery factor:</t>
  </si>
  <si>
    <t>Ex 6-1</t>
  </si>
  <si>
    <t>Using goal seek as alternative method</t>
  </si>
  <si>
    <t>Ex 6-2</t>
  </si>
  <si>
    <t>Salvage value S</t>
  </si>
  <si>
    <t>PW of S:</t>
  </si>
  <si>
    <t>EUAC of S</t>
  </si>
  <si>
    <t>EUAC of P:</t>
  </si>
  <si>
    <t>P (capital cost)</t>
  </si>
  <si>
    <t>PW of S = S / (1+i)^n</t>
  </si>
  <si>
    <t>EUAC of S:</t>
  </si>
  <si>
    <t>EUAC total:</t>
  </si>
  <si>
    <t>1. Convert future salvage value to today's dollars (Present worth)</t>
  </si>
  <si>
    <t>P=F/(1+i)^n</t>
  </si>
  <si>
    <t>2. Add together the initial cost and salvage value (both in today's dollars now)</t>
  </si>
  <si>
    <t xml:space="preserve">= 1000-101.67 = </t>
  </si>
  <si>
    <t>3. Use Goal Seek to convert this PW sum to EUAC:</t>
  </si>
  <si>
    <t>If you invested $1000 in a machine that could make a valuable</t>
  </si>
  <si>
    <t>product, and could sell it 10 years later for $200, how much revenue</t>
  </si>
  <si>
    <t>would it need to earn to pay back the net cost?</t>
  </si>
  <si>
    <t>cost and salvage</t>
  </si>
  <si>
    <t>revenues</t>
  </si>
  <si>
    <t>How I would personally solve the equivalent to this problem:</t>
  </si>
  <si>
    <t>discounted values</t>
  </si>
  <si>
    <t>Goal seek: sum of discounted values = 0, by changing annual revenue.</t>
  </si>
  <si>
    <t>Using Excel to parallel the formula technique (awkwardly)</t>
  </si>
  <si>
    <t>EUAC</t>
  </si>
  <si>
    <t>Option 1</t>
  </si>
  <si>
    <t>Option 2</t>
  </si>
  <si>
    <t>Option 3</t>
  </si>
  <si>
    <t>Option 4</t>
  </si>
  <si>
    <t>EUAC is just another way to say let's calculate A (the uniform annual payment).</t>
  </si>
  <si>
    <t>EUAB</t>
  </si>
  <si>
    <t>Sum:</t>
  </si>
  <si>
    <t>for free, but charge you $15 every year forever from then on.</t>
  </si>
  <si>
    <t>The first option appears to be an  option where someone will provide the initial equipment</t>
  </si>
  <si>
    <t>Similar to how internet TV and smart phones are often priced now.</t>
  </si>
  <si>
    <t>Net benefits: Sum of EUAB and EUAC</t>
  </si>
  <si>
    <t>Example 1 in PPT for Lecture 6:</t>
  </si>
  <si>
    <t>Example 2 in PPT for Lecture 6:</t>
  </si>
  <si>
    <t>Ex 6-6</t>
  </si>
  <si>
    <t>Initial cost P</t>
  </si>
  <si>
    <t>EUAC of (P-S):</t>
  </si>
  <si>
    <t>S * i</t>
  </si>
  <si>
    <t>Alternatively,</t>
  </si>
  <si>
    <t>Option 2 12 yr equivalent</t>
  </si>
  <si>
    <t>salvage</t>
  </si>
  <si>
    <t>uniform series capital factor</t>
  </si>
  <si>
    <t>….</t>
  </si>
  <si>
    <t>Ex 6-5</t>
  </si>
  <si>
    <t>useful life</t>
  </si>
  <si>
    <t>permanent</t>
  </si>
  <si>
    <t>EUAC = P * i (for infinitely lived)</t>
  </si>
  <si>
    <t>Ex 6-7</t>
  </si>
  <si>
    <t>Using formulas from textbook</t>
  </si>
  <si>
    <t>Ex 6-9</t>
  </si>
  <si>
    <t>monthly interest rate</t>
  </si>
  <si>
    <t>annual nominal interest rate</t>
  </si>
  <si>
    <t>monthly payments:</t>
  </si>
  <si>
    <t>principal payment</t>
  </si>
  <si>
    <t>interest payment</t>
  </si>
  <si>
    <t>Note that, with a fixed payment amount, you pay ALL of the interest on the remaining balance each time you make a payment.</t>
  </si>
  <si>
    <t>The rest of the payment goes toward paying down the loan (so, "principal").</t>
  </si>
  <si>
    <t>As the balance drops, the interest drops, and the amount going toward paying down the loan increases.</t>
  </si>
  <si>
    <t>IRR = interest rate (to solve for)</t>
  </si>
  <si>
    <t>Ch 7 ppt example 1</t>
  </si>
  <si>
    <t>$6,549 payment: already in today's dollars</t>
  </si>
  <si>
    <t>$4,000 revenue per year: uniform series present worth formula</t>
  </si>
  <si>
    <t>$800 costs per year: uniform series present worth formula</t>
  </si>
  <si>
    <t>$5,100 cost in year 2: single payment compound amount formula</t>
  </si>
  <si>
    <t>How to solve for i?</t>
  </si>
  <si>
    <t>Applying Present Worth and solving by goal seek :</t>
  </si>
  <si>
    <t>sum</t>
  </si>
  <si>
    <t xml:space="preserve">(applied to non-discounted series </t>
  </si>
  <si>
    <t xml:space="preserve">    of net revenues)</t>
  </si>
  <si>
    <t xml:space="preserve">     to use Excel functions or techniques (like goal seek).</t>
  </si>
  <si>
    <t xml:space="preserve">Can sometimes use tables and lots of math. Better, though, </t>
  </si>
  <si>
    <t>Ch 7 ppt example 2</t>
  </si>
  <si>
    <t>$1,517 annual payments: uniform series.</t>
  </si>
  <si>
    <t>Uniform series must have FUTURE value of $20,000.</t>
  </si>
  <si>
    <t>Using uniform series compound factor.</t>
  </si>
  <si>
    <t>F=20000</t>
  </si>
  <si>
    <t>A=1,517</t>
  </si>
  <si>
    <t>n=10</t>
  </si>
  <si>
    <t>Because this is a moderately simple function, might be able to solve for i.</t>
  </si>
  <si>
    <t xml:space="preserve">     Still better, though, to use Excel functions or techniques (like goal seek).</t>
  </si>
  <si>
    <t>Extra example: IRR vs PW</t>
  </si>
  <si>
    <t>present worth (net present value)</t>
  </si>
  <si>
    <t>linear</t>
  </si>
  <si>
    <t>payment</t>
  </si>
  <si>
    <t>payment / withdrawal</t>
  </si>
  <si>
    <t>costs</t>
  </si>
  <si>
    <t>Original investor's investment and return:</t>
  </si>
  <si>
    <t>Second Investor's investment and return:</t>
  </si>
  <si>
    <t>Original investor's investment and return after sale:</t>
  </si>
  <si>
    <t>IRR = semi-annual interest rate (to solve for)</t>
  </si>
  <si>
    <t>Conversion to effective annual rate:</t>
  </si>
  <si>
    <t>= (1+i)^n = (1.0441)^2</t>
  </si>
  <si>
    <t>For reference: By Excel formula</t>
  </si>
  <si>
    <t>Ex 7-4 and 7-5</t>
  </si>
  <si>
    <t>Plan</t>
  </si>
  <si>
    <t>benefits</t>
  </si>
  <si>
    <t>% fish restored</t>
  </si>
  <si>
    <t>NPV</t>
  </si>
  <si>
    <t>discounted sum of costs</t>
  </si>
  <si>
    <t>discounted sum of benefits</t>
  </si>
  <si>
    <t>yr</t>
  </si>
  <si>
    <t>discounted costs</t>
  </si>
  <si>
    <t>discounted benefits</t>
  </si>
  <si>
    <t xml:space="preserve">  Can we do more than one? (Might only have enough $ or staff to accomplish one.)</t>
  </si>
  <si>
    <t>Combined return is 25% return (5/20).</t>
  </si>
  <si>
    <t>Option 2 invests 20 to earn 8.</t>
  </si>
  <si>
    <t>Combined return is 40% return (8/20).</t>
  </si>
  <si>
    <t>Option 1 on its own looked better, only because we were making an uneven comparison.</t>
  </si>
  <si>
    <t>Ex 7-7</t>
  </si>
  <si>
    <t>Option 1 invests 10 to earn 5, and holds 10 in your pocket (no return).</t>
  </si>
  <si>
    <r>
      <t xml:space="preserve">What's really happening? </t>
    </r>
    <r>
      <rPr>
        <b/>
        <sz val="11"/>
        <color rgb="FFFF0000"/>
        <rFont val="Calibri"/>
        <family val="2"/>
        <scheme val="minor"/>
      </rPr>
      <t>Scopes are different.</t>
    </r>
  </si>
  <si>
    <t>Option 1 IRR looks better, right? Yes, but…</t>
  </si>
  <si>
    <t>Ex 7-10</t>
  </si>
  <si>
    <t>Machine X</t>
  </si>
  <si>
    <t>Machine Y</t>
  </si>
  <si>
    <t>initial cost</t>
  </si>
  <si>
    <t>uniform annual benefit</t>
  </si>
  <si>
    <t>salvage value</t>
  </si>
  <si>
    <t>useful life (in years)</t>
  </si>
  <si>
    <t>Difference</t>
  </si>
  <si>
    <t>delta cost</t>
  </si>
  <si>
    <t>delta benefits</t>
  </si>
  <si>
    <t>PV delta costs</t>
  </si>
  <si>
    <t>PV delta benefits</t>
  </si>
  <si>
    <t>&lt; MARR, so don't spend extra</t>
  </si>
  <si>
    <t>Ex 7-11</t>
  </si>
  <si>
    <t>Ex 7-12</t>
  </si>
  <si>
    <t>Brass</t>
  </si>
  <si>
    <t>Stainless Steel</t>
  </si>
  <si>
    <t>Titanium</t>
  </si>
  <si>
    <t>Cost</t>
  </si>
  <si>
    <t>Life, in years</t>
  </si>
  <si>
    <t>EUAC at different interest rates</t>
  </si>
  <si>
    <t>Option</t>
  </si>
  <si>
    <t>You can determine the exact break points either by trial and error, graphing, or (roughly) interpolation.</t>
  </si>
  <si>
    <t xml:space="preserve">  Do we have a fixed budget to use for projects?</t>
  </si>
  <si>
    <t xml:space="preserve">If can do more than one but budget is capped at $1,500: </t>
  </si>
  <si>
    <t>If can do more than one and no budget cap exists:</t>
  </si>
  <si>
    <t>2 + 3 exceeds budget.</t>
  </si>
  <si>
    <t>Projects 2 + 4</t>
  </si>
  <si>
    <t xml:space="preserve">B/C ratio may mislead you: says pick 2 first, but then can only fit in Project 4 with remaining budget. </t>
  </si>
  <si>
    <t>Project 5</t>
  </si>
  <si>
    <t>Projects 3 + 5</t>
  </si>
  <si>
    <t>2 yields highest return. But 1 has the largest net yield.</t>
  </si>
  <si>
    <t>Which option is best? Must consider:</t>
  </si>
  <si>
    <t>3 + 5 is better than 2 + 4.</t>
  </si>
  <si>
    <t>discount rate (interest rate)</t>
  </si>
  <si>
    <t>Ch 8 ppt Example 1</t>
  </si>
  <si>
    <t>B/C ratio:</t>
  </si>
  <si>
    <t>NPW (NPV):</t>
  </si>
  <si>
    <t>Note that anytime you have a "yes/no" decision, these methods will give you the same conclusion.</t>
  </si>
  <si>
    <t xml:space="preserve">F </t>
  </si>
  <si>
    <t>from:</t>
  </si>
  <si>
    <t>to:</t>
  </si>
  <si>
    <t>S</t>
  </si>
  <si>
    <t>P(S)</t>
  </si>
  <si>
    <t>P(A)</t>
  </si>
  <si>
    <t>P benefits total</t>
  </si>
  <si>
    <t>Using formulas:</t>
  </si>
  <si>
    <t>Using Excel:</t>
  </si>
  <si>
    <t>P costs</t>
  </si>
  <si>
    <t>Ch 8 ppt Example 2</t>
  </si>
  <si>
    <t>Benefits</t>
  </si>
  <si>
    <t>Costs</t>
  </si>
  <si>
    <t xml:space="preserve">  capital</t>
  </si>
  <si>
    <t xml:space="preserve">  maint/yr</t>
  </si>
  <si>
    <t>P costs total</t>
  </si>
  <si>
    <t>Traditional B/C:</t>
  </si>
  <si>
    <t>Modified B/C:</t>
  </si>
  <si>
    <t>B - maint C</t>
  </si>
  <si>
    <t>capital cost</t>
  </si>
  <si>
    <t>Total</t>
  </si>
  <si>
    <t>Ex 8-2</t>
  </si>
  <si>
    <t>Plan I</t>
  </si>
  <si>
    <t>Plan II</t>
  </si>
  <si>
    <t>Plan III</t>
  </si>
  <si>
    <t>Plan IV</t>
  </si>
  <si>
    <t>savings util paymts</t>
  </si>
  <si>
    <t>rev overcapacity</t>
  </si>
  <si>
    <t>jobs created</t>
  </si>
  <si>
    <t>benefits sum</t>
  </si>
  <si>
    <t>NPW (NPV)</t>
  </si>
  <si>
    <t>Differentials:</t>
  </si>
  <si>
    <t>PW of diff costs</t>
  </si>
  <si>
    <t>PW of diff benefits</t>
  </si>
  <si>
    <t>Step 2</t>
  </si>
  <si>
    <t>Step 1</t>
  </si>
  <si>
    <t>Y</t>
  </si>
  <si>
    <t>N</t>
  </si>
  <si>
    <t>Step 3</t>
  </si>
  <si>
    <t>Step 4</t>
  </si>
  <si>
    <t>Atlas scale</t>
  </si>
  <si>
    <t>Atlas</t>
  </si>
  <si>
    <t>Tom Thumb</t>
  </si>
  <si>
    <t>Salvage value</t>
  </si>
  <si>
    <t>Payback period:</t>
  </si>
  <si>
    <t>Annual benefit</t>
  </si>
  <si>
    <t>NPW</t>
  </si>
  <si>
    <t>Tom Thumb scale</t>
  </si>
  <si>
    <t>Payback period (yrs)</t>
  </si>
  <si>
    <t>Atlas pays back more quickly but has a worse NPW (NPV).</t>
  </si>
  <si>
    <t>Ex 8-6</t>
  </si>
  <si>
    <t>Other formulas:</t>
  </si>
  <si>
    <t>Core formulas:</t>
  </si>
  <si>
    <r>
      <rPr>
        <i/>
        <sz val="17"/>
        <color rgb="FF000000"/>
        <rFont val="Garamond"/>
        <family val="1"/>
      </rPr>
      <t>i</t>
    </r>
    <r>
      <rPr>
        <sz val="17"/>
        <color rgb="FF000000"/>
        <rFont val="Garamond"/>
        <family val="1"/>
      </rPr>
      <t xml:space="preserve"> = </t>
    </r>
    <r>
      <rPr>
        <i/>
        <sz val="17"/>
        <color rgb="FF000000"/>
        <rFont val="Garamond"/>
        <family val="1"/>
      </rPr>
      <t>i′</t>
    </r>
    <r>
      <rPr>
        <sz val="17"/>
        <color rgb="FF000000"/>
        <rFont val="Garamond"/>
        <family val="1"/>
      </rPr>
      <t xml:space="preserve"> + </t>
    </r>
    <r>
      <rPr>
        <i/>
        <sz val="17"/>
        <color rgb="FF000000"/>
        <rFont val="Garamond"/>
        <family val="1"/>
      </rPr>
      <t>f</t>
    </r>
    <r>
      <rPr>
        <sz val="17"/>
        <color rgb="FF000000"/>
        <rFont val="Garamond"/>
        <family val="1"/>
      </rPr>
      <t xml:space="preserve"> + </t>
    </r>
    <r>
      <rPr>
        <i/>
        <sz val="17"/>
        <color rgb="FF000000"/>
        <rFont val="Garamond"/>
        <family val="1"/>
      </rPr>
      <t>i′f</t>
    </r>
  </si>
  <si>
    <r>
      <t>i’ = (i-f)/(1+f)</t>
    </r>
    <r>
      <rPr>
        <sz val="21.8"/>
        <color rgb="FF000000"/>
        <rFont val="Garamond"/>
        <family val="1"/>
      </rPr>
      <t xml:space="preserve"> </t>
    </r>
  </si>
  <si>
    <t>i = f + i' * (1+f)</t>
  </si>
  <si>
    <t>f</t>
  </si>
  <si>
    <t>i -f = i' * (1+f)</t>
  </si>
  <si>
    <t>i'</t>
  </si>
  <si>
    <t xml:space="preserve">(i -f)/(1+f) = i' </t>
  </si>
  <si>
    <t>Yr</t>
  </si>
  <si>
    <t>Ex 9-3</t>
  </si>
  <si>
    <t>Rate of return</t>
  </si>
  <si>
    <t>Cumulative cost</t>
  </si>
  <si>
    <t>Sort by IRR:</t>
  </si>
  <si>
    <t>Initial information:</t>
  </si>
  <si>
    <t>Apply $650,000 budget:</t>
  </si>
  <si>
    <t>Opportunity cost: value of next best project</t>
  </si>
  <si>
    <t>= project 9, with IRR of 14%.</t>
  </si>
  <si>
    <t>5 years</t>
  </si>
  <si>
    <t>Ex 4-8</t>
  </si>
  <si>
    <t>Using spreadsheet (present value calculations):</t>
  </si>
  <si>
    <t>A (increasing amount)</t>
  </si>
  <si>
    <t>n (years)</t>
  </si>
  <si>
    <t>(P/A, 5%, 5)</t>
  </si>
  <si>
    <t>(P/G, 5%, 5)</t>
  </si>
  <si>
    <t>P + P'' =</t>
  </si>
  <si>
    <t>(A/F, i, n)</t>
  </si>
  <si>
    <t>P (present value)</t>
  </si>
  <si>
    <t>The EUAC isn't equal to the annual cost for Option 1, because you get the tires on Jan 1, but pay (plus interest on Dec 31).</t>
  </si>
  <si>
    <t>Each of the actual payments must reflect this (the numbers in red to the left are these).</t>
  </si>
  <si>
    <t>Actual payments</t>
  </si>
  <si>
    <t>Discounted values</t>
  </si>
  <si>
    <t>EUAC calculations worked out (using Goal Seek for the green value, to get the same discounted sum)</t>
  </si>
  <si>
    <t>A/G</t>
  </si>
  <si>
    <t>For reference:</t>
  </si>
  <si>
    <t>A''</t>
  </si>
  <si>
    <t>A'</t>
  </si>
  <si>
    <t>A total</t>
  </si>
  <si>
    <t>A original</t>
  </si>
  <si>
    <t>Number of periods</t>
  </si>
  <si>
    <t>end of yr interset</t>
  </si>
  <si>
    <t>init balance</t>
  </si>
  <si>
    <t>end of year deposit</t>
  </si>
  <si>
    <t>init bal</t>
  </si>
  <si>
    <t>end of yr bal</t>
  </si>
  <si>
    <t>withd</t>
  </si>
  <si>
    <t>values in red are missing in the table in the textbook, but are included in the equations in the solution.</t>
  </si>
  <si>
    <t>Note error in textbook slides: $200,000 renovation cost is a future cost (F), not a present cost (P),</t>
  </si>
  <si>
    <t>which needs to be converted to an annual equivalent (A), then capitalized.</t>
  </si>
  <si>
    <t xml:space="preserve">Annual equivalent of each renovation cost </t>
  </si>
  <si>
    <t xml:space="preserve">  (using A=F/A,i,n)</t>
  </si>
  <si>
    <t>So we need to use A = (F/A, i, n) for this conversion, rather than A = (P/A, i, n) .</t>
  </si>
  <si>
    <t>= (1+r/m)^m - 1</t>
  </si>
  <si>
    <t>(Eq 3-7)</t>
  </si>
  <si>
    <t>(Eq 3-8)</t>
  </si>
  <si>
    <t>Same result by version of the equation.</t>
  </si>
  <si>
    <t>I've changed the capital cost of Option 1 to match that of 2, for learning purposes.</t>
  </si>
  <si>
    <t>Mortgage amount</t>
  </si>
  <si>
    <t>Number of monthly payments</t>
  </si>
  <si>
    <t>(10 yrs later)</t>
  </si>
  <si>
    <t>Semi-annual rate (by law)</t>
  </si>
  <si>
    <t>Annual effective rate</t>
  </si>
  <si>
    <t>r = (1+ i(a))^(1/12)</t>
  </si>
  <si>
    <t>Equivalent monthly interest rate</t>
  </si>
  <si>
    <t>Canadian semi-annual mortgage example</t>
  </si>
  <si>
    <t>(30 years)</t>
  </si>
  <si>
    <t>US Mortgage example</t>
  </si>
  <si>
    <t>equivalent effective annual rate (for reference only)</t>
  </si>
  <si>
    <t xml:space="preserve">The fixed monthly payment amount is chosen to be an amount that will pay off the entire loan </t>
  </si>
  <si>
    <t>at the end of the chosen length of time (in this case, 360 months).</t>
  </si>
  <si>
    <t>(30 yrs later)</t>
  </si>
  <si>
    <t>(25 years)</t>
  </si>
  <si>
    <t>(25 years later)</t>
  </si>
  <si>
    <t>(P to A formula)</t>
  </si>
  <si>
    <t>Ex 7-5</t>
  </si>
  <si>
    <t>= (1+i)^n = (1.0407)^2</t>
  </si>
  <si>
    <t>Choice table:</t>
  </si>
  <si>
    <t>If</t>
  </si>
  <si>
    <t>Select B</t>
  </si>
  <si>
    <t>Select A</t>
  </si>
  <si>
    <t xml:space="preserve">If </t>
  </si>
  <si>
    <t>Do Nothing</t>
  </si>
  <si>
    <t>Incremental vs A:</t>
  </si>
  <si>
    <t>Incremental IRR</t>
  </si>
  <si>
    <t>Incremental vs B:</t>
  </si>
  <si>
    <t>1. Compute rates of return (IRRs)</t>
  </si>
  <si>
    <t>&lt; borrowing rate</t>
  </si>
  <si>
    <r>
      <t>Δ ROR</t>
    </r>
    <r>
      <rPr>
        <vertAlign val="subscript"/>
        <sz val="12"/>
        <color theme="1"/>
        <rFont val="Garamond"/>
        <family val="1"/>
      </rPr>
      <t>C–B</t>
    </r>
    <r>
      <rPr>
        <sz val="12"/>
        <color theme="1"/>
        <rFont val="Garamond"/>
        <family val="1"/>
      </rPr>
      <t xml:space="preserve"> = 6%</t>
    </r>
  </si>
  <si>
    <r>
      <t>Δ ROR</t>
    </r>
    <r>
      <rPr>
        <vertAlign val="subscript"/>
        <sz val="12"/>
        <color theme="1"/>
        <rFont val="Garamond"/>
        <family val="1"/>
      </rPr>
      <t>A–B</t>
    </r>
    <r>
      <rPr>
        <sz val="12"/>
        <color theme="1"/>
        <rFont val="Garamond"/>
        <family val="1"/>
      </rPr>
      <t xml:space="preserve"> = 9.63%</t>
    </r>
  </si>
  <si>
    <t>Select C</t>
  </si>
  <si>
    <t>Step 1 Summary</t>
  </si>
  <si>
    <t xml:space="preserve">  * Neither D nor E are ever the best option. We can rule them out of further analysis.</t>
  </si>
  <si>
    <t xml:space="preserve">  * A, B and C are each best at different interest rates.</t>
  </si>
  <si>
    <t>Step 1: Assess the NPVs for each project at a variety of interest rates.</t>
  </si>
  <si>
    <t>Results:</t>
  </si>
  <si>
    <t xml:space="preserve">  * No project has a positive return if interest rate is 20% or higher.</t>
  </si>
  <si>
    <t>Step 1:</t>
  </si>
  <si>
    <t>Use incremental analysis to determine the exact interest rate breakpoints at which preferred option changes (Step 2)</t>
  </si>
  <si>
    <t>Projects D and E ruled out.</t>
  </si>
  <si>
    <t>Incremental analysis for remaining options.</t>
  </si>
  <si>
    <t>Step 2: Use incremental analysis to determine exact breakpoints</t>
  </si>
  <si>
    <r>
      <t>Δ ROR</t>
    </r>
    <r>
      <rPr>
        <vertAlign val="subscript"/>
        <sz val="12"/>
        <color theme="1"/>
        <rFont val="Garamond"/>
        <family val="1"/>
      </rPr>
      <t>C–A</t>
    </r>
    <r>
      <rPr>
        <sz val="12"/>
        <color theme="1"/>
        <rFont val="Garamond"/>
        <family val="1"/>
      </rPr>
      <t xml:space="preserve"> = 1.97%</t>
    </r>
  </si>
  <si>
    <t>Step 2: Incremental analysis</t>
  </si>
  <si>
    <t>2. Calculate B/C ratios</t>
  </si>
  <si>
    <t>1. Identify alternatives</t>
  </si>
  <si>
    <t>3. Rank order by PW of costs:</t>
  </si>
  <si>
    <t>4. Select best option as anchor for incremental analysis.</t>
  </si>
  <si>
    <t>5. Calculate diff in B/C ratio</t>
  </si>
  <si>
    <t>6. Is increment justified?</t>
  </si>
  <si>
    <t>7. Iterate to examine other options.</t>
  </si>
  <si>
    <t>8. Choose best alternative based on analysis.</t>
  </si>
  <si>
    <t>For reference / comparison:</t>
  </si>
  <si>
    <t>Note that simple B/C analysis gives a different preferred option to NPW analysis.</t>
  </si>
  <si>
    <t>Ex 8-7</t>
  </si>
  <si>
    <t>≤ 19.96</t>
  </si>
  <si>
    <t>Net Present Worth</t>
  </si>
  <si>
    <t>future value of costs</t>
  </si>
  <si>
    <t>future benefits</t>
  </si>
  <si>
    <t>Future saved</t>
  </si>
  <si>
    <t>discounted saved (present value)</t>
  </si>
  <si>
    <t>discounted (present value)</t>
  </si>
  <si>
    <t>total payment</t>
  </si>
  <si>
    <t>cost or benefit</t>
  </si>
  <si>
    <t>3. Determine differential rates of return of other options (vs selection)</t>
  </si>
  <si>
    <t>2. Order by lowest cost. Select project with lowest cost as initial selection.</t>
  </si>
  <si>
    <t>P = P' + P''</t>
  </si>
  <si>
    <t>What if the interest compounded every month instead?</t>
  </si>
  <si>
    <t>More future value, due to more frequent compounding.</t>
  </si>
  <si>
    <t>If the compounding were monthly, and he wanted to save</t>
  </si>
  <si>
    <t xml:space="preserve">the same amount as originally shown, how much lower </t>
  </si>
  <si>
    <t>could the interest rate be?</t>
  </si>
  <si>
    <t xml:space="preserve">Use goal seek to find interest rate that will match </t>
  </si>
  <si>
    <t>that Future value.</t>
  </si>
  <si>
    <t>Nominal annual equivalent:</t>
  </si>
  <si>
    <t>Alternatives to discuss in class:</t>
  </si>
  <si>
    <t>These are past data: does that affect the F vs P calculations?</t>
  </si>
  <si>
    <t>Option 2 6 yr : Excel layout</t>
  </si>
  <si>
    <t>This is a material change:</t>
  </si>
  <si>
    <t>Option 2 asset is now expected to last longer.</t>
  </si>
  <si>
    <t xml:space="preserve">5 payments @ $129.51 in past 5 yrs would have been equivalent </t>
  </si>
  <si>
    <t>to the shown set of 5 payments.</t>
  </si>
  <si>
    <t>3. reqd equivalent payments per year</t>
  </si>
  <si>
    <t>No: if the cost pattern shown were to repeat in the next 5 years,</t>
  </si>
  <si>
    <t>then the same conclusion is true: 5 pymts @ $129.51</t>
  </si>
  <si>
    <t>would still be equivalent to that planned series.</t>
  </si>
  <si>
    <t>If, however, costs were expected to be higher in the future, then an adjustment would be needed.</t>
  </si>
  <si>
    <t>ROI:</t>
  </si>
  <si>
    <t>Start with:</t>
  </si>
  <si>
    <t>End with:</t>
  </si>
  <si>
    <t>Gains of:</t>
  </si>
  <si>
    <t>Or (as we'll see in Ex 7-12) you can use Incremental Analysis.</t>
  </si>
  <si>
    <t>i&lt;&gt;g:</t>
  </si>
  <si>
    <t>i=g:</t>
  </si>
  <si>
    <t>Total payment</t>
  </si>
  <si>
    <t>Fixed Principal paid</t>
  </si>
  <si>
    <t>(15 years)</t>
  </si>
  <si>
    <t>PV total</t>
  </si>
  <si>
    <t>Example 4-2</t>
  </si>
  <si>
    <t>F future value)</t>
  </si>
  <si>
    <t>nominal annual interest rate</t>
  </si>
  <si>
    <t>reqd savings per period</t>
  </si>
  <si>
    <t>F to A factor</t>
  </si>
  <si>
    <t>B. Manual setup (goal seek)</t>
  </si>
  <si>
    <t>future value</t>
  </si>
  <si>
    <t>(1+ia)^(1/2)-1</t>
  </si>
  <si>
    <t>IRR Formula</t>
  </si>
  <si>
    <t>Example 7-2</t>
  </si>
  <si>
    <t>MARR (applied</t>
  </si>
  <si>
    <t>as discount rate)</t>
  </si>
  <si>
    <t>IRR:</t>
  </si>
  <si>
    <t>Number of annual payments</t>
  </si>
  <si>
    <t>equivalent effective annual rate</t>
  </si>
  <si>
    <t>(1 year)</t>
  </si>
  <si>
    <t>Interest charged</t>
  </si>
  <si>
    <t>Payments are completed at same time, using equivalent effective annual rate.</t>
  </si>
  <si>
    <t>But interest paid isn't the same (since you are changing the amount owed every month in the previous example).</t>
  </si>
  <si>
    <t>Mortgage example 3a</t>
  </si>
  <si>
    <t>Mortgage example 3b</t>
  </si>
  <si>
    <t>Mortgage example 3c</t>
  </si>
  <si>
    <t>Payments are completed in one year, using monthly rate.</t>
  </si>
  <si>
    <t>Payments are completed with same total interest as example 3b, using monthly rate.</t>
  </si>
  <si>
    <t>Total interest and completion of payments are the same as 3b, because principal isn't reduced.</t>
  </si>
  <si>
    <t>Applicable formula: (1+ia)^(1/2)-1</t>
  </si>
  <si>
    <t>Interest rate:</t>
  </si>
  <si>
    <t>Mortgage interest rate per mo:</t>
  </si>
  <si>
    <t>Mortgage term (yrs):</t>
  </si>
  <si>
    <t>Number of payments n</t>
  </si>
  <si>
    <t>House cost:</t>
  </si>
  <si>
    <t>Net amt to borrow</t>
  </si>
  <si>
    <t>Mortgage payment:</t>
  </si>
  <si>
    <t>Discount rate:</t>
  </si>
  <si>
    <t>n3</t>
  </si>
  <si>
    <t>Mortgage 1a</t>
  </si>
  <si>
    <t>Mortgage 1b</t>
  </si>
  <si>
    <t>Mortgage 2a</t>
  </si>
  <si>
    <t>Mortgage 2b</t>
  </si>
  <si>
    <t>PW1a</t>
  </si>
  <si>
    <t>PW1b</t>
  </si>
  <si>
    <t>PW2a</t>
  </si>
  <si>
    <t>PW2b</t>
  </si>
  <si>
    <t>Implied interest rate: 6.87%</t>
  </si>
  <si>
    <t>The direction to move to annual sum of payments leads to an implicit slight reduction in the interest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</si>
</sst>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0.0%"/>
    <numFmt numFmtId="170" formatCode="0.0000%"/>
    <numFmt numFmtId="171" formatCode="0.000"/>
    <numFmt numFmtId="172" formatCode="0.0000"/>
    <numFmt numFmtId="173" formatCode="_(&quot;$&quot;* #,##0.00_);_(&quot;$&quot;* \(#,##0.00\);_(&quot;$&quot;* &quot;-&quot;?_);_(@_)"/>
    <numFmt numFmtId="174" formatCode="0.0"/>
    <numFmt numFmtId="175" formatCode="_(* #,##0.0_);_(* \(#,##0.0\);_(* &quot;-&quot;??_);_(@_)"/>
    <numFmt numFmtId="176" formatCode="_(* #,##0.0000_);_(* \(#,##0.0000\);_(* &quot;-&quot;??_);_(@_)"/>
    <numFmt numFmtId="177" formatCode="_(* #,##0.00000_);_(* \(#,##0.00000\);_(* &quot;-&quot;??_);_(@_)"/>
    <numFmt numFmtId="178" formatCode="0.000000"/>
    <numFmt numFmtId="179" formatCode="0.00000000"/>
    <numFmt numFmtId="180" formatCode="0.00000%"/>
    <numFmt numFmtId="181" formatCode="0.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rgb="FF000000"/>
      <name val="Garamond"/>
      <family val="1"/>
    </font>
    <font>
      <sz val="12"/>
      <name val="Garamond"/>
      <family val="1"/>
    </font>
    <font>
      <b/>
      <sz val="12"/>
      <color rgb="FF000000"/>
      <name val="Garamond"/>
      <family val="1"/>
    </font>
    <font>
      <b/>
      <sz val="12"/>
      <name val="Garamond"/>
      <family val="1"/>
    </font>
    <font>
      <sz val="11"/>
      <color theme="0" tint="-0.34998626667073579"/>
      <name val="Calibri"/>
      <family val="2"/>
      <scheme val="minor"/>
    </font>
    <font>
      <i/>
      <sz val="17"/>
      <color rgb="FF000000"/>
      <name val="Garamond"/>
      <family val="1"/>
    </font>
    <font>
      <sz val="17"/>
      <color rgb="FF000000"/>
      <name val="Garamond"/>
      <family val="1"/>
    </font>
    <font>
      <i/>
      <sz val="21.8"/>
      <color rgb="FF000000"/>
      <name val="Garamond"/>
      <family val="1"/>
    </font>
    <font>
      <sz val="21.8"/>
      <color rgb="FF000000"/>
      <name val="Garamond"/>
      <family val="1"/>
    </font>
    <font>
      <sz val="11"/>
      <color theme="4" tint="-0.499984740745262"/>
      <name val="Calibri"/>
      <family val="2"/>
      <scheme val="minor"/>
    </font>
    <font>
      <sz val="12"/>
      <color theme="1"/>
      <name val="Garamond"/>
      <family val="1"/>
    </font>
    <font>
      <vertAlign val="subscript"/>
      <sz val="12"/>
      <color theme="1"/>
      <name val="Garamond"/>
      <family val="1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" fontId="0" fillId="0" borderId="0" xfId="0" applyNumberFormat="1"/>
    <xf numFmtId="10" fontId="0" fillId="0" borderId="0" xfId="3" applyNumberFormat="1" applyFon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left"/>
    </xf>
    <xf numFmtId="167" fontId="0" fillId="0" borderId="0" xfId="1" applyNumberFormat="1" applyFont="1" applyFill="1"/>
    <xf numFmtId="167" fontId="0" fillId="0" borderId="0" xfId="1" applyNumberFormat="1" applyFont="1"/>
    <xf numFmtId="167" fontId="0" fillId="3" borderId="0" xfId="1" applyNumberFormat="1" applyFont="1" applyFill="1"/>
    <xf numFmtId="9" fontId="0" fillId="0" borderId="0" xfId="3" applyFont="1"/>
    <xf numFmtId="167" fontId="0" fillId="2" borderId="0" xfId="1" applyNumberFormat="1" applyFont="1" applyFill="1"/>
    <xf numFmtId="168" fontId="0" fillId="0" borderId="0" xfId="2" applyNumberFormat="1" applyFont="1"/>
    <xf numFmtId="168" fontId="0" fillId="0" borderId="0" xfId="0" applyNumberFormat="1"/>
    <xf numFmtId="167" fontId="0" fillId="0" borderId="0" xfId="0" applyNumberFormat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4" borderId="0" xfId="0" applyNumberFormat="1" applyFill="1"/>
    <xf numFmtId="10" fontId="0" fillId="4" borderId="0" xfId="3" applyNumberFormat="1" applyFont="1" applyFill="1"/>
    <xf numFmtId="2" fontId="4" fillId="0" borderId="0" xfId="0" applyNumberFormat="1" applyFont="1"/>
    <xf numFmtId="0" fontId="0" fillId="4" borderId="0" xfId="0" applyFill="1"/>
    <xf numFmtId="167" fontId="0" fillId="4" borderId="0" xfId="1" applyNumberFormat="1" applyFont="1" applyFill="1"/>
    <xf numFmtId="169" fontId="0" fillId="3" borderId="0" xfId="3" applyNumberFormat="1" applyFont="1" applyFill="1"/>
    <xf numFmtId="10" fontId="0" fillId="0" borderId="0" xfId="3" applyNumberFormat="1" applyFont="1" applyFill="1"/>
    <xf numFmtId="0" fontId="0" fillId="0" borderId="2" xfId="0" applyBorder="1"/>
    <xf numFmtId="167" fontId="0" fillId="0" borderId="2" xfId="1" applyNumberFormat="1" applyFont="1" applyFill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2" fillId="0" borderId="0" xfId="0" applyFont="1"/>
    <xf numFmtId="167" fontId="0" fillId="5" borderId="0" xfId="0" applyNumberFormat="1" applyFill="1"/>
    <xf numFmtId="9" fontId="0" fillId="0" borderId="1" xfId="3" applyFont="1" applyBorder="1"/>
    <xf numFmtId="0" fontId="0" fillId="5" borderId="0" xfId="0" applyFill="1"/>
    <xf numFmtId="164" fontId="0" fillId="0" borderId="0" xfId="0" applyNumberFormat="1" applyAlignment="1">
      <alignment horizontal="center"/>
    </xf>
    <xf numFmtId="167" fontId="4" fillId="0" borderId="0" xfId="1" applyNumberFormat="1" applyFont="1" applyFill="1"/>
    <xf numFmtId="9" fontId="0" fillId="4" borderId="0" xfId="3" applyFont="1" applyFill="1"/>
    <xf numFmtId="0" fontId="0" fillId="6" borderId="0" xfId="0" applyFill="1"/>
    <xf numFmtId="167" fontId="0" fillId="6" borderId="0" xfId="0" applyNumberFormat="1" applyFill="1"/>
    <xf numFmtId="167" fontId="3" fillId="7" borderId="0" xfId="1" applyNumberFormat="1" applyFont="1" applyFill="1"/>
    <xf numFmtId="17" fontId="0" fillId="0" borderId="0" xfId="0" applyNumberFormat="1"/>
    <xf numFmtId="166" fontId="0" fillId="0" borderId="0" xfId="2" applyFont="1"/>
    <xf numFmtId="166" fontId="0" fillId="0" borderId="0" xfId="0" applyNumberFormat="1"/>
    <xf numFmtId="168" fontId="0" fillId="3" borderId="0" xfId="2" applyNumberFormat="1" applyFont="1" applyFill="1"/>
    <xf numFmtId="0" fontId="0" fillId="0" borderId="1" xfId="0" applyBorder="1" applyAlignment="1">
      <alignment wrapText="1"/>
    </xf>
    <xf numFmtId="10" fontId="0" fillId="0" borderId="0" xfId="0" applyNumberFormat="1"/>
    <xf numFmtId="164" fontId="0" fillId="8" borderId="0" xfId="0" applyNumberFormat="1" applyFill="1"/>
    <xf numFmtId="9" fontId="0" fillId="3" borderId="0" xfId="0" applyNumberFormat="1" applyFill="1"/>
    <xf numFmtId="0" fontId="0" fillId="0" borderId="1" xfId="0" applyBorder="1" applyAlignment="1">
      <alignment horizontal="center"/>
    </xf>
    <xf numFmtId="0" fontId="0" fillId="3" borderId="0" xfId="0" applyFill="1"/>
    <xf numFmtId="166" fontId="0" fillId="3" borderId="0" xfId="2" applyFont="1" applyFill="1"/>
    <xf numFmtId="166" fontId="0" fillId="6" borderId="0" xfId="2" applyFont="1" applyFill="1"/>
    <xf numFmtId="170" fontId="0" fillId="0" borderId="0" xfId="3" applyNumberFormat="1" applyFont="1"/>
    <xf numFmtId="15" fontId="0" fillId="0" borderId="0" xfId="0" applyNumberFormat="1"/>
    <xf numFmtId="43" fontId="0" fillId="0" borderId="0" xfId="1" applyFont="1" applyFill="1"/>
    <xf numFmtId="166" fontId="2" fillId="0" borderId="0" xfId="2" applyFont="1"/>
    <xf numFmtId="43" fontId="2" fillId="0" borderId="0" xfId="1" applyFont="1" applyFill="1"/>
    <xf numFmtId="2" fontId="2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3" fontId="0" fillId="2" borderId="0" xfId="1" applyFont="1" applyFill="1"/>
    <xf numFmtId="167" fontId="2" fillId="0" borderId="0" xfId="0" applyNumberFormat="1" applyFont="1"/>
    <xf numFmtId="171" fontId="0" fillId="0" borderId="0" xfId="0" applyNumberFormat="1"/>
    <xf numFmtId="1" fontId="2" fillId="0" borderId="5" xfId="0" applyNumberFormat="1" applyFont="1" applyBorder="1"/>
    <xf numFmtId="168" fontId="2" fillId="0" borderId="5" xfId="0" applyNumberFormat="1" applyFont="1" applyBorder="1"/>
    <xf numFmtId="0" fontId="0" fillId="0" borderId="5" xfId="0" applyBorder="1"/>
    <xf numFmtId="167" fontId="2" fillId="0" borderId="5" xfId="0" applyNumberFormat="1" applyFont="1" applyBorder="1"/>
    <xf numFmtId="168" fontId="0" fillId="9" borderId="0" xfId="0" applyNumberFormat="1" applyFill="1"/>
    <xf numFmtId="167" fontId="0" fillId="9" borderId="0" xfId="1" applyNumberFormat="1" applyFont="1" applyFill="1"/>
    <xf numFmtId="0" fontId="5" fillId="0" borderId="0" xfId="0" applyFont="1"/>
    <xf numFmtId="9" fontId="0" fillId="0" borderId="0" xfId="3" applyFont="1" applyFill="1"/>
    <xf numFmtId="0" fontId="6" fillId="0" borderId="0" xfId="0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167" fontId="7" fillId="0" borderId="0" xfId="1" applyNumberFormat="1" applyFont="1" applyFill="1"/>
    <xf numFmtId="0" fontId="7" fillId="0" borderId="0" xfId="0" applyFont="1"/>
    <xf numFmtId="168" fontId="2" fillId="0" borderId="0" xfId="0" applyNumberFormat="1" applyFont="1"/>
    <xf numFmtId="169" fontId="0" fillId="0" borderId="0" xfId="3" applyNumberFormat="1" applyFont="1"/>
    <xf numFmtId="167" fontId="8" fillId="0" borderId="0" xfId="1" applyNumberFormat="1" applyFont="1" applyFill="1"/>
    <xf numFmtId="168" fontId="8" fillId="0" borderId="0" xfId="2" applyNumberFormat="1" applyFont="1"/>
    <xf numFmtId="0" fontId="2" fillId="0" borderId="1" xfId="0" applyFont="1" applyBorder="1"/>
    <xf numFmtId="2" fontId="6" fillId="10" borderId="0" xfId="0" applyNumberFormat="1" applyFont="1" applyFill="1"/>
    <xf numFmtId="172" fontId="0" fillId="0" borderId="0" xfId="0" applyNumberFormat="1"/>
    <xf numFmtId="0" fontId="0" fillId="0" borderId="0" xfId="0" quotePrefix="1"/>
    <xf numFmtId="2" fontId="0" fillId="11" borderId="0" xfId="0" applyNumberFormat="1" applyFill="1"/>
    <xf numFmtId="2" fontId="0" fillId="10" borderId="0" xfId="0" applyNumberFormat="1" applyFill="1"/>
    <xf numFmtId="2" fontId="6" fillId="6" borderId="0" xfId="0" applyNumberFormat="1" applyFont="1" applyFill="1"/>
    <xf numFmtId="0" fontId="0" fillId="10" borderId="0" xfId="0" applyFill="1"/>
    <xf numFmtId="166" fontId="2" fillId="0" borderId="6" xfId="0" applyNumberFormat="1" applyFont="1" applyBorder="1"/>
    <xf numFmtId="168" fontId="0" fillId="0" borderId="1" xfId="2" applyNumberFormat="1" applyFont="1" applyBorder="1"/>
    <xf numFmtId="1" fontId="2" fillId="0" borderId="6" xfId="0" applyNumberFormat="1" applyFont="1" applyBorder="1"/>
    <xf numFmtId="168" fontId="2" fillId="0" borderId="6" xfId="0" applyNumberFormat="1" applyFont="1" applyBorder="1"/>
    <xf numFmtId="0" fontId="9" fillId="10" borderId="0" xfId="0" applyFont="1" applyFill="1"/>
    <xf numFmtId="167" fontId="0" fillId="10" borderId="0" xfId="1" applyNumberFormat="1" applyFont="1" applyFill="1"/>
    <xf numFmtId="173" fontId="0" fillId="0" borderId="0" xfId="0" applyNumberFormat="1"/>
    <xf numFmtId="168" fontId="0" fillId="10" borderId="0" xfId="2" applyNumberFormat="1" applyFont="1" applyFill="1"/>
    <xf numFmtId="10" fontId="0" fillId="10" borderId="0" xfId="3" applyNumberFormat="1" applyFont="1" applyFill="1"/>
    <xf numFmtId="1" fontId="0" fillId="6" borderId="0" xfId="0" applyNumberFormat="1" applyFill="1"/>
    <xf numFmtId="168" fontId="0" fillId="6" borderId="0" xfId="2" applyNumberFormat="1" applyFont="1" applyFill="1"/>
    <xf numFmtId="9" fontId="10" fillId="0" borderId="0" xfId="3" applyFont="1"/>
    <xf numFmtId="2" fontId="10" fillId="0" borderId="0" xfId="0" applyNumberFormat="1" applyFont="1"/>
    <xf numFmtId="0" fontId="10" fillId="0" borderId="0" xfId="0" applyFont="1"/>
    <xf numFmtId="10" fontId="0" fillId="3" borderId="0" xfId="3" applyNumberFormat="1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8" fontId="0" fillId="0" borderId="5" xfId="0" applyNumberFormat="1" applyBorder="1"/>
    <xf numFmtId="9" fontId="11" fillId="0" borderId="0" xfId="0" applyNumberFormat="1" applyFont="1" applyAlignment="1">
      <alignment horizontal="center" vertical="center" wrapText="1"/>
    </xf>
    <xf numFmtId="174" fontId="11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9" fontId="13" fillId="9" borderId="0" xfId="0" applyNumberFormat="1" applyFont="1" applyFill="1" applyAlignment="1">
      <alignment horizontal="center" vertical="center" wrapText="1"/>
    </xf>
    <xf numFmtId="174" fontId="13" fillId="9" borderId="0" xfId="0" applyNumberFormat="1" applyFont="1" applyFill="1" applyAlignment="1">
      <alignment horizontal="center" vertical="center" wrapText="1"/>
    </xf>
    <xf numFmtId="164" fontId="14" fillId="9" borderId="0" xfId="0" applyNumberFormat="1" applyFont="1" applyFill="1" applyAlignment="1">
      <alignment horizontal="center" vertical="center" wrapText="1"/>
    </xf>
    <xf numFmtId="167" fontId="0" fillId="0" borderId="0" xfId="1" applyNumberFormat="1" applyFont="1" applyFill="1" applyBorder="1"/>
    <xf numFmtId="2" fontId="15" fillId="0" borderId="0" xfId="0" applyNumberFormat="1" applyFont="1"/>
    <xf numFmtId="0" fontId="6" fillId="0" borderId="1" xfId="0" applyFont="1" applyBorder="1" applyAlignment="1">
      <alignment horizontal="left"/>
    </xf>
    <xf numFmtId="167" fontId="6" fillId="0" borderId="0" xfId="1" applyNumberFormat="1" applyFont="1"/>
    <xf numFmtId="167" fontId="0" fillId="0" borderId="5" xfId="1" applyNumberFormat="1" applyFont="1" applyFill="1" applyBorder="1"/>
    <xf numFmtId="167" fontId="15" fillId="0" borderId="5" xfId="1" applyNumberFormat="1" applyFont="1" applyFill="1" applyBorder="1"/>
    <xf numFmtId="167" fontId="8" fillId="0" borderId="5" xfId="1" applyNumberFormat="1" applyFont="1" applyFill="1" applyBorder="1"/>
    <xf numFmtId="0" fontId="8" fillId="0" borderId="0" xfId="0" applyFont="1"/>
    <xf numFmtId="169" fontId="0" fillId="0" borderId="1" xfId="3" applyNumberFormat="1" applyFont="1" applyBorder="1"/>
    <xf numFmtId="9" fontId="3" fillId="12" borderId="0" xfId="0" applyNumberFormat="1" applyFont="1" applyFill="1"/>
    <xf numFmtId="167" fontId="3" fillId="12" borderId="0" xfId="1" applyNumberFormat="1" applyFont="1" applyFill="1"/>
    <xf numFmtId="167" fontId="6" fillId="5" borderId="0" xfId="1" applyNumberFormat="1" applyFont="1" applyFill="1"/>
    <xf numFmtId="9" fontId="6" fillId="5" borderId="0" xfId="0" applyNumberFormat="1" applyFont="1" applyFill="1"/>
    <xf numFmtId="43" fontId="3" fillId="7" borderId="0" xfId="1" applyFont="1" applyFill="1"/>
    <xf numFmtId="167" fontId="6" fillId="0" borderId="0" xfId="1" applyNumberFormat="1" applyFont="1" applyFill="1"/>
    <xf numFmtId="0" fontId="0" fillId="0" borderId="10" xfId="0" applyBorder="1" applyAlignment="1">
      <alignment horizontal="center"/>
    </xf>
    <xf numFmtId="0" fontId="0" fillId="11" borderId="0" xfId="0" applyFill="1"/>
    <xf numFmtId="43" fontId="0" fillId="0" borderId="0" xfId="1" applyFont="1"/>
    <xf numFmtId="3" fontId="0" fillId="0" borderId="0" xfId="0" applyNumberFormat="1"/>
    <xf numFmtId="174" fontId="0" fillId="0" borderId="0" xfId="0" applyNumberFormat="1"/>
    <xf numFmtId="2" fontId="0" fillId="0" borderId="0" xfId="0" applyNumberFormat="1" applyAlignment="1">
      <alignment horizontal="center"/>
    </xf>
    <xf numFmtId="175" fontId="0" fillId="0" borderId="0" xfId="0" applyNumberFormat="1" applyAlignment="1">
      <alignment horizontal="right"/>
    </xf>
    <xf numFmtId="0" fontId="17" fillId="0" borderId="0" xfId="0" applyFont="1" applyAlignment="1">
      <alignment horizontal="left" vertical="center" indent="11" readingOrder="1"/>
    </xf>
    <xf numFmtId="0" fontId="18" fillId="0" borderId="0" xfId="0" applyFont="1"/>
    <xf numFmtId="168" fontId="0" fillId="2" borderId="0" xfId="2" applyNumberFormat="1" applyFont="1" applyFill="1"/>
    <xf numFmtId="169" fontId="0" fillId="0" borderId="0" xfId="0" applyNumberFormat="1"/>
    <xf numFmtId="0" fontId="20" fillId="0" borderId="0" xfId="0" applyFont="1" applyAlignment="1">
      <alignment wrapText="1"/>
    </xf>
    <xf numFmtId="168" fontId="20" fillId="0" borderId="0" xfId="0" applyNumberFormat="1" applyFont="1"/>
    <xf numFmtId="168" fontId="3" fillId="13" borderId="0" xfId="0" applyNumberFormat="1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quotePrefix="1" applyAlignment="1">
      <alignment horizontal="right"/>
    </xf>
    <xf numFmtId="176" fontId="0" fillId="0" borderId="0" xfId="1" applyNumberFormat="1" applyFont="1"/>
    <xf numFmtId="2" fontId="5" fillId="0" borderId="0" xfId="0" applyNumberFormat="1" applyFont="1"/>
    <xf numFmtId="0" fontId="0" fillId="2" borderId="0" xfId="0" applyFill="1"/>
    <xf numFmtId="169" fontId="8" fillId="0" borderId="0" xfId="0" applyNumberFormat="1" applyFont="1"/>
    <xf numFmtId="167" fontId="0" fillId="9" borderId="0" xfId="1" applyNumberFormat="1" applyFont="1" applyFill="1" applyBorder="1"/>
    <xf numFmtId="9" fontId="0" fillId="2" borderId="0" xfId="3" applyFont="1" applyFill="1"/>
    <xf numFmtId="9" fontId="0" fillId="2" borderId="0" xfId="0" applyNumberFormat="1" applyFill="1"/>
    <xf numFmtId="167" fontId="5" fillId="10" borderId="0" xfId="1" applyNumberFormat="1" applyFont="1" applyFill="1"/>
    <xf numFmtId="168" fontId="0" fillId="0" borderId="0" xfId="2" applyNumberFormat="1" applyFont="1" applyFill="1"/>
    <xf numFmtId="0" fontId="0" fillId="11" borderId="1" xfId="0" applyFill="1" applyBorder="1" applyAlignment="1">
      <alignment wrapText="1"/>
    </xf>
    <xf numFmtId="168" fontId="0" fillId="11" borderId="0" xfId="2" applyNumberFormat="1" applyFont="1" applyFill="1"/>
    <xf numFmtId="166" fontId="0" fillId="11" borderId="0" xfId="2" applyFont="1" applyFill="1"/>
    <xf numFmtId="177" fontId="0" fillId="0" borderId="0" xfId="1" applyNumberFormat="1" applyFont="1"/>
    <xf numFmtId="17" fontId="0" fillId="0" borderId="1" xfId="0" applyNumberFormat="1" applyBorder="1"/>
    <xf numFmtId="168" fontId="0" fillId="0" borderId="1" xfId="0" applyNumberFormat="1" applyBorder="1"/>
    <xf numFmtId="164" fontId="0" fillId="0" borderId="1" xfId="0" applyNumberFormat="1" applyBorder="1"/>
    <xf numFmtId="166" fontId="0" fillId="11" borderId="1" xfId="2" applyFont="1" applyFill="1" applyBorder="1"/>
    <xf numFmtId="168" fontId="0" fillId="11" borderId="1" xfId="2" applyNumberFormat="1" applyFont="1" applyFill="1" applyBorder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/>
    </xf>
    <xf numFmtId="0" fontId="21" fillId="6" borderId="0" xfId="0" applyFont="1" applyFill="1" applyAlignment="1">
      <alignment horizontal="left" vertical="center" indent="2"/>
    </xf>
    <xf numFmtId="0" fontId="21" fillId="6" borderId="14" xfId="0" applyFont="1" applyFill="1" applyBorder="1"/>
    <xf numFmtId="0" fontId="21" fillId="6" borderId="5" xfId="0" applyFont="1" applyFill="1" applyBorder="1"/>
    <xf numFmtId="0" fontId="21" fillId="6" borderId="4" xfId="0" applyFont="1" applyFill="1" applyBorder="1"/>
    <xf numFmtId="0" fontId="21" fillId="6" borderId="15" xfId="0" applyFont="1" applyFill="1" applyBorder="1"/>
    <xf numFmtId="0" fontId="21" fillId="6" borderId="0" xfId="0" applyFont="1" applyFill="1"/>
    <xf numFmtId="0" fontId="21" fillId="6" borderId="2" xfId="0" applyFont="1" applyFill="1" applyBorder="1"/>
    <xf numFmtId="0" fontId="21" fillId="6" borderId="10" xfId="0" applyFont="1" applyFill="1" applyBorder="1"/>
    <xf numFmtId="0" fontId="0" fillId="6" borderId="1" xfId="0" applyFill="1" applyBorder="1"/>
    <xf numFmtId="0" fontId="21" fillId="6" borderId="1" xfId="0" applyFont="1" applyFill="1" applyBorder="1"/>
    <xf numFmtId="0" fontId="21" fillId="6" borderId="3" xfId="0" applyFont="1" applyFill="1" applyBorder="1"/>
    <xf numFmtId="9" fontId="0" fillId="0" borderId="1" xfId="0" applyNumberFormat="1" applyBorder="1"/>
    <xf numFmtId="2" fontId="9" fillId="0" borderId="0" xfId="0" applyNumberFormat="1" applyFont="1"/>
    <xf numFmtId="168" fontId="9" fillId="0" borderId="0" xfId="0" applyNumberFormat="1" applyFont="1"/>
    <xf numFmtId="168" fontId="6" fillId="0" borderId="0" xfId="0" applyNumberFormat="1" applyFont="1"/>
    <xf numFmtId="43" fontId="6" fillId="0" borderId="0" xfId="1" applyFont="1"/>
    <xf numFmtId="0" fontId="6" fillId="0" borderId="0" xfId="0" applyFont="1" applyAlignment="1">
      <alignment horizontal="center"/>
    </xf>
    <xf numFmtId="10" fontId="0" fillId="2" borderId="0" xfId="3" applyNumberFormat="1" applyFont="1" applyFill="1"/>
    <xf numFmtId="169" fontId="0" fillId="2" borderId="0" xfId="3" applyNumberFormat="1" applyFont="1" applyFill="1"/>
    <xf numFmtId="0" fontId="0" fillId="2" borderId="2" xfId="0" applyFill="1" applyBorder="1"/>
    <xf numFmtId="167" fontId="0" fillId="2" borderId="2" xfId="1" applyNumberFormat="1" applyFont="1" applyFill="1" applyBorder="1"/>
    <xf numFmtId="0" fontId="0" fillId="2" borderId="4" xfId="0" applyFill="1" applyBorder="1"/>
    <xf numFmtId="0" fontId="5" fillId="10" borderId="0" xfId="0" applyFont="1" applyFill="1"/>
    <xf numFmtId="168" fontId="0" fillId="2" borderId="0" xfId="2" applyNumberFormat="1" applyFont="1" applyFill="1" applyAlignment="1">
      <alignment horizontal="center"/>
    </xf>
    <xf numFmtId="0" fontId="24" fillId="0" borderId="0" xfId="0" applyFont="1" applyAlignment="1">
      <alignment vertical="top"/>
    </xf>
    <xf numFmtId="167" fontId="0" fillId="0" borderId="0" xfId="0" applyNumberFormat="1" applyAlignment="1">
      <alignment horizontal="center"/>
    </xf>
    <xf numFmtId="10" fontId="0" fillId="6" borderId="0" xfId="0" applyNumberFormat="1" applyFill="1"/>
    <xf numFmtId="0" fontId="0" fillId="14" borderId="0" xfId="0" applyFill="1"/>
    <xf numFmtId="0" fontId="0" fillId="14" borderId="1" xfId="0" applyFill="1" applyBorder="1"/>
    <xf numFmtId="0" fontId="0" fillId="14" borderId="0" xfId="0" applyFill="1" applyAlignment="1">
      <alignment horizontal="center"/>
    </xf>
    <xf numFmtId="9" fontId="0" fillId="14" borderId="0" xfId="0" applyNumberFormat="1" applyFill="1"/>
    <xf numFmtId="0" fontId="25" fillId="0" borderId="0" xfId="0" applyFont="1"/>
    <xf numFmtId="168" fontId="26" fillId="0" borderId="0" xfId="2" applyNumberFormat="1" applyFont="1"/>
    <xf numFmtId="0" fontId="27" fillId="0" borderId="0" xfId="0" applyFont="1"/>
    <xf numFmtId="168" fontId="28" fillId="0" borderId="0" xfId="2" applyNumberFormat="1" applyFont="1"/>
    <xf numFmtId="180" fontId="25" fillId="0" borderId="0" xfId="3" applyNumberFormat="1" applyFont="1"/>
    <xf numFmtId="10" fontId="27" fillId="0" borderId="0" xfId="3" applyNumberFormat="1" applyFont="1"/>
    <xf numFmtId="170" fontId="27" fillId="0" borderId="0" xfId="3" applyNumberFormat="1" applyFont="1"/>
    <xf numFmtId="0" fontId="29" fillId="0" borderId="0" xfId="0" applyFont="1"/>
    <xf numFmtId="167" fontId="29" fillId="0" borderId="0" xfId="0" applyNumberFormat="1" applyFont="1"/>
    <xf numFmtId="9" fontId="29" fillId="0" borderId="0" xfId="3" applyFont="1"/>
    <xf numFmtId="0" fontId="30" fillId="0" borderId="0" xfId="0" applyFont="1"/>
    <xf numFmtId="0" fontId="31" fillId="0" borderId="0" xfId="0" applyFont="1" applyAlignment="1">
      <alignment vertical="top"/>
    </xf>
    <xf numFmtId="0" fontId="31" fillId="0" borderId="0" xfId="0" quotePrefix="1" applyFont="1"/>
    <xf numFmtId="10" fontId="3" fillId="15" borderId="0" xfId="3" applyNumberFormat="1" applyFont="1" applyFill="1"/>
    <xf numFmtId="1" fontId="0" fillId="0" borderId="0" xfId="1" applyNumberFormat="1" applyFont="1"/>
    <xf numFmtId="164" fontId="0" fillId="6" borderId="0" xfId="0" applyNumberFormat="1" applyFill="1"/>
    <xf numFmtId="168" fontId="0" fillId="6" borderId="0" xfId="0" applyNumberFormat="1" applyFill="1"/>
    <xf numFmtId="10" fontId="0" fillId="3" borderId="0" xfId="0" applyNumberFormat="1" applyFill="1"/>
    <xf numFmtId="0" fontId="4" fillId="0" borderId="0" xfId="0" applyFont="1"/>
    <xf numFmtId="168" fontId="0" fillId="2" borderId="0" xfId="0" applyNumberFormat="1" applyFill="1"/>
    <xf numFmtId="9" fontId="0" fillId="0" borderId="0" xfId="2" applyNumberFormat="1" applyFont="1"/>
    <xf numFmtId="0" fontId="5" fillId="7" borderId="0" xfId="0" applyFont="1" applyFill="1"/>
    <xf numFmtId="167" fontId="5" fillId="7" borderId="0" xfId="1" applyNumberFormat="1" applyFont="1" applyFill="1"/>
    <xf numFmtId="0" fontId="2" fillId="0" borderId="0" xfId="0" applyFont="1" applyAlignment="1">
      <alignment vertical="top"/>
    </xf>
    <xf numFmtId="0" fontId="9" fillId="0" borderId="0" xfId="0" applyFont="1"/>
    <xf numFmtId="181" fontId="0" fillId="0" borderId="0" xfId="3" applyNumberFormat="1" applyFont="1"/>
    <xf numFmtId="0" fontId="0" fillId="0" borderId="0" xfId="0" applyAlignment="1">
      <alignment vertical="top"/>
    </xf>
    <xf numFmtId="167" fontId="0" fillId="0" borderId="0" xfId="1" applyNumberFormat="1" applyFont="1" applyAlignment="1">
      <alignment horizontal="center"/>
    </xf>
    <xf numFmtId="9" fontId="17" fillId="0" borderId="0" xfId="3" applyFont="1" applyAlignment="1">
      <alignment horizontal="left" vertical="center" readingOrder="1"/>
    </xf>
    <xf numFmtId="167" fontId="17" fillId="0" borderId="0" xfId="0" applyNumberFormat="1" applyFont="1" applyAlignment="1">
      <alignment horizontal="left" vertical="center" readingOrder="1"/>
    </xf>
    <xf numFmtId="0" fontId="17" fillId="0" borderId="0" xfId="0" applyFont="1" applyAlignment="1">
      <alignment horizontal="left" vertical="center" readingOrder="1"/>
    </xf>
    <xf numFmtId="181" fontId="0" fillId="0" borderId="0" xfId="0" applyNumberFormat="1"/>
    <xf numFmtId="168" fontId="0" fillId="0" borderId="0" xfId="0" applyNumberFormat="1" applyAlignment="1">
      <alignment horizontal="left"/>
    </xf>
    <xf numFmtId="168" fontId="0" fillId="0" borderId="0" xfId="2" applyNumberFormat="1" applyFont="1" applyAlignment="1">
      <alignment horizontal="center"/>
    </xf>
    <xf numFmtId="167" fontId="0" fillId="0" borderId="0" xfId="1" applyNumberFormat="1" applyFont="1" applyFill="1" applyAlignment="1">
      <alignment horizontal="right"/>
    </xf>
    <xf numFmtId="0" fontId="5" fillId="0" borderId="0" xfId="0" applyFont="1" applyAlignment="1">
      <alignment wrapText="1"/>
    </xf>
    <xf numFmtId="168" fontId="0" fillId="0" borderId="0" xfId="2" applyNumberFormat="1" applyFont="1" applyFill="1" applyBorder="1"/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 as interest rate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'Ch7 ppt ex 3'!$F$20</c:f>
              <c:strCache>
                <c:ptCount val="1"/>
                <c:pt idx="0">
                  <c:v>present worth (net present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'Ch7 ppt ex 3'!$G$19:$Q$19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'Ch7 ppt ex 3'!$G$20:$Q$20</c:f>
              <c:numCache>
                <c:formatCode>_("$"* #,##0_);_("$"* \(#,##0\);_("$"* "-"??_);_(@_)</c:formatCode>
                <c:ptCount val="11"/>
                <c:pt idx="0">
                  <c:v>10000</c:v>
                </c:pt>
                <c:pt idx="1">
                  <c:v>6947.7550187267061</c:v>
                </c:pt>
                <c:pt idx="2">
                  <c:v>4332.6873380650777</c:v>
                </c:pt>
                <c:pt idx="3">
                  <c:v>2080.261154244085</c:v>
                </c:pt>
                <c:pt idx="4">
                  <c:v>130.24419682432654</c:v>
                </c:pt>
                <c:pt idx="5">
                  <c:v>-1566.2986828859584</c:v>
                </c:pt>
                <c:pt idx="6">
                  <c:v>-3049.3309147674127</c:v>
                </c:pt>
                <c:pt idx="7">
                  <c:v>-4351.6530611192666</c:v>
                </c:pt>
                <c:pt idx="8">
                  <c:v>-5500.3175646275804</c:v>
                </c:pt>
                <c:pt idx="9">
                  <c:v>-6517.7411152267596</c:v>
                </c:pt>
                <c:pt idx="10">
                  <c:v>-7422.5837433476845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8-44B4-96C1-62707503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42792"/>
        <c:axId val="390343776"/>
      </c:scatterChart>
      <c:valAx>
        <c:axId val="39034279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43776"/>
        <c:crosses val="autoZero"/>
        <c:crossBetween val="midCat"/>
      </c:valAx>
      <c:valAx>
        <c:axId val="390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4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'Ch7 ppt ex 3'!$F$20</c:f>
              <c:strCache>
                <c:ptCount val="1"/>
                <c:pt idx="0">
                  <c:v>present worth (net present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'Ch7 ppt ex 3'!$G$19:$Q$19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'Ch7 ppt ex 3'!$G$20:$Q$20</c:f>
              <c:numCache>
                <c:formatCode>_("$"* #,##0_);_("$"* \(#,##0\);_("$"* "-"??_);_(@_)</c:formatCode>
                <c:ptCount val="11"/>
                <c:pt idx="0">
                  <c:v>10000</c:v>
                </c:pt>
                <c:pt idx="1">
                  <c:v>6947.7550187267061</c:v>
                </c:pt>
                <c:pt idx="2">
                  <c:v>4332.6873380650777</c:v>
                </c:pt>
                <c:pt idx="3">
                  <c:v>2080.261154244085</c:v>
                </c:pt>
                <c:pt idx="4">
                  <c:v>130.24419682432654</c:v>
                </c:pt>
                <c:pt idx="5">
                  <c:v>-1566.2986828859584</c:v>
                </c:pt>
                <c:pt idx="6">
                  <c:v>-3049.3309147674127</c:v>
                </c:pt>
                <c:pt idx="7">
                  <c:v>-4351.6530611192666</c:v>
                </c:pt>
                <c:pt idx="8">
                  <c:v>-5500.3175646275804</c:v>
                </c:pt>
                <c:pt idx="9">
                  <c:v>-6517.7411152267596</c:v>
                </c:pt>
                <c:pt idx="10">
                  <c:v>-7422.5837433476845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405-9170-3FB2E2988D34}"/>
            </c:ext>
          </c:extLst>
        </c:ser>
        <c:ser>
          <c:idx val="1"/>
          <c:order val="1"/>
          <c:tx>
            <c:strRef>
              <c:f>'Ch7 ppt ex 3'!$F$21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'Ch7 ppt ex 3'!$G$19:$Q$19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'Ch7 ppt ex 3'!$G$21:$Q$21</c:f>
              <c:numCache>
                <c:formatCode>_("$"* #,##0_);_("$"* \(#,##0\);_("$"* "-"??_);_(@_)</c:formatCode>
                <c:ptCount val="11"/>
                <c:pt idx="0">
                  <c:v>10000</c:v>
                </c:pt>
                <c:pt idx="1">
                  <c:v>8257.7416256652323</c:v>
                </c:pt>
                <c:pt idx="2">
                  <c:v>6515.4832513304627</c:v>
                </c:pt>
                <c:pt idx="3">
                  <c:v>4773.224876995695</c:v>
                </c:pt>
                <c:pt idx="4">
                  <c:v>3030.9665026609264</c:v>
                </c:pt>
                <c:pt idx="5">
                  <c:v>1288.7081283261577</c:v>
                </c:pt>
                <c:pt idx="6">
                  <c:v>-453.55024600860997</c:v>
                </c:pt>
                <c:pt idx="7">
                  <c:v>-2195.8086203433795</c:v>
                </c:pt>
                <c:pt idx="8">
                  <c:v>-3938.0669946781472</c:v>
                </c:pt>
                <c:pt idx="9">
                  <c:v>-5680.325369012915</c:v>
                </c:pt>
                <c:pt idx="10">
                  <c:v>-7422.5837433476845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D-4405-9170-3FB2E298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97760"/>
        <c:axId val="423004320"/>
      </c:scatterChart>
      <c:valAx>
        <c:axId val="4229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4320"/>
        <c:crosses val="autoZero"/>
        <c:crossBetween val="midCat"/>
      </c:valAx>
      <c:valAx>
        <c:axId val="4230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NPW</a:t>
            </a:r>
            <a:r>
              <a:rPr lang="en-US" baseline="0"/>
              <a:t> at different interest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7-12'!$C$38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'Ex 7-12'!$D$37:$I$37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'Ex 7-12'!$D$38:$I$38</c:f>
              <c:numCache>
                <c:formatCode>_(* #,##0_);_(* \(#,##0\);_(* "-"??_);_(@_)</c:formatCode>
                <c:ptCount val="6"/>
                <c:pt idx="0">
                  <c:v>8780</c:v>
                </c:pt>
                <c:pt idx="1">
                  <c:v>6448.5659071975579</c:v>
                </c:pt>
                <c:pt idx="2">
                  <c:v>3963.3524088830495</c:v>
                </c:pt>
                <c:pt idx="3">
                  <c:v>1440.1672169257192</c:v>
                </c:pt>
                <c:pt idx="4">
                  <c:v>-0.28718828675386021</c:v>
                </c:pt>
                <c:pt idx="5">
                  <c:v>-888.33855030816096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B-4BB9-B19E-79D1E872B56C}"/>
            </c:ext>
          </c:extLst>
        </c:ser>
        <c:ser>
          <c:idx val="1"/>
          <c:order val="1"/>
          <c:tx>
            <c:strRef>
              <c:f>'Ex 7-12'!$C$39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 7-12'!$D$37:$I$37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'Ex 7-12'!$D$39:$I$39</c:f>
              <c:numCache>
                <c:formatCode>_(* #,##0_);_(* \(#,##0\);_(* "-"??_);_(@_)</c:formatCode>
                <c:ptCount val="6"/>
                <c:pt idx="0">
                  <c:v>6200</c:v>
                </c:pt>
                <c:pt idx="1">
                  <c:v>4704.0876712848185</c:v>
                </c:pt>
                <c:pt idx="2">
                  <c:v>3109.5062404413934</c:v>
                </c:pt>
                <c:pt idx="3">
                  <c:v>1490.5611251010093</c:v>
                </c:pt>
                <c:pt idx="4">
                  <c:v>566.32590422915655</c:v>
                </c:pt>
                <c:pt idx="5">
                  <c:v>-1.5651454176968116E-4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B-4BB9-B19E-79D1E872B56C}"/>
            </c:ext>
          </c:extLst>
        </c:ser>
        <c:ser>
          <c:idx val="2"/>
          <c:order val="2"/>
          <c:tx>
            <c:strRef>
              <c:f>'Ex 7-12'!$C$40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7B-4BB9-B19E-79D1E872B56C}"/>
              </c:ext>
            </c:extLst>
          </c:dPt>
          <c:cat>
            <c:numRef>
              <c:f>'Ex 7-12'!$D$37:$I$37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'Ex 7-12'!$D$40:$I$40</c:f>
              <c:numCache>
                <c:formatCode>_(* #,##0_);_(* \(#,##0\);_(* "-"??_);_(@_)</c:formatCode>
                <c:ptCount val="6"/>
                <c:pt idx="0">
                  <c:v>9220</c:v>
                </c:pt>
                <c:pt idx="1">
                  <c:v>6443.4407752384068</c:v>
                </c:pt>
                <c:pt idx="2">
                  <c:v>3483.7420706729267</c:v>
                </c:pt>
                <c:pt idx="3">
                  <c:v>478.82199073626356</c:v>
                </c:pt>
                <c:pt idx="4">
                  <c:v>-1236.6487484917361</c:v>
                </c:pt>
                <c:pt idx="5">
                  <c:v>-2294.2498228239597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B-4BB9-B19E-79D1E872B56C}"/>
            </c:ext>
          </c:extLst>
        </c:ser>
        <c:ser>
          <c:idx val="3"/>
          <c:order val="3"/>
          <c:tx>
            <c:strRef>
              <c:f>'Ex 7-12'!$C$41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 7-12'!$D$37:$I$37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'Ex 7-12'!$D$41:$I$41</c:f>
              <c:numCache>
                <c:formatCode>_(* #,##0_);_(* \(#,##0\);_(* "-"??_);_(@_)</c:formatCode>
                <c:ptCount val="6"/>
                <c:pt idx="0">
                  <c:v>1340</c:v>
                </c:pt>
                <c:pt idx="1">
                  <c:v>913.11770131786261</c:v>
                </c:pt>
                <c:pt idx="2">
                  <c:v>458.07861007717821</c:v>
                </c:pt>
                <c:pt idx="3">
                  <c:v>-3.9130447882487083</c:v>
                </c:pt>
                <c:pt idx="4">
                  <c:v>-267.65821757363102</c:v>
                </c:pt>
                <c:pt idx="5">
                  <c:v>-430.25917118318426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B-4BB9-B19E-79D1E872B56C}"/>
            </c:ext>
          </c:extLst>
        </c:ser>
        <c:ser>
          <c:idx val="4"/>
          <c:order val="4"/>
          <c:tx>
            <c:strRef>
              <c:f>'Ex 7-12'!$C$42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'Ex 7-12'!$D$37:$I$37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'Ex 7-12'!$D$42:$I$42</c:f>
              <c:numCache>
                <c:formatCode>_(* #,##0_);_(* \(#,##0\);_(* "-"??_);_(@_)</c:formatCode>
                <c:ptCount val="6"/>
                <c:pt idx="0">
                  <c:v>6700</c:v>
                </c:pt>
                <c:pt idx="1">
                  <c:v>3835.8751755087387</c:v>
                </c:pt>
                <c:pt idx="2">
                  <c:v>782.83511889388728</c:v>
                </c:pt>
                <c:pt idx="3">
                  <c:v>-2316.8524799895313</c:v>
                </c:pt>
                <c:pt idx="4">
                  <c:v>-4086.4247931222262</c:v>
                </c:pt>
                <c:pt idx="5">
                  <c:v>-5177.3799092205118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B-4BB9-B19E-79D1E872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58864"/>
        <c:axId val="387360504"/>
      </c:lineChart>
      <c:catAx>
        <c:axId val="387358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0504"/>
        <c:crosses val="autoZero"/>
        <c:auto val="1"/>
        <c:lblAlgn val="ctr"/>
        <c:lblOffset val="100"/>
        <c:noMultiLvlLbl val="0"/>
      </c:catAx>
      <c:valAx>
        <c:axId val="3873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 7-IRR limitations'!$B$6</c:f>
              <c:strCache>
                <c:ptCount val="1"/>
                <c:pt idx="0">
                  <c:v>payment / cost 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 7-IRR limitations'!$B$7:$B$37</c:f>
              <c:numCache>
                <c:formatCode>_(* #,##0_);_(* \(#,##0\);_(* "-"??_);_(@_)</c:formatCode>
                <c:ptCount val="31"/>
                <c:pt idx="0" formatCode="General">
                  <c:v>-4000</c:v>
                </c:pt>
                <c:pt idx="1">
                  <c:v>639</c:v>
                </c:pt>
                <c:pt idx="2">
                  <c:v>639</c:v>
                </c:pt>
                <c:pt idx="3">
                  <c:v>639</c:v>
                </c:pt>
                <c:pt idx="4">
                  <c:v>639</c:v>
                </c:pt>
                <c:pt idx="5">
                  <c:v>-361</c:v>
                </c:pt>
                <c:pt idx="6">
                  <c:v>639</c:v>
                </c:pt>
                <c:pt idx="7">
                  <c:v>639</c:v>
                </c:pt>
                <c:pt idx="8">
                  <c:v>639</c:v>
                </c:pt>
                <c:pt idx="9">
                  <c:v>639</c:v>
                </c:pt>
                <c:pt idx="10">
                  <c:v>-361</c:v>
                </c:pt>
                <c:pt idx="11">
                  <c:v>639</c:v>
                </c:pt>
                <c:pt idx="12">
                  <c:v>639</c:v>
                </c:pt>
                <c:pt idx="13">
                  <c:v>639</c:v>
                </c:pt>
                <c:pt idx="14">
                  <c:v>639</c:v>
                </c:pt>
                <c:pt idx="15">
                  <c:v>-361</c:v>
                </c:pt>
                <c:pt idx="16">
                  <c:v>639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-361</c:v>
                </c:pt>
                <c:pt idx="21">
                  <c:v>639</c:v>
                </c:pt>
                <c:pt idx="22">
                  <c:v>639</c:v>
                </c:pt>
                <c:pt idx="23">
                  <c:v>639</c:v>
                </c:pt>
                <c:pt idx="24">
                  <c:v>639</c:v>
                </c:pt>
                <c:pt idx="25">
                  <c:v>-4361</c:v>
                </c:pt>
                <c:pt idx="26">
                  <c:v>639</c:v>
                </c:pt>
                <c:pt idx="27">
                  <c:v>639</c:v>
                </c:pt>
                <c:pt idx="28">
                  <c:v>639</c:v>
                </c:pt>
                <c:pt idx="29">
                  <c:v>639</c:v>
                </c:pt>
                <c:pt idx="30">
                  <c:v>-9361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7-494A-9DF8-3014771B3D25}"/>
            </c:ext>
          </c:extLst>
        </c:ser>
        <c:ser>
          <c:idx val="0"/>
          <c:order val="1"/>
          <c:tx>
            <c:strRef>
              <c:f>'Ex 7-IRR limitations'!$D$3</c:f>
              <c:strCache>
                <c:ptCount val="1"/>
                <c:pt idx="0">
                  <c:v>PV @ 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 7-IRR limitations'!$D$7:$D$37</c:f>
              <c:numCache>
                <c:formatCode>_(* #,##0_);_(* \(#,##0\);_(* "-"??_);_(@_)</c:formatCode>
                <c:ptCount val="31"/>
                <c:pt idx="0">
                  <c:v>-4000</c:v>
                </c:pt>
                <c:pt idx="1">
                  <c:v>608.57142857142856</c:v>
                </c:pt>
                <c:pt idx="2">
                  <c:v>579.59183673469386</c:v>
                </c:pt>
                <c:pt idx="3">
                  <c:v>551.9922254616132</c:v>
                </c:pt>
                <c:pt idx="4">
                  <c:v>525.70688139201263</c:v>
                </c:pt>
                <c:pt idx="5">
                  <c:v>-282.85294609511368</c:v>
                </c:pt>
                <c:pt idx="6">
                  <c:v>476.83163845080509</c:v>
                </c:pt>
                <c:pt idx="7">
                  <c:v>454.12536995314758</c:v>
                </c:pt>
                <c:pt idx="8">
                  <c:v>432.5003523363311</c:v>
                </c:pt>
                <c:pt idx="9">
                  <c:v>411.90509746317247</c:v>
                </c:pt>
                <c:pt idx="10">
                  <c:v>-221.62268452821411</c:v>
                </c:pt>
                <c:pt idx="11">
                  <c:v>373.61006572623347</c:v>
                </c:pt>
                <c:pt idx="12">
                  <c:v>355.81911021546051</c:v>
                </c:pt>
                <c:pt idx="13">
                  <c:v>338.87534306234329</c:v>
                </c:pt>
                <c:pt idx="14">
                  <c:v>322.73842196413653</c:v>
                </c:pt>
                <c:pt idx="15">
                  <c:v>-173.64717241084023</c:v>
                </c:pt>
                <c:pt idx="16">
                  <c:v>292.73326255250475</c:v>
                </c:pt>
                <c:pt idx="17">
                  <c:v>278.79358338333782</c:v>
                </c:pt>
                <c:pt idx="18">
                  <c:v>265.51769846032175</c:v>
                </c:pt>
                <c:pt idx="19">
                  <c:v>252.87399853363974</c:v>
                </c:pt>
                <c:pt idx="20">
                  <c:v>-136.05710331715321</c:v>
                </c:pt>
                <c:pt idx="21">
                  <c:v>229.36417100556895</c:v>
                </c:pt>
                <c:pt idx="22">
                  <c:v>218.44206762435138</c:v>
                </c:pt>
                <c:pt idx="23">
                  <c:v>208.04006440414415</c:v>
                </c:pt>
                <c:pt idx="24">
                  <c:v>198.13339467061348</c:v>
                </c:pt>
                <c:pt idx="25">
                  <c:v>-1287.8153873739404</c:v>
                </c:pt>
                <c:pt idx="26">
                  <c:v>179.71282963320951</c:v>
                </c:pt>
                <c:pt idx="27">
                  <c:v>171.1550758411519</c:v>
                </c:pt>
                <c:pt idx="28">
                  <c:v>163.00483413443038</c:v>
                </c:pt>
                <c:pt idx="29">
                  <c:v>155.24269917564797</c:v>
                </c:pt>
                <c:pt idx="30">
                  <c:v>-2165.924296867488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7-494A-9DF8-3014771B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03600"/>
        <c:axId val="403505896"/>
      </c:lineChart>
      <c:catAx>
        <c:axId val="40350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5896"/>
        <c:crosses val="autoZero"/>
        <c:auto val="1"/>
        <c:lblAlgn val="ctr"/>
        <c:lblOffset val="100"/>
        <c:noMultiLvlLbl val="0"/>
      </c:catAx>
      <c:valAx>
        <c:axId val="4035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8.png"/><Relationship Id="rId7" Type="http://schemas.openxmlformats.org/officeDocument/2006/relationships/image" Target="../media/image15.png"/><Relationship Id="rId12" Type="http://schemas.openxmlformats.org/officeDocument/2006/relationships/image" Target="../media/image21.png"/><Relationship Id="rId17" Type="http://schemas.openxmlformats.org/officeDocument/2006/relationships/image" Target="../media/image25.png"/><Relationship Id="rId2" Type="http://schemas.openxmlformats.org/officeDocument/2006/relationships/image" Target="../media/image19.png"/><Relationship Id="rId16" Type="http://schemas.openxmlformats.org/officeDocument/2006/relationships/image" Target="../media/image10.png"/><Relationship Id="rId1" Type="http://schemas.openxmlformats.org/officeDocument/2006/relationships/image" Target="../media/image6.png"/><Relationship Id="rId6" Type="http://schemas.openxmlformats.org/officeDocument/2006/relationships/image" Target="../media/image13.png"/><Relationship Id="rId11" Type="http://schemas.openxmlformats.org/officeDocument/2006/relationships/image" Target="../media/image20.png"/><Relationship Id="rId5" Type="http://schemas.openxmlformats.org/officeDocument/2006/relationships/image" Target="../media/image11.png"/><Relationship Id="rId15" Type="http://schemas.openxmlformats.org/officeDocument/2006/relationships/image" Target="../media/image24.png"/><Relationship Id="rId10" Type="http://schemas.openxmlformats.org/officeDocument/2006/relationships/image" Target="../media/image16.png"/><Relationship Id="rId4" Type="http://schemas.openxmlformats.org/officeDocument/2006/relationships/image" Target="../media/image9.png"/><Relationship Id="rId9" Type="http://schemas.openxmlformats.org/officeDocument/2006/relationships/image" Target="../media/image17.png"/><Relationship Id="rId14" Type="http://schemas.openxmlformats.org/officeDocument/2006/relationships/image" Target="../media/image2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6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240195</xdr:colOff>
      <xdr:row>8</xdr:row>
      <xdr:rowOff>181110</xdr:rowOff>
    </xdr:from>
    <xdr:to>
      <xdr:col>5</xdr:col>
      <xdr:colOff>73629</xdr:colOff>
      <xdr:row>10</xdr:row>
      <xdr:rowOff>145487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108" y="2392567"/>
          <a:ext cx="1125521" cy="3453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40821</xdr:rowOff>
    </xdr:from>
    <xdr:to>
      <xdr:col>5</xdr:col>
      <xdr:colOff>362281</xdr:colOff>
      <xdr:row>6</xdr:row>
      <xdr:rowOff>109456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857" y="612321"/>
          <a:ext cx="2566638" cy="64013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277090</xdr:colOff>
      <xdr:row>2</xdr:row>
      <xdr:rowOff>103909</xdr:rowOff>
    </xdr:from>
    <xdr:to>
      <xdr:col>9</xdr:col>
      <xdr:colOff>493493</xdr:colOff>
      <xdr:row>5</xdr:row>
      <xdr:rowOff>167595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9545" y="484909"/>
          <a:ext cx="2225312" cy="635186"/>
        </a:xfrm>
        <a:prstGeom prst="rect">
          <a:avLst/>
        </a:prstGeom>
      </xdr:spPr>
    </xdr:pic>
    <xdr:clientData/>
  </xdr:twoCellAnchor>
  <xdr:twoCellAnchor editAs="oneCell">
    <xdr:from>
      <xdr:col>5</xdr:col>
      <xdr:colOff>121227</xdr:colOff>
      <xdr:row>7</xdr:row>
      <xdr:rowOff>138546</xdr:rowOff>
    </xdr:from>
    <xdr:to>
      <xdr:col>9</xdr:col>
      <xdr:colOff>541550</xdr:colOff>
      <xdr:row>10</xdr:row>
      <xdr:rowOff>152833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3682" y="1472046"/>
          <a:ext cx="2438400" cy="58578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256873</xdr:colOff>
      <xdr:row>14</xdr:row>
      <xdr:rowOff>123265</xdr:rowOff>
    </xdr:from>
    <xdr:to>
      <xdr:col>9</xdr:col>
      <xdr:colOff>174562</xdr:colOff>
      <xdr:row>18</xdr:row>
      <xdr:rowOff>74559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6796" y="2790265"/>
          <a:ext cx="1910612" cy="7132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414618</xdr:colOff>
      <xdr:row>3</xdr:row>
      <xdr:rowOff>89647</xdr:rowOff>
    </xdr:from>
    <xdr:to>
      <xdr:col>2</xdr:col>
      <xdr:colOff>780542</xdr:colOff>
      <xdr:row>7</xdr:row>
      <xdr:rowOff>40941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1" y="661147"/>
          <a:ext cx="1889924" cy="7132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403413</xdr:colOff>
      <xdr:row>10</xdr:row>
      <xdr:rowOff>1</xdr:rowOff>
    </xdr:from>
    <xdr:to>
      <xdr:col>9</xdr:col>
      <xdr:colOff>69549</xdr:colOff>
      <xdr:row>12</xdr:row>
      <xdr:rowOff>180694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91"/>
        <a:stretch/>
      </xdr:blipFill>
      <xdr:spPr>
        <a:xfrm>
          <a:off x="3798795" y="1905001"/>
          <a:ext cx="3117548" cy="561693"/>
        </a:xfrm>
        <a:prstGeom prst="rect">
          <a:avLst/>
        </a:prstGeom>
      </xdr:spPr>
    </xdr:pic>
    <xdr:clientData/>
  </xdr:twoCellAnchor>
  <xdr:twoCellAnchor editAs="oneCell">
    <xdr:from>
      <xdr:col>4</xdr:col>
      <xdr:colOff>515471</xdr:colOff>
      <xdr:row>3</xdr:row>
      <xdr:rowOff>67235</xdr:rowOff>
    </xdr:from>
    <xdr:to>
      <xdr:col>8</xdr:col>
      <xdr:colOff>264497</xdr:colOff>
      <xdr:row>7</xdr:row>
      <xdr:rowOff>79494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0853" y="638735"/>
          <a:ext cx="2505673" cy="77425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66116</xdr:rowOff>
    </xdr:from>
    <xdr:to>
      <xdr:col>8</xdr:col>
      <xdr:colOff>498173</xdr:colOff>
      <xdr:row>7</xdr:row>
      <xdr:rowOff>56309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91"/>
        <a:stretch/>
      </xdr:blipFill>
      <xdr:spPr>
        <a:xfrm>
          <a:off x="3524250" y="828116"/>
          <a:ext cx="3117548" cy="56169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8</xdr:row>
      <xdr:rowOff>85845</xdr:rowOff>
    </xdr:from>
    <xdr:to>
      <xdr:col>8</xdr:col>
      <xdr:colOff>136269</xdr:colOff>
      <xdr:row>12</xdr:row>
      <xdr:rowOff>143715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1609845"/>
          <a:ext cx="2660394" cy="819870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14</xdr:row>
      <xdr:rowOff>0</xdr:rowOff>
    </xdr:from>
    <xdr:to>
      <xdr:col>6</xdr:col>
      <xdr:colOff>479063</xdr:colOff>
      <xdr:row>16</xdr:row>
      <xdr:rowOff>137205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2050" y="2667000"/>
          <a:ext cx="1688738" cy="5182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596347</xdr:colOff>
      <xdr:row>12</xdr:row>
      <xdr:rowOff>149087</xdr:rowOff>
    </xdr:from>
    <xdr:to>
      <xdr:col>10</xdr:col>
      <xdr:colOff>220775</xdr:colOff>
      <xdr:row>15</xdr:row>
      <xdr:rowOff>132371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0999" y="2435087"/>
          <a:ext cx="1463167" cy="55478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142874</xdr:colOff>
      <xdr:row>4</xdr:row>
      <xdr:rowOff>63419</xdr:rowOff>
    </xdr:from>
    <xdr:ext cx="1852223" cy="54705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4" y="444419"/>
          <a:ext cx="1852223" cy="547052"/>
        </a:xfrm>
        <a:prstGeom prst="rect">
          <a:avLst/>
        </a:prstGeom>
      </xdr:spPr>
    </xdr:pic>
    <xdr:clientData/>
  </xdr:oneCellAnchor>
  <xdr:twoCellAnchor editAs="oneCell">
    <xdr:from>
      <xdr:col>4</xdr:col>
      <xdr:colOff>180974</xdr:colOff>
      <xdr:row>5</xdr:row>
      <xdr:rowOff>103003</xdr:rowOff>
    </xdr:from>
    <xdr:to>
      <xdr:col>4</xdr:col>
      <xdr:colOff>1995657</xdr:colOff>
      <xdr:row>5</xdr:row>
      <xdr:rowOff>638967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4" y="1103128"/>
          <a:ext cx="1814683" cy="535964"/>
        </a:xfrm>
        <a:prstGeom prst="rect">
          <a:avLst/>
        </a:prstGeom>
      </xdr:spPr>
    </xdr:pic>
    <xdr:clientData/>
  </xdr:twoCellAnchor>
  <xdr:twoCellAnchor editAs="oneCell">
    <xdr:from>
      <xdr:col>10</xdr:col>
      <xdr:colOff>114299</xdr:colOff>
      <xdr:row>3</xdr:row>
      <xdr:rowOff>123825</xdr:rowOff>
    </xdr:from>
    <xdr:to>
      <xdr:col>13</xdr:col>
      <xdr:colOff>510811</xdr:colOff>
      <xdr:row>4</xdr:row>
      <xdr:rowOff>568511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5949" y="790575"/>
          <a:ext cx="2225312" cy="635186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3</xdr:row>
      <xdr:rowOff>160257</xdr:rowOff>
    </xdr:from>
    <xdr:to>
      <xdr:col>19</xdr:col>
      <xdr:colOff>304800</xdr:colOff>
      <xdr:row>4</xdr:row>
      <xdr:rowOff>555544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5546" y="832610"/>
          <a:ext cx="2700430" cy="589522"/>
        </a:xfrm>
        <a:prstGeom prst="rect">
          <a:avLst/>
        </a:prstGeom>
      </xdr:spPr>
    </xdr:pic>
    <xdr:clientData/>
  </xdr:twoCellAnchor>
  <xdr:twoCellAnchor editAs="oneCell">
    <xdr:from>
      <xdr:col>9</xdr:col>
      <xdr:colOff>49866</xdr:colOff>
      <xdr:row>5</xdr:row>
      <xdr:rowOff>584387</xdr:rowOff>
    </xdr:from>
    <xdr:to>
      <xdr:col>13</xdr:col>
      <xdr:colOff>559734</xdr:colOff>
      <xdr:row>6</xdr:row>
      <xdr:rowOff>427826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5278" y="2130799"/>
          <a:ext cx="3165662" cy="616645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352424</xdr:colOff>
      <xdr:row>6</xdr:row>
      <xdr:rowOff>34935</xdr:rowOff>
    </xdr:from>
    <xdr:to>
      <xdr:col>3</xdr:col>
      <xdr:colOff>118172</xdr:colOff>
      <xdr:row>6</xdr:row>
      <xdr:rowOff>657225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4" y="1806585"/>
          <a:ext cx="2099373" cy="622290"/>
        </a:xfrm>
        <a:prstGeom prst="rect">
          <a:avLst/>
        </a:prstGeom>
      </xdr:spPr>
    </xdr:pic>
    <xdr:clientData/>
  </xdr:twoCellAnchor>
  <xdr:twoCellAnchor editAs="oneCell">
    <xdr:from>
      <xdr:col>8</xdr:col>
      <xdr:colOff>276785</xdr:colOff>
      <xdr:row>11</xdr:row>
      <xdr:rowOff>112059</xdr:rowOff>
    </xdr:from>
    <xdr:to>
      <xdr:col>12</xdr:col>
      <xdr:colOff>172341</xdr:colOff>
      <xdr:row>14</xdr:row>
      <xdr:rowOff>180694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57079" y="3888441"/>
          <a:ext cx="2551350" cy="640135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</xdr:row>
      <xdr:rowOff>56995</xdr:rowOff>
    </xdr:from>
    <xdr:to>
      <xdr:col>3</xdr:col>
      <xdr:colOff>1689898</xdr:colOff>
      <xdr:row>4</xdr:row>
      <xdr:rowOff>608518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71825" y="437995"/>
          <a:ext cx="1461298" cy="551523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142874</xdr:colOff>
      <xdr:row>6</xdr:row>
      <xdr:rowOff>81669</xdr:rowOff>
    </xdr:from>
    <xdr:to>
      <xdr:col>3</xdr:col>
      <xdr:colOff>1829397</xdr:colOff>
      <xdr:row>6</xdr:row>
      <xdr:rowOff>602808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6099" y="1929519"/>
          <a:ext cx="1686523" cy="521139"/>
        </a:xfrm>
        <a:prstGeom prst="rect">
          <a:avLst/>
        </a:prstGeom>
      </xdr:spPr>
    </xdr:pic>
    <xdr:clientData/>
  </xdr:twoCellAnchor>
  <xdr:twoCellAnchor editAs="oneCell">
    <xdr:from>
      <xdr:col>8</xdr:col>
      <xdr:colOff>124385</xdr:colOff>
      <xdr:row>16</xdr:row>
      <xdr:rowOff>64434</xdr:rowOff>
    </xdr:from>
    <xdr:to>
      <xdr:col>12</xdr:col>
      <xdr:colOff>570451</xdr:colOff>
      <xdr:row>19</xdr:row>
      <xdr:rowOff>54627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0891"/>
        <a:stretch/>
      </xdr:blipFill>
      <xdr:spPr>
        <a:xfrm>
          <a:off x="8304679" y="4793316"/>
          <a:ext cx="3101860" cy="561693"/>
        </a:xfrm>
        <a:prstGeom prst="rect">
          <a:avLst/>
        </a:prstGeom>
      </xdr:spPr>
    </xdr:pic>
    <xdr:clientData/>
  </xdr:twoCellAnchor>
  <xdr:twoCellAnchor editAs="oneCell">
    <xdr:from>
      <xdr:col>2</xdr:col>
      <xdr:colOff>70039</xdr:colOff>
      <xdr:row>7</xdr:row>
      <xdr:rowOff>76200</xdr:rowOff>
    </xdr:from>
    <xdr:to>
      <xdr:col>2</xdr:col>
      <xdr:colOff>1694331</xdr:colOff>
      <xdr:row>9</xdr:row>
      <xdr:rowOff>57149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0546" t="7463" r="36415" b="2845"/>
        <a:stretch/>
      </xdr:blipFill>
      <xdr:spPr>
        <a:xfrm>
          <a:off x="1089214" y="3095625"/>
          <a:ext cx="1624292" cy="361949"/>
        </a:xfrm>
        <a:prstGeom prst="rect">
          <a:avLst/>
        </a:prstGeom>
      </xdr:spPr>
    </xdr:pic>
    <xdr:clientData/>
  </xdr:twoCellAnchor>
  <xdr:twoCellAnchor editAs="oneCell">
    <xdr:from>
      <xdr:col>1</xdr:col>
      <xdr:colOff>372597</xdr:colOff>
      <xdr:row>9</xdr:row>
      <xdr:rowOff>76201</xdr:rowOff>
    </xdr:from>
    <xdr:to>
      <xdr:col>2</xdr:col>
      <xdr:colOff>1899696</xdr:colOff>
      <xdr:row>11</xdr:row>
      <xdr:rowOff>92382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2197" y="3476626"/>
          <a:ext cx="1936674" cy="49803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12</xdr:row>
      <xdr:rowOff>57679</xdr:rowOff>
    </xdr:from>
    <xdr:to>
      <xdr:col>3</xdr:col>
      <xdr:colOff>944809</xdr:colOff>
      <xdr:row>14</xdr:row>
      <xdr:rowOff>152401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10211"/>
        <a:stretch/>
      </xdr:blipFill>
      <xdr:spPr>
        <a:xfrm>
          <a:off x="885826" y="4029604"/>
          <a:ext cx="3002208" cy="47572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</xdr:row>
      <xdr:rowOff>190500</xdr:rowOff>
    </xdr:from>
    <xdr:to>
      <xdr:col>2</xdr:col>
      <xdr:colOff>1757222</xdr:colOff>
      <xdr:row>5</xdr:row>
      <xdr:rowOff>617644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7275" y="1266825"/>
          <a:ext cx="1719122" cy="427144"/>
        </a:xfrm>
        <a:prstGeom prst="rect">
          <a:avLst/>
        </a:prstGeom>
      </xdr:spPr>
    </xdr:pic>
    <xdr:clientData/>
  </xdr:twoCellAnchor>
  <xdr:twoCellAnchor>
    <xdr:from>
      <xdr:col>2</xdr:col>
      <xdr:colOff>1790700</xdr:colOff>
      <xdr:row>4</xdr:row>
      <xdr:rowOff>561975</xdr:rowOff>
    </xdr:from>
    <xdr:to>
      <xdr:col>3</xdr:col>
      <xdr:colOff>142875</xdr:colOff>
      <xdr:row>5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CxnSpPr/>
      </xdr:nvCxnSpPr>
      <xdr:spPr>
        <a:xfrm flipV="1">
          <a:off x="2809875" y="942975"/>
          <a:ext cx="276225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4</xdr:row>
      <xdr:rowOff>600076</xdr:rowOff>
    </xdr:from>
    <xdr:to>
      <xdr:col>4</xdr:col>
      <xdr:colOff>142875</xdr:colOff>
      <xdr:row>6</xdr:row>
      <xdr:rowOff>57150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CxnSpPr/>
      </xdr:nvCxnSpPr>
      <xdr:spPr>
        <a:xfrm flipV="1">
          <a:off x="2809875" y="981076"/>
          <a:ext cx="2514600" cy="9239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1885950</xdr:colOff>
      <xdr:row>5</xdr:row>
      <xdr:rowOff>676276</xdr:rowOff>
    </xdr:from>
    <xdr:to>
      <xdr:col>4</xdr:col>
      <xdr:colOff>123825</xdr:colOff>
      <xdr:row>6</xdr:row>
      <xdr:rowOff>66675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CxnSpPr/>
      </xdr:nvCxnSpPr>
      <xdr:spPr>
        <a:xfrm flipV="1">
          <a:off x="4829175" y="1752601"/>
          <a:ext cx="238125" cy="1619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169812</xdr:colOff>
      <xdr:row>20</xdr:row>
      <xdr:rowOff>15762</xdr:rowOff>
    </xdr:from>
    <xdr:to>
      <xdr:col>12</xdr:col>
      <xdr:colOff>478286</xdr:colOff>
      <xdr:row>22</xdr:row>
      <xdr:rowOff>134861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50106" y="5506644"/>
          <a:ext cx="2964268" cy="500099"/>
        </a:xfrm>
        <a:prstGeom prst="rect">
          <a:avLst/>
        </a:prstGeom>
      </xdr:spPr>
    </xdr:pic>
    <xdr:clientData/>
  </xdr:twoCellAnchor>
  <xdr:twoCellAnchor editAs="oneCell">
    <xdr:from>
      <xdr:col>16</xdr:col>
      <xdr:colOff>542716</xdr:colOff>
      <xdr:row>5</xdr:row>
      <xdr:rowOff>489439</xdr:rowOff>
    </xdr:from>
    <xdr:to>
      <xdr:col>25</xdr:col>
      <xdr:colOff>393109</xdr:colOff>
      <xdr:row>6</xdr:row>
      <xdr:rowOff>360142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96641" y="2042014"/>
          <a:ext cx="5336793" cy="6422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11</xdr:col>
      <xdr:colOff>602888</xdr:colOff>
      <xdr:row>47</xdr:row>
      <xdr:rowOff>112819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787848" y="10535478"/>
          <a:ext cx="2060627" cy="493819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593911</xdr:colOff>
      <xdr:row>8</xdr:row>
      <xdr:rowOff>89647</xdr:rowOff>
    </xdr:from>
    <xdr:to>
      <xdr:col>13</xdr:col>
      <xdr:colOff>106919</xdr:colOff>
      <xdr:row>10</xdr:row>
      <xdr:rowOff>101613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74205" y="3294529"/>
          <a:ext cx="2773920" cy="49381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425825</xdr:colOff>
      <xdr:row>2</xdr:row>
      <xdr:rowOff>44824</xdr:rowOff>
    </xdr:from>
    <xdr:to>
      <xdr:col>7</xdr:col>
      <xdr:colOff>70855</xdr:colOff>
      <xdr:row>5</xdr:row>
      <xdr:rowOff>78162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3" y="425824"/>
          <a:ext cx="2065500" cy="60483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19050</xdr:rowOff>
    </xdr:from>
    <xdr:to>
      <xdr:col>6</xdr:col>
      <xdr:colOff>263977</xdr:colOff>
      <xdr:row>9</xdr:row>
      <xdr:rowOff>174184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1352550"/>
          <a:ext cx="1730827" cy="536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87923</xdr:colOff>
      <xdr:row>8</xdr:row>
      <xdr:rowOff>14654</xdr:rowOff>
    </xdr:from>
    <xdr:to>
      <xdr:col>4</xdr:col>
      <xdr:colOff>116925</xdr:colOff>
      <xdr:row>9</xdr:row>
      <xdr:rowOff>145596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1058" y="1919654"/>
          <a:ext cx="1084079" cy="32144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19050</xdr:rowOff>
    </xdr:from>
    <xdr:to>
      <xdr:col>6</xdr:col>
      <xdr:colOff>263977</xdr:colOff>
      <xdr:row>9</xdr:row>
      <xdr:rowOff>174184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352550"/>
          <a:ext cx="1730827" cy="536134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3</xdr:row>
      <xdr:rowOff>9525</xdr:rowOff>
    </xdr:from>
    <xdr:to>
      <xdr:col>7</xdr:col>
      <xdr:colOff>61000</xdr:colOff>
      <xdr:row>5</xdr:row>
      <xdr:rowOff>1960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46" t="7463" b="1"/>
        <a:stretch/>
      </xdr:blipFill>
      <xdr:spPr>
        <a:xfrm>
          <a:off x="4162425" y="581025"/>
          <a:ext cx="2747050" cy="3734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14</xdr:row>
      <xdr:rowOff>104775</xdr:rowOff>
    </xdr:from>
    <xdr:to>
      <xdr:col>6</xdr:col>
      <xdr:colOff>347966</xdr:colOff>
      <xdr:row>17</xdr:row>
      <xdr:rowOff>97984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0050" y="2771775"/>
          <a:ext cx="1805291" cy="56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9</xdr:row>
      <xdr:rowOff>95250</xdr:rowOff>
    </xdr:from>
    <xdr:to>
      <xdr:col>8</xdr:col>
      <xdr:colOff>266700</xdr:colOff>
      <xdr:row>15</xdr:row>
      <xdr:rowOff>38101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CxnSpPr/>
      </xdr:nvCxnSpPr>
      <xdr:spPr>
        <a:xfrm flipV="1">
          <a:off x="6448425" y="1809750"/>
          <a:ext cx="485775" cy="1085851"/>
        </a:xfrm>
        <a:prstGeom prst="straightConnector1">
          <a:avLst/>
        </a:prstGeom>
        <a:ln w="31750">
          <a:solidFill>
            <a:srgbClr val="FF0000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13</xdr:row>
      <xdr:rowOff>123825</xdr:rowOff>
    </xdr:from>
    <xdr:to>
      <xdr:col>4</xdr:col>
      <xdr:colOff>542925</xdr:colOff>
      <xdr:row>13</xdr:row>
      <xdr:rowOff>133351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CxnSpPr/>
      </xdr:nvCxnSpPr>
      <xdr:spPr>
        <a:xfrm flipV="1">
          <a:off x="3095625" y="2600325"/>
          <a:ext cx="714375" cy="9526"/>
        </a:xfrm>
        <a:prstGeom prst="straightConnector1">
          <a:avLst/>
        </a:prstGeom>
        <a:ln w="31750">
          <a:solidFill>
            <a:srgbClr val="FF0000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6</xdr:row>
      <xdr:rowOff>180975</xdr:rowOff>
    </xdr:from>
    <xdr:to>
      <xdr:col>8</xdr:col>
      <xdr:colOff>333375</xdr:colOff>
      <xdr:row>12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CxnSpPr/>
      </xdr:nvCxnSpPr>
      <xdr:spPr>
        <a:xfrm flipV="1">
          <a:off x="6991350" y="1323975"/>
          <a:ext cx="9525" cy="990600"/>
        </a:xfrm>
        <a:prstGeom prst="straightConnector1">
          <a:avLst/>
        </a:prstGeom>
        <a:ln w="31750">
          <a:solidFill>
            <a:srgbClr val="FF0000"/>
          </a:solidFill>
          <a:tailEnd type="non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6</xdr:row>
      <xdr:rowOff>123825</xdr:rowOff>
    </xdr:from>
    <xdr:to>
      <xdr:col>3</xdr:col>
      <xdr:colOff>114300</xdr:colOff>
      <xdr:row>12</xdr:row>
      <xdr:rowOff>95250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743075" y="1266825"/>
          <a:ext cx="1381125" cy="1114425"/>
        </a:xfrm>
        <a:prstGeom prst="round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295275</xdr:colOff>
      <xdr:row>16</xdr:row>
      <xdr:rowOff>104775</xdr:rowOff>
    </xdr:from>
    <xdr:to>
      <xdr:col>2</xdr:col>
      <xdr:colOff>590550</xdr:colOff>
      <xdr:row>22</xdr:row>
      <xdr:rowOff>114300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752475" y="3152775"/>
          <a:ext cx="1504950" cy="1152525"/>
        </a:xfrm>
        <a:prstGeom prst="wedgeRoundRectCallout">
          <a:avLst>
            <a:gd name="adj1" fmla="val 39282"/>
            <a:gd name="adj2" fmla="val -114209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The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F to P formula must be applied separately for each year, since non-uniform.values.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4</xdr:row>
      <xdr:rowOff>85725</xdr:rowOff>
    </xdr:from>
    <xdr:to>
      <xdr:col>11</xdr:col>
      <xdr:colOff>209550</xdr:colOff>
      <xdr:row>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46" t="7463" r="36415" b="2845"/>
        <a:stretch/>
      </xdr:blipFill>
      <xdr:spPr>
        <a:xfrm>
          <a:off x="8372475" y="657225"/>
          <a:ext cx="1628775" cy="361949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7</xdr:row>
      <xdr:rowOff>152400</xdr:rowOff>
    </xdr:from>
    <xdr:to>
      <xdr:col>11</xdr:col>
      <xdr:colOff>445732</xdr:colOff>
      <xdr:row>10</xdr:row>
      <xdr:rowOff>78934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1295400"/>
          <a:ext cx="1941157" cy="49803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254374</xdr:colOff>
      <xdr:row>6</xdr:row>
      <xdr:rowOff>96930</xdr:rowOff>
    </xdr:from>
    <xdr:to>
      <xdr:col>9</xdr:col>
      <xdr:colOff>702049</xdr:colOff>
      <xdr:row>8</xdr:row>
      <xdr:rowOff>77879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46" t="7463" r="36415" b="2845"/>
        <a:stretch/>
      </xdr:blipFill>
      <xdr:spPr>
        <a:xfrm>
          <a:off x="6182286" y="1239930"/>
          <a:ext cx="1624292" cy="361949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9</xdr:row>
      <xdr:rowOff>73959</xdr:rowOff>
    </xdr:from>
    <xdr:to>
      <xdr:col>9</xdr:col>
      <xdr:colOff>893407</xdr:colOff>
      <xdr:row>12</xdr:row>
      <xdr:rowOff>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262" y="1788459"/>
          <a:ext cx="1936674" cy="498034"/>
        </a:xfrm>
        <a:prstGeom prst="rect">
          <a:avLst/>
        </a:prstGeom>
      </xdr:spPr>
    </xdr:pic>
    <xdr:clientData/>
  </xdr:twoCellAnchor>
  <xdr:twoCellAnchor editAs="oneCell">
    <xdr:from>
      <xdr:col>8</xdr:col>
      <xdr:colOff>178594</xdr:colOff>
      <xdr:row>13</xdr:row>
      <xdr:rowOff>5954</xdr:rowOff>
    </xdr:from>
    <xdr:to>
      <xdr:col>9</xdr:col>
      <xdr:colOff>1147854</xdr:colOff>
      <xdr:row>15</xdr:row>
      <xdr:rowOff>13194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482454"/>
          <a:ext cx="2147979" cy="38824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276786</xdr:colOff>
      <xdr:row>13</xdr:row>
      <xdr:rowOff>7282</xdr:rowOff>
    </xdr:from>
    <xdr:to>
      <xdr:col>8</xdr:col>
      <xdr:colOff>735667</xdr:colOff>
      <xdr:row>14</xdr:row>
      <xdr:rowOff>178731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46" t="7463" r="36415" b="2845"/>
        <a:stretch/>
      </xdr:blipFill>
      <xdr:spPr>
        <a:xfrm>
          <a:off x="5173757" y="2674282"/>
          <a:ext cx="1624292" cy="361949"/>
        </a:xfrm>
        <a:prstGeom prst="rect">
          <a:avLst/>
        </a:prstGeom>
      </xdr:spPr>
    </xdr:pic>
    <xdr:clientData/>
  </xdr:twoCellAnchor>
  <xdr:twoCellAnchor editAs="oneCell">
    <xdr:from>
      <xdr:col>6</xdr:col>
      <xdr:colOff>325782</xdr:colOff>
      <xdr:row>14</xdr:row>
      <xdr:rowOff>172493</xdr:rowOff>
    </xdr:from>
    <xdr:to>
      <xdr:col>8</xdr:col>
      <xdr:colOff>1097045</xdr:colOff>
      <xdr:row>17</xdr:row>
      <xdr:rowOff>99027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661" y="3029993"/>
          <a:ext cx="1933970" cy="498034"/>
        </a:xfrm>
        <a:prstGeom prst="rect">
          <a:avLst/>
        </a:prstGeom>
      </xdr:spPr>
    </xdr:pic>
    <xdr:clientData/>
  </xdr:twoCellAnchor>
  <xdr:twoCellAnchor editAs="oneCell">
    <xdr:from>
      <xdr:col>6</xdr:col>
      <xdr:colOff>235322</xdr:colOff>
      <xdr:row>21</xdr:row>
      <xdr:rowOff>7810</xdr:rowOff>
    </xdr:from>
    <xdr:to>
      <xdr:col>10</xdr:col>
      <xdr:colOff>0</xdr:colOff>
      <xdr:row>23</xdr:row>
      <xdr:rowOff>147077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211"/>
        <a:stretch/>
      </xdr:blipFill>
      <xdr:spPr>
        <a:xfrm>
          <a:off x="5132293" y="4198810"/>
          <a:ext cx="3283325" cy="520267"/>
        </a:xfrm>
        <a:prstGeom prst="rect">
          <a:avLst/>
        </a:prstGeom>
      </xdr:spPr>
    </xdr:pic>
    <xdr:clientData/>
  </xdr:twoCellAnchor>
  <xdr:twoCellAnchor>
    <xdr:from>
      <xdr:col>20</xdr:col>
      <xdr:colOff>800100</xdr:colOff>
      <xdr:row>15</xdr:row>
      <xdr:rowOff>133349</xdr:rowOff>
    </xdr:from>
    <xdr:to>
      <xdr:col>21</xdr:col>
      <xdr:colOff>523875</xdr:colOff>
      <xdr:row>17</xdr:row>
      <xdr:rowOff>180974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 txBox="1"/>
      </xdr:nvSpPr>
      <xdr:spPr>
        <a:xfrm>
          <a:off x="15020925" y="3181349"/>
          <a:ext cx="533400" cy="4286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same</a:t>
          </a:r>
        </a:p>
      </xdr:txBody>
    </xdr:sp>
    <xdr:clientData/>
  </xdr:twoCellAnchor>
  <xdr:twoCellAnchor>
    <xdr:from>
      <xdr:col>18</xdr:col>
      <xdr:colOff>228600</xdr:colOff>
      <xdr:row>16</xdr:row>
      <xdr:rowOff>123825</xdr:rowOff>
    </xdr:from>
    <xdr:to>
      <xdr:col>20</xdr:col>
      <xdr:colOff>581025</xdr:colOff>
      <xdr:row>16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CxnSpPr/>
      </xdr:nvCxnSpPr>
      <xdr:spPr>
        <a:xfrm flipH="1">
          <a:off x="13687425" y="3362325"/>
          <a:ext cx="11144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16</xdr:row>
      <xdr:rowOff>114300</xdr:rowOff>
    </xdr:from>
    <xdr:to>
      <xdr:col>24</xdr:col>
      <xdr:colOff>857250</xdr:colOff>
      <xdr:row>16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CxnSpPr/>
      </xdr:nvCxnSpPr>
      <xdr:spPr>
        <a:xfrm flipV="1">
          <a:off x="15659100" y="3352800"/>
          <a:ext cx="2047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16</xdr:row>
      <xdr:rowOff>171450</xdr:rowOff>
    </xdr:from>
    <xdr:to>
      <xdr:col>6</xdr:col>
      <xdr:colOff>55207</xdr:colOff>
      <xdr:row>19</xdr:row>
      <xdr:rowOff>97984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3028950"/>
          <a:ext cx="1941157" cy="49803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205154</xdr:colOff>
      <xdr:row>7</xdr:row>
      <xdr:rowOff>46838</xdr:rowOff>
    </xdr:from>
    <xdr:to>
      <xdr:col>6</xdr:col>
      <xdr:colOff>880327</xdr:colOff>
      <xdr:row>8</xdr:row>
      <xdr:rowOff>283354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7604" y="1380338"/>
          <a:ext cx="1380023" cy="427016"/>
        </a:xfrm>
        <a:prstGeom prst="rect">
          <a:avLst/>
        </a:prstGeom>
      </xdr:spPr>
    </xdr:pic>
    <xdr:clientData/>
  </xdr:twoCellAnchor>
  <xdr:twoCellAnchor editAs="oneCell">
    <xdr:from>
      <xdr:col>5</xdr:col>
      <xdr:colOff>161192</xdr:colOff>
      <xdr:row>5</xdr:row>
      <xdr:rowOff>153866</xdr:rowOff>
    </xdr:from>
    <xdr:to>
      <xdr:col>8</xdr:col>
      <xdr:colOff>32492</xdr:colOff>
      <xdr:row>7</xdr:row>
      <xdr:rowOff>74413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3642" y="1106366"/>
          <a:ext cx="1804875" cy="30154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205154</xdr:colOff>
      <xdr:row>7</xdr:row>
      <xdr:rowOff>46838</xdr:rowOff>
    </xdr:from>
    <xdr:to>
      <xdr:col>6</xdr:col>
      <xdr:colOff>880327</xdr:colOff>
      <xdr:row>8</xdr:row>
      <xdr:rowOff>283354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4673" y="1380338"/>
          <a:ext cx="1378558" cy="427016"/>
        </a:xfrm>
        <a:prstGeom prst="rect">
          <a:avLst/>
        </a:prstGeom>
      </xdr:spPr>
    </xdr:pic>
    <xdr:clientData/>
  </xdr:twoCellAnchor>
  <xdr:twoCellAnchor editAs="oneCell">
    <xdr:from>
      <xdr:col>5</xdr:col>
      <xdr:colOff>161192</xdr:colOff>
      <xdr:row>5</xdr:row>
      <xdr:rowOff>153866</xdr:rowOff>
    </xdr:from>
    <xdr:to>
      <xdr:col>8</xdr:col>
      <xdr:colOff>32492</xdr:colOff>
      <xdr:row>7</xdr:row>
      <xdr:rowOff>74413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0711" y="1106366"/>
          <a:ext cx="1805608" cy="30154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205154</xdr:colOff>
      <xdr:row>7</xdr:row>
      <xdr:rowOff>46838</xdr:rowOff>
    </xdr:from>
    <xdr:to>
      <xdr:col>6</xdr:col>
      <xdr:colOff>880327</xdr:colOff>
      <xdr:row>8</xdr:row>
      <xdr:rowOff>283354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7604" y="1380338"/>
          <a:ext cx="1380023" cy="427016"/>
        </a:xfrm>
        <a:prstGeom prst="rect">
          <a:avLst/>
        </a:prstGeom>
      </xdr:spPr>
    </xdr:pic>
    <xdr:clientData/>
  </xdr:twoCellAnchor>
  <xdr:twoCellAnchor editAs="oneCell">
    <xdr:from>
      <xdr:col>5</xdr:col>
      <xdr:colOff>161192</xdr:colOff>
      <xdr:row>5</xdr:row>
      <xdr:rowOff>153866</xdr:rowOff>
    </xdr:from>
    <xdr:to>
      <xdr:col>8</xdr:col>
      <xdr:colOff>32492</xdr:colOff>
      <xdr:row>7</xdr:row>
      <xdr:rowOff>74413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3642" y="1106366"/>
          <a:ext cx="1804875" cy="30154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74542</xdr:colOff>
      <xdr:row>8</xdr:row>
      <xdr:rowOff>13309</xdr:rowOff>
    </xdr:from>
    <xdr:to>
      <xdr:col>8</xdr:col>
      <xdr:colOff>155279</xdr:colOff>
      <xdr:row>9</xdr:row>
      <xdr:rowOff>229198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499" y="1802352"/>
          <a:ext cx="1314845" cy="4063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695740</xdr:colOff>
      <xdr:row>5</xdr:row>
      <xdr:rowOff>173934</xdr:rowOff>
    </xdr:from>
    <xdr:to>
      <xdr:col>8</xdr:col>
      <xdr:colOff>563218</xdr:colOff>
      <xdr:row>6</xdr:row>
      <xdr:rowOff>284981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0675" y="1126434"/>
          <a:ext cx="1805608" cy="3015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107674</xdr:colOff>
      <xdr:row>8</xdr:row>
      <xdr:rowOff>41250</xdr:rowOff>
    </xdr:from>
    <xdr:to>
      <xdr:col>3</xdr:col>
      <xdr:colOff>497183</xdr:colOff>
      <xdr:row>9</xdr:row>
      <xdr:rowOff>145190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565250"/>
          <a:ext cx="1002422" cy="29444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290879</xdr:colOff>
      <xdr:row>7</xdr:row>
      <xdr:rowOff>75413</xdr:rowOff>
    </xdr:from>
    <xdr:to>
      <xdr:col>8</xdr:col>
      <xdr:colOff>318352</xdr:colOff>
      <xdr:row>8</xdr:row>
      <xdr:rowOff>311929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2104" y="1408913"/>
          <a:ext cx="1380023" cy="427016"/>
        </a:xfrm>
        <a:prstGeom prst="rect">
          <a:avLst/>
        </a:prstGeom>
      </xdr:spPr>
    </xdr:pic>
    <xdr:clientData/>
  </xdr:twoCellAnchor>
  <xdr:twoCellAnchor editAs="oneCell">
    <xdr:from>
      <xdr:col>6</xdr:col>
      <xdr:colOff>285017</xdr:colOff>
      <xdr:row>5</xdr:row>
      <xdr:rowOff>144341</xdr:rowOff>
    </xdr:from>
    <xdr:to>
      <xdr:col>8</xdr:col>
      <xdr:colOff>737342</xdr:colOff>
      <xdr:row>7</xdr:row>
      <xdr:rowOff>64888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6242" y="1096841"/>
          <a:ext cx="1804875" cy="301547"/>
        </a:xfrm>
        <a:prstGeom prst="rect">
          <a:avLst/>
        </a:prstGeom>
      </xdr:spPr>
    </xdr:pic>
    <xdr:clientData/>
  </xdr:twoCellAnchor>
  <xdr:oneCellAnchor>
    <xdr:from>
      <xdr:col>25</xdr:col>
      <xdr:colOff>395654</xdr:colOff>
      <xdr:row>7</xdr:row>
      <xdr:rowOff>37313</xdr:rowOff>
    </xdr:from>
    <xdr:ext cx="1379195" cy="42701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40954" y="1370813"/>
          <a:ext cx="1379195" cy="427016"/>
        </a:xfrm>
        <a:prstGeom prst="rect">
          <a:avLst/>
        </a:prstGeom>
      </xdr:spPr>
    </xdr:pic>
    <xdr:clientData/>
  </xdr:oneCellAnchor>
  <xdr:oneCellAnchor>
    <xdr:from>
      <xdr:col>25</xdr:col>
      <xdr:colOff>304067</xdr:colOff>
      <xdr:row>5</xdr:row>
      <xdr:rowOff>115766</xdr:rowOff>
    </xdr:from>
    <xdr:ext cx="1809430" cy="301547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9367" y="1068266"/>
          <a:ext cx="1809430" cy="301547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3</xdr:row>
      <xdr:rowOff>166238</xdr:rowOff>
    </xdr:from>
    <xdr:to>
      <xdr:col>4</xdr:col>
      <xdr:colOff>940624</xdr:colOff>
      <xdr:row>6</xdr:row>
      <xdr:rowOff>180347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4029" y="737738"/>
          <a:ext cx="1982771" cy="58560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381001</xdr:colOff>
      <xdr:row>7</xdr:row>
      <xdr:rowOff>80356</xdr:rowOff>
    </xdr:from>
    <xdr:to>
      <xdr:col>4</xdr:col>
      <xdr:colOff>825366</xdr:colOff>
      <xdr:row>10</xdr:row>
      <xdr:rowOff>141793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266" y="1413856"/>
          <a:ext cx="1677012" cy="63293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67234</xdr:colOff>
      <xdr:row>2</xdr:row>
      <xdr:rowOff>125766</xdr:rowOff>
    </xdr:from>
    <xdr:to>
      <xdr:col>4</xdr:col>
      <xdr:colOff>1030271</xdr:colOff>
      <xdr:row>6</xdr:row>
      <xdr:rowOff>12259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9" y="506766"/>
          <a:ext cx="2195684" cy="648493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3</xdr:row>
      <xdr:rowOff>107576</xdr:rowOff>
    </xdr:from>
    <xdr:to>
      <xdr:col>27</xdr:col>
      <xdr:colOff>168087</xdr:colOff>
      <xdr:row>17</xdr:row>
      <xdr:rowOff>183776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56030</xdr:colOff>
      <xdr:row>18</xdr:row>
      <xdr:rowOff>186018</xdr:rowOff>
    </xdr:from>
    <xdr:to>
      <xdr:col>27</xdr:col>
      <xdr:colOff>123265</xdr:colOff>
      <xdr:row>33</xdr:row>
      <xdr:rowOff>71718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125330</xdr:colOff>
      <xdr:row>6</xdr:row>
      <xdr:rowOff>70183</xdr:rowOff>
    </xdr:from>
    <xdr:to>
      <xdr:col>5</xdr:col>
      <xdr:colOff>271689</xdr:colOff>
      <xdr:row>8</xdr:row>
      <xdr:rowOff>73520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527" y="1213183"/>
          <a:ext cx="1013636" cy="384337"/>
        </a:xfrm>
        <a:prstGeom prst="rect">
          <a:avLst/>
        </a:prstGeom>
      </xdr:spPr>
    </xdr:pic>
    <xdr:clientData/>
  </xdr:twoCellAnchor>
  <xdr:twoCellAnchor editAs="oneCell">
    <xdr:from>
      <xdr:col>2</xdr:col>
      <xdr:colOff>987592</xdr:colOff>
      <xdr:row>13</xdr:row>
      <xdr:rowOff>180474</xdr:rowOff>
    </xdr:from>
    <xdr:to>
      <xdr:col>6</xdr:col>
      <xdr:colOff>387719</xdr:colOff>
      <xdr:row>17</xdr:row>
      <xdr:rowOff>40320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4592" y="2656974"/>
          <a:ext cx="2097206" cy="62184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177373</xdr:colOff>
      <xdr:row>11</xdr:row>
      <xdr:rowOff>57631</xdr:rowOff>
    </xdr:from>
    <xdr:to>
      <xdr:col>2</xdr:col>
      <xdr:colOff>1034141</xdr:colOff>
      <xdr:row>14</xdr:row>
      <xdr:rowOff>22265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673" y="2153131"/>
          <a:ext cx="1733068" cy="53613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100853</xdr:colOff>
      <xdr:row>53</xdr:row>
      <xdr:rowOff>179292</xdr:rowOff>
    </xdr:from>
    <xdr:to>
      <xdr:col>8</xdr:col>
      <xdr:colOff>392206</xdr:colOff>
      <xdr:row>73</xdr:row>
      <xdr:rowOff>99730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293652</xdr:colOff>
      <xdr:row>4</xdr:row>
      <xdr:rowOff>124818</xdr:rowOff>
    </xdr:from>
    <xdr:to>
      <xdr:col>20</xdr:col>
      <xdr:colOff>586409</xdr:colOff>
      <xdr:row>25</xdr:row>
      <xdr:rowOff>35734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347382</xdr:colOff>
      <xdr:row>2</xdr:row>
      <xdr:rowOff>22593</xdr:rowOff>
    </xdr:from>
    <xdr:to>
      <xdr:col>6</xdr:col>
      <xdr:colOff>469977</xdr:colOff>
      <xdr:row>5</xdr:row>
      <xdr:rowOff>23464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7764" y="403593"/>
          <a:ext cx="1937948" cy="572371"/>
        </a:xfrm>
        <a:prstGeom prst="rect">
          <a:avLst/>
        </a:prstGeom>
      </xdr:spPr>
    </xdr:pic>
    <xdr:clientData/>
  </xdr:twoCellAnchor>
  <xdr:twoCellAnchor editAs="oneCell">
    <xdr:from>
      <xdr:col>3</xdr:col>
      <xdr:colOff>392206</xdr:colOff>
      <xdr:row>7</xdr:row>
      <xdr:rowOff>67235</xdr:rowOff>
    </xdr:from>
    <xdr:to>
      <xdr:col>6</xdr:col>
      <xdr:colOff>38151</xdr:colOff>
      <xdr:row>10</xdr:row>
      <xdr:rowOff>47258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8" y="1400735"/>
          <a:ext cx="1461298" cy="551523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347382</xdr:colOff>
      <xdr:row>12</xdr:row>
      <xdr:rowOff>56210</xdr:rowOff>
    </xdr:from>
    <xdr:to>
      <xdr:col>6</xdr:col>
      <xdr:colOff>469977</xdr:colOff>
      <xdr:row>15</xdr:row>
      <xdr:rowOff>57081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1323" y="2342210"/>
          <a:ext cx="1937948" cy="572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124558</xdr:colOff>
      <xdr:row>1</xdr:row>
      <xdr:rowOff>13242</xdr:rowOff>
    </xdr:from>
    <xdr:to>
      <xdr:col>8</xdr:col>
      <xdr:colOff>711808</xdr:colOff>
      <xdr:row>4</xdr:row>
      <xdr:rowOff>4932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883" y="203742"/>
          <a:ext cx="1815975" cy="56319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56029</xdr:colOff>
      <xdr:row>14</xdr:row>
      <xdr:rowOff>56029</xdr:rowOff>
    </xdr:from>
    <xdr:to>
      <xdr:col>17</xdr:col>
      <xdr:colOff>504264</xdr:colOff>
      <xdr:row>17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/>
      </xdr:nvSpPr>
      <xdr:spPr>
        <a:xfrm>
          <a:off x="8561294" y="2913529"/>
          <a:ext cx="1109382" cy="64994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2+3 is best IF no</a:t>
          </a:r>
          <a:r>
            <a:rPr lang="en-US" sz="1100" baseline="0">
              <a:solidFill>
                <a:schemeClr val="bg1"/>
              </a:solidFill>
            </a:rPr>
            <a:t> budget constraint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78442</xdr:colOff>
      <xdr:row>14</xdr:row>
      <xdr:rowOff>56030</xdr:rowOff>
    </xdr:from>
    <xdr:to>
      <xdr:col>23</xdr:col>
      <xdr:colOff>493059</xdr:colOff>
      <xdr:row>17</xdr:row>
      <xdr:rowOff>134472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295530" y="2913530"/>
          <a:ext cx="1109382" cy="64994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3+5 is best IF </a:t>
          </a:r>
          <a:r>
            <a:rPr lang="en-US" sz="1100" baseline="0">
              <a:solidFill>
                <a:schemeClr val="bg1"/>
              </a:solidFill>
            </a:rPr>
            <a:t> budget constraint exists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78442</xdr:colOff>
      <xdr:row>14</xdr:row>
      <xdr:rowOff>56028</xdr:rowOff>
    </xdr:from>
    <xdr:to>
      <xdr:col>20</xdr:col>
      <xdr:colOff>504266</xdr:colOff>
      <xdr:row>21</xdr:row>
      <xdr:rowOff>179294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SpPr txBox="1"/>
      </xdr:nvSpPr>
      <xdr:spPr>
        <a:xfrm>
          <a:off x="9928413" y="2913528"/>
          <a:ext cx="1109382" cy="145676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Starting with</a:t>
          </a:r>
          <a:r>
            <a:rPr lang="en-US" sz="1100" baseline="0">
              <a:solidFill>
                <a:schemeClr val="bg1"/>
              </a:solidFill>
            </a:rPr>
            <a:t> the best IRR (2) then adding what you can still afford (4) DOESN'T give the best combination.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448236</xdr:colOff>
      <xdr:row>1</xdr:row>
      <xdr:rowOff>142023</xdr:rowOff>
    </xdr:from>
    <xdr:to>
      <xdr:col>18</xdr:col>
      <xdr:colOff>358588</xdr:colOff>
      <xdr:row>17</xdr:row>
      <xdr:rowOff>100853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850" t="23440" r="14024" b="4287"/>
        <a:stretch/>
      </xdr:blipFill>
      <xdr:spPr>
        <a:xfrm>
          <a:off x="6689912" y="332523"/>
          <a:ext cx="4751294" cy="32197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693963</xdr:colOff>
      <xdr:row>4</xdr:row>
      <xdr:rowOff>19049</xdr:rowOff>
    </xdr:from>
    <xdr:to>
      <xdr:col>6</xdr:col>
      <xdr:colOff>215132</xdr:colOff>
      <xdr:row>7</xdr:row>
      <xdr:rowOff>25332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1938" y="781049"/>
          <a:ext cx="1864319" cy="5777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8</xdr:row>
      <xdr:rowOff>120525</xdr:rowOff>
    </xdr:from>
    <xdr:to>
      <xdr:col>5</xdr:col>
      <xdr:colOff>658796</xdr:colOff>
      <xdr:row>10</xdr:row>
      <xdr:rowOff>176034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1644525"/>
          <a:ext cx="1477946" cy="436509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11</xdr:row>
      <xdr:rowOff>117380</xdr:rowOff>
    </xdr:from>
    <xdr:to>
      <xdr:col>5</xdr:col>
      <xdr:colOff>660865</xdr:colOff>
      <xdr:row>13</xdr:row>
      <xdr:rowOff>156642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2350" y="2212880"/>
          <a:ext cx="1746715" cy="4202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191965</xdr:colOff>
      <xdr:row>7</xdr:row>
      <xdr:rowOff>181873</xdr:rowOff>
    </xdr:from>
    <xdr:to>
      <xdr:col>6</xdr:col>
      <xdr:colOff>588477</xdr:colOff>
      <xdr:row>9</xdr:row>
      <xdr:rowOff>55059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6369" y="1515373"/>
          <a:ext cx="2220916" cy="635186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523876</xdr:colOff>
      <xdr:row>10</xdr:row>
      <xdr:rowOff>154561</xdr:rowOff>
    </xdr:from>
    <xdr:to>
      <xdr:col>6</xdr:col>
      <xdr:colOff>523876</xdr:colOff>
      <xdr:row>13</xdr:row>
      <xdr:rowOff>168848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6" y="2059561"/>
          <a:ext cx="2438400" cy="585787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3</xdr:row>
      <xdr:rowOff>19870</xdr:rowOff>
    </xdr:from>
    <xdr:to>
      <xdr:col>10</xdr:col>
      <xdr:colOff>95250</xdr:colOff>
      <xdr:row>5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591370"/>
          <a:ext cx="3552825" cy="4278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3</xdr:row>
      <xdr:rowOff>25945</xdr:rowOff>
    </xdr:from>
    <xdr:to>
      <xdr:col>5</xdr:col>
      <xdr:colOff>2124076</xdr:colOff>
      <xdr:row>6</xdr:row>
      <xdr:rowOff>69409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6" y="597445"/>
          <a:ext cx="3181350" cy="614964"/>
        </a:xfrm>
        <a:prstGeom prst="rect">
          <a:avLst/>
        </a:prstGeom>
      </xdr:spPr>
    </xdr:pic>
    <xdr:clientData/>
  </xdr:twoCellAnchor>
  <xdr:twoCellAnchor editAs="oneCell">
    <xdr:from>
      <xdr:col>10</xdr:col>
      <xdr:colOff>255815</xdr:colOff>
      <xdr:row>9</xdr:row>
      <xdr:rowOff>21772</xdr:rowOff>
    </xdr:from>
    <xdr:to>
      <xdr:col>12</xdr:col>
      <xdr:colOff>497913</xdr:colOff>
      <xdr:row>12</xdr:row>
      <xdr:rowOff>1795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1215" y="1736272"/>
          <a:ext cx="1461298" cy="5515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3</xdr:row>
      <xdr:rowOff>108857</xdr:rowOff>
    </xdr:from>
    <xdr:to>
      <xdr:col>5</xdr:col>
      <xdr:colOff>75491</xdr:colOff>
      <xdr:row>6</xdr:row>
      <xdr:rowOff>92141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4714" y="680357"/>
          <a:ext cx="1871634" cy="5547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108857</xdr:rowOff>
    </xdr:from>
    <xdr:to>
      <xdr:col>5</xdr:col>
      <xdr:colOff>16303</xdr:colOff>
      <xdr:row>15</xdr:row>
      <xdr:rowOff>116781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57" y="2394857"/>
          <a:ext cx="2002946" cy="57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8"/>
  <sheetViews>
    <sheetView topLeftCell="B1" workbookViewId="0">
      <selection activeCell="P18" sqref="P18"/>
    </sheetView>
  </sheetViews>
  <sheetFormatPr baseColWidth="10" defaultColWidth="8.83203125" defaultRowHeight="15" x14ac:dyDescent="0.2"/>
  <cols>
    <col min="3" max="3" width="13.5" customWidth="1"/>
    <col min="4" max="4" width="15.83203125" customWidth="1"/>
    <col min="5" max="5" width="10.1640625" customWidth="1"/>
    <col min="6" max="6" width="11" bestFit="1" customWidth="1"/>
    <col min="7" max="7" width="15.6640625" customWidth="1"/>
    <col min="8" max="8" width="14.83203125" bestFit="1" customWidth="1"/>
  </cols>
  <sheetData>
    <row r="1" spans="3:5" x14ac:dyDescent="0.2">
      <c r="C1" t="s">
        <v>6</v>
      </c>
      <c r="E1">
        <v>0.02</v>
      </c>
    </row>
    <row r="2" spans="3:5" x14ac:dyDescent="0.2">
      <c r="C2" t="s">
        <v>140</v>
      </c>
      <c r="E2" s="1">
        <v>1000</v>
      </c>
    </row>
    <row r="4" spans="3:5" ht="36.75" customHeight="1" x14ac:dyDescent="0.2">
      <c r="C4" s="52" t="s">
        <v>141</v>
      </c>
      <c r="D4" s="48" t="s">
        <v>142</v>
      </c>
      <c r="E4" s="48" t="s">
        <v>143</v>
      </c>
    </row>
    <row r="5" spans="3:5" x14ac:dyDescent="0.2">
      <c r="C5" s="20">
        <v>1</v>
      </c>
      <c r="D5" s="1">
        <f>E2</f>
        <v>1000</v>
      </c>
      <c r="E5" s="1">
        <f>E2*E1</f>
        <v>20</v>
      </c>
    </row>
    <row r="6" spans="3:5" x14ac:dyDescent="0.2">
      <c r="C6" s="20">
        <v>2</v>
      </c>
      <c r="D6" s="1">
        <f>D5+E5</f>
        <v>1020</v>
      </c>
      <c r="E6" s="1">
        <f>D6*E1</f>
        <v>20.400000000000002</v>
      </c>
    </row>
    <row r="7" spans="3:5" x14ac:dyDescent="0.2">
      <c r="C7" s="20">
        <v>3</v>
      </c>
      <c r="D7" s="1">
        <f>D6+E6</f>
        <v>1040.4000000000001</v>
      </c>
      <c r="E7" s="1">
        <f>D7*$E$1</f>
        <v>20.808000000000003</v>
      </c>
    </row>
    <row r="8" spans="3:5" x14ac:dyDescent="0.2">
      <c r="C8" s="20">
        <v>4</v>
      </c>
      <c r="D8" s="1">
        <f>D7+E7</f>
        <v>1061.2080000000001</v>
      </c>
      <c r="E8" s="1">
        <f>D8*$E$1</f>
        <v>21.224160000000001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16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19.1640625" customWidth="1"/>
    <col min="3" max="3" width="18" customWidth="1"/>
  </cols>
  <sheetData>
    <row r="2" spans="1:3" x14ac:dyDescent="0.2">
      <c r="B2" s="3" t="s">
        <v>27</v>
      </c>
      <c r="C2" s="3"/>
    </row>
    <row r="4" spans="1:3" x14ac:dyDescent="0.2">
      <c r="B4" t="s">
        <v>15</v>
      </c>
      <c r="C4" s="6">
        <v>0.15</v>
      </c>
    </row>
    <row r="6" spans="1:3" x14ac:dyDescent="0.2">
      <c r="A6" t="s">
        <v>11</v>
      </c>
      <c r="B6" t="s">
        <v>28</v>
      </c>
      <c r="C6" t="s">
        <v>18</v>
      </c>
    </row>
    <row r="8" spans="1:3" x14ac:dyDescent="0.2">
      <c r="A8">
        <v>1</v>
      </c>
      <c r="B8" s="8">
        <v>-100</v>
      </c>
      <c r="C8" s="1">
        <f>B8/(1+$C$4)^A8</f>
        <v>-86.956521739130437</v>
      </c>
    </row>
    <row r="9" spans="1:3" x14ac:dyDescent="0.2">
      <c r="A9">
        <v>2</v>
      </c>
      <c r="B9" s="1"/>
      <c r="C9" s="1">
        <f>B9/(1+$C$4)^A9</f>
        <v>0</v>
      </c>
    </row>
    <row r="10" spans="1:3" x14ac:dyDescent="0.2">
      <c r="A10">
        <v>3</v>
      </c>
      <c r="B10" s="1">
        <v>20</v>
      </c>
      <c r="C10" s="1">
        <f>B10/(1+$C$4)^A10</f>
        <v>13.150324648639767</v>
      </c>
    </row>
    <row r="11" spans="1:3" x14ac:dyDescent="0.2">
      <c r="A11">
        <v>4</v>
      </c>
      <c r="B11" s="1">
        <v>20</v>
      </c>
      <c r="C11" s="1">
        <f>B11/(1+$C$4)^A11</f>
        <v>11.435064911860668</v>
      </c>
    </row>
    <row r="12" spans="1:3" x14ac:dyDescent="0.2">
      <c r="A12">
        <v>5</v>
      </c>
      <c r="B12" s="1">
        <v>20</v>
      </c>
      <c r="C12" s="1">
        <f>B12/(1+$C$4)^A12</f>
        <v>9.9435347059657975</v>
      </c>
    </row>
    <row r="13" spans="1:3" x14ac:dyDescent="0.2">
      <c r="B13" s="1"/>
      <c r="C13" s="1"/>
    </row>
    <row r="14" spans="1:3" x14ac:dyDescent="0.2">
      <c r="A14" t="s">
        <v>17</v>
      </c>
      <c r="C14" s="7">
        <f>SUM(C8:C13)</f>
        <v>-52.42759747266421</v>
      </c>
    </row>
    <row r="16" spans="1:3" x14ac:dyDescent="0.2">
      <c r="B16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.6640625" customWidth="1"/>
    <col min="2" max="2" width="23" customWidth="1"/>
    <col min="3" max="3" width="23.6640625" customWidth="1"/>
    <col min="6" max="6" width="15" customWidth="1"/>
    <col min="8" max="8" width="6.33203125" customWidth="1"/>
    <col min="9" max="9" width="19" customWidth="1"/>
    <col min="10" max="10" width="13" customWidth="1"/>
  </cols>
  <sheetData>
    <row r="1" spans="1:10" x14ac:dyDescent="0.2">
      <c r="A1" s="34" t="s">
        <v>481</v>
      </c>
    </row>
    <row r="2" spans="1:10" x14ac:dyDescent="0.2">
      <c r="B2" s="3" t="s">
        <v>418</v>
      </c>
      <c r="H2" s="3" t="s">
        <v>482</v>
      </c>
      <c r="I2" s="3"/>
      <c r="J2" s="3"/>
    </row>
    <row r="4" spans="1:10" x14ac:dyDescent="0.2">
      <c r="B4" t="s">
        <v>6</v>
      </c>
      <c r="C4" s="13">
        <v>0.05</v>
      </c>
      <c r="I4" t="s">
        <v>6</v>
      </c>
      <c r="J4" s="6">
        <v>0.05</v>
      </c>
    </row>
    <row r="5" spans="1:10" x14ac:dyDescent="0.2">
      <c r="B5" t="s">
        <v>484</v>
      </c>
      <c r="C5">
        <v>5</v>
      </c>
    </row>
    <row r="6" spans="1:10" x14ac:dyDescent="0.2">
      <c r="B6" t="s">
        <v>13</v>
      </c>
      <c r="C6">
        <v>120</v>
      </c>
      <c r="H6" t="s">
        <v>11</v>
      </c>
      <c r="I6" t="s">
        <v>28</v>
      </c>
      <c r="J6" s="9" t="s">
        <v>32</v>
      </c>
    </row>
    <row r="7" spans="1:10" x14ac:dyDescent="0.2">
      <c r="B7" t="s">
        <v>483</v>
      </c>
      <c r="C7" s="151">
        <v>30</v>
      </c>
    </row>
    <row r="8" spans="1:10" x14ac:dyDescent="0.2">
      <c r="H8">
        <v>1</v>
      </c>
      <c r="I8" s="1">
        <v>120</v>
      </c>
      <c r="J8" s="1">
        <f>I8/(1+$J$4)^H8</f>
        <v>114.28571428571428</v>
      </c>
    </row>
    <row r="9" spans="1:10" x14ac:dyDescent="0.2">
      <c r="H9">
        <v>2</v>
      </c>
      <c r="I9" s="1">
        <v>150</v>
      </c>
      <c r="J9" s="1">
        <f>I9/(1+$J$4)^H9</f>
        <v>136.05442176870747</v>
      </c>
    </row>
    <row r="10" spans="1:10" x14ac:dyDescent="0.2">
      <c r="B10" s="87" t="s">
        <v>485</v>
      </c>
      <c r="C10" s="66">
        <f>((1+C4)^C5-1)/(C4*(1+C4)^C5)</f>
        <v>4.3294766706308208</v>
      </c>
      <c r="H10">
        <v>3</v>
      </c>
      <c r="I10" s="1">
        <v>180</v>
      </c>
      <c r="J10" s="1">
        <f>I10/(1+$J$4)^H10</f>
        <v>155.49076773566568</v>
      </c>
    </row>
    <row r="11" spans="1:10" x14ac:dyDescent="0.2">
      <c r="B11" t="s">
        <v>161</v>
      </c>
      <c r="C11" s="5">
        <f>C6*C10</f>
        <v>519.53720047569846</v>
      </c>
      <c r="H11">
        <v>4</v>
      </c>
      <c r="I11" s="1">
        <v>210</v>
      </c>
      <c r="J11" s="1">
        <f>I11/(1+$J$4)^H11</f>
        <v>172.76751970629522</v>
      </c>
    </row>
    <row r="12" spans="1:10" x14ac:dyDescent="0.2">
      <c r="H12">
        <v>5</v>
      </c>
      <c r="I12" s="1">
        <v>240</v>
      </c>
      <c r="J12" s="1">
        <f>I12/(1+$J$4)^H12</f>
        <v>188.04627995243015</v>
      </c>
    </row>
    <row r="13" spans="1:10" x14ac:dyDescent="0.2">
      <c r="B13" s="87" t="s">
        <v>486</v>
      </c>
      <c r="C13" s="66">
        <f>((1+C4)^C5-(C4*C5)-1)/(C4^2*(1+C4)^C5)</f>
        <v>8.2369167657705233</v>
      </c>
      <c r="I13" s="1"/>
      <c r="J13" s="1"/>
    </row>
    <row r="14" spans="1:10" x14ac:dyDescent="0.2">
      <c r="B14" t="s">
        <v>172</v>
      </c>
      <c r="C14" s="5">
        <f>C7*C13</f>
        <v>247.10750297311569</v>
      </c>
      <c r="H14" t="s">
        <v>17</v>
      </c>
      <c r="J14" s="7">
        <f>SUM(J8:J13)</f>
        <v>766.64470344881272</v>
      </c>
    </row>
    <row r="16" spans="1:10" x14ac:dyDescent="0.2">
      <c r="B16" s="87" t="s">
        <v>487</v>
      </c>
      <c r="C16" s="5">
        <f>C11+C14</f>
        <v>766.6447034488142</v>
      </c>
    </row>
    <row r="22" spans="3:3" x14ac:dyDescent="0.2">
      <c r="C2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8"/>
  <sheetViews>
    <sheetView zoomScale="145" zoomScaleNormal="145" workbookViewId="0">
      <selection activeCell="A15" sqref="A15"/>
    </sheetView>
  </sheetViews>
  <sheetFormatPr baseColWidth="10" defaultColWidth="8.83203125" defaultRowHeight="15" x14ac:dyDescent="0.2"/>
  <cols>
    <col min="8" max="11" width="4" customWidth="1"/>
    <col min="13" max="13" width="13.33203125" customWidth="1"/>
    <col min="14" max="14" width="23.6640625" customWidth="1"/>
    <col min="17" max="17" width="13.33203125" customWidth="1"/>
    <col min="18" max="18" width="23.5" customWidth="1"/>
    <col min="19" max="19" width="6.5" customWidth="1"/>
  </cols>
  <sheetData>
    <row r="1" spans="1:18" x14ac:dyDescent="0.2">
      <c r="A1" s="34" t="s">
        <v>173</v>
      </c>
    </row>
    <row r="2" spans="1:18" x14ac:dyDescent="0.2">
      <c r="A2" s="3" t="s">
        <v>169</v>
      </c>
      <c r="B2" s="3"/>
      <c r="C2" s="3"/>
      <c r="M2" s="3" t="s">
        <v>31</v>
      </c>
      <c r="N2" s="3"/>
      <c r="P2" s="3" t="s">
        <v>33</v>
      </c>
      <c r="Q2" s="3"/>
      <c r="R2" s="3"/>
    </row>
    <row r="4" spans="1:18" x14ac:dyDescent="0.2">
      <c r="A4" s="20" t="s">
        <v>162</v>
      </c>
      <c r="B4" s="158">
        <v>0.06</v>
      </c>
      <c r="M4" t="s">
        <v>6</v>
      </c>
      <c r="N4" s="6">
        <v>0.06</v>
      </c>
      <c r="Q4" t="s">
        <v>6</v>
      </c>
      <c r="R4" s="192">
        <v>0.06</v>
      </c>
    </row>
    <row r="5" spans="1:18" x14ac:dyDescent="0.2">
      <c r="A5" s="20" t="s">
        <v>500</v>
      </c>
      <c r="B5" s="154">
        <v>100</v>
      </c>
    </row>
    <row r="6" spans="1:18" x14ac:dyDescent="0.2">
      <c r="A6" s="20" t="s">
        <v>170</v>
      </c>
      <c r="B6" s="154">
        <v>100</v>
      </c>
    </row>
    <row r="7" spans="1:18" x14ac:dyDescent="0.2">
      <c r="A7" s="20" t="s">
        <v>163</v>
      </c>
      <c r="B7" s="154">
        <v>4</v>
      </c>
    </row>
    <row r="8" spans="1:18" ht="32" x14ac:dyDescent="0.2">
      <c r="A8" s="20"/>
      <c r="L8" s="20" t="s">
        <v>11</v>
      </c>
      <c r="M8" s="63" t="s">
        <v>28</v>
      </c>
      <c r="N8" s="62" t="s">
        <v>32</v>
      </c>
      <c r="P8" t="s">
        <v>11</v>
      </c>
      <c r="Q8" s="63" t="s">
        <v>28</v>
      </c>
      <c r="R8" s="62" t="s">
        <v>32</v>
      </c>
    </row>
    <row r="9" spans="1:18" x14ac:dyDescent="0.2">
      <c r="A9" s="20" t="s">
        <v>498</v>
      </c>
      <c r="B9">
        <f>B5</f>
        <v>100</v>
      </c>
    </row>
    <row r="10" spans="1:18" x14ac:dyDescent="0.2">
      <c r="A10" s="20" t="s">
        <v>495</v>
      </c>
      <c r="B10" s="66">
        <f>(1/B4)-(B7/((1+B4)^B7-1))</f>
        <v>1.4272338417817902</v>
      </c>
      <c r="L10">
        <v>1</v>
      </c>
      <c r="M10" s="7">
        <v>100</v>
      </c>
      <c r="N10" s="1">
        <f>M10/(1+$N$4)^L10</f>
        <v>94.339622641509436</v>
      </c>
      <c r="P10">
        <v>1</v>
      </c>
      <c r="Q10" s="8">
        <v>242.7227605754654</v>
      </c>
      <c r="R10" s="1">
        <f>Q10/(1+$N$4)^P10</f>
        <v>228.98373639194847</v>
      </c>
    </row>
    <row r="11" spans="1:18" x14ac:dyDescent="0.2">
      <c r="A11" s="20" t="s">
        <v>497</v>
      </c>
      <c r="B11" s="1">
        <f>100*B10</f>
        <v>142.72338417817903</v>
      </c>
      <c r="L11">
        <v>2</v>
      </c>
      <c r="M11" s="7">
        <v>200</v>
      </c>
      <c r="N11" s="1">
        <f>M11/(1+$N$4)^L11</f>
        <v>177.99928800284798</v>
      </c>
      <c r="P11">
        <v>2</v>
      </c>
      <c r="Q11" s="1">
        <f>Q10</f>
        <v>242.7227605754654</v>
      </c>
      <c r="R11" s="1">
        <f>Q11/(1+$N$4)^P11</f>
        <v>216.02239282259288</v>
      </c>
    </row>
    <row r="12" spans="1:18" x14ac:dyDescent="0.2">
      <c r="A12" s="20" t="s">
        <v>499</v>
      </c>
      <c r="B12" s="1">
        <f>B9+B11</f>
        <v>242.72338417817903</v>
      </c>
      <c r="L12">
        <v>3</v>
      </c>
      <c r="M12" s="7">
        <v>300</v>
      </c>
      <c r="N12" s="1">
        <f>M12/(1+$N$4)^L12</f>
        <v>251.8857849096905</v>
      </c>
      <c r="P12">
        <v>3</v>
      </c>
      <c r="Q12" s="1">
        <f>Q11</f>
        <v>242.7227605754654</v>
      </c>
      <c r="R12" s="1">
        <f>Q12/(1+$N$4)^P12</f>
        <v>203.79471020999327</v>
      </c>
    </row>
    <row r="13" spans="1:18" x14ac:dyDescent="0.2">
      <c r="L13">
        <v>4</v>
      </c>
      <c r="M13" s="7">
        <v>400</v>
      </c>
      <c r="N13" s="1">
        <f>M13/(1+$N$4)^L13</f>
        <v>316.83746529520818</v>
      </c>
      <c r="P13">
        <v>4</v>
      </c>
      <c r="Q13" s="1">
        <f>Q12</f>
        <v>242.7227605754654</v>
      </c>
      <c r="R13" s="1">
        <f>Q13/(1+$N$4)^P13</f>
        <v>192.25916057546536</v>
      </c>
    </row>
    <row r="14" spans="1:18" x14ac:dyDescent="0.2">
      <c r="A14" s="9" t="s">
        <v>496</v>
      </c>
      <c r="M14" s="1"/>
      <c r="N14" s="1"/>
      <c r="Q14" s="1"/>
      <c r="R14" s="1"/>
    </row>
    <row r="15" spans="1:18" x14ac:dyDescent="0.2">
      <c r="A15" t="s">
        <v>171</v>
      </c>
      <c r="B15" s="1">
        <f>B5*(((1+B4)^B7-1)/(B4*(1+B4)^B7))</f>
        <v>346.51056126996605</v>
      </c>
      <c r="M15" s="1"/>
      <c r="N15" s="1"/>
      <c r="Q15" s="1"/>
      <c r="R15" s="1"/>
    </row>
    <row r="16" spans="1:18" x14ac:dyDescent="0.2">
      <c r="A16" t="s">
        <v>172</v>
      </c>
      <c r="B16" s="1">
        <f>B6*(((1+B4)^B7-(B4*B7)-1))/(B4^2*(1+B4)^B7)</f>
        <v>494.55159957929749</v>
      </c>
      <c r="L16" s="20" t="s">
        <v>17</v>
      </c>
      <c r="M16" t="s">
        <v>618</v>
      </c>
      <c r="N16" s="7">
        <f>SUM(N10:N15)</f>
        <v>841.06216084925609</v>
      </c>
      <c r="P16" t="s">
        <v>17</v>
      </c>
      <c r="R16" s="7">
        <f>SUM(R10:R15)</f>
        <v>841.06</v>
      </c>
    </row>
    <row r="18" spans="1:2" x14ac:dyDescent="0.2">
      <c r="A18" t="s">
        <v>17</v>
      </c>
      <c r="B18" s="61">
        <f>B15+B16</f>
        <v>841.06216084926359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17"/>
  <sheetViews>
    <sheetView workbookViewId="0">
      <selection activeCell="A21" sqref="A21"/>
    </sheetView>
  </sheetViews>
  <sheetFormatPr baseColWidth="10" defaultColWidth="8.83203125" defaultRowHeight="15" x14ac:dyDescent="0.2"/>
  <cols>
    <col min="2" max="2" width="20" customWidth="1"/>
    <col min="3" max="3" width="23.5" customWidth="1"/>
    <col min="8" max="8" width="13.33203125" customWidth="1"/>
    <col min="9" max="9" width="10.5" bestFit="1" customWidth="1"/>
  </cols>
  <sheetData>
    <row r="2" spans="1:9" x14ac:dyDescent="0.2">
      <c r="B2" s="3" t="s">
        <v>31</v>
      </c>
      <c r="C2" s="3"/>
    </row>
    <row r="3" spans="1:9" x14ac:dyDescent="0.2">
      <c r="G3" t="s">
        <v>33</v>
      </c>
    </row>
    <row r="4" spans="1:9" x14ac:dyDescent="0.2">
      <c r="B4" t="s">
        <v>6</v>
      </c>
      <c r="C4" s="13">
        <v>0.1</v>
      </c>
      <c r="H4" t="s">
        <v>6</v>
      </c>
      <c r="I4" s="13">
        <f>C4</f>
        <v>0.1</v>
      </c>
    </row>
    <row r="6" spans="1:9" x14ac:dyDescent="0.2">
      <c r="A6" t="s">
        <v>11</v>
      </c>
      <c r="B6" t="s">
        <v>28</v>
      </c>
      <c r="C6" s="9" t="s">
        <v>32</v>
      </c>
      <c r="G6" t="s">
        <v>11</v>
      </c>
      <c r="H6" t="s">
        <v>28</v>
      </c>
      <c r="I6" s="9" t="s">
        <v>32</v>
      </c>
    </row>
    <row r="8" spans="1:9" x14ac:dyDescent="0.2">
      <c r="A8">
        <v>1</v>
      </c>
      <c r="B8" s="10">
        <v>24000</v>
      </c>
      <c r="C8" s="11">
        <f>B8/(1+$C$4)^A8</f>
        <v>21818.181818181816</v>
      </c>
      <c r="G8">
        <v>1</v>
      </c>
      <c r="H8" s="12">
        <v>15712.991873949581</v>
      </c>
      <c r="I8" s="11">
        <f>H8/(1+$C$4)^G8</f>
        <v>14284.538067226891</v>
      </c>
    </row>
    <row r="9" spans="1:9" x14ac:dyDescent="0.2">
      <c r="A9">
        <v>2</v>
      </c>
      <c r="B9" s="11">
        <v>18000</v>
      </c>
      <c r="C9" s="11">
        <f>B9/(1+$C$4)^A9</f>
        <v>14876.033057851237</v>
      </c>
      <c r="G9">
        <v>2</v>
      </c>
      <c r="H9" s="11">
        <f>H8</f>
        <v>15712.991873949581</v>
      </c>
      <c r="I9" s="11">
        <f>H9/(1+$C$4)^G9</f>
        <v>12985.94369747899</v>
      </c>
    </row>
    <row r="10" spans="1:9" x14ac:dyDescent="0.2">
      <c r="A10">
        <v>3</v>
      </c>
      <c r="B10" s="11">
        <v>12000</v>
      </c>
      <c r="C10" s="11">
        <f>B10/(1+$C$4)^A10</f>
        <v>9015.77761081893</v>
      </c>
      <c r="G10">
        <v>3</v>
      </c>
      <c r="H10" s="11">
        <f>H9</f>
        <v>15712.991873949581</v>
      </c>
      <c r="I10" s="11">
        <f>H10/(1+$C$4)^G10</f>
        <v>11805.403361344535</v>
      </c>
    </row>
    <row r="11" spans="1:9" x14ac:dyDescent="0.2">
      <c r="A11">
        <v>4</v>
      </c>
      <c r="B11" s="11">
        <v>6000</v>
      </c>
      <c r="C11" s="11">
        <f>B11/(1+$C$4)^A11</f>
        <v>4098.0807321904231</v>
      </c>
      <c r="G11">
        <v>4</v>
      </c>
      <c r="H11" s="11">
        <f>H10</f>
        <v>15712.991873949581</v>
      </c>
      <c r="I11" s="11">
        <f>H11/(1+$C$4)^G11</f>
        <v>10732.184873949578</v>
      </c>
    </row>
    <row r="12" spans="1:9" x14ac:dyDescent="0.2">
      <c r="B12" s="1"/>
      <c r="C12" s="1"/>
      <c r="H12" s="1"/>
      <c r="I12" s="1"/>
    </row>
    <row r="13" spans="1:9" x14ac:dyDescent="0.2">
      <c r="B13" s="1"/>
      <c r="C13" s="1"/>
      <c r="H13" s="1"/>
      <c r="I13" s="1"/>
    </row>
    <row r="14" spans="1:9" x14ac:dyDescent="0.2">
      <c r="A14" t="s">
        <v>17</v>
      </c>
      <c r="C14" s="14">
        <f>SUM(C8:C13)</f>
        <v>49808.073219042402</v>
      </c>
      <c r="G14" t="s">
        <v>17</v>
      </c>
      <c r="I14" s="14">
        <f>SUM(I8:I13)</f>
        <v>49808.069999999992</v>
      </c>
    </row>
    <row r="16" spans="1:9" x14ac:dyDescent="0.2">
      <c r="H16" t="s">
        <v>35</v>
      </c>
    </row>
    <row r="17" spans="8:8" x14ac:dyDescent="0.2">
      <c r="H17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5"/>
  <sheetViews>
    <sheetView zoomScale="145" zoomScaleNormal="145" workbookViewId="0">
      <selection activeCell="F11" sqref="F11"/>
    </sheetView>
  </sheetViews>
  <sheetFormatPr baseColWidth="10" defaultColWidth="8.83203125" defaultRowHeight="15" x14ac:dyDescent="0.2"/>
  <cols>
    <col min="6" max="6" width="37.6640625" customWidth="1"/>
    <col min="7" max="7" width="6.1640625" customWidth="1"/>
    <col min="8" max="8" width="6.33203125" customWidth="1"/>
    <col min="9" max="9" width="30.83203125" customWidth="1"/>
  </cols>
  <sheetData>
    <row r="1" spans="1:12" x14ac:dyDescent="0.2">
      <c r="A1" s="34" t="s">
        <v>176</v>
      </c>
    </row>
    <row r="2" spans="1:12" x14ac:dyDescent="0.2">
      <c r="A2" s="3" t="s">
        <v>169</v>
      </c>
      <c r="B2" s="3"/>
      <c r="C2" s="3"/>
      <c r="I2" s="3" t="s">
        <v>31</v>
      </c>
      <c r="J2" s="3"/>
    </row>
    <row r="4" spans="1:12" x14ac:dyDescent="0.2">
      <c r="A4" s="20" t="s">
        <v>162</v>
      </c>
      <c r="B4" s="158">
        <v>0.08</v>
      </c>
      <c r="I4" t="s">
        <v>6</v>
      </c>
      <c r="J4" s="13">
        <f>B4</f>
        <v>0.08</v>
      </c>
      <c r="L4" t="s">
        <v>38</v>
      </c>
    </row>
    <row r="5" spans="1:12" x14ac:dyDescent="0.2">
      <c r="A5" s="20" t="s">
        <v>93</v>
      </c>
      <c r="B5" s="154">
        <v>100</v>
      </c>
      <c r="I5" t="s">
        <v>36</v>
      </c>
      <c r="J5" s="13">
        <v>0.1</v>
      </c>
    </row>
    <row r="6" spans="1:12" x14ac:dyDescent="0.2">
      <c r="A6" s="20" t="s">
        <v>174</v>
      </c>
      <c r="B6" s="157">
        <v>0.1</v>
      </c>
    </row>
    <row r="7" spans="1:12" x14ac:dyDescent="0.2">
      <c r="A7" s="20" t="s">
        <v>163</v>
      </c>
      <c r="B7" s="154">
        <v>5</v>
      </c>
      <c r="H7" s="3" t="s">
        <v>11</v>
      </c>
      <c r="I7" s="3" t="s">
        <v>37</v>
      </c>
      <c r="J7" s="32" t="s">
        <v>30</v>
      </c>
    </row>
    <row r="8" spans="1:12" x14ac:dyDescent="0.2">
      <c r="A8" s="20"/>
    </row>
    <row r="9" spans="1:12" x14ac:dyDescent="0.2">
      <c r="A9" t="s">
        <v>161</v>
      </c>
      <c r="B9" s="1">
        <f>B5*((1-(1+B6)^B7*(1+B4)^-B7)/(B4-B6))</f>
        <v>480.43022327414963</v>
      </c>
      <c r="H9">
        <v>1</v>
      </c>
      <c r="I9" s="10">
        <v>100</v>
      </c>
      <c r="J9" s="11">
        <f>I9/(1+$J$4)^H9</f>
        <v>92.592592592592581</v>
      </c>
    </row>
    <row r="10" spans="1:12" x14ac:dyDescent="0.2">
      <c r="B10" s="1"/>
      <c r="H10">
        <v>2</v>
      </c>
      <c r="I10" s="11">
        <f>I9*(1+$J$5)</f>
        <v>110.00000000000001</v>
      </c>
      <c r="J10" s="11">
        <f>I10/(1+$J$4)^H10</f>
        <v>94.307270233196164</v>
      </c>
    </row>
    <row r="11" spans="1:12" x14ac:dyDescent="0.2">
      <c r="B11">
        <f>((1-(1+B6)^B7*(1+B4)^-B7))</f>
        <v>-9.608604465482995E-2</v>
      </c>
      <c r="H11">
        <v>3</v>
      </c>
      <c r="I11" s="11">
        <f>I10*(1+$J$5)</f>
        <v>121.00000000000003</v>
      </c>
      <c r="J11" s="11">
        <f>I11/(1+$J$4)^H11</f>
        <v>96.053701163440536</v>
      </c>
    </row>
    <row r="12" spans="1:12" x14ac:dyDescent="0.2">
      <c r="B12">
        <f>(B4-B6)</f>
        <v>-2.0000000000000004E-2</v>
      </c>
      <c r="H12">
        <v>4</v>
      </c>
      <c r="I12" s="11">
        <f>I11*(1+$J$5)</f>
        <v>133.10000000000005</v>
      </c>
      <c r="J12" s="11">
        <f>I12/(1+$J$4)^H12</f>
        <v>97.832473407207971</v>
      </c>
    </row>
    <row r="13" spans="1:12" x14ac:dyDescent="0.2">
      <c r="H13">
        <v>5</v>
      </c>
      <c r="I13" s="11">
        <f>I12*(1+$J$5)</f>
        <v>146.41000000000008</v>
      </c>
      <c r="J13" s="5">
        <f>I13/(1+$J$4)^H13</f>
        <v>99.644185877711834</v>
      </c>
    </row>
    <row r="14" spans="1:12" x14ac:dyDescent="0.2">
      <c r="I14" s="1"/>
      <c r="J14" s="1"/>
    </row>
    <row r="15" spans="1:12" x14ac:dyDescent="0.2">
      <c r="H15" t="s">
        <v>175</v>
      </c>
      <c r="J15" s="64">
        <f>SUM(J9:J14)</f>
        <v>480.43022327414906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1"/>
  <sheetViews>
    <sheetView zoomScale="115" zoomScaleNormal="115" workbookViewId="0">
      <selection activeCell="E22" sqref="E22"/>
    </sheetView>
  </sheetViews>
  <sheetFormatPr baseColWidth="10" defaultColWidth="8.83203125" defaultRowHeight="15" x14ac:dyDescent="0.2"/>
  <cols>
    <col min="1" max="1" width="22.83203125" customWidth="1"/>
    <col min="2" max="2" width="15.33203125" customWidth="1"/>
    <col min="5" max="5" width="20.5" customWidth="1"/>
    <col min="6" max="6" width="7.5" customWidth="1"/>
    <col min="8" max="8" width="37.6640625" customWidth="1"/>
    <col min="9" max="11" width="23.5" customWidth="1"/>
    <col min="12" max="12" width="14.6640625" customWidth="1"/>
  </cols>
  <sheetData>
    <row r="1" spans="1:11" x14ac:dyDescent="0.2">
      <c r="A1" s="34" t="s">
        <v>177</v>
      </c>
    </row>
    <row r="2" spans="1:11" x14ac:dyDescent="0.2">
      <c r="A2" s="3" t="s">
        <v>169</v>
      </c>
      <c r="B2" s="3"/>
      <c r="C2" s="3"/>
      <c r="H2" s="3" t="s">
        <v>2</v>
      </c>
      <c r="I2" s="3"/>
    </row>
    <row r="3" spans="1:11" x14ac:dyDescent="0.2">
      <c r="H3" t="s">
        <v>40</v>
      </c>
      <c r="I3" s="15">
        <v>5000</v>
      </c>
      <c r="J3" s="15"/>
      <c r="K3" s="15"/>
    </row>
    <row r="4" spans="1:11" x14ac:dyDescent="0.2">
      <c r="A4" t="s">
        <v>178</v>
      </c>
      <c r="B4" s="158">
        <v>0.08</v>
      </c>
      <c r="H4" t="s">
        <v>6</v>
      </c>
      <c r="I4" s="13">
        <v>0.08</v>
      </c>
      <c r="J4" s="13"/>
      <c r="K4" s="13"/>
    </row>
    <row r="5" spans="1:11" x14ac:dyDescent="0.2">
      <c r="A5" s="20" t="s">
        <v>162</v>
      </c>
      <c r="B5" s="19">
        <f>B4/4</f>
        <v>0.02</v>
      </c>
    </row>
    <row r="6" spans="1:11" x14ac:dyDescent="0.2">
      <c r="A6" s="20"/>
      <c r="G6" t="s">
        <v>39</v>
      </c>
      <c r="H6" t="s">
        <v>44</v>
      </c>
      <c r="I6" t="s">
        <v>41</v>
      </c>
      <c r="J6" t="s">
        <v>42</v>
      </c>
      <c r="K6" t="s">
        <v>43</v>
      </c>
    </row>
    <row r="7" spans="1:11" x14ac:dyDescent="0.2">
      <c r="A7" s="20" t="s">
        <v>161</v>
      </c>
      <c r="B7" s="15">
        <v>5000</v>
      </c>
      <c r="G7">
        <v>1</v>
      </c>
      <c r="H7" s="16">
        <f>I3</f>
        <v>5000</v>
      </c>
      <c r="I7" s="10">
        <f>H7*($I$4/4)</f>
        <v>100</v>
      </c>
      <c r="J7" s="10">
        <v>0</v>
      </c>
      <c r="K7" s="10">
        <f>H7+I7-J7</f>
        <v>5100</v>
      </c>
    </row>
    <row r="8" spans="1:11" x14ac:dyDescent="0.2">
      <c r="A8" s="20" t="s">
        <v>163</v>
      </c>
      <c r="B8">
        <v>20</v>
      </c>
      <c r="G8">
        <v>2</v>
      </c>
      <c r="H8" s="16">
        <f>K7</f>
        <v>5100</v>
      </c>
      <c r="I8" s="10">
        <f>H8*($I$4/4)</f>
        <v>102</v>
      </c>
      <c r="J8" s="10">
        <v>0</v>
      </c>
      <c r="K8" s="10">
        <f t="shared" ref="K8:K26" si="0">H8+I8-J8</f>
        <v>5202</v>
      </c>
    </row>
    <row r="9" spans="1:11" x14ac:dyDescent="0.2">
      <c r="A9" s="20"/>
      <c r="G9">
        <v>3</v>
      </c>
      <c r="H9" s="16">
        <f t="shared" ref="H9:H26" si="1">K8</f>
        <v>5202</v>
      </c>
      <c r="I9" s="10">
        <f t="shared" ref="I9:I26" si="2">H9*($I$4/4)</f>
        <v>104.04</v>
      </c>
      <c r="J9" s="10">
        <v>0</v>
      </c>
      <c r="K9" s="10">
        <f t="shared" si="0"/>
        <v>5306.04</v>
      </c>
    </row>
    <row r="10" spans="1:11" x14ac:dyDescent="0.2">
      <c r="A10" t="s">
        <v>93</v>
      </c>
      <c r="B10" s="5">
        <f>B7*((B5*(1+B5)^B8)/((1+B5)^B8-1))</f>
        <v>305.783590626452</v>
      </c>
      <c r="G10">
        <v>4</v>
      </c>
      <c r="H10" s="16">
        <f t="shared" si="1"/>
        <v>5306.04</v>
      </c>
      <c r="I10" s="10">
        <f t="shared" si="2"/>
        <v>106.1208</v>
      </c>
      <c r="J10" s="12">
        <v>1260.32</v>
      </c>
      <c r="K10" s="10">
        <f>H10+I10-J10</f>
        <v>4151.8407999999999</v>
      </c>
    </row>
    <row r="11" spans="1:11" x14ac:dyDescent="0.2">
      <c r="G11">
        <v>5</v>
      </c>
      <c r="H11" s="16">
        <f t="shared" si="1"/>
        <v>4151.8407999999999</v>
      </c>
      <c r="I11" s="10">
        <f t="shared" si="2"/>
        <v>83.036816000000002</v>
      </c>
      <c r="J11" s="10">
        <v>0</v>
      </c>
      <c r="K11" s="10">
        <f t="shared" si="0"/>
        <v>4234.8776159999998</v>
      </c>
    </row>
    <row r="12" spans="1:11" x14ac:dyDescent="0.2">
      <c r="A12" s="20" t="s">
        <v>181</v>
      </c>
      <c r="G12">
        <v>6</v>
      </c>
      <c r="H12" s="16">
        <f t="shared" si="1"/>
        <v>4234.8776159999998</v>
      </c>
      <c r="I12" s="10">
        <f t="shared" si="2"/>
        <v>84.69755232</v>
      </c>
      <c r="J12" s="10">
        <v>0</v>
      </c>
      <c r="K12" s="10">
        <f t="shared" si="0"/>
        <v>4319.5751683199996</v>
      </c>
    </row>
    <row r="13" spans="1:11" x14ac:dyDescent="0.2">
      <c r="G13">
        <v>7</v>
      </c>
      <c r="H13" s="16">
        <f t="shared" si="1"/>
        <v>4319.5751683199996</v>
      </c>
      <c r="I13" s="10">
        <f t="shared" si="2"/>
        <v>86.391503366399988</v>
      </c>
      <c r="J13" s="10">
        <v>0</v>
      </c>
      <c r="K13" s="10">
        <f t="shared" si="0"/>
        <v>4405.9666716863994</v>
      </c>
    </row>
    <row r="14" spans="1:11" x14ac:dyDescent="0.2">
      <c r="A14" s="20" t="s">
        <v>179</v>
      </c>
      <c r="B14" s="61">
        <f>B10*((1+B5)^4-1)/B5</f>
        <v>1260.3200933947091</v>
      </c>
      <c r="G14">
        <v>8</v>
      </c>
      <c r="H14" s="16">
        <f t="shared" si="1"/>
        <v>4405.9666716863994</v>
      </c>
      <c r="I14" s="10">
        <f t="shared" si="2"/>
        <v>88.119333433727988</v>
      </c>
      <c r="J14" s="10">
        <f>$J$10</f>
        <v>1260.32</v>
      </c>
      <c r="K14" s="10">
        <f t="shared" si="0"/>
        <v>3233.7660051201274</v>
      </c>
    </row>
    <row r="15" spans="1:11" x14ac:dyDescent="0.2">
      <c r="A15" s="9" t="s">
        <v>180</v>
      </c>
      <c r="G15">
        <v>9</v>
      </c>
      <c r="H15" s="16">
        <f t="shared" si="1"/>
        <v>3233.7660051201274</v>
      </c>
      <c r="I15" s="10">
        <f t="shared" si="2"/>
        <v>64.675320102402551</v>
      </c>
      <c r="J15" s="10">
        <v>0</v>
      </c>
      <c r="K15" s="10">
        <f t="shared" si="0"/>
        <v>3298.4413252225299</v>
      </c>
    </row>
    <row r="16" spans="1:11" x14ac:dyDescent="0.2">
      <c r="G16">
        <v>10</v>
      </c>
      <c r="H16" s="16">
        <f t="shared" si="1"/>
        <v>3298.4413252225299</v>
      </c>
      <c r="I16" s="10">
        <f t="shared" si="2"/>
        <v>65.968826504450604</v>
      </c>
      <c r="J16" s="10">
        <v>0</v>
      </c>
      <c r="K16" s="10">
        <f t="shared" si="0"/>
        <v>3364.4101517269805</v>
      </c>
    </row>
    <row r="17" spans="7:11" x14ac:dyDescent="0.2">
      <c r="G17">
        <v>11</v>
      </c>
      <c r="H17" s="16">
        <f t="shared" si="1"/>
        <v>3364.4101517269805</v>
      </c>
      <c r="I17" s="10">
        <f t="shared" si="2"/>
        <v>67.288203034539606</v>
      </c>
      <c r="J17" s="10">
        <v>0</v>
      </c>
      <c r="K17" s="10">
        <f t="shared" si="0"/>
        <v>3431.69835476152</v>
      </c>
    </row>
    <row r="18" spans="7:11" x14ac:dyDescent="0.2">
      <c r="G18">
        <v>12</v>
      </c>
      <c r="H18" s="16">
        <f t="shared" si="1"/>
        <v>3431.69835476152</v>
      </c>
      <c r="I18" s="10">
        <f t="shared" si="2"/>
        <v>68.633967095230403</v>
      </c>
      <c r="J18" s="10">
        <f>$J$10</f>
        <v>1260.32</v>
      </c>
      <c r="K18" s="10">
        <f t="shared" si="0"/>
        <v>2240.0123218567505</v>
      </c>
    </row>
    <row r="19" spans="7:11" x14ac:dyDescent="0.2">
      <c r="G19">
        <v>13</v>
      </c>
      <c r="H19" s="16">
        <f t="shared" si="1"/>
        <v>2240.0123218567505</v>
      </c>
      <c r="I19" s="10">
        <f t="shared" si="2"/>
        <v>44.800246437135009</v>
      </c>
      <c r="J19" s="10">
        <v>0</v>
      </c>
      <c r="K19" s="10">
        <f t="shared" si="0"/>
        <v>2284.8125682938858</v>
      </c>
    </row>
    <row r="20" spans="7:11" x14ac:dyDescent="0.2">
      <c r="G20">
        <v>14</v>
      </c>
      <c r="H20" s="16">
        <f t="shared" si="1"/>
        <v>2284.8125682938858</v>
      </c>
      <c r="I20" s="10">
        <f t="shared" si="2"/>
        <v>45.696251365877714</v>
      </c>
      <c r="J20" s="10">
        <v>0</v>
      </c>
      <c r="K20" s="10">
        <f t="shared" si="0"/>
        <v>2330.5088196597635</v>
      </c>
    </row>
    <row r="21" spans="7:11" x14ac:dyDescent="0.2">
      <c r="G21">
        <v>15</v>
      </c>
      <c r="H21" s="16">
        <f t="shared" si="1"/>
        <v>2330.5088196597635</v>
      </c>
      <c r="I21" s="10">
        <f t="shared" si="2"/>
        <v>46.610176393195268</v>
      </c>
      <c r="J21" s="10">
        <v>0</v>
      </c>
      <c r="K21" s="10">
        <f t="shared" si="0"/>
        <v>2377.1189960529587</v>
      </c>
    </row>
    <row r="22" spans="7:11" x14ac:dyDescent="0.2">
      <c r="G22">
        <v>16</v>
      </c>
      <c r="H22" s="16">
        <f t="shared" si="1"/>
        <v>2377.1189960529587</v>
      </c>
      <c r="I22" s="10">
        <f t="shared" si="2"/>
        <v>47.542379921059172</v>
      </c>
      <c r="J22" s="10">
        <f>$J$10</f>
        <v>1260.32</v>
      </c>
      <c r="K22" s="10">
        <f t="shared" si="0"/>
        <v>1164.3413759740181</v>
      </c>
    </row>
    <row r="23" spans="7:11" x14ac:dyDescent="0.2">
      <c r="G23">
        <v>17</v>
      </c>
      <c r="H23" s="16">
        <f t="shared" si="1"/>
        <v>1164.3413759740181</v>
      </c>
      <c r="I23" s="10">
        <f t="shared" si="2"/>
        <v>23.286827519480362</v>
      </c>
      <c r="J23" s="10">
        <v>0</v>
      </c>
      <c r="K23" s="10">
        <f t="shared" si="0"/>
        <v>1187.6282034934984</v>
      </c>
    </row>
    <row r="24" spans="7:11" x14ac:dyDescent="0.2">
      <c r="G24">
        <v>18</v>
      </c>
      <c r="H24" s="16">
        <f t="shared" si="1"/>
        <v>1187.6282034934984</v>
      </c>
      <c r="I24" s="10">
        <f t="shared" si="2"/>
        <v>23.752564069869969</v>
      </c>
      <c r="J24" s="10">
        <v>0</v>
      </c>
      <c r="K24" s="10">
        <f t="shared" si="0"/>
        <v>1211.3807675633684</v>
      </c>
    </row>
    <row r="25" spans="7:11" x14ac:dyDescent="0.2">
      <c r="G25">
        <v>19</v>
      </c>
      <c r="H25" s="16">
        <f t="shared" si="1"/>
        <v>1211.3807675633684</v>
      </c>
      <c r="I25" s="10">
        <f t="shared" si="2"/>
        <v>24.227615351267367</v>
      </c>
      <c r="J25" s="10">
        <v>0</v>
      </c>
      <c r="K25" s="10">
        <f t="shared" si="0"/>
        <v>1235.6083829146357</v>
      </c>
    </row>
    <row r="26" spans="7:11" x14ac:dyDescent="0.2">
      <c r="G26">
        <v>20</v>
      </c>
      <c r="H26" s="16">
        <f t="shared" si="1"/>
        <v>1235.6083829146357</v>
      </c>
      <c r="I26" s="10">
        <f t="shared" si="2"/>
        <v>24.712167658292714</v>
      </c>
      <c r="J26" s="10">
        <f>$J$10</f>
        <v>1260.32</v>
      </c>
      <c r="K26" s="14">
        <f t="shared" si="0"/>
        <v>5.5057292843230243E-4</v>
      </c>
    </row>
    <row r="27" spans="7:11" x14ac:dyDescent="0.2">
      <c r="I27" s="1"/>
      <c r="J27" s="1"/>
      <c r="K27" s="1"/>
    </row>
    <row r="28" spans="7:11" x14ac:dyDescent="0.2">
      <c r="H28" t="s">
        <v>182</v>
      </c>
    </row>
    <row r="29" spans="7:11" x14ac:dyDescent="0.2">
      <c r="H29" t="s">
        <v>183</v>
      </c>
    </row>
    <row r="31" spans="7:11" x14ac:dyDescent="0.2">
      <c r="I31" s="17">
        <f>SUM(I7:I26)</f>
        <v>1301.6005505729286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"/>
  <sheetViews>
    <sheetView zoomScale="160" zoomScaleNormal="160" workbookViewId="0">
      <selection activeCell="A14" sqref="A14"/>
    </sheetView>
  </sheetViews>
  <sheetFormatPr baseColWidth="10" defaultColWidth="8.83203125" defaultRowHeight="15" x14ac:dyDescent="0.2"/>
  <cols>
    <col min="1" max="1" width="22.83203125" customWidth="1"/>
    <col min="2" max="2" width="15.33203125" customWidth="1"/>
    <col min="5" max="5" width="23.83203125" customWidth="1"/>
    <col min="6" max="7" width="7.5" customWidth="1"/>
    <col min="8" max="8" width="14.6640625" customWidth="1"/>
  </cols>
  <sheetData>
    <row r="1" spans="1:3" x14ac:dyDescent="0.2">
      <c r="A1" s="34" t="s">
        <v>184</v>
      </c>
    </row>
    <row r="2" spans="1:3" x14ac:dyDescent="0.2">
      <c r="A2" s="3" t="s">
        <v>168</v>
      </c>
      <c r="B2" s="3"/>
      <c r="C2" s="3"/>
    </row>
    <row r="4" spans="1:3" x14ac:dyDescent="0.2">
      <c r="B4" s="19"/>
    </row>
    <row r="5" spans="1:3" x14ac:dyDescent="0.2">
      <c r="A5" s="20" t="s">
        <v>162</v>
      </c>
      <c r="B5" s="19">
        <v>0.05</v>
      </c>
    </row>
    <row r="6" spans="1:3" x14ac:dyDescent="0.2">
      <c r="A6" s="20" t="s">
        <v>93</v>
      </c>
      <c r="B6" s="15">
        <v>500</v>
      </c>
    </row>
    <row r="7" spans="1:3" x14ac:dyDescent="0.2">
      <c r="A7" s="20" t="s">
        <v>163</v>
      </c>
      <c r="B7">
        <v>5</v>
      </c>
    </row>
    <row r="9" spans="1:3" x14ac:dyDescent="0.2">
      <c r="A9" t="s">
        <v>179</v>
      </c>
      <c r="B9" s="59">
        <f>B6*(EXP(B5*B7)-1)/(EXP(B5)-1)</f>
        <v>2769.8395076700572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5"/>
  <sheetViews>
    <sheetView zoomScale="90" zoomScaleNormal="90" workbookViewId="0">
      <selection activeCell="D21" sqref="D21"/>
    </sheetView>
  </sheetViews>
  <sheetFormatPr baseColWidth="10" defaultColWidth="8.83203125" defaultRowHeight="15" x14ac:dyDescent="0.2"/>
  <cols>
    <col min="2" max="2" width="22.83203125" customWidth="1"/>
    <col min="3" max="3" width="15.33203125" customWidth="1"/>
    <col min="4" max="4" width="4.33203125" customWidth="1"/>
    <col min="6" max="6" width="7.5" customWidth="1"/>
    <col min="8" max="8" width="16.6640625" customWidth="1"/>
    <col min="9" max="9" width="13.5" customWidth="1"/>
    <col min="10" max="10" width="7" customWidth="1"/>
    <col min="11" max="11" width="14.1640625" customWidth="1"/>
    <col min="12" max="12" width="14.6640625" customWidth="1"/>
  </cols>
  <sheetData>
    <row r="1" spans="1:16" x14ac:dyDescent="0.2">
      <c r="A1" s="34" t="s">
        <v>188</v>
      </c>
    </row>
    <row r="2" spans="1:16" x14ac:dyDescent="0.2">
      <c r="A2" s="34"/>
      <c r="B2" s="3" t="s">
        <v>169</v>
      </c>
      <c r="C2" s="3"/>
      <c r="D2" s="3"/>
      <c r="H2" s="3" t="s">
        <v>198</v>
      </c>
      <c r="I2" s="3"/>
      <c r="J2" s="3"/>
    </row>
    <row r="3" spans="1:16" x14ac:dyDescent="0.2">
      <c r="H3" s="3" t="s">
        <v>187</v>
      </c>
      <c r="I3" s="3"/>
      <c r="K3" s="3" t="s">
        <v>195</v>
      </c>
      <c r="L3" s="3"/>
    </row>
    <row r="4" spans="1:16" x14ac:dyDescent="0.2">
      <c r="I4" s="15"/>
      <c r="J4" s="15"/>
      <c r="L4" s="15"/>
    </row>
    <row r="5" spans="1:16" x14ac:dyDescent="0.2">
      <c r="B5" s="20" t="s">
        <v>162</v>
      </c>
      <c r="C5" s="19">
        <v>0.06</v>
      </c>
      <c r="H5" t="s">
        <v>6</v>
      </c>
      <c r="I5" s="13">
        <v>0.06</v>
      </c>
      <c r="J5" s="13"/>
      <c r="L5" s="13"/>
    </row>
    <row r="6" spans="1:16" x14ac:dyDescent="0.2">
      <c r="J6" s="13"/>
    </row>
    <row r="7" spans="1:16" x14ac:dyDescent="0.2">
      <c r="C7" s="3" t="s">
        <v>187</v>
      </c>
      <c r="D7" s="3"/>
      <c r="E7" s="3" t="s">
        <v>195</v>
      </c>
      <c r="G7" s="3" t="s">
        <v>11</v>
      </c>
      <c r="H7" s="3" t="s">
        <v>197</v>
      </c>
      <c r="I7" s="3" t="s">
        <v>186</v>
      </c>
      <c r="J7" s="13"/>
      <c r="K7" s="3" t="s">
        <v>197</v>
      </c>
      <c r="L7" s="3" t="s">
        <v>186</v>
      </c>
    </row>
    <row r="8" spans="1:16" x14ac:dyDescent="0.2">
      <c r="B8" s="20" t="s">
        <v>189</v>
      </c>
      <c r="C8" s="15">
        <v>300</v>
      </c>
      <c r="E8">
        <v>400</v>
      </c>
      <c r="G8">
        <v>0</v>
      </c>
      <c r="H8" s="16">
        <v>300</v>
      </c>
      <c r="I8" s="10">
        <f>H8/(1+I$5)^G8</f>
        <v>300</v>
      </c>
      <c r="J8" s="13"/>
      <c r="K8" s="16">
        <v>400</v>
      </c>
      <c r="L8" s="10">
        <f>K8/(1+L$5)^J8</f>
        <v>400</v>
      </c>
      <c r="N8">
        <v>381</v>
      </c>
      <c r="O8">
        <v>300</v>
      </c>
      <c r="P8">
        <v>81</v>
      </c>
    </row>
    <row r="9" spans="1:16" x14ac:dyDescent="0.2">
      <c r="B9" s="20" t="s">
        <v>190</v>
      </c>
      <c r="C9" s="15">
        <v>350</v>
      </c>
      <c r="G9">
        <v>1</v>
      </c>
      <c r="H9" s="16">
        <v>0</v>
      </c>
      <c r="I9" s="10">
        <f t="shared" ref="I9:I32" si="0">H9/(1+I$5)^G9</f>
        <v>0</v>
      </c>
      <c r="J9" s="13"/>
      <c r="K9" s="16">
        <v>0</v>
      </c>
      <c r="L9" s="10">
        <f t="shared" ref="L9:L33" si="1">K9/(1+L$5)^J9</f>
        <v>0</v>
      </c>
      <c r="P9">
        <f>P8*1.06</f>
        <v>85.86</v>
      </c>
    </row>
    <row r="10" spans="1:16" x14ac:dyDescent="0.2">
      <c r="B10" s="20" t="s">
        <v>192</v>
      </c>
      <c r="C10">
        <v>0</v>
      </c>
      <c r="E10">
        <v>0</v>
      </c>
      <c r="G10">
        <v>2</v>
      </c>
      <c r="H10" s="16">
        <v>0</v>
      </c>
      <c r="I10" s="10">
        <f t="shared" si="0"/>
        <v>0</v>
      </c>
      <c r="J10" s="13"/>
      <c r="K10" s="16">
        <v>0</v>
      </c>
      <c r="L10" s="10">
        <f t="shared" si="1"/>
        <v>0</v>
      </c>
      <c r="P10">
        <f t="shared" ref="P10:P33" si="2">P9*1.06</f>
        <v>91.011600000000001</v>
      </c>
    </row>
    <row r="11" spans="1:16" x14ac:dyDescent="0.2">
      <c r="B11" s="20" t="s">
        <v>191</v>
      </c>
      <c r="C11">
        <v>25</v>
      </c>
      <c r="G11">
        <v>3</v>
      </c>
      <c r="H11" s="16">
        <v>0</v>
      </c>
      <c r="I11" s="10">
        <f t="shared" si="0"/>
        <v>0</v>
      </c>
      <c r="J11" s="13"/>
      <c r="K11" s="16">
        <v>0</v>
      </c>
      <c r="L11" s="10">
        <f t="shared" si="1"/>
        <v>0</v>
      </c>
      <c r="P11">
        <f t="shared" si="2"/>
        <v>96.472296</v>
      </c>
    </row>
    <row r="12" spans="1:16" x14ac:dyDescent="0.2">
      <c r="B12" s="20"/>
      <c r="G12">
        <v>4</v>
      </c>
      <c r="H12" s="16">
        <v>0</v>
      </c>
      <c r="I12" s="10">
        <f t="shared" si="0"/>
        <v>0</v>
      </c>
      <c r="J12" s="13"/>
      <c r="K12" s="16">
        <v>0</v>
      </c>
      <c r="L12" s="10">
        <f t="shared" si="1"/>
        <v>0</v>
      </c>
      <c r="P12">
        <f t="shared" si="2"/>
        <v>102.26063376</v>
      </c>
    </row>
    <row r="13" spans="1:16" x14ac:dyDescent="0.2">
      <c r="B13" s="20" t="s">
        <v>193</v>
      </c>
      <c r="C13" s="5">
        <f>C8/((1+C$5)^C10)</f>
        <v>300</v>
      </c>
      <c r="E13" s="5">
        <f>E8/((1+C$5)^E10)</f>
        <v>400</v>
      </c>
      <c r="G13">
        <v>5</v>
      </c>
      <c r="H13" s="16">
        <v>0</v>
      </c>
      <c r="I13" s="10">
        <f t="shared" si="0"/>
        <v>0</v>
      </c>
      <c r="J13" s="13"/>
      <c r="K13" s="16">
        <v>0</v>
      </c>
      <c r="L13" s="10">
        <f t="shared" si="1"/>
        <v>0</v>
      </c>
      <c r="P13">
        <f t="shared" si="2"/>
        <v>108.39627178560001</v>
      </c>
    </row>
    <row r="14" spans="1:16" x14ac:dyDescent="0.2">
      <c r="B14" s="20" t="s">
        <v>194</v>
      </c>
      <c r="C14" s="5">
        <f>C9/((1+C$5)^C11)</f>
        <v>81.549520676363343</v>
      </c>
      <c r="G14">
        <v>6</v>
      </c>
      <c r="H14" s="16">
        <v>0</v>
      </c>
      <c r="I14" s="10">
        <f t="shared" si="0"/>
        <v>0</v>
      </c>
      <c r="J14" s="13"/>
      <c r="K14" s="16">
        <v>0</v>
      </c>
      <c r="L14" s="10">
        <f t="shared" si="1"/>
        <v>0</v>
      </c>
      <c r="P14">
        <f t="shared" si="2"/>
        <v>114.90004809273601</v>
      </c>
    </row>
    <row r="15" spans="1:16" x14ac:dyDescent="0.2">
      <c r="G15">
        <v>7</v>
      </c>
      <c r="H15" s="16">
        <v>0</v>
      </c>
      <c r="I15" s="10">
        <f t="shared" si="0"/>
        <v>0</v>
      </c>
      <c r="J15" s="13"/>
      <c r="K15" s="16">
        <v>0</v>
      </c>
      <c r="L15" s="10">
        <f t="shared" si="1"/>
        <v>0</v>
      </c>
      <c r="P15">
        <f t="shared" si="2"/>
        <v>121.79405097830018</v>
      </c>
    </row>
    <row r="16" spans="1:16" x14ac:dyDescent="0.2">
      <c r="B16" s="20" t="s">
        <v>17</v>
      </c>
      <c r="C16" s="5">
        <f>SUM(C13:C14)</f>
        <v>381.54952067636333</v>
      </c>
      <c r="E16" s="5">
        <f>SUM(E13:E14)</f>
        <v>400</v>
      </c>
      <c r="G16">
        <v>8</v>
      </c>
      <c r="H16" s="16">
        <v>0</v>
      </c>
      <c r="I16" s="10">
        <f t="shared" si="0"/>
        <v>0</v>
      </c>
      <c r="J16" s="13"/>
      <c r="K16" s="16">
        <v>0</v>
      </c>
      <c r="L16" s="10">
        <f t="shared" si="1"/>
        <v>0</v>
      </c>
      <c r="P16">
        <f t="shared" si="2"/>
        <v>129.1016940369982</v>
      </c>
    </row>
    <row r="17" spans="7:16" x14ac:dyDescent="0.2">
      <c r="G17">
        <v>9</v>
      </c>
      <c r="H17" s="16">
        <v>0</v>
      </c>
      <c r="I17" s="10">
        <f t="shared" si="0"/>
        <v>0</v>
      </c>
      <c r="J17" s="13"/>
      <c r="K17" s="16">
        <v>0</v>
      </c>
      <c r="L17" s="10">
        <f t="shared" si="1"/>
        <v>0</v>
      </c>
      <c r="P17">
        <f t="shared" si="2"/>
        <v>136.84779567921811</v>
      </c>
    </row>
    <row r="18" spans="7:16" x14ac:dyDescent="0.2">
      <c r="G18">
        <v>10</v>
      </c>
      <c r="H18" s="16">
        <v>0</v>
      </c>
      <c r="I18" s="10">
        <f t="shared" si="0"/>
        <v>0</v>
      </c>
      <c r="J18" s="13"/>
      <c r="K18" s="16">
        <v>0</v>
      </c>
      <c r="L18" s="10">
        <f t="shared" si="1"/>
        <v>0</v>
      </c>
      <c r="P18">
        <f t="shared" si="2"/>
        <v>145.0586634199712</v>
      </c>
    </row>
    <row r="19" spans="7:16" x14ac:dyDescent="0.2">
      <c r="G19">
        <v>11</v>
      </c>
      <c r="H19" s="16">
        <v>0</v>
      </c>
      <c r="I19" s="10">
        <f t="shared" si="0"/>
        <v>0</v>
      </c>
      <c r="J19" s="13"/>
      <c r="K19" s="16">
        <v>0</v>
      </c>
      <c r="L19" s="10">
        <f t="shared" si="1"/>
        <v>0</v>
      </c>
      <c r="P19">
        <f t="shared" si="2"/>
        <v>153.76218322516948</v>
      </c>
    </row>
    <row r="20" spans="7:16" x14ac:dyDescent="0.2">
      <c r="G20">
        <v>12</v>
      </c>
      <c r="H20" s="16">
        <v>0</v>
      </c>
      <c r="I20" s="10">
        <f t="shared" si="0"/>
        <v>0</v>
      </c>
      <c r="J20" s="13"/>
      <c r="K20" s="16">
        <v>0</v>
      </c>
      <c r="L20" s="10">
        <f t="shared" si="1"/>
        <v>0</v>
      </c>
      <c r="P20">
        <f t="shared" si="2"/>
        <v>162.98791421867966</v>
      </c>
    </row>
    <row r="21" spans="7:16" x14ac:dyDescent="0.2">
      <c r="G21">
        <v>13</v>
      </c>
      <c r="H21" s="16">
        <v>0</v>
      </c>
      <c r="I21" s="10">
        <f t="shared" si="0"/>
        <v>0</v>
      </c>
      <c r="J21" s="13"/>
      <c r="K21" s="16">
        <v>0</v>
      </c>
      <c r="L21" s="10">
        <f t="shared" si="1"/>
        <v>0</v>
      </c>
      <c r="P21">
        <f t="shared" si="2"/>
        <v>172.76718907180046</v>
      </c>
    </row>
    <row r="22" spans="7:16" x14ac:dyDescent="0.2">
      <c r="G22">
        <v>14</v>
      </c>
      <c r="H22" s="16">
        <v>0</v>
      </c>
      <c r="I22" s="10">
        <f t="shared" si="0"/>
        <v>0</v>
      </c>
      <c r="J22" s="13"/>
      <c r="K22" s="16">
        <v>0</v>
      </c>
      <c r="L22" s="10">
        <f t="shared" si="1"/>
        <v>0</v>
      </c>
      <c r="P22">
        <f t="shared" si="2"/>
        <v>183.13322041610849</v>
      </c>
    </row>
    <row r="23" spans="7:16" x14ac:dyDescent="0.2">
      <c r="G23">
        <v>15</v>
      </c>
      <c r="H23" s="16">
        <v>0</v>
      </c>
      <c r="I23" s="10">
        <f t="shared" si="0"/>
        <v>0</v>
      </c>
      <c r="J23" s="13"/>
      <c r="K23" s="16">
        <v>0</v>
      </c>
      <c r="L23" s="10">
        <f t="shared" si="1"/>
        <v>0</v>
      </c>
      <c r="P23">
        <f t="shared" si="2"/>
        <v>194.121213641075</v>
      </c>
    </row>
    <row r="24" spans="7:16" x14ac:dyDescent="0.2">
      <c r="G24">
        <v>16</v>
      </c>
      <c r="H24" s="16">
        <v>0</v>
      </c>
      <c r="I24" s="10">
        <f t="shared" si="0"/>
        <v>0</v>
      </c>
      <c r="J24" s="13"/>
      <c r="K24" s="16">
        <v>0</v>
      </c>
      <c r="L24" s="10">
        <f t="shared" si="1"/>
        <v>0</v>
      </c>
      <c r="P24">
        <f t="shared" si="2"/>
        <v>205.7684864595395</v>
      </c>
    </row>
    <row r="25" spans="7:16" x14ac:dyDescent="0.2">
      <c r="G25">
        <v>17</v>
      </c>
      <c r="H25" s="16">
        <v>0</v>
      </c>
      <c r="I25" s="10">
        <f t="shared" si="0"/>
        <v>0</v>
      </c>
      <c r="J25" s="13"/>
      <c r="K25" s="16">
        <v>0</v>
      </c>
      <c r="L25" s="10">
        <f t="shared" si="1"/>
        <v>0</v>
      </c>
      <c r="P25">
        <f t="shared" si="2"/>
        <v>218.11459564711188</v>
      </c>
    </row>
    <row r="26" spans="7:16" x14ac:dyDescent="0.2">
      <c r="G26">
        <v>18</v>
      </c>
      <c r="H26" s="16">
        <v>0</v>
      </c>
      <c r="I26" s="10">
        <f t="shared" si="0"/>
        <v>0</v>
      </c>
      <c r="J26" s="13"/>
      <c r="K26" s="16">
        <v>0</v>
      </c>
      <c r="L26" s="10">
        <f t="shared" si="1"/>
        <v>0</v>
      </c>
      <c r="P26">
        <f t="shared" si="2"/>
        <v>231.20147138593862</v>
      </c>
    </row>
    <row r="27" spans="7:16" x14ac:dyDescent="0.2">
      <c r="G27">
        <v>19</v>
      </c>
      <c r="H27" s="16">
        <v>0</v>
      </c>
      <c r="I27" s="10">
        <f t="shared" si="0"/>
        <v>0</v>
      </c>
      <c r="J27" s="13"/>
      <c r="K27" s="16">
        <v>0</v>
      </c>
      <c r="L27" s="10">
        <f t="shared" si="1"/>
        <v>0</v>
      </c>
      <c r="P27">
        <f t="shared" si="2"/>
        <v>245.07355966909495</v>
      </c>
    </row>
    <row r="28" spans="7:16" x14ac:dyDescent="0.2">
      <c r="G28">
        <v>20</v>
      </c>
      <c r="H28" s="16">
        <v>0</v>
      </c>
      <c r="I28" s="10">
        <f t="shared" si="0"/>
        <v>0</v>
      </c>
      <c r="J28" s="13"/>
      <c r="K28" s="16">
        <v>0</v>
      </c>
      <c r="L28" s="10">
        <f t="shared" si="1"/>
        <v>0</v>
      </c>
      <c r="P28">
        <f>P27*1.06</f>
        <v>259.77797324924063</v>
      </c>
    </row>
    <row r="29" spans="7:16" x14ac:dyDescent="0.2">
      <c r="G29">
        <v>21</v>
      </c>
      <c r="H29" s="16">
        <v>0</v>
      </c>
      <c r="I29" s="10">
        <f t="shared" si="0"/>
        <v>0</v>
      </c>
      <c r="J29" s="13"/>
      <c r="K29" s="16">
        <v>0</v>
      </c>
      <c r="L29" s="10">
        <f t="shared" si="1"/>
        <v>0</v>
      </c>
      <c r="P29">
        <f t="shared" si="2"/>
        <v>275.36465164419508</v>
      </c>
    </row>
    <row r="30" spans="7:16" x14ac:dyDescent="0.2">
      <c r="G30">
        <v>22</v>
      </c>
      <c r="H30" s="16">
        <v>0</v>
      </c>
      <c r="I30" s="10">
        <f t="shared" si="0"/>
        <v>0</v>
      </c>
      <c r="J30" s="13"/>
      <c r="K30" s="16">
        <v>0</v>
      </c>
      <c r="L30" s="10">
        <f t="shared" si="1"/>
        <v>0</v>
      </c>
      <c r="P30">
        <f t="shared" si="2"/>
        <v>291.88653074284679</v>
      </c>
    </row>
    <row r="31" spans="7:16" x14ac:dyDescent="0.2">
      <c r="G31">
        <v>23</v>
      </c>
      <c r="H31" s="16">
        <v>0</v>
      </c>
      <c r="I31" s="10">
        <f t="shared" si="0"/>
        <v>0</v>
      </c>
      <c r="J31" s="13"/>
      <c r="K31" s="16">
        <v>0</v>
      </c>
      <c r="L31" s="10">
        <f t="shared" si="1"/>
        <v>0</v>
      </c>
      <c r="P31">
        <f t="shared" si="2"/>
        <v>309.39972258741761</v>
      </c>
    </row>
    <row r="32" spans="7:16" x14ac:dyDescent="0.2">
      <c r="G32">
        <v>24</v>
      </c>
      <c r="H32" s="16">
        <v>0</v>
      </c>
      <c r="I32" s="10">
        <f t="shared" si="0"/>
        <v>0</v>
      </c>
      <c r="J32" s="13"/>
      <c r="K32" s="16">
        <v>0</v>
      </c>
      <c r="L32" s="10">
        <f t="shared" si="1"/>
        <v>0</v>
      </c>
      <c r="P32">
        <f t="shared" si="2"/>
        <v>327.96370594266267</v>
      </c>
    </row>
    <row r="33" spans="7:16" x14ac:dyDescent="0.2">
      <c r="G33">
        <v>25</v>
      </c>
      <c r="H33" s="16">
        <v>350</v>
      </c>
      <c r="I33" s="10">
        <f>H33/(1+I$5)^G33</f>
        <v>81.549520676363343</v>
      </c>
      <c r="J33" s="13"/>
      <c r="K33" s="16">
        <v>0</v>
      </c>
      <c r="L33" s="10">
        <f t="shared" si="1"/>
        <v>0</v>
      </c>
      <c r="P33">
        <f t="shared" si="2"/>
        <v>347.64152829922244</v>
      </c>
    </row>
    <row r="34" spans="7:16" x14ac:dyDescent="0.2">
      <c r="I34" s="1"/>
      <c r="J34" s="13"/>
      <c r="K34" s="13"/>
    </row>
    <row r="35" spans="7:16" x14ac:dyDescent="0.2">
      <c r="G35" t="s">
        <v>196</v>
      </c>
      <c r="I35" s="65">
        <f>SUM(I8:I33)</f>
        <v>381.54952067636333</v>
      </c>
      <c r="L35" s="65">
        <f>SUM(L8:L33)</f>
        <v>400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9"/>
  <sheetViews>
    <sheetView topLeftCell="A7" zoomScaleNormal="100" workbookViewId="0">
      <selection activeCell="E19" sqref="E19"/>
    </sheetView>
  </sheetViews>
  <sheetFormatPr baseColWidth="10" defaultColWidth="8.83203125" defaultRowHeight="15" x14ac:dyDescent="0.2"/>
  <cols>
    <col min="1" max="1" width="7.1640625" customWidth="1"/>
    <col min="2" max="2" width="22.83203125" customWidth="1"/>
    <col min="3" max="3" width="16.5" customWidth="1"/>
    <col min="4" max="4" width="4.33203125" customWidth="1"/>
    <col min="5" max="5" width="19.1640625" customWidth="1"/>
    <col min="6" max="9" width="7.5" customWidth="1"/>
    <col min="10" max="10" width="8.6640625" customWidth="1"/>
    <col min="11" max="12" width="7.5" customWidth="1"/>
    <col min="13" max="13" width="18.33203125" customWidth="1"/>
    <col min="14" max="14" width="13.5" customWidth="1"/>
    <col min="15" max="15" width="7" customWidth="1"/>
    <col min="16" max="16" width="19.1640625" customWidth="1"/>
    <col min="17" max="17" width="14.6640625" customWidth="1"/>
  </cols>
  <sheetData>
    <row r="1" spans="1:17" x14ac:dyDescent="0.2">
      <c r="A1" s="34" t="s">
        <v>200</v>
      </c>
    </row>
    <row r="2" spans="1:17" x14ac:dyDescent="0.2">
      <c r="A2" s="34"/>
      <c r="B2" s="3" t="s">
        <v>169</v>
      </c>
      <c r="C2" s="3"/>
      <c r="D2" s="3"/>
      <c r="M2" s="3" t="s">
        <v>206</v>
      </c>
      <c r="N2" s="3"/>
      <c r="O2" s="3"/>
    </row>
    <row r="3" spans="1:17" x14ac:dyDescent="0.2">
      <c r="M3" s="3" t="s">
        <v>187</v>
      </c>
      <c r="N3" s="3"/>
      <c r="P3" s="3" t="s">
        <v>195</v>
      </c>
      <c r="Q3" s="3"/>
    </row>
    <row r="4" spans="1:17" x14ac:dyDescent="0.2">
      <c r="N4" s="15"/>
      <c r="O4" s="15"/>
      <c r="Q4" s="15"/>
    </row>
    <row r="5" spans="1:17" x14ac:dyDescent="0.2">
      <c r="B5" s="20" t="s">
        <v>162</v>
      </c>
      <c r="C5" s="158">
        <v>7.0000000000000007E-2</v>
      </c>
      <c r="M5" t="s">
        <v>6</v>
      </c>
      <c r="N5" s="13">
        <v>7.0000000000000007E-2</v>
      </c>
      <c r="O5" s="13"/>
      <c r="Q5" s="13"/>
    </row>
    <row r="6" spans="1:17" x14ac:dyDescent="0.2">
      <c r="O6" s="13"/>
    </row>
    <row r="7" spans="1:17" ht="32" x14ac:dyDescent="0.2">
      <c r="C7" s="48" t="s">
        <v>202</v>
      </c>
      <c r="D7" s="3"/>
      <c r="E7" s="48" t="s">
        <v>203</v>
      </c>
      <c r="L7" s="3" t="s">
        <v>11</v>
      </c>
      <c r="M7" s="3" t="s">
        <v>199</v>
      </c>
      <c r="N7" s="3" t="s">
        <v>186</v>
      </c>
      <c r="O7" s="13"/>
      <c r="P7" s="3" t="s">
        <v>199</v>
      </c>
      <c r="Q7" s="3" t="s">
        <v>186</v>
      </c>
    </row>
    <row r="8" spans="1:17" x14ac:dyDescent="0.2">
      <c r="B8" s="20" t="s">
        <v>93</v>
      </c>
      <c r="C8" s="143">
        <v>300</v>
      </c>
      <c r="E8" s="154">
        <v>300</v>
      </c>
      <c r="L8" s="9">
        <v>0</v>
      </c>
      <c r="M8" s="16">
        <v>-1000</v>
      </c>
      <c r="N8" s="10">
        <f t="shared" ref="N8" si="0">M8/(1+N$5)^L8</f>
        <v>-1000</v>
      </c>
      <c r="O8" s="13"/>
      <c r="P8" s="16">
        <v>-1350</v>
      </c>
      <c r="Q8" s="10">
        <f>P8/(1+Q$5)^O8</f>
        <v>-1350</v>
      </c>
    </row>
    <row r="9" spans="1:17" x14ac:dyDescent="0.2">
      <c r="B9" s="20" t="s">
        <v>170</v>
      </c>
      <c r="C9" s="15"/>
      <c r="E9" s="154">
        <v>50</v>
      </c>
      <c r="L9" s="9">
        <v>1</v>
      </c>
      <c r="M9" s="16">
        <v>300</v>
      </c>
      <c r="N9" s="10">
        <f>M9/(1+N$5)^L9</f>
        <v>280.37383177570092</v>
      </c>
      <c r="O9" s="13"/>
      <c r="P9" s="16">
        <v>300</v>
      </c>
      <c r="Q9" s="10">
        <f>P9/(1+N$5)^L9</f>
        <v>280.37383177570092</v>
      </c>
    </row>
    <row r="10" spans="1:17" x14ac:dyDescent="0.2">
      <c r="B10" s="20" t="s">
        <v>192</v>
      </c>
      <c r="C10" s="154">
        <v>5</v>
      </c>
      <c r="E10" s="154">
        <v>5</v>
      </c>
      <c r="L10" s="9">
        <v>2</v>
      </c>
      <c r="M10" s="16">
        <v>300</v>
      </c>
      <c r="N10" s="10">
        <f t="shared" ref="N10:N13" si="1">M10/(1+N$5)^L10</f>
        <v>262.03161848196351</v>
      </c>
      <c r="O10" s="13"/>
      <c r="P10" s="16">
        <v>350</v>
      </c>
      <c r="Q10" s="10">
        <f>P10/(1+N$5)^L10</f>
        <v>305.70355489562405</v>
      </c>
    </row>
    <row r="11" spans="1:17" x14ac:dyDescent="0.2">
      <c r="B11" s="20" t="s">
        <v>191</v>
      </c>
      <c r="C11">
        <v>25</v>
      </c>
      <c r="L11" s="9">
        <v>3</v>
      </c>
      <c r="M11" s="16">
        <v>300</v>
      </c>
      <c r="N11" s="10">
        <f t="shared" si="1"/>
        <v>244.88936306725557</v>
      </c>
      <c r="O11" s="13"/>
      <c r="P11" s="16">
        <v>400</v>
      </c>
      <c r="Q11" s="10">
        <f>P11/(1+N$5)^L11</f>
        <v>326.51915075634076</v>
      </c>
    </row>
    <row r="12" spans="1:17" x14ac:dyDescent="0.2">
      <c r="B12" s="20"/>
      <c r="L12" s="9">
        <v>4</v>
      </c>
      <c r="M12" s="16">
        <v>300</v>
      </c>
      <c r="N12" s="10">
        <f t="shared" si="1"/>
        <v>228.86856361425757</v>
      </c>
      <c r="O12" s="13"/>
      <c r="P12" s="16">
        <v>450</v>
      </c>
      <c r="Q12" s="10">
        <f>P12/(1+N$5)^L12</f>
        <v>343.30284542138634</v>
      </c>
    </row>
    <row r="13" spans="1:17" x14ac:dyDescent="0.2">
      <c r="C13" s="66">
        <f>(((1+C$5)^C10)-1)/(C5*(1+C5)^C10)</f>
        <v>4.100197435947595</v>
      </c>
      <c r="E13" s="66">
        <f>((1+C5)^E10-C5*E10-1)/(C5^2*(1+C5)^E10)</f>
        <v>7.6466648361321745</v>
      </c>
      <c r="L13" s="9">
        <v>5</v>
      </c>
      <c r="M13" s="16">
        <v>300</v>
      </c>
      <c r="N13" s="10">
        <f t="shared" si="1"/>
        <v>213.8958538451005</v>
      </c>
      <c r="O13" s="13"/>
      <c r="P13" s="16">
        <v>500</v>
      </c>
      <c r="Q13" s="10">
        <f>P13/(1+N$5)^L13</f>
        <v>356.49308974183418</v>
      </c>
    </row>
    <row r="14" spans="1:17" x14ac:dyDescent="0.2">
      <c r="N14" s="1"/>
      <c r="O14" s="13"/>
      <c r="P14" s="13"/>
    </row>
    <row r="15" spans="1:17" x14ac:dyDescent="0.2">
      <c r="B15" t="s">
        <v>185</v>
      </c>
      <c r="C15">
        <f>-1000</f>
        <v>-1000</v>
      </c>
      <c r="E15">
        <f>-1350</f>
        <v>-1350</v>
      </c>
    </row>
    <row r="16" spans="1:17" x14ac:dyDescent="0.2">
      <c r="B16" s="20" t="s">
        <v>171</v>
      </c>
      <c r="C16" s="5">
        <f>C8*(((1+C$5)^C10)-1)/(C5*(1+C5)^C10)</f>
        <v>1230.0592307842785</v>
      </c>
      <c r="E16" s="5">
        <f>E8*(((1+C$5)^E10)-1)/(C5*(1+C5)^E10)</f>
        <v>1230.0592307842785</v>
      </c>
    </row>
    <row r="17" spans="2:17" x14ac:dyDescent="0.2">
      <c r="B17" s="20" t="s">
        <v>201</v>
      </c>
      <c r="C17" s="5"/>
      <c r="E17" s="5">
        <f>E9*((1+C5)^E10-C5*E10-1)/(C5^2*(1+C5)^E10)</f>
        <v>382.33324180660873</v>
      </c>
      <c r="N17" s="17"/>
    </row>
    <row r="18" spans="2:17" x14ac:dyDescent="0.2">
      <c r="B18" s="20" t="s">
        <v>204</v>
      </c>
      <c r="C18" s="5">
        <f>C16+C17</f>
        <v>1230.0592307842785</v>
      </c>
      <c r="D18" s="5"/>
      <c r="E18" s="5">
        <f>E16+E17</f>
        <v>1612.3924725908873</v>
      </c>
      <c r="L18" t="s">
        <v>205</v>
      </c>
      <c r="N18" s="17">
        <f>SUM(N9:N13)</f>
        <v>1230.059230784278</v>
      </c>
      <c r="Q18" s="17">
        <f>SUM(Q9:Q13)</f>
        <v>1612.3924725908862</v>
      </c>
    </row>
    <row r="19" spans="2:17" x14ac:dyDescent="0.2">
      <c r="B19" s="20" t="s">
        <v>17</v>
      </c>
      <c r="C19" s="67">
        <f>SUM(C15:C17)</f>
        <v>230.0592307842785</v>
      </c>
      <c r="E19" s="67">
        <f>SUM(E15:E17)</f>
        <v>262.39247259088722</v>
      </c>
      <c r="L19" t="s">
        <v>196</v>
      </c>
      <c r="N19" s="65">
        <f>SUM(N8:N13)</f>
        <v>230.05923078427801</v>
      </c>
      <c r="Q19" s="65">
        <f>SUM(Q8:Q13)</f>
        <v>262.3924725908862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1"/>
  <sheetViews>
    <sheetView zoomScale="130" zoomScaleNormal="130" workbookViewId="0">
      <selection activeCell="C13" sqref="C13"/>
    </sheetView>
  </sheetViews>
  <sheetFormatPr baseColWidth="10" defaultColWidth="8.83203125" defaultRowHeight="15" x14ac:dyDescent="0.2"/>
  <cols>
    <col min="1" max="1" width="7.1640625" customWidth="1"/>
    <col min="2" max="2" width="22.83203125" customWidth="1"/>
    <col min="3" max="3" width="16.5" customWidth="1"/>
    <col min="4" max="4" width="4.33203125" customWidth="1"/>
    <col min="5" max="5" width="19.1640625" customWidth="1"/>
    <col min="6" max="9" width="7.5" customWidth="1"/>
    <col min="10" max="10" width="8.6640625" customWidth="1"/>
    <col min="11" max="12" width="7.5" customWidth="1"/>
    <col min="13" max="13" width="18.33203125" customWidth="1"/>
    <col min="14" max="14" width="13.5" customWidth="1"/>
    <col min="15" max="15" width="7" customWidth="1"/>
    <col min="16" max="16" width="19.1640625" customWidth="1"/>
    <col min="17" max="17" width="14.6640625" customWidth="1"/>
  </cols>
  <sheetData>
    <row r="1" spans="1:17" x14ac:dyDescent="0.2">
      <c r="A1" s="34" t="s">
        <v>207</v>
      </c>
    </row>
    <row r="2" spans="1:17" x14ac:dyDescent="0.2">
      <c r="A2" s="34"/>
      <c r="B2" s="3" t="s">
        <v>169</v>
      </c>
      <c r="C2" s="3"/>
      <c r="D2" s="3"/>
      <c r="M2" s="3" t="s">
        <v>206</v>
      </c>
      <c r="N2" s="3"/>
      <c r="O2" s="3"/>
    </row>
    <row r="3" spans="1:17" x14ac:dyDescent="0.2">
      <c r="M3" s="3" t="s">
        <v>187</v>
      </c>
      <c r="N3" s="3"/>
      <c r="P3" s="3" t="s">
        <v>195</v>
      </c>
      <c r="Q3" s="3"/>
    </row>
    <row r="4" spans="1:17" x14ac:dyDescent="0.2">
      <c r="N4" s="15"/>
      <c r="O4" s="15"/>
      <c r="Q4" s="15"/>
    </row>
    <row r="5" spans="1:17" x14ac:dyDescent="0.2">
      <c r="B5" s="20" t="s">
        <v>162</v>
      </c>
      <c r="C5" s="158">
        <v>7.0000000000000007E-2</v>
      </c>
      <c r="M5" t="s">
        <v>6</v>
      </c>
      <c r="N5" s="13">
        <v>7.0000000000000007E-2</v>
      </c>
      <c r="O5" s="13"/>
      <c r="Q5" s="13"/>
    </row>
    <row r="6" spans="1:17" x14ac:dyDescent="0.2">
      <c r="O6" s="13"/>
    </row>
    <row r="7" spans="1:17" ht="16" x14ac:dyDescent="0.2">
      <c r="C7" s="48" t="s">
        <v>187</v>
      </c>
      <c r="D7" s="3"/>
      <c r="E7" s="48" t="s">
        <v>195</v>
      </c>
      <c r="L7" s="3" t="s">
        <v>11</v>
      </c>
      <c r="M7" s="3" t="s">
        <v>199</v>
      </c>
      <c r="N7" s="3" t="s">
        <v>186</v>
      </c>
      <c r="O7" s="13"/>
      <c r="P7" s="3" t="s">
        <v>199</v>
      </c>
      <c r="Q7" s="3" t="s">
        <v>186</v>
      </c>
    </row>
    <row r="8" spans="1:17" x14ac:dyDescent="0.2">
      <c r="B8" s="20" t="s">
        <v>208</v>
      </c>
      <c r="C8" s="143">
        <v>-1500</v>
      </c>
      <c r="E8" s="143">
        <v>-1600</v>
      </c>
      <c r="L8" s="9">
        <v>0</v>
      </c>
      <c r="M8" s="16">
        <v>-1500</v>
      </c>
      <c r="N8" s="10">
        <f t="shared" ref="N8:N18" si="0">M8/(1+N$5)^L8</f>
        <v>-1500</v>
      </c>
      <c r="O8" s="13"/>
      <c r="P8" s="16">
        <v>-1600</v>
      </c>
      <c r="Q8" s="10">
        <f>P8/(1+Q$5)^O8</f>
        <v>-1600</v>
      </c>
    </row>
    <row r="9" spans="1:17" x14ac:dyDescent="0.2">
      <c r="B9" s="20" t="s">
        <v>212</v>
      </c>
      <c r="C9" s="15">
        <f>-1500+200</f>
        <v>-1300</v>
      </c>
      <c r="E9" s="15">
        <v>0</v>
      </c>
      <c r="L9" s="9">
        <v>1</v>
      </c>
      <c r="M9" s="16"/>
      <c r="N9" s="10">
        <f t="shared" si="0"/>
        <v>0</v>
      </c>
      <c r="O9" s="13"/>
      <c r="P9" s="16"/>
      <c r="Q9" s="10">
        <f t="shared" ref="Q9:Q18" si="1">P9/(1+N$5)^L9</f>
        <v>0</v>
      </c>
    </row>
    <row r="10" spans="1:17" x14ac:dyDescent="0.2">
      <c r="B10" s="20" t="s">
        <v>213</v>
      </c>
      <c r="C10" s="143">
        <v>200</v>
      </c>
      <c r="E10" s="154">
        <v>325</v>
      </c>
      <c r="L10" s="9">
        <v>2</v>
      </c>
      <c r="M10" s="16"/>
      <c r="N10" s="10">
        <f t="shared" si="0"/>
        <v>0</v>
      </c>
      <c r="O10" s="13"/>
      <c r="P10" s="16"/>
      <c r="Q10" s="10">
        <f t="shared" si="1"/>
        <v>0</v>
      </c>
    </row>
    <row r="11" spans="1:17" x14ac:dyDescent="0.2">
      <c r="B11" s="20" t="s">
        <v>209</v>
      </c>
      <c r="C11" s="14">
        <v>5</v>
      </c>
      <c r="E11">
        <v>5</v>
      </c>
      <c r="L11" s="9">
        <v>3</v>
      </c>
      <c r="M11" s="16"/>
      <c r="N11" s="10">
        <f t="shared" si="0"/>
        <v>0</v>
      </c>
      <c r="O11" s="13"/>
      <c r="P11" s="16"/>
      <c r="Q11" s="10">
        <f t="shared" si="1"/>
        <v>0</v>
      </c>
    </row>
    <row r="12" spans="1:17" x14ac:dyDescent="0.2">
      <c r="B12" s="20" t="s">
        <v>214</v>
      </c>
      <c r="C12" s="11">
        <v>10</v>
      </c>
      <c r="E12" s="154">
        <v>10</v>
      </c>
      <c r="L12" s="9">
        <v>4</v>
      </c>
      <c r="M12" s="16"/>
      <c r="N12" s="10">
        <f t="shared" si="0"/>
        <v>0</v>
      </c>
      <c r="O12" s="13"/>
      <c r="P12" s="16"/>
      <c r="Q12" s="10">
        <f t="shared" si="1"/>
        <v>0</v>
      </c>
    </row>
    <row r="13" spans="1:17" x14ac:dyDescent="0.2">
      <c r="B13" s="20"/>
      <c r="L13" s="9">
        <v>5</v>
      </c>
      <c r="M13" s="16">
        <f>-1500+200</f>
        <v>-1300</v>
      </c>
      <c r="N13" s="10">
        <f>M13/(1+N$5)^L13</f>
        <v>-926.8820333287689</v>
      </c>
      <c r="O13" s="13"/>
      <c r="P13" s="16"/>
      <c r="Q13" s="10">
        <f t="shared" si="1"/>
        <v>0</v>
      </c>
    </row>
    <row r="14" spans="1:17" x14ac:dyDescent="0.2">
      <c r="C14" s="66"/>
      <c r="E14" s="66"/>
      <c r="L14" s="9">
        <v>6</v>
      </c>
      <c r="M14" s="16"/>
      <c r="N14" s="10">
        <f t="shared" si="0"/>
        <v>0</v>
      </c>
      <c r="O14" s="13"/>
      <c r="P14" s="16"/>
      <c r="Q14" s="10">
        <f t="shared" si="1"/>
        <v>0</v>
      </c>
    </row>
    <row r="15" spans="1:17" x14ac:dyDescent="0.2">
      <c r="L15" s="9">
        <v>7</v>
      </c>
      <c r="M15" s="16"/>
      <c r="N15" s="10">
        <f t="shared" si="0"/>
        <v>0</v>
      </c>
      <c r="O15" s="13"/>
      <c r="P15" s="16"/>
      <c r="Q15" s="10">
        <f t="shared" si="1"/>
        <v>0</v>
      </c>
    </row>
    <row r="16" spans="1:17" x14ac:dyDescent="0.2">
      <c r="B16" s="20" t="s">
        <v>210</v>
      </c>
      <c r="C16" s="16">
        <f>C8</f>
        <v>-1500</v>
      </c>
      <c r="E16" s="16">
        <f>E8</f>
        <v>-1600</v>
      </c>
      <c r="L16" s="9">
        <v>8</v>
      </c>
      <c r="M16" s="16"/>
      <c r="N16" s="10">
        <f t="shared" si="0"/>
        <v>0</v>
      </c>
      <c r="O16" s="13"/>
      <c r="P16" s="16"/>
      <c r="Q16" s="10">
        <f t="shared" si="1"/>
        <v>0</v>
      </c>
    </row>
    <row r="17" spans="2:17" x14ac:dyDescent="0.2">
      <c r="B17" s="20" t="s">
        <v>211</v>
      </c>
      <c r="C17" s="16">
        <f>C9/(1+C5)^C11</f>
        <v>-926.8820333287689</v>
      </c>
      <c r="E17" s="5">
        <f>E9*(((1+C$5)^E11)-1)/(C5*(1+C5)^E11)</f>
        <v>0</v>
      </c>
      <c r="L17" s="9">
        <v>9</v>
      </c>
      <c r="M17" s="16"/>
      <c r="N17" s="10">
        <f t="shared" si="0"/>
        <v>0</v>
      </c>
      <c r="O17" s="13"/>
      <c r="P17" s="16"/>
      <c r="Q17" s="10">
        <f t="shared" si="1"/>
        <v>0</v>
      </c>
    </row>
    <row r="18" spans="2:17" x14ac:dyDescent="0.2">
      <c r="B18" s="20" t="s">
        <v>215</v>
      </c>
      <c r="C18" s="16">
        <f>C10/(1+C5)^C12</f>
        <v>101.66985842694356</v>
      </c>
      <c r="E18" s="16">
        <f>E10/(1+C5)^E12</f>
        <v>165.2135199437833</v>
      </c>
      <c r="L18" s="9">
        <v>10</v>
      </c>
      <c r="M18" s="16">
        <v>200</v>
      </c>
      <c r="N18" s="10">
        <f t="shared" si="0"/>
        <v>101.66985842694356</v>
      </c>
      <c r="O18" s="13"/>
      <c r="P18" s="16">
        <v>325</v>
      </c>
      <c r="Q18" s="10">
        <f t="shared" si="1"/>
        <v>165.2135199437833</v>
      </c>
    </row>
    <row r="19" spans="2:17" x14ac:dyDescent="0.2">
      <c r="B19" s="20"/>
      <c r="C19" s="5"/>
      <c r="D19" s="5"/>
      <c r="E19" s="5"/>
      <c r="O19" s="13"/>
    </row>
    <row r="20" spans="2:17" x14ac:dyDescent="0.2">
      <c r="B20" s="20" t="s">
        <v>17</v>
      </c>
      <c r="C20" s="68">
        <f>SUM(C16:C18)</f>
        <v>-2325.2121749018256</v>
      </c>
      <c r="E20" s="68">
        <f>SUM(E16:E18)</f>
        <v>-1434.7864800562168</v>
      </c>
      <c r="L20" s="69" t="s">
        <v>196</v>
      </c>
      <c r="M20" s="69"/>
      <c r="N20" s="70">
        <f>SUM(N8:N18)</f>
        <v>-2325.2121749018256</v>
      </c>
      <c r="O20" s="13"/>
      <c r="P20" s="69"/>
      <c r="Q20" s="70">
        <f>SUM(Q8:Q18)</f>
        <v>-1434.7864800562168</v>
      </c>
    </row>
    <row r="21" spans="2:17" x14ac:dyDescent="0.2">
      <c r="O21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15" zoomScaleNormal="115" workbookViewId="0">
      <selection activeCell="A8" sqref="A8"/>
    </sheetView>
  </sheetViews>
  <sheetFormatPr baseColWidth="10" defaultColWidth="8.83203125" defaultRowHeight="15" x14ac:dyDescent="0.2"/>
  <cols>
    <col min="1" max="1" width="3.6640625" customWidth="1"/>
    <col min="2" max="2" width="34" customWidth="1"/>
    <col min="3" max="3" width="11.5" customWidth="1"/>
    <col min="4" max="4" width="4.33203125" customWidth="1"/>
    <col min="5" max="5" width="3.5" customWidth="1"/>
    <col min="8" max="8" width="13.1640625" customWidth="1"/>
    <col min="9" max="9" width="16.5" customWidth="1"/>
    <col min="10" max="10" width="6.1640625" customWidth="1"/>
  </cols>
  <sheetData>
    <row r="1" spans="1:9" x14ac:dyDescent="0.2">
      <c r="A1" t="s">
        <v>619</v>
      </c>
      <c r="C1" t="s">
        <v>1</v>
      </c>
    </row>
    <row r="4" spans="1:9" x14ac:dyDescent="0.2">
      <c r="B4" s="3" t="s">
        <v>146</v>
      </c>
      <c r="C4" s="3"/>
      <c r="G4" s="3" t="s">
        <v>624</v>
      </c>
      <c r="H4" s="3"/>
      <c r="I4" s="3"/>
    </row>
    <row r="6" spans="1:9" x14ac:dyDescent="0.2">
      <c r="B6" t="s">
        <v>621</v>
      </c>
      <c r="C6" s="157">
        <v>0.06</v>
      </c>
      <c r="G6" t="s">
        <v>6</v>
      </c>
      <c r="I6" s="144">
        <f>C8</f>
        <v>5.0000000000000001E-3</v>
      </c>
    </row>
    <row r="7" spans="1:9" x14ac:dyDescent="0.2">
      <c r="B7" t="s">
        <v>163</v>
      </c>
      <c r="C7" s="154">
        <v>12</v>
      </c>
    </row>
    <row r="8" spans="1:9" ht="39" customHeight="1" x14ac:dyDescent="0.2">
      <c r="B8" t="s">
        <v>162</v>
      </c>
      <c r="C8" s="81">
        <f>C6/C7</f>
        <v>5.0000000000000001E-3</v>
      </c>
      <c r="G8" t="s">
        <v>22</v>
      </c>
      <c r="H8" t="s">
        <v>580</v>
      </c>
      <c r="I8" s="63" t="s">
        <v>625</v>
      </c>
    </row>
    <row r="9" spans="1:9" x14ac:dyDescent="0.2">
      <c r="B9" t="s">
        <v>623</v>
      </c>
      <c r="C9">
        <f>$C$8/((1+$C$8)^C7-1)</f>
        <v>8.1066429707083235E-2</v>
      </c>
      <c r="G9">
        <v>1</v>
      </c>
      <c r="H9" s="55">
        <v>81.069999999999993</v>
      </c>
      <c r="I9" s="45">
        <f>H9*(1+$I$6)^($C$7-G9)</f>
        <v>85.642010157069492</v>
      </c>
    </row>
    <row r="10" spans="1:9" x14ac:dyDescent="0.2">
      <c r="G10">
        <v>2</v>
      </c>
      <c r="H10" s="45">
        <f>H9</f>
        <v>81.069999999999993</v>
      </c>
      <c r="I10" s="45">
        <f t="shared" ref="I10:I20" si="0">H10*(1+$I$6)^($C$7-G10)</f>
        <v>85.215930504546776</v>
      </c>
    </row>
    <row r="11" spans="1:9" x14ac:dyDescent="0.2">
      <c r="G11">
        <v>3</v>
      </c>
      <c r="H11" s="45">
        <f t="shared" ref="H11:H20" si="1">H10</f>
        <v>81.069999999999993</v>
      </c>
      <c r="I11" s="45">
        <f t="shared" si="0"/>
        <v>84.791970651290328</v>
      </c>
    </row>
    <row r="12" spans="1:9" x14ac:dyDescent="0.2">
      <c r="B12" t="s">
        <v>620</v>
      </c>
      <c r="C12" s="143">
        <v>1000</v>
      </c>
      <c r="G12">
        <v>4</v>
      </c>
      <c r="H12" s="45">
        <f t="shared" si="1"/>
        <v>81.069999999999993</v>
      </c>
      <c r="I12" s="45">
        <f t="shared" si="0"/>
        <v>84.370120051035158</v>
      </c>
    </row>
    <row r="13" spans="1:9" x14ac:dyDescent="0.2">
      <c r="G13">
        <v>5</v>
      </c>
      <c r="H13" s="45">
        <f t="shared" si="1"/>
        <v>81.069999999999993</v>
      </c>
      <c r="I13" s="45">
        <f t="shared" si="0"/>
        <v>83.950368209985243</v>
      </c>
    </row>
    <row r="14" spans="1:9" x14ac:dyDescent="0.2">
      <c r="B14" t="s">
        <v>622</v>
      </c>
      <c r="C14" s="136">
        <f>C9*C12</f>
        <v>81.06642970708323</v>
      </c>
      <c r="G14">
        <v>6</v>
      </c>
      <c r="H14" s="45">
        <f t="shared" si="1"/>
        <v>81.069999999999993</v>
      </c>
      <c r="I14" s="45">
        <f t="shared" si="0"/>
        <v>83.532704686552492</v>
      </c>
    </row>
    <row r="15" spans="1:9" x14ac:dyDescent="0.2">
      <c r="G15">
        <v>7</v>
      </c>
      <c r="H15" s="45">
        <f t="shared" si="1"/>
        <v>81.069999999999993</v>
      </c>
      <c r="I15" s="45">
        <f t="shared" si="0"/>
        <v>83.117119091097024</v>
      </c>
    </row>
    <row r="16" spans="1:9" x14ac:dyDescent="0.2">
      <c r="G16">
        <v>8</v>
      </c>
      <c r="H16" s="45">
        <f t="shared" si="1"/>
        <v>81.069999999999993</v>
      </c>
      <c r="I16" s="45">
        <f t="shared" si="0"/>
        <v>82.703601085668694</v>
      </c>
    </row>
    <row r="17" spans="7:9" x14ac:dyDescent="0.2">
      <c r="G17">
        <v>9</v>
      </c>
      <c r="H17" s="45">
        <f t="shared" si="1"/>
        <v>81.069999999999993</v>
      </c>
      <c r="I17" s="45">
        <f t="shared" si="0"/>
        <v>82.292140383749967</v>
      </c>
    </row>
    <row r="18" spans="7:9" x14ac:dyDescent="0.2">
      <c r="G18">
        <v>10</v>
      </c>
      <c r="H18" s="45">
        <f t="shared" si="1"/>
        <v>81.069999999999993</v>
      </c>
      <c r="I18" s="45">
        <f t="shared" si="0"/>
        <v>81.882726749999975</v>
      </c>
    </row>
    <row r="19" spans="7:9" x14ac:dyDescent="0.2">
      <c r="G19">
        <v>11</v>
      </c>
      <c r="H19" s="45">
        <f t="shared" si="1"/>
        <v>81.069999999999993</v>
      </c>
      <c r="I19" s="45">
        <f t="shared" si="0"/>
        <v>81.475349999999978</v>
      </c>
    </row>
    <row r="20" spans="7:9" x14ac:dyDescent="0.2">
      <c r="G20">
        <v>12</v>
      </c>
      <c r="H20" s="45">
        <f t="shared" si="1"/>
        <v>81.069999999999993</v>
      </c>
      <c r="I20" s="45">
        <f t="shared" si="0"/>
        <v>81.069999999999993</v>
      </c>
    </row>
    <row r="22" spans="7:9" x14ac:dyDescent="0.2">
      <c r="I22" s="54">
        <f>SUM(I9:I20)</f>
        <v>1000.044041570995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5"/>
  <sheetViews>
    <sheetView zoomScale="115" zoomScaleNormal="115" workbookViewId="0">
      <selection activeCell="A18" sqref="A18"/>
    </sheetView>
  </sheetViews>
  <sheetFormatPr baseColWidth="10" defaultColWidth="8.83203125" defaultRowHeight="15" x14ac:dyDescent="0.2"/>
  <cols>
    <col min="1" max="1" width="7.1640625" customWidth="1"/>
    <col min="2" max="2" width="22.83203125" customWidth="1"/>
    <col min="3" max="3" width="16.5" customWidth="1"/>
    <col min="4" max="5" width="7.5" customWidth="1"/>
    <col min="6" max="6" width="18.33203125" customWidth="1"/>
    <col min="7" max="7" width="13.5" customWidth="1"/>
    <col min="8" max="8" width="7" customWidth="1"/>
    <col min="9" max="9" width="19.1640625" customWidth="1"/>
    <col min="10" max="10" width="14.6640625" customWidth="1"/>
    <col min="11" max="11" width="6.33203125" customWidth="1"/>
    <col min="12" max="12" width="7.5" customWidth="1"/>
    <col min="13" max="13" width="18.33203125" customWidth="1"/>
    <col min="14" max="14" width="13.5" customWidth="1"/>
    <col min="15" max="15" width="7" customWidth="1"/>
    <col min="16" max="16" width="17.83203125" customWidth="1"/>
    <col min="17" max="17" width="14.6640625" customWidth="1"/>
  </cols>
  <sheetData>
    <row r="1" spans="1:17" x14ac:dyDescent="0.2">
      <c r="A1" s="34" t="s">
        <v>216</v>
      </c>
    </row>
    <row r="2" spans="1:17" x14ac:dyDescent="0.2">
      <c r="A2" s="34"/>
      <c r="B2" s="3" t="s">
        <v>169</v>
      </c>
      <c r="C2" s="3"/>
      <c r="F2" s="3" t="s">
        <v>218</v>
      </c>
      <c r="G2" s="3"/>
      <c r="H2" s="3"/>
      <c r="M2" s="3" t="s">
        <v>217</v>
      </c>
      <c r="N2" s="3"/>
      <c r="O2" s="3"/>
    </row>
    <row r="3" spans="1:17" x14ac:dyDescent="0.2">
      <c r="F3" s="3" t="s">
        <v>187</v>
      </c>
      <c r="G3" s="3"/>
      <c r="I3" s="3" t="s">
        <v>195</v>
      </c>
      <c r="J3" s="3"/>
      <c r="M3" s="3" t="s">
        <v>187</v>
      </c>
      <c r="N3" s="3"/>
      <c r="P3" s="3" t="s">
        <v>195</v>
      </c>
      <c r="Q3" s="3"/>
    </row>
    <row r="4" spans="1:17" x14ac:dyDescent="0.2">
      <c r="G4" s="15"/>
      <c r="H4" s="15"/>
      <c r="J4" s="15"/>
      <c r="N4" s="15"/>
      <c r="O4" s="15"/>
      <c r="Q4" s="15"/>
    </row>
    <row r="5" spans="1:17" x14ac:dyDescent="0.2">
      <c r="F5" t="s">
        <v>6</v>
      </c>
      <c r="G5" s="13">
        <v>0.08</v>
      </c>
      <c r="H5" s="13"/>
      <c r="J5" s="13"/>
      <c r="M5" t="s">
        <v>6</v>
      </c>
      <c r="N5" s="13">
        <v>0.08</v>
      </c>
      <c r="O5" s="13"/>
      <c r="Q5" s="13"/>
    </row>
    <row r="6" spans="1:17" x14ac:dyDescent="0.2">
      <c r="H6" s="13"/>
      <c r="O6" s="13"/>
    </row>
    <row r="7" spans="1:17" x14ac:dyDescent="0.2">
      <c r="E7" s="3" t="s">
        <v>11</v>
      </c>
      <c r="F7" s="3" t="s">
        <v>199</v>
      </c>
      <c r="G7" s="3" t="s">
        <v>186</v>
      </c>
      <c r="H7" s="13"/>
      <c r="I7" s="3" t="s">
        <v>199</v>
      </c>
      <c r="J7" s="3" t="s">
        <v>186</v>
      </c>
      <c r="L7" s="3" t="s">
        <v>11</v>
      </c>
      <c r="M7" s="3" t="s">
        <v>199</v>
      </c>
      <c r="N7" s="3" t="s">
        <v>186</v>
      </c>
      <c r="O7" s="13"/>
      <c r="P7" s="3" t="s">
        <v>199</v>
      </c>
      <c r="Q7" s="3" t="s">
        <v>186</v>
      </c>
    </row>
    <row r="8" spans="1:17" x14ac:dyDescent="0.2">
      <c r="E8" s="9">
        <v>0</v>
      </c>
      <c r="F8" s="16">
        <v>-50000</v>
      </c>
      <c r="G8" s="10">
        <f>F8/(1+G$5)^E8</f>
        <v>-50000</v>
      </c>
      <c r="H8" s="13"/>
      <c r="I8" s="16">
        <v>-75000</v>
      </c>
      <c r="J8" s="10">
        <f>I8/(1+J$5)^H8</f>
        <v>-75000</v>
      </c>
      <c r="L8" s="9">
        <v>0</v>
      </c>
      <c r="M8" s="16">
        <v>-50000</v>
      </c>
      <c r="N8" s="10">
        <f>M8/(1+N$5)^L8</f>
        <v>-50000</v>
      </c>
      <c r="O8" s="13"/>
      <c r="P8" s="16">
        <v>-75000</v>
      </c>
      <c r="Q8" s="10">
        <f>P8/(1+Q$5)^O8</f>
        <v>-75000</v>
      </c>
    </row>
    <row r="9" spans="1:17" x14ac:dyDescent="0.2">
      <c r="B9" t="s">
        <v>220</v>
      </c>
      <c r="E9" s="9">
        <v>1</v>
      </c>
      <c r="F9" s="16"/>
      <c r="G9" s="10">
        <f t="shared" ref="G9:G18" si="0">F9/(1+G$5)^E9</f>
        <v>0</v>
      </c>
      <c r="H9" s="13"/>
      <c r="I9" s="16"/>
      <c r="J9" s="10">
        <f>I9/(1+G$5)^E9</f>
        <v>0</v>
      </c>
      <c r="L9" s="9">
        <v>1</v>
      </c>
      <c r="M9" s="16"/>
      <c r="N9" s="10">
        <f t="shared" ref="N9:N21" si="1">M9/(1+N$5)^L9</f>
        <v>0</v>
      </c>
      <c r="O9" s="13"/>
      <c r="P9" s="16"/>
      <c r="Q9" s="10">
        <f>P9/(1+N$5)^L9</f>
        <v>0</v>
      </c>
    </row>
    <row r="10" spans="1:17" x14ac:dyDescent="0.2">
      <c r="E10" s="9">
        <v>2</v>
      </c>
      <c r="F10" s="16"/>
      <c r="G10" s="10">
        <f t="shared" si="0"/>
        <v>0</v>
      </c>
      <c r="H10" s="13"/>
      <c r="I10" s="16"/>
      <c r="J10" s="10">
        <f t="shared" ref="J10:J18" si="2">I10/(1+G$5)^E10</f>
        <v>0</v>
      </c>
      <c r="L10" s="9">
        <v>2</v>
      </c>
      <c r="M10" s="16"/>
      <c r="N10" s="10">
        <f t="shared" si="1"/>
        <v>0</v>
      </c>
      <c r="O10" s="13"/>
      <c r="P10" s="16"/>
      <c r="Q10" s="10">
        <f t="shared" ref="Q10:Q20" si="3">P10/(1+N$5)^L10</f>
        <v>0</v>
      </c>
    </row>
    <row r="11" spans="1:17" x14ac:dyDescent="0.2">
      <c r="E11" s="9">
        <v>3</v>
      </c>
      <c r="F11" s="16"/>
      <c r="G11" s="10">
        <f t="shared" si="0"/>
        <v>0</v>
      </c>
      <c r="H11" s="13"/>
      <c r="I11" s="16"/>
      <c r="J11" s="10">
        <f t="shared" si="2"/>
        <v>0</v>
      </c>
      <c r="L11" s="9">
        <v>3</v>
      </c>
      <c r="M11" s="16"/>
      <c r="N11" s="10">
        <f t="shared" si="1"/>
        <v>0</v>
      </c>
      <c r="O11" s="13"/>
      <c r="P11" s="16"/>
      <c r="Q11" s="10">
        <f t="shared" si="3"/>
        <v>0</v>
      </c>
    </row>
    <row r="12" spans="1:17" x14ac:dyDescent="0.2">
      <c r="E12" s="9">
        <v>4</v>
      </c>
      <c r="F12" s="16"/>
      <c r="G12" s="10">
        <f t="shared" si="0"/>
        <v>0</v>
      </c>
      <c r="H12" s="13"/>
      <c r="I12" s="16"/>
      <c r="J12" s="10">
        <f t="shared" si="2"/>
        <v>0</v>
      </c>
      <c r="L12" s="9">
        <v>4</v>
      </c>
      <c r="M12" s="16"/>
      <c r="N12" s="10">
        <f t="shared" si="1"/>
        <v>0</v>
      </c>
      <c r="O12" s="13"/>
      <c r="P12" s="16"/>
      <c r="Q12" s="10">
        <f t="shared" si="3"/>
        <v>0</v>
      </c>
    </row>
    <row r="13" spans="1:17" x14ac:dyDescent="0.2">
      <c r="E13" s="9">
        <v>5</v>
      </c>
      <c r="F13" s="16"/>
      <c r="G13" s="10">
        <f t="shared" si="0"/>
        <v>0</v>
      </c>
      <c r="H13" s="13"/>
      <c r="I13" s="16"/>
      <c r="J13" s="10">
        <f t="shared" si="2"/>
        <v>0</v>
      </c>
      <c r="L13" s="9">
        <v>5</v>
      </c>
      <c r="M13" s="16"/>
      <c r="N13" s="10">
        <f t="shared" si="1"/>
        <v>0</v>
      </c>
      <c r="O13" s="13"/>
      <c r="P13" s="16"/>
      <c r="Q13" s="10">
        <f t="shared" si="3"/>
        <v>0</v>
      </c>
    </row>
    <row r="14" spans="1:17" x14ac:dyDescent="0.2">
      <c r="E14" s="9">
        <v>6</v>
      </c>
      <c r="F14" s="16"/>
      <c r="G14" s="10">
        <f t="shared" si="0"/>
        <v>0</v>
      </c>
      <c r="H14" s="13"/>
      <c r="I14" s="16"/>
      <c r="J14" s="10">
        <f t="shared" si="2"/>
        <v>0</v>
      </c>
      <c r="L14" s="9">
        <v>6</v>
      </c>
      <c r="M14" s="16"/>
      <c r="N14" s="10">
        <f t="shared" si="1"/>
        <v>0</v>
      </c>
      <c r="O14" s="13"/>
      <c r="P14" s="16"/>
      <c r="Q14" s="10">
        <f t="shared" si="3"/>
        <v>0</v>
      </c>
    </row>
    <row r="15" spans="1:17" x14ac:dyDescent="0.2">
      <c r="E15" s="9">
        <v>7</v>
      </c>
      <c r="F15" s="16">
        <f>10000-50000</f>
        <v>-40000</v>
      </c>
      <c r="G15" s="10">
        <f t="shared" si="0"/>
        <v>-23339.615810485353</v>
      </c>
      <c r="H15" s="13"/>
      <c r="I15" s="16"/>
      <c r="J15" s="10">
        <f t="shared" si="2"/>
        <v>0</v>
      </c>
      <c r="L15" s="9">
        <v>7</v>
      </c>
      <c r="M15" s="16">
        <f>10000-50000</f>
        <v>-40000</v>
      </c>
      <c r="N15" s="10">
        <f t="shared" si="1"/>
        <v>-23339.615810485353</v>
      </c>
      <c r="O15" s="13"/>
      <c r="P15" s="16"/>
      <c r="Q15" s="10">
        <f t="shared" si="3"/>
        <v>0</v>
      </c>
    </row>
    <row r="16" spans="1:17" x14ac:dyDescent="0.2">
      <c r="E16" s="9">
        <v>8</v>
      </c>
      <c r="F16" s="16"/>
      <c r="G16" s="10">
        <f t="shared" si="0"/>
        <v>0</v>
      </c>
      <c r="H16" s="13"/>
      <c r="I16" s="16"/>
      <c r="J16" s="10">
        <f t="shared" si="2"/>
        <v>0</v>
      </c>
      <c r="L16" s="9">
        <v>8</v>
      </c>
      <c r="M16" s="16"/>
      <c r="N16" s="10">
        <f t="shared" si="1"/>
        <v>0</v>
      </c>
      <c r="O16" s="13"/>
      <c r="P16" s="16"/>
      <c r="Q16" s="10">
        <f t="shared" si="3"/>
        <v>0</v>
      </c>
    </row>
    <row r="17" spans="5:17" x14ac:dyDescent="0.2">
      <c r="E17" s="9">
        <v>9</v>
      </c>
      <c r="F17" s="16"/>
      <c r="G17" s="10">
        <f t="shared" si="0"/>
        <v>0</v>
      </c>
      <c r="H17" s="13"/>
      <c r="I17" s="16"/>
      <c r="J17" s="10">
        <f t="shared" si="2"/>
        <v>0</v>
      </c>
      <c r="L17" s="9">
        <v>9</v>
      </c>
      <c r="M17" s="16"/>
      <c r="N17" s="10">
        <f t="shared" si="1"/>
        <v>0</v>
      </c>
      <c r="O17" s="13"/>
      <c r="P17" s="16"/>
      <c r="Q17" s="10">
        <f t="shared" si="3"/>
        <v>0</v>
      </c>
    </row>
    <row r="18" spans="5:17" x14ac:dyDescent="0.2">
      <c r="E18" s="9">
        <v>10</v>
      </c>
      <c r="F18" s="16"/>
      <c r="G18" s="10">
        <f t="shared" si="0"/>
        <v>0</v>
      </c>
      <c r="H18" s="13"/>
      <c r="I18" s="16"/>
      <c r="J18" s="10">
        <f t="shared" si="2"/>
        <v>0</v>
      </c>
      <c r="L18" s="9">
        <v>10</v>
      </c>
      <c r="M18" s="16">
        <v>20000</v>
      </c>
      <c r="N18" s="10">
        <f t="shared" si="1"/>
        <v>9263.8697616936843</v>
      </c>
      <c r="O18" s="13"/>
      <c r="P18" s="16">
        <v>15000</v>
      </c>
      <c r="Q18" s="10">
        <f t="shared" si="3"/>
        <v>6947.9023212702641</v>
      </c>
    </row>
    <row r="19" spans="5:17" x14ac:dyDescent="0.2">
      <c r="E19" s="9">
        <v>11</v>
      </c>
      <c r="F19" s="16"/>
      <c r="G19" s="10">
        <f>F19/(1+G$5)^E19</f>
        <v>0</v>
      </c>
      <c r="H19" s="13"/>
      <c r="I19" s="16"/>
      <c r="J19" s="10">
        <f>I19/(1+G$5)^E19</f>
        <v>0</v>
      </c>
      <c r="L19" s="9">
        <v>11</v>
      </c>
      <c r="M19" s="16"/>
      <c r="N19" s="10">
        <f t="shared" si="1"/>
        <v>0</v>
      </c>
      <c r="O19" s="13"/>
      <c r="P19" s="16"/>
      <c r="Q19" s="10">
        <f t="shared" si="3"/>
        <v>0</v>
      </c>
    </row>
    <row r="20" spans="5:17" x14ac:dyDescent="0.2">
      <c r="E20" s="9">
        <v>12</v>
      </c>
      <c r="F20" s="16"/>
      <c r="G20" s="10">
        <f>F20/(1+G$5)^E20</f>
        <v>0</v>
      </c>
      <c r="H20" s="13"/>
      <c r="I20" s="16"/>
      <c r="J20" s="10">
        <f>I20/(1+G$5)^E20</f>
        <v>0</v>
      </c>
      <c r="L20" s="9">
        <v>12</v>
      </c>
      <c r="M20" s="16"/>
      <c r="N20" s="10">
        <f t="shared" si="1"/>
        <v>0</v>
      </c>
      <c r="O20" s="13"/>
      <c r="P20" s="16"/>
      <c r="Q20" s="10">
        <f t="shared" si="3"/>
        <v>0</v>
      </c>
    </row>
    <row r="21" spans="5:17" x14ac:dyDescent="0.2">
      <c r="E21" s="9">
        <v>13</v>
      </c>
      <c r="F21" s="71"/>
      <c r="G21" s="72">
        <f>F21/(1+G$5)^E21</f>
        <v>0</v>
      </c>
      <c r="H21" s="13"/>
      <c r="I21" s="16">
        <v>12000</v>
      </c>
      <c r="J21" s="10">
        <f>I21/(1+G$5)^E21</f>
        <v>4412.3750960665693</v>
      </c>
      <c r="L21" s="9">
        <v>13</v>
      </c>
      <c r="M21" s="16"/>
      <c r="N21" s="10">
        <f t="shared" si="1"/>
        <v>0</v>
      </c>
      <c r="O21" s="13"/>
      <c r="P21" s="16"/>
      <c r="Q21" s="10"/>
    </row>
    <row r="23" spans="5:17" x14ac:dyDescent="0.2">
      <c r="E23" s="69" t="s">
        <v>196</v>
      </c>
      <c r="F23" s="69"/>
      <c r="G23" s="70">
        <f>SUM(G8:G21)</f>
        <v>-73339.615810485353</v>
      </c>
      <c r="H23" s="13"/>
      <c r="I23" s="69"/>
      <c r="J23" s="70">
        <f>SUM(J8:J21)</f>
        <v>-70587.624903933436</v>
      </c>
      <c r="L23" s="69" t="s">
        <v>196</v>
      </c>
      <c r="M23" s="69"/>
      <c r="N23" s="70">
        <f>SUM(N8:N21)</f>
        <v>-64075.746048791669</v>
      </c>
      <c r="O23" s="13"/>
      <c r="P23" s="69"/>
      <c r="Q23" s="70">
        <f>SUM(Q8:Q21)</f>
        <v>-68052.09767872974</v>
      </c>
    </row>
    <row r="25" spans="5:17" x14ac:dyDescent="0.2">
      <c r="F25" s="73" t="s">
        <v>219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5"/>
  <sheetViews>
    <sheetView zoomScale="85" zoomScaleNormal="85" workbookViewId="0">
      <selection activeCell="A37" sqref="A37"/>
    </sheetView>
  </sheetViews>
  <sheetFormatPr baseColWidth="10" defaultColWidth="8.83203125" defaultRowHeight="15" x14ac:dyDescent="0.2"/>
  <cols>
    <col min="1" max="1" width="7.1640625" customWidth="1"/>
    <col min="2" max="2" width="22.83203125" customWidth="1"/>
    <col min="3" max="3" width="16.5" customWidth="1"/>
    <col min="4" max="4" width="4.33203125" customWidth="1"/>
    <col min="5" max="5" width="19.1640625" customWidth="1"/>
    <col min="6" max="8" width="7.5" customWidth="1"/>
    <col min="9" max="9" width="10.5" customWidth="1"/>
    <col min="10" max="10" width="9.5" customWidth="1"/>
    <col min="11" max="11" width="7.5" customWidth="1"/>
    <col min="12" max="12" width="18.33203125" customWidth="1"/>
    <col min="13" max="13" width="13.5" customWidth="1"/>
    <col min="14" max="14" width="7" customWidth="1"/>
  </cols>
  <sheetData>
    <row r="1" spans="1:14" x14ac:dyDescent="0.2">
      <c r="A1" s="34" t="s">
        <v>221</v>
      </c>
    </row>
    <row r="2" spans="1:14" x14ac:dyDescent="0.2">
      <c r="A2" s="34"/>
      <c r="B2" s="3" t="s">
        <v>169</v>
      </c>
      <c r="C2" s="3"/>
      <c r="D2" s="3"/>
      <c r="L2" s="3" t="s">
        <v>218</v>
      </c>
      <c r="M2" s="3"/>
      <c r="N2" s="3"/>
    </row>
    <row r="3" spans="1:14" x14ac:dyDescent="0.2">
      <c r="L3" s="3" t="s">
        <v>187</v>
      </c>
      <c r="M3" s="3"/>
    </row>
    <row r="4" spans="1:14" x14ac:dyDescent="0.2">
      <c r="B4" t="s">
        <v>222</v>
      </c>
      <c r="M4" s="15"/>
      <c r="N4" s="15"/>
    </row>
    <row r="5" spans="1:14" x14ac:dyDescent="0.2">
      <c r="B5" s="20" t="s">
        <v>162</v>
      </c>
      <c r="C5" s="19">
        <v>7.0000000000000007E-2</v>
      </c>
      <c r="L5" t="s">
        <v>6</v>
      </c>
      <c r="M5" s="13">
        <v>7.0000000000000007E-2</v>
      </c>
      <c r="N5" s="13"/>
    </row>
    <row r="6" spans="1:14" x14ac:dyDescent="0.2">
      <c r="B6" s="20" t="s">
        <v>179</v>
      </c>
      <c r="C6" s="15">
        <v>8000000</v>
      </c>
      <c r="N6" s="13"/>
    </row>
    <row r="7" spans="1:14" x14ac:dyDescent="0.2">
      <c r="B7" s="20" t="s">
        <v>163</v>
      </c>
      <c r="C7">
        <v>70</v>
      </c>
      <c r="K7" s="3" t="s">
        <v>11</v>
      </c>
      <c r="L7" s="3" t="s">
        <v>199</v>
      </c>
      <c r="M7" s="3" t="s">
        <v>186</v>
      </c>
      <c r="N7" s="13"/>
    </row>
    <row r="8" spans="1:14" x14ac:dyDescent="0.2">
      <c r="K8" s="9">
        <v>0</v>
      </c>
      <c r="L8" s="16">
        <v>-8000000</v>
      </c>
      <c r="M8" s="10">
        <f>L8/(1+M$5)^K8</f>
        <v>-8000000</v>
      </c>
      <c r="N8" s="13"/>
    </row>
    <row r="9" spans="1:14" x14ac:dyDescent="0.2">
      <c r="B9" s="20" t="s">
        <v>93</v>
      </c>
      <c r="C9" s="15">
        <f>C6*(C5/((1+C5)^C7-1))</f>
        <v>4956.217474119052</v>
      </c>
      <c r="K9" s="9">
        <v>1</v>
      </c>
      <c r="L9" s="16"/>
      <c r="M9" s="10">
        <f t="shared" ref="M9:M15" si="0">L9/(1+M$5)^K9</f>
        <v>0</v>
      </c>
      <c r="N9" s="13"/>
    </row>
    <row r="10" spans="1:14" x14ac:dyDescent="0.2">
      <c r="B10" s="20"/>
      <c r="C10" s="15"/>
      <c r="K10" s="9">
        <v>2</v>
      </c>
      <c r="L10" s="16"/>
      <c r="M10" s="10">
        <f t="shared" si="0"/>
        <v>0</v>
      </c>
      <c r="N10" s="13"/>
    </row>
    <row r="11" spans="1:14" x14ac:dyDescent="0.2">
      <c r="B11" s="20" t="s">
        <v>224</v>
      </c>
      <c r="C11" s="16">
        <f>C6</f>
        <v>8000000</v>
      </c>
      <c r="K11" s="9">
        <v>3</v>
      </c>
      <c r="L11" s="16"/>
      <c r="M11" s="10">
        <f t="shared" si="0"/>
        <v>0</v>
      </c>
      <c r="N11" s="13"/>
    </row>
    <row r="12" spans="1:14" x14ac:dyDescent="0.2">
      <c r="B12" s="20" t="s">
        <v>223</v>
      </c>
      <c r="C12" s="15">
        <f>C9/C5</f>
        <v>70803.106773129301</v>
      </c>
      <c r="K12" s="9">
        <v>4</v>
      </c>
      <c r="L12" s="16"/>
      <c r="M12" s="10">
        <f t="shared" si="0"/>
        <v>0</v>
      </c>
      <c r="N12" s="13"/>
    </row>
    <row r="13" spans="1:14" x14ac:dyDescent="0.2">
      <c r="B13" s="20"/>
      <c r="C13" s="11"/>
      <c r="K13" s="9">
        <v>5</v>
      </c>
      <c r="L13" s="16"/>
      <c r="M13" s="10">
        <f t="shared" si="0"/>
        <v>0</v>
      </c>
      <c r="N13" s="13"/>
    </row>
    <row r="14" spans="1:14" x14ac:dyDescent="0.2">
      <c r="B14" s="20" t="s">
        <v>225</v>
      </c>
      <c r="C14" s="16">
        <f>SUM(C11:C12)</f>
        <v>8070803.1067731297</v>
      </c>
      <c r="K14" s="9" t="s">
        <v>226</v>
      </c>
      <c r="L14" s="16"/>
      <c r="M14" s="10"/>
      <c r="N14" s="13"/>
    </row>
    <row r="15" spans="1:14" x14ac:dyDescent="0.2">
      <c r="C15" s="66"/>
      <c r="K15" s="9">
        <v>70</v>
      </c>
      <c r="L15" s="16">
        <v>-8000000</v>
      </c>
      <c r="M15" s="10">
        <f t="shared" si="0"/>
        <v>-70181.969091735475</v>
      </c>
      <c r="N15" s="13"/>
    </row>
    <row r="16" spans="1:14" x14ac:dyDescent="0.2">
      <c r="C16" s="66"/>
      <c r="K16" s="9" t="s">
        <v>226</v>
      </c>
      <c r="L16" s="16"/>
      <c r="M16" s="10"/>
      <c r="N16" s="74"/>
    </row>
    <row r="17" spans="3:15" x14ac:dyDescent="0.2">
      <c r="C17" s="66"/>
      <c r="K17" s="76">
        <v>140</v>
      </c>
      <c r="L17" s="77">
        <v>-8000000</v>
      </c>
      <c r="M17" s="78">
        <f>L17/(1+M$5)^K17</f>
        <v>-615.68859819916429</v>
      </c>
      <c r="N17" s="74"/>
      <c r="O17" s="79" t="s">
        <v>228</v>
      </c>
    </row>
    <row r="18" spans="3:15" x14ac:dyDescent="0.2">
      <c r="C18" s="66"/>
      <c r="K18" s="9"/>
      <c r="L18" s="16"/>
      <c r="M18" s="10"/>
      <c r="N18" s="74"/>
      <c r="O18" s="79" t="s">
        <v>227</v>
      </c>
    </row>
    <row r="19" spans="3:15" x14ac:dyDescent="0.2">
      <c r="C19" s="66"/>
      <c r="D19" s="5"/>
      <c r="K19" s="69" t="s">
        <v>196</v>
      </c>
      <c r="L19" s="69"/>
      <c r="M19" s="70">
        <f>SUM(M8:M15)</f>
        <v>-8070181.9690917358</v>
      </c>
      <c r="N19" s="74"/>
    </row>
    <row r="20" spans="3:15" x14ac:dyDescent="0.2">
      <c r="C20" s="66"/>
      <c r="K20" s="9"/>
      <c r="L20" s="16"/>
      <c r="M20" s="10"/>
      <c r="N20" s="74"/>
    </row>
    <row r="21" spans="3:15" x14ac:dyDescent="0.2">
      <c r="C21" s="66"/>
      <c r="K21" s="9"/>
      <c r="L21" s="16"/>
      <c r="M21" s="10"/>
      <c r="N21" s="74"/>
    </row>
    <row r="22" spans="3:15" x14ac:dyDescent="0.2">
      <c r="C22" s="66"/>
    </row>
    <row r="23" spans="3:15" x14ac:dyDescent="0.2">
      <c r="C23" s="66"/>
      <c r="N23" s="13"/>
    </row>
    <row r="25" spans="3:15" x14ac:dyDescent="0.2">
      <c r="L25" s="75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24"/>
  <sheetViews>
    <sheetView zoomScale="85" zoomScaleNormal="85" workbookViewId="0">
      <selection activeCell="B27" sqref="B27"/>
    </sheetView>
  </sheetViews>
  <sheetFormatPr baseColWidth="10" defaultColWidth="8.83203125" defaultRowHeight="15" x14ac:dyDescent="0.2"/>
  <cols>
    <col min="1" max="1" width="7.1640625" customWidth="1"/>
    <col min="2" max="2" width="38.33203125" customWidth="1"/>
    <col min="3" max="3" width="16.5" customWidth="1"/>
    <col min="4" max="4" width="12" customWidth="1"/>
    <col min="5" max="5" width="19.1640625" customWidth="1"/>
    <col min="6" max="8" width="7.5" customWidth="1"/>
    <col min="9" max="9" width="10.5" customWidth="1"/>
    <col min="10" max="10" width="9.5" customWidth="1"/>
    <col min="18" max="18" width="11.6640625" bestFit="1" customWidth="1"/>
    <col min="19" max="19" width="10.5" bestFit="1" customWidth="1"/>
    <col min="20" max="20" width="12.5" bestFit="1" customWidth="1"/>
    <col min="21" max="21" width="11.6640625" bestFit="1" customWidth="1"/>
    <col min="23" max="23" width="10.6640625" bestFit="1" customWidth="1"/>
    <col min="25" max="25" width="11.6640625" customWidth="1"/>
    <col min="26" max="26" width="12" bestFit="1" customWidth="1"/>
  </cols>
  <sheetData>
    <row r="1" spans="1:28" x14ac:dyDescent="0.2">
      <c r="A1" s="34" t="s">
        <v>233</v>
      </c>
    </row>
    <row r="2" spans="1:28" x14ac:dyDescent="0.2">
      <c r="A2" s="34"/>
      <c r="B2" s="3" t="s">
        <v>169</v>
      </c>
      <c r="C2" s="3"/>
      <c r="D2" s="3"/>
    </row>
    <row r="4" spans="1:28" x14ac:dyDescent="0.2">
      <c r="A4" t="s">
        <v>93</v>
      </c>
      <c r="B4" t="s">
        <v>224</v>
      </c>
      <c r="C4" s="15">
        <v>-500000</v>
      </c>
    </row>
    <row r="6" spans="1:28" x14ac:dyDescent="0.2">
      <c r="A6" t="s">
        <v>94</v>
      </c>
      <c r="B6" s="20" t="s">
        <v>162</v>
      </c>
      <c r="C6" s="19">
        <v>0.1</v>
      </c>
      <c r="Q6" t="s">
        <v>471</v>
      </c>
      <c r="R6" t="s">
        <v>503</v>
      </c>
      <c r="S6" t="s">
        <v>502</v>
      </c>
      <c r="T6" t="s">
        <v>504</v>
      </c>
      <c r="W6" t="s">
        <v>505</v>
      </c>
      <c r="X6" t="s">
        <v>502</v>
      </c>
      <c r="Y6" t="s">
        <v>507</v>
      </c>
      <c r="Z6" t="s">
        <v>506</v>
      </c>
    </row>
    <row r="7" spans="1:28" x14ac:dyDescent="0.2">
      <c r="B7" s="20" t="s">
        <v>93</v>
      </c>
      <c r="C7" s="15">
        <v>-10000</v>
      </c>
      <c r="L7">
        <v>0</v>
      </c>
      <c r="M7">
        <f>6294.676</f>
        <v>6294.6760000000004</v>
      </c>
      <c r="N7">
        <f>M7*(1+$C$6)^L7</f>
        <v>6294.6760000000004</v>
      </c>
      <c r="O7" s="5">
        <f>M7/(1+$C$6)^L7</f>
        <v>6294.6760000000004</v>
      </c>
      <c r="Q7">
        <v>1</v>
      </c>
      <c r="R7" s="11">
        <v>0</v>
      </c>
      <c r="S7" s="11">
        <f>R7*$C$6</f>
        <v>0</v>
      </c>
      <c r="T7" s="11">
        <f>-C15*C6</f>
        <v>6294.7553774744356</v>
      </c>
      <c r="U7" s="11">
        <f>T7+S7</f>
        <v>6294.7553774744356</v>
      </c>
      <c r="W7" s="16">
        <v>62947.553774744425</v>
      </c>
      <c r="X7" s="11">
        <f>W7*$C$6</f>
        <v>6294.7553774744429</v>
      </c>
      <c r="Z7" s="16">
        <f t="shared" ref="Z7:Z20" si="0">W7+X7</f>
        <v>69242.309152218862</v>
      </c>
      <c r="AB7">
        <f>AB8*(1+$C$6)^15</f>
        <v>199999.99999999994</v>
      </c>
    </row>
    <row r="8" spans="1:28" x14ac:dyDescent="0.2">
      <c r="B8" s="20" t="s">
        <v>223</v>
      </c>
      <c r="C8" s="15">
        <f>C7/C6</f>
        <v>-100000</v>
      </c>
      <c r="L8">
        <f>L7+1</f>
        <v>1</v>
      </c>
      <c r="M8">
        <f t="shared" ref="M8:M21" si="1">6294.676</f>
        <v>6294.6760000000004</v>
      </c>
      <c r="N8">
        <f t="shared" ref="N8:N21" si="2">M8*(1+$C$6)^L8</f>
        <v>6924.1436000000012</v>
      </c>
      <c r="O8" s="5">
        <f t="shared" ref="O8:O21" si="3">M8/(1+$C$6)^L8</f>
        <v>5722.4327272727269</v>
      </c>
      <c r="Q8">
        <v>2</v>
      </c>
      <c r="R8" s="11">
        <f>U7</f>
        <v>6294.7553774744356</v>
      </c>
      <c r="S8" s="11">
        <f>R8*$C$6</f>
        <v>629.47553774744358</v>
      </c>
      <c r="T8" s="11">
        <f>T7</f>
        <v>6294.7553774744356</v>
      </c>
      <c r="U8" s="11">
        <f>R8+T8+S8</f>
        <v>13218.986292696314</v>
      </c>
      <c r="W8" s="16">
        <f t="shared" ref="W8:W21" si="4">Z7</f>
        <v>69242.309152218862</v>
      </c>
      <c r="X8" s="11">
        <f>W8*$C$6</f>
        <v>6924.2309152218868</v>
      </c>
      <c r="Z8" s="16">
        <f t="shared" si="0"/>
        <v>76166.540067440743</v>
      </c>
      <c r="AB8">
        <v>47878.409873832665</v>
      </c>
    </row>
    <row r="9" spans="1:28" x14ac:dyDescent="0.2">
      <c r="L9">
        <f t="shared" ref="L9:L21" si="5">L8+1</f>
        <v>2</v>
      </c>
      <c r="M9">
        <f t="shared" si="1"/>
        <v>6294.6760000000004</v>
      </c>
      <c r="N9">
        <f t="shared" si="2"/>
        <v>7616.5579600000019</v>
      </c>
      <c r="O9" s="5">
        <f t="shared" si="3"/>
        <v>5202.2115702479332</v>
      </c>
      <c r="Q9">
        <v>3</v>
      </c>
      <c r="R9" s="11">
        <f t="shared" ref="R9:R13" si="6">U8</f>
        <v>13218.986292696314</v>
      </c>
      <c r="S9" s="11">
        <f t="shared" ref="S9:S21" si="7">R9*$C$6</f>
        <v>1321.8986292696316</v>
      </c>
      <c r="T9" s="11">
        <f t="shared" ref="T9:T13" si="8">T8</f>
        <v>6294.7553774744356</v>
      </c>
      <c r="U9" s="11">
        <f t="shared" ref="U9:U16" si="9">R9+T9+S9</f>
        <v>20835.64029944038</v>
      </c>
      <c r="W9" s="16">
        <f t="shared" si="4"/>
        <v>76166.540067440743</v>
      </c>
      <c r="X9" s="11">
        <f t="shared" ref="X9:X21" si="10">W9*$C$6</f>
        <v>7616.6540067440746</v>
      </c>
      <c r="Z9" s="16">
        <f t="shared" si="0"/>
        <v>83783.194074184823</v>
      </c>
    </row>
    <row r="10" spans="1:28" x14ac:dyDescent="0.2">
      <c r="A10" t="s">
        <v>95</v>
      </c>
      <c r="B10" s="20" t="s">
        <v>235</v>
      </c>
      <c r="C10">
        <v>15</v>
      </c>
      <c r="L10">
        <f t="shared" si="5"/>
        <v>3</v>
      </c>
      <c r="M10">
        <f t="shared" si="1"/>
        <v>6294.6760000000004</v>
      </c>
      <c r="N10">
        <f t="shared" si="2"/>
        <v>8378.2137560000028</v>
      </c>
      <c r="O10" s="5">
        <f t="shared" si="3"/>
        <v>4729.2832456799388</v>
      </c>
      <c r="Q10">
        <v>4</v>
      </c>
      <c r="R10" s="11">
        <f t="shared" si="6"/>
        <v>20835.64029944038</v>
      </c>
      <c r="S10" s="11">
        <f t="shared" si="7"/>
        <v>2083.5640299440379</v>
      </c>
      <c r="T10" s="11">
        <f t="shared" si="8"/>
        <v>6294.7553774744356</v>
      </c>
      <c r="U10" s="11">
        <f t="shared" si="9"/>
        <v>29213.959706858852</v>
      </c>
      <c r="W10" s="16">
        <f t="shared" si="4"/>
        <v>83783.194074184823</v>
      </c>
      <c r="X10" s="11">
        <f t="shared" si="10"/>
        <v>8378.319407418483</v>
      </c>
      <c r="Z10" s="16">
        <f t="shared" si="0"/>
        <v>92161.51348160331</v>
      </c>
    </row>
    <row r="11" spans="1:28" x14ac:dyDescent="0.2">
      <c r="B11" s="20" t="s">
        <v>234</v>
      </c>
      <c r="C11" s="15">
        <v>-200000</v>
      </c>
      <c r="L11">
        <f t="shared" si="5"/>
        <v>4</v>
      </c>
      <c r="M11">
        <f t="shared" si="1"/>
        <v>6294.6760000000004</v>
      </c>
      <c r="N11">
        <f t="shared" si="2"/>
        <v>9216.0351316000033</v>
      </c>
      <c r="O11" s="5">
        <f t="shared" si="3"/>
        <v>4299.3484051635805</v>
      </c>
      <c r="Q11">
        <v>5</v>
      </c>
      <c r="R11" s="11">
        <f t="shared" si="6"/>
        <v>29213.959706858852</v>
      </c>
      <c r="S11" s="11">
        <f t="shared" si="7"/>
        <v>2921.3959706858855</v>
      </c>
      <c r="T11" s="11">
        <f t="shared" si="8"/>
        <v>6294.7553774744356</v>
      </c>
      <c r="U11" s="11">
        <f t="shared" si="9"/>
        <v>38430.111055019173</v>
      </c>
      <c r="W11" s="16">
        <f t="shared" si="4"/>
        <v>92161.51348160331</v>
      </c>
      <c r="X11" s="11">
        <f t="shared" si="10"/>
        <v>9216.1513481603306</v>
      </c>
      <c r="Z11" s="16">
        <f t="shared" si="0"/>
        <v>101377.66482976364</v>
      </c>
    </row>
    <row r="12" spans="1:28" x14ac:dyDescent="0.2">
      <c r="C12" s="86">
        <f>((C6)/((1+C6)^C10-1))</f>
        <v>3.1473776887372178E-2</v>
      </c>
      <c r="J12" s="20" t="s">
        <v>488</v>
      </c>
      <c r="K12" s="152">
        <f>C$6/((1+C$6)^C$10-1)</f>
        <v>3.1473776887372178E-2</v>
      </c>
      <c r="L12">
        <f t="shared" si="5"/>
        <v>5</v>
      </c>
      <c r="M12">
        <f t="shared" si="1"/>
        <v>6294.6760000000004</v>
      </c>
      <c r="N12">
        <f t="shared" si="2"/>
        <v>10137.638644760003</v>
      </c>
      <c r="O12" s="5">
        <f t="shared" si="3"/>
        <v>3908.4985501487095</v>
      </c>
      <c r="Q12">
        <v>6</v>
      </c>
      <c r="R12" s="11">
        <f t="shared" si="6"/>
        <v>38430.111055019173</v>
      </c>
      <c r="S12" s="11">
        <f t="shared" si="7"/>
        <v>3843.0111055019174</v>
      </c>
      <c r="T12" s="11">
        <f t="shared" si="8"/>
        <v>6294.7553774744356</v>
      </c>
      <c r="U12" s="11">
        <f t="shared" si="9"/>
        <v>48567.877537995526</v>
      </c>
      <c r="W12" s="16">
        <f t="shared" si="4"/>
        <v>101377.66482976364</v>
      </c>
      <c r="X12" s="11">
        <f t="shared" si="10"/>
        <v>10137.766482976365</v>
      </c>
      <c r="Z12" s="16">
        <f t="shared" si="0"/>
        <v>111515.43131274001</v>
      </c>
    </row>
    <row r="13" spans="1:28" x14ac:dyDescent="0.2">
      <c r="B13" s="9" t="s">
        <v>511</v>
      </c>
      <c r="C13" s="45">
        <f>C11*((C6)/((1+C6)^C10-1))</f>
        <v>-6294.7553774744356</v>
      </c>
      <c r="D13" s="46"/>
      <c r="J13" t="s">
        <v>93</v>
      </c>
      <c r="K13">
        <f>C11*K12</f>
        <v>-6294.7553774744356</v>
      </c>
      <c r="L13">
        <f t="shared" si="5"/>
        <v>6</v>
      </c>
      <c r="M13">
        <f t="shared" si="1"/>
        <v>6294.6760000000004</v>
      </c>
      <c r="N13">
        <f t="shared" si="2"/>
        <v>11151.402509236006</v>
      </c>
      <c r="O13" s="5">
        <f t="shared" si="3"/>
        <v>3553.18050013519</v>
      </c>
      <c r="Q13">
        <v>7</v>
      </c>
      <c r="R13" s="11">
        <f t="shared" si="6"/>
        <v>48567.877537995526</v>
      </c>
      <c r="S13" s="11">
        <f t="shared" si="7"/>
        <v>4856.7877537995528</v>
      </c>
      <c r="T13" s="11">
        <f t="shared" si="8"/>
        <v>6294.7553774744356</v>
      </c>
      <c r="U13" s="11">
        <f t="shared" si="9"/>
        <v>59719.420669269515</v>
      </c>
      <c r="W13" s="16">
        <f t="shared" si="4"/>
        <v>111515.43131274001</v>
      </c>
      <c r="X13" s="11">
        <f t="shared" si="10"/>
        <v>11151.543131274002</v>
      </c>
      <c r="Z13" s="16">
        <f t="shared" si="0"/>
        <v>122666.97444401401</v>
      </c>
    </row>
    <row r="14" spans="1:28" x14ac:dyDescent="0.2">
      <c r="B14" s="9" t="s">
        <v>512</v>
      </c>
      <c r="L14">
        <f t="shared" si="5"/>
        <v>7</v>
      </c>
      <c r="M14">
        <f t="shared" si="1"/>
        <v>6294.6760000000004</v>
      </c>
      <c r="N14">
        <f t="shared" si="2"/>
        <v>12266.542760159607</v>
      </c>
      <c r="O14" s="5">
        <f t="shared" si="3"/>
        <v>3230.1640910319907</v>
      </c>
      <c r="Q14">
        <v>8</v>
      </c>
      <c r="R14" s="11">
        <f>U13</f>
        <v>59719.420669269515</v>
      </c>
      <c r="S14" s="11">
        <f>R14*$C$6</f>
        <v>5971.9420669269521</v>
      </c>
      <c r="T14" s="11">
        <f>T13</f>
        <v>6294.7553774744356</v>
      </c>
      <c r="U14" s="11">
        <f t="shared" si="9"/>
        <v>71986.118113670891</v>
      </c>
      <c r="W14" s="16">
        <f t="shared" si="4"/>
        <v>122666.97444401401</v>
      </c>
      <c r="X14" s="11">
        <f t="shared" si="10"/>
        <v>12266.697444401401</v>
      </c>
      <c r="Z14" s="16">
        <f t="shared" si="0"/>
        <v>134933.67188841541</v>
      </c>
    </row>
    <row r="15" spans="1:28" x14ac:dyDescent="0.2">
      <c r="B15" s="20" t="s">
        <v>236</v>
      </c>
      <c r="C15" s="15">
        <f>C13/C6</f>
        <v>-62947.553774744352</v>
      </c>
      <c r="D15" s="46"/>
      <c r="L15">
        <f t="shared" si="5"/>
        <v>8</v>
      </c>
      <c r="M15">
        <f t="shared" si="1"/>
        <v>6294.6760000000004</v>
      </c>
      <c r="N15">
        <f t="shared" si="2"/>
        <v>13493.197036175568</v>
      </c>
      <c r="O15" s="5">
        <f t="shared" si="3"/>
        <v>2936.5128100290826</v>
      </c>
      <c r="Q15">
        <v>9</v>
      </c>
      <c r="R15" s="11">
        <f t="shared" ref="R15:R16" si="11">U14</f>
        <v>71986.118113670891</v>
      </c>
      <c r="S15" s="11">
        <f t="shared" si="7"/>
        <v>7198.6118113670891</v>
      </c>
      <c r="T15" s="11">
        <f t="shared" ref="T15:T16" si="12">T14</f>
        <v>6294.7553774744356</v>
      </c>
      <c r="U15" s="11">
        <f t="shared" si="9"/>
        <v>85479.485302512418</v>
      </c>
      <c r="W15" s="16">
        <f t="shared" si="4"/>
        <v>134933.67188841541</v>
      </c>
      <c r="X15" s="11">
        <f t="shared" si="10"/>
        <v>13493.367188841541</v>
      </c>
      <c r="Z15" s="16">
        <f t="shared" si="0"/>
        <v>148427.03907725695</v>
      </c>
    </row>
    <row r="16" spans="1:28" x14ac:dyDescent="0.2">
      <c r="L16">
        <f t="shared" si="5"/>
        <v>9</v>
      </c>
      <c r="M16">
        <f t="shared" si="1"/>
        <v>6294.6760000000004</v>
      </c>
      <c r="N16">
        <f t="shared" si="2"/>
        <v>14842.516739793125</v>
      </c>
      <c r="O16" s="5">
        <f t="shared" si="3"/>
        <v>2669.5571000264385</v>
      </c>
      <c r="Q16">
        <v>10</v>
      </c>
      <c r="R16" s="11">
        <f t="shared" si="11"/>
        <v>85479.485302512418</v>
      </c>
      <c r="S16" s="11">
        <f t="shared" si="7"/>
        <v>8547.9485302512421</v>
      </c>
      <c r="T16" s="11">
        <f t="shared" si="12"/>
        <v>6294.7553774744356</v>
      </c>
      <c r="U16" s="11">
        <f t="shared" si="9"/>
        <v>100322.1892102381</v>
      </c>
      <c r="W16" s="16">
        <f t="shared" si="4"/>
        <v>148427.03907725695</v>
      </c>
      <c r="X16" s="11">
        <f t="shared" si="10"/>
        <v>14842.703907725696</v>
      </c>
      <c r="Z16" s="16">
        <f t="shared" si="0"/>
        <v>163269.74298498264</v>
      </c>
    </row>
    <row r="17" spans="2:26" x14ac:dyDescent="0.2">
      <c r="B17" s="20" t="s">
        <v>225</v>
      </c>
      <c r="C17" s="80">
        <f>C4+C8+C15</f>
        <v>-662947.55377474439</v>
      </c>
      <c r="L17">
        <f t="shared" si="5"/>
        <v>10</v>
      </c>
      <c r="M17">
        <f>6294.676</f>
        <v>6294.6760000000004</v>
      </c>
      <c r="N17">
        <f t="shared" si="2"/>
        <v>16326.768413772441</v>
      </c>
      <c r="O17" s="5">
        <f t="shared" si="3"/>
        <v>2426.8700909331255</v>
      </c>
      <c r="Q17">
        <v>11</v>
      </c>
      <c r="R17" s="11">
        <f t="shared" ref="R17:R21" si="13">U16</f>
        <v>100322.1892102381</v>
      </c>
      <c r="S17" s="11">
        <f t="shared" si="7"/>
        <v>10032.21892102381</v>
      </c>
      <c r="T17" s="11">
        <f t="shared" ref="T17:T21" si="14">T16</f>
        <v>6294.7553774744356</v>
      </c>
      <c r="U17" s="11">
        <f t="shared" ref="U17:U21" si="15">R17+T17+S17</f>
        <v>116649.16350873634</v>
      </c>
      <c r="W17" s="16">
        <f t="shared" si="4"/>
        <v>163269.74298498264</v>
      </c>
      <c r="X17" s="11">
        <f t="shared" si="10"/>
        <v>16326.974298498266</v>
      </c>
      <c r="Z17" s="16">
        <f t="shared" si="0"/>
        <v>179596.71728348092</v>
      </c>
    </row>
    <row r="18" spans="2:26" x14ac:dyDescent="0.2">
      <c r="C18" s="66"/>
      <c r="L18">
        <f t="shared" si="5"/>
        <v>11</v>
      </c>
      <c r="M18">
        <f t="shared" si="1"/>
        <v>6294.6760000000004</v>
      </c>
      <c r="N18">
        <f t="shared" si="2"/>
        <v>17959.445255149687</v>
      </c>
      <c r="O18" s="5">
        <f t="shared" si="3"/>
        <v>2206.2455372119321</v>
      </c>
      <c r="Q18">
        <v>12</v>
      </c>
      <c r="R18" s="11">
        <f t="shared" si="13"/>
        <v>116649.16350873634</v>
      </c>
      <c r="S18" s="11">
        <f t="shared" si="7"/>
        <v>11664.916350873635</v>
      </c>
      <c r="T18" s="11">
        <f t="shared" si="14"/>
        <v>6294.7553774744356</v>
      </c>
      <c r="U18" s="11">
        <f t="shared" si="15"/>
        <v>134608.83523708439</v>
      </c>
      <c r="W18" s="16">
        <f t="shared" si="4"/>
        <v>179596.71728348092</v>
      </c>
      <c r="X18" s="11">
        <f t="shared" si="10"/>
        <v>17959.671728348094</v>
      </c>
      <c r="Z18" s="16">
        <f t="shared" si="0"/>
        <v>197556.38901182901</v>
      </c>
    </row>
    <row r="19" spans="2:26" x14ac:dyDescent="0.2">
      <c r="B19" t="s">
        <v>488</v>
      </c>
      <c r="C19" s="66">
        <f>(C6)/((1+C6)^C10-1)</f>
        <v>3.1473776887372178E-2</v>
      </c>
      <c r="D19" s="5"/>
      <c r="L19">
        <f t="shared" si="5"/>
        <v>12</v>
      </c>
      <c r="M19">
        <f t="shared" si="1"/>
        <v>6294.6760000000004</v>
      </c>
      <c r="N19">
        <f t="shared" si="2"/>
        <v>19755.389780664656</v>
      </c>
      <c r="O19" s="5">
        <f t="shared" si="3"/>
        <v>2005.6777611017565</v>
      </c>
      <c r="Q19">
        <v>13</v>
      </c>
      <c r="R19" s="11">
        <f t="shared" si="13"/>
        <v>134608.83523708439</v>
      </c>
      <c r="S19" s="11">
        <f t="shared" si="7"/>
        <v>13460.88352370844</v>
      </c>
      <c r="T19" s="11">
        <f t="shared" si="14"/>
        <v>6294.7553774744356</v>
      </c>
      <c r="U19" s="11">
        <f t="shared" si="15"/>
        <v>154364.47413826728</v>
      </c>
      <c r="W19" s="16">
        <f t="shared" si="4"/>
        <v>197556.38901182901</v>
      </c>
      <c r="X19" s="11">
        <f t="shared" si="10"/>
        <v>19755.638901182901</v>
      </c>
      <c r="Z19" s="16">
        <f t="shared" si="0"/>
        <v>217312.0279130119</v>
      </c>
    </row>
    <row r="20" spans="2:26" x14ac:dyDescent="0.2">
      <c r="B20" t="s">
        <v>93</v>
      </c>
      <c r="C20" s="66">
        <f>C19*C11</f>
        <v>-6294.7553774744356</v>
      </c>
      <c r="I20">
        <f>-C11/(1+C6)^C10</f>
        <v>47878.409873832679</v>
      </c>
      <c r="L20">
        <f t="shared" si="5"/>
        <v>13</v>
      </c>
      <c r="M20">
        <f t="shared" si="1"/>
        <v>6294.6760000000004</v>
      </c>
      <c r="N20">
        <f t="shared" si="2"/>
        <v>21730.928758731119</v>
      </c>
      <c r="O20" s="5">
        <f t="shared" si="3"/>
        <v>1823.3434191834149</v>
      </c>
      <c r="Q20">
        <v>14</v>
      </c>
      <c r="R20" s="11">
        <f t="shared" si="13"/>
        <v>154364.47413826728</v>
      </c>
      <c r="S20" s="11">
        <f t="shared" si="7"/>
        <v>15436.447413826729</v>
      </c>
      <c r="T20" s="11">
        <f t="shared" si="14"/>
        <v>6294.7553774744356</v>
      </c>
      <c r="U20" s="11">
        <f t="shared" si="15"/>
        <v>176095.67692956846</v>
      </c>
      <c r="W20" s="16">
        <f t="shared" si="4"/>
        <v>217312.0279130119</v>
      </c>
      <c r="X20" s="11">
        <f t="shared" si="10"/>
        <v>21731.202791301192</v>
      </c>
      <c r="Z20" s="16">
        <f t="shared" si="0"/>
        <v>239043.23070431309</v>
      </c>
    </row>
    <row r="21" spans="2:26" x14ac:dyDescent="0.2">
      <c r="C21" s="66"/>
      <c r="I21">
        <f>I20*C12</f>
        <v>1506.9143900911668</v>
      </c>
      <c r="L21">
        <f t="shared" si="5"/>
        <v>14</v>
      </c>
      <c r="M21">
        <f t="shared" si="1"/>
        <v>6294.6760000000004</v>
      </c>
      <c r="N21">
        <f t="shared" si="2"/>
        <v>23904.021634604236</v>
      </c>
      <c r="O21" s="5">
        <f t="shared" si="3"/>
        <v>1657.5849265303768</v>
      </c>
      <c r="P21" s="5">
        <f>SUM(O7:O21)</f>
        <v>52665.58673469619</v>
      </c>
      <c r="Q21">
        <v>15</v>
      </c>
      <c r="R21" s="11">
        <f t="shared" si="13"/>
        <v>176095.67692956846</v>
      </c>
      <c r="S21" s="11">
        <f t="shared" si="7"/>
        <v>17609.567692956847</v>
      </c>
      <c r="T21" s="11">
        <f t="shared" si="14"/>
        <v>6294.7553774744356</v>
      </c>
      <c r="U21" s="11">
        <f t="shared" si="15"/>
        <v>199999.99999999977</v>
      </c>
      <c r="W21" s="16">
        <f t="shared" si="4"/>
        <v>239043.23070431309</v>
      </c>
      <c r="X21" s="11">
        <f t="shared" si="10"/>
        <v>23904.32307043131</v>
      </c>
      <c r="Y21">
        <v>-200000</v>
      </c>
      <c r="Z21" s="16">
        <f>W21+X21+Y21</f>
        <v>62947.553774744389</v>
      </c>
    </row>
    <row r="22" spans="2:26" x14ac:dyDescent="0.2">
      <c r="B22" s="73" t="s">
        <v>509</v>
      </c>
      <c r="C22" s="66"/>
    </row>
    <row r="23" spans="2:26" x14ac:dyDescent="0.2">
      <c r="B23" s="73" t="s">
        <v>510</v>
      </c>
      <c r="C23" s="66"/>
      <c r="N23">
        <f>SUM(N7:N21)</f>
        <v>199997.47798064645</v>
      </c>
      <c r="X23" s="17">
        <f>SUM(X7:X21)</f>
        <v>200000</v>
      </c>
    </row>
    <row r="24" spans="2:26" x14ac:dyDescent="0.2">
      <c r="B24" s="73" t="s">
        <v>513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1"/>
  <sheetViews>
    <sheetView zoomScale="115" zoomScaleNormal="115" workbookViewId="0">
      <selection activeCell="G15" sqref="G15"/>
    </sheetView>
  </sheetViews>
  <sheetFormatPr baseColWidth="10" defaultColWidth="8.83203125" defaultRowHeight="15" x14ac:dyDescent="0.2"/>
  <cols>
    <col min="1" max="1" width="7.1640625" customWidth="1"/>
    <col min="2" max="2" width="7.5" customWidth="1"/>
    <col min="3" max="3" width="18.33203125" customWidth="1"/>
    <col min="4" max="4" width="13.5" customWidth="1"/>
    <col min="5" max="5" width="4.6640625" customWidth="1"/>
    <col min="6" max="6" width="10.33203125" customWidth="1"/>
    <col min="8" max="8" width="4.1640625" customWidth="1"/>
    <col min="9" max="9" width="10.5" customWidth="1"/>
    <col min="11" max="11" width="4.1640625" customWidth="1"/>
    <col min="12" max="12" width="10.6640625" customWidth="1"/>
  </cols>
  <sheetData>
    <row r="1" spans="1:13" x14ac:dyDescent="0.2">
      <c r="A1" s="34" t="s">
        <v>233</v>
      </c>
    </row>
    <row r="2" spans="1:13" x14ac:dyDescent="0.2">
      <c r="A2" s="34"/>
      <c r="C2" s="3" t="s">
        <v>229</v>
      </c>
      <c r="D2" s="3"/>
      <c r="E2" s="3"/>
    </row>
    <row r="3" spans="1:13" x14ac:dyDescent="0.2">
      <c r="C3" s="3" t="s">
        <v>187</v>
      </c>
      <c r="D3" s="3"/>
      <c r="F3" s="3" t="s">
        <v>195</v>
      </c>
      <c r="G3" s="3"/>
      <c r="I3" s="3" t="s">
        <v>230</v>
      </c>
      <c r="J3" s="3"/>
      <c r="L3" s="3" t="s">
        <v>231</v>
      </c>
      <c r="M3" s="3"/>
    </row>
    <row r="4" spans="1:13" x14ac:dyDescent="0.2">
      <c r="D4" s="15"/>
      <c r="E4" s="15"/>
      <c r="G4" s="15"/>
      <c r="J4" s="15"/>
      <c r="M4" s="15"/>
    </row>
    <row r="5" spans="1:13" x14ac:dyDescent="0.2">
      <c r="C5" t="s">
        <v>6</v>
      </c>
      <c r="D5" s="13">
        <v>7.0000000000000007E-2</v>
      </c>
      <c r="E5" s="13"/>
      <c r="G5" s="13"/>
      <c r="J5" s="13"/>
      <c r="M5" s="13"/>
    </row>
    <row r="6" spans="1:13" x14ac:dyDescent="0.2">
      <c r="E6" s="13"/>
    </row>
    <row r="7" spans="1:13" x14ac:dyDescent="0.2">
      <c r="B7" s="3" t="s">
        <v>11</v>
      </c>
      <c r="C7" s="3" t="s">
        <v>199</v>
      </c>
      <c r="D7" s="3" t="s">
        <v>186</v>
      </c>
      <c r="E7" s="13"/>
      <c r="F7" s="3" t="s">
        <v>199</v>
      </c>
      <c r="G7" s="3" t="s">
        <v>232</v>
      </c>
      <c r="I7" s="3" t="s">
        <v>199</v>
      </c>
      <c r="J7" s="3" t="s">
        <v>232</v>
      </c>
      <c r="L7" s="3" t="s">
        <v>199</v>
      </c>
      <c r="M7" s="3" t="s">
        <v>232</v>
      </c>
    </row>
    <row r="8" spans="1:13" x14ac:dyDescent="0.2">
      <c r="B8" s="9">
        <v>0</v>
      </c>
      <c r="C8" s="225">
        <v>-22000</v>
      </c>
      <c r="D8" s="10">
        <f t="shared" ref="D8:D13" si="0">C8/(1+$D$5)^$B8</f>
        <v>-22000</v>
      </c>
      <c r="E8" s="13"/>
      <c r="F8" s="225">
        <v>-23000</v>
      </c>
      <c r="G8" s="10">
        <f t="shared" ref="G8:G13" si="1">F8/(1+$D$5)^$B8</f>
        <v>-23000</v>
      </c>
      <c r="I8" s="225">
        <v>-25000</v>
      </c>
      <c r="J8" s="10">
        <f t="shared" ref="J8:J13" si="2">I8/(1+$D$5)^$B8</f>
        <v>-25000</v>
      </c>
      <c r="K8" s="10"/>
      <c r="L8" s="225">
        <v>-30000</v>
      </c>
      <c r="M8" s="10">
        <f t="shared" ref="M8:M13" si="3">L8/(1+$D$5)^$B8</f>
        <v>-30000</v>
      </c>
    </row>
    <row r="9" spans="1:13" x14ac:dyDescent="0.2">
      <c r="B9" s="9">
        <v>1</v>
      </c>
      <c r="C9" s="225">
        <f>2000*-1.2</f>
        <v>-2400</v>
      </c>
      <c r="D9" s="10">
        <f>C9/(1+$D$5)^$B9</f>
        <v>-2242.9906542056074</v>
      </c>
      <c r="E9" s="13"/>
      <c r="F9" s="225">
        <f>2000*-0.65</f>
        <v>-1300</v>
      </c>
      <c r="G9" s="10">
        <f t="shared" si="1"/>
        <v>-1214.9532710280373</v>
      </c>
      <c r="I9" s="225">
        <f>2000*-0.5</f>
        <v>-1000</v>
      </c>
      <c r="J9" s="10">
        <f t="shared" si="2"/>
        <v>-934.57943925233644</v>
      </c>
      <c r="L9" s="225">
        <f>2000*-0.4</f>
        <v>-800</v>
      </c>
      <c r="M9" s="10">
        <f t="shared" si="3"/>
        <v>-747.66355140186909</v>
      </c>
    </row>
    <row r="10" spans="1:13" x14ac:dyDescent="0.2">
      <c r="B10" s="9">
        <v>2</v>
      </c>
      <c r="C10" s="16">
        <f>2000*-1.2</f>
        <v>-2400</v>
      </c>
      <c r="D10" s="10">
        <f t="shared" si="0"/>
        <v>-2096.252947855708</v>
      </c>
      <c r="E10" s="13"/>
      <c r="F10" s="16">
        <f>2000*-0.65</f>
        <v>-1300</v>
      </c>
      <c r="G10" s="10">
        <f t="shared" si="1"/>
        <v>-1135.4703467551751</v>
      </c>
      <c r="I10" s="16">
        <f>2000*-0.5</f>
        <v>-1000</v>
      </c>
      <c r="J10" s="10">
        <f t="shared" si="2"/>
        <v>-873.43872827321161</v>
      </c>
      <c r="L10" s="16">
        <f>2000*-0.4</f>
        <v>-800</v>
      </c>
      <c r="M10" s="10">
        <f t="shared" si="3"/>
        <v>-698.75098261856931</v>
      </c>
    </row>
    <row r="11" spans="1:13" x14ac:dyDescent="0.2">
      <c r="B11" s="9">
        <v>3</v>
      </c>
      <c r="C11" s="16">
        <f>2000*-1.2</f>
        <v>-2400</v>
      </c>
      <c r="D11" s="10">
        <f t="shared" si="0"/>
        <v>-1959.1149045380446</v>
      </c>
      <c r="E11" s="13"/>
      <c r="F11" s="16">
        <f>2000*-0.65</f>
        <v>-1300</v>
      </c>
      <c r="G11" s="10">
        <f t="shared" si="1"/>
        <v>-1061.1872399581075</v>
      </c>
      <c r="I11" s="16">
        <f>2000*-0.5</f>
        <v>-1000</v>
      </c>
      <c r="J11" s="10">
        <f t="shared" si="2"/>
        <v>-816.29787689085197</v>
      </c>
      <c r="L11" s="16">
        <f>2000*-0.4</f>
        <v>-800</v>
      </c>
      <c r="M11" s="10">
        <f t="shared" si="3"/>
        <v>-653.03830151268153</v>
      </c>
    </row>
    <row r="12" spans="1:13" x14ac:dyDescent="0.2">
      <c r="B12" s="9">
        <v>4</v>
      </c>
      <c r="C12" s="16">
        <f>2000*-1.2</f>
        <v>-2400</v>
      </c>
      <c r="D12" s="10">
        <f t="shared" si="0"/>
        <v>-1830.9485089140605</v>
      </c>
      <c r="E12" s="13"/>
      <c r="F12" s="16">
        <f>2000*-0.65</f>
        <v>-1300</v>
      </c>
      <c r="G12" s="10">
        <f t="shared" si="1"/>
        <v>-991.7637756617828</v>
      </c>
      <c r="I12" s="16">
        <f>2000*-0.5</f>
        <v>-1000</v>
      </c>
      <c r="J12" s="10">
        <f t="shared" si="2"/>
        <v>-762.89521204752521</v>
      </c>
      <c r="L12" s="16">
        <f>2000*-0.4</f>
        <v>-800</v>
      </c>
      <c r="M12" s="10">
        <f t="shared" si="3"/>
        <v>-610.31616963802014</v>
      </c>
    </row>
    <row r="13" spans="1:13" x14ac:dyDescent="0.2">
      <c r="B13" s="9">
        <v>5</v>
      </c>
      <c r="C13" s="16">
        <f>2000*-1.2</f>
        <v>-2400</v>
      </c>
      <c r="D13" s="10">
        <f t="shared" si="0"/>
        <v>-1711.166830760804</v>
      </c>
      <c r="E13" s="13"/>
      <c r="F13" s="16">
        <f>2000*-0.65</f>
        <v>-1300</v>
      </c>
      <c r="G13" s="10">
        <f t="shared" si="1"/>
        <v>-926.8820333287689</v>
      </c>
      <c r="I13" s="16">
        <f>2000*-0.5</f>
        <v>-1000</v>
      </c>
      <c r="J13" s="10">
        <f t="shared" si="2"/>
        <v>-712.98617948366837</v>
      </c>
      <c r="L13" s="16">
        <f>2000*-0.4</f>
        <v>-800</v>
      </c>
      <c r="M13" s="10">
        <f t="shared" si="3"/>
        <v>-570.38894358693472</v>
      </c>
    </row>
    <row r="14" spans="1:13" x14ac:dyDescent="0.2">
      <c r="B14" s="9"/>
      <c r="C14" s="16"/>
      <c r="D14" s="10"/>
      <c r="E14" s="13"/>
      <c r="F14" s="16"/>
      <c r="G14" s="10"/>
      <c r="I14" s="16"/>
      <c r="J14" s="10"/>
      <c r="L14" s="16"/>
      <c r="M14" s="10"/>
    </row>
    <row r="15" spans="1:13" x14ac:dyDescent="0.2">
      <c r="B15" s="69" t="s">
        <v>196</v>
      </c>
      <c r="C15" s="69"/>
      <c r="D15" s="70">
        <f>SUM(D8:D13)</f>
        <v>-31840.473846274228</v>
      </c>
      <c r="E15" s="74"/>
      <c r="F15" s="69"/>
      <c r="G15" s="70">
        <f>SUM(G8:G13)</f>
        <v>-28330.256666731872</v>
      </c>
      <c r="I15" s="69"/>
      <c r="J15" s="70">
        <f>SUM(J8:J13)</f>
        <v>-29100.197435947593</v>
      </c>
      <c r="L15" s="69"/>
      <c r="M15" s="70">
        <f>SUM(M8:M13)</f>
        <v>-33280.157948758075</v>
      </c>
    </row>
    <row r="16" spans="1:13" x14ac:dyDescent="0.2">
      <c r="B16" s="9"/>
      <c r="C16" s="16"/>
      <c r="D16" s="10"/>
      <c r="E16" s="74"/>
    </row>
    <row r="17" spans="2:5" x14ac:dyDescent="0.2">
      <c r="B17" s="9"/>
      <c r="C17" s="16"/>
      <c r="D17" s="10"/>
      <c r="E17" s="74"/>
    </row>
    <row r="19" spans="2:5" x14ac:dyDescent="0.2">
      <c r="E19" s="13"/>
    </row>
    <row r="21" spans="2:5" x14ac:dyDescent="0.2">
      <c r="C21" s="7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1"/>
  <sheetViews>
    <sheetView zoomScaleNormal="100" workbookViewId="0">
      <selection activeCell="I9" sqref="I9"/>
    </sheetView>
  </sheetViews>
  <sheetFormatPr baseColWidth="10" defaultColWidth="8.83203125" defaultRowHeight="15" x14ac:dyDescent="0.2"/>
  <cols>
    <col min="1" max="1" width="7.1640625" customWidth="1"/>
    <col min="2" max="2" width="29.6640625" customWidth="1"/>
    <col min="3" max="3" width="20.5" customWidth="1"/>
    <col min="4" max="4" width="13.5" customWidth="1"/>
    <col min="5" max="5" width="4.6640625" customWidth="1"/>
    <col min="6" max="6" width="26.33203125" customWidth="1"/>
  </cols>
  <sheetData>
    <row r="1" spans="1:9" x14ac:dyDescent="0.2">
      <c r="A1" s="34" t="s">
        <v>237</v>
      </c>
    </row>
    <row r="2" spans="1:9" x14ac:dyDescent="0.2">
      <c r="A2" s="34"/>
      <c r="C2" s="3" t="s">
        <v>229</v>
      </c>
      <c r="D2" s="3"/>
      <c r="E2" s="3"/>
    </row>
    <row r="3" spans="1:9" x14ac:dyDescent="0.2">
      <c r="C3" s="3" t="s">
        <v>241</v>
      </c>
      <c r="D3" s="3"/>
      <c r="F3" s="3" t="s">
        <v>240</v>
      </c>
      <c r="G3" s="3"/>
    </row>
    <row r="4" spans="1:9" x14ac:dyDescent="0.2">
      <c r="B4" t="s">
        <v>248</v>
      </c>
      <c r="D4" s="143">
        <v>-1000</v>
      </c>
      <c r="E4" s="15"/>
      <c r="F4" t="s">
        <v>248</v>
      </c>
      <c r="G4" s="15">
        <v>-1000</v>
      </c>
    </row>
    <row r="5" spans="1:9" x14ac:dyDescent="0.2">
      <c r="D5" s="15"/>
      <c r="E5" s="15"/>
      <c r="G5" s="15"/>
    </row>
    <row r="6" spans="1:9" x14ac:dyDescent="0.2">
      <c r="B6" t="s">
        <v>243</v>
      </c>
      <c r="D6" s="157">
        <v>0.08</v>
      </c>
      <c r="E6" s="13"/>
      <c r="F6" t="s">
        <v>243</v>
      </c>
      <c r="G6" s="6">
        <v>0.1236</v>
      </c>
    </row>
    <row r="7" spans="1:9" x14ac:dyDescent="0.2">
      <c r="B7" t="s">
        <v>244</v>
      </c>
      <c r="D7" s="13">
        <f>D6/2</f>
        <v>0.04</v>
      </c>
      <c r="E7" s="13"/>
      <c r="F7" t="s">
        <v>244</v>
      </c>
      <c r="G7" s="86">
        <f>(1+G6)^0.5-1</f>
        <v>6.0000000000000053E-2</v>
      </c>
    </row>
    <row r="8" spans="1:9" x14ac:dyDescent="0.2">
      <c r="B8" t="s">
        <v>246</v>
      </c>
      <c r="D8" s="192">
        <v>0.1236</v>
      </c>
      <c r="F8" t="s">
        <v>6</v>
      </c>
      <c r="G8" s="6">
        <v>0.1236</v>
      </c>
    </row>
    <row r="9" spans="1:9" x14ac:dyDescent="0.2">
      <c r="B9" t="s">
        <v>245</v>
      </c>
      <c r="D9" s="81">
        <f>(1+D8)^0.5-1</f>
        <v>6.0000000000000053E-2</v>
      </c>
      <c r="E9" s="13"/>
      <c r="F9" t="s">
        <v>239</v>
      </c>
      <c r="G9">
        <f>(1+G8)^0.5-1</f>
        <v>6.0000000000000053E-2</v>
      </c>
      <c r="I9" s="73" t="s">
        <v>644</v>
      </c>
    </row>
    <row r="10" spans="1:9" x14ac:dyDescent="0.2">
      <c r="D10" s="13"/>
      <c r="E10" s="13"/>
    </row>
    <row r="11" spans="1:9" x14ac:dyDescent="0.2">
      <c r="B11" s="3" t="s">
        <v>238</v>
      </c>
      <c r="C11" s="3" t="s">
        <v>247</v>
      </c>
      <c r="D11" s="3" t="s">
        <v>186</v>
      </c>
      <c r="E11" s="13"/>
      <c r="F11" s="3" t="s">
        <v>247</v>
      </c>
      <c r="G11" s="3" t="s">
        <v>186</v>
      </c>
    </row>
    <row r="12" spans="1:9" x14ac:dyDescent="0.2">
      <c r="B12" s="9">
        <v>0</v>
      </c>
      <c r="C12" s="16"/>
      <c r="D12" s="10"/>
      <c r="E12" s="13"/>
      <c r="F12" s="16"/>
      <c r="G12" s="10"/>
    </row>
    <row r="13" spans="1:9" x14ac:dyDescent="0.2">
      <c r="B13" s="9">
        <v>1</v>
      </c>
      <c r="C13" s="16">
        <f>-D$4*D$7</f>
        <v>40</v>
      </c>
      <c r="D13" s="10">
        <f>C13/(1+$D$9)^$B13</f>
        <v>37.735849056603769</v>
      </c>
      <c r="E13" s="13"/>
      <c r="F13" s="16">
        <f t="shared" ref="F13:F31" si="0">-G$4*G$9</f>
        <v>60.000000000000057</v>
      </c>
      <c r="G13" s="10">
        <f t="shared" ref="G13:G32" si="1">F13/(1+$G$9)^$B13</f>
        <v>56.60377358490571</v>
      </c>
    </row>
    <row r="14" spans="1:9" x14ac:dyDescent="0.2">
      <c r="B14" s="9">
        <v>2</v>
      </c>
      <c r="C14" s="16">
        <f t="shared" ref="C14:C31" si="2">-D$4*D$7</f>
        <v>40</v>
      </c>
      <c r="D14" s="10">
        <f t="shared" ref="D14:D31" si="3">C14/(1+$D$9)^$B14</f>
        <v>35.599857600569592</v>
      </c>
      <c r="E14" s="13"/>
      <c r="F14" s="16">
        <f t="shared" si="0"/>
        <v>60.000000000000057</v>
      </c>
      <c r="G14" s="10">
        <f t="shared" si="1"/>
        <v>53.399786400854438</v>
      </c>
    </row>
    <row r="15" spans="1:9" x14ac:dyDescent="0.2">
      <c r="B15" s="9">
        <v>3</v>
      </c>
      <c r="C15" s="16">
        <f t="shared" si="2"/>
        <v>40</v>
      </c>
      <c r="D15" s="10">
        <f>C15/(1+$D$9)^$B15</f>
        <v>33.584771321292067</v>
      </c>
      <c r="E15" s="13"/>
      <c r="F15" s="16">
        <f t="shared" si="0"/>
        <v>60.000000000000057</v>
      </c>
      <c r="G15" s="10">
        <f t="shared" si="1"/>
        <v>50.377156981938143</v>
      </c>
    </row>
    <row r="16" spans="1:9" x14ac:dyDescent="0.2">
      <c r="B16" s="9">
        <v>4</v>
      </c>
      <c r="C16" s="16">
        <f t="shared" si="2"/>
        <v>40</v>
      </c>
      <c r="D16" s="10">
        <f t="shared" si="3"/>
        <v>31.683746529520818</v>
      </c>
      <c r="E16" s="13"/>
      <c r="F16" s="16">
        <f t="shared" si="0"/>
        <v>60.000000000000057</v>
      </c>
      <c r="G16" s="10">
        <f t="shared" si="1"/>
        <v>47.525619794281269</v>
      </c>
    </row>
    <row r="17" spans="2:7" x14ac:dyDescent="0.2">
      <c r="B17" s="9">
        <v>5</v>
      </c>
      <c r="C17" s="16">
        <f t="shared" si="2"/>
        <v>40</v>
      </c>
      <c r="D17" s="10">
        <f t="shared" si="3"/>
        <v>29.890326914642277</v>
      </c>
      <c r="E17" s="13"/>
      <c r="F17" s="16">
        <f t="shared" si="0"/>
        <v>60.000000000000057</v>
      </c>
      <c r="G17" s="10">
        <f t="shared" si="1"/>
        <v>44.835490371963459</v>
      </c>
    </row>
    <row r="18" spans="2:7" x14ac:dyDescent="0.2">
      <c r="B18" s="9">
        <v>6</v>
      </c>
      <c r="C18" s="16">
        <f t="shared" si="2"/>
        <v>40</v>
      </c>
      <c r="D18" s="10">
        <f t="shared" si="3"/>
        <v>28.198421617587051</v>
      </c>
      <c r="E18" s="13"/>
      <c r="F18" s="16">
        <f t="shared" si="0"/>
        <v>60.000000000000057</v>
      </c>
      <c r="G18" s="10">
        <f t="shared" si="1"/>
        <v>42.297632426380616</v>
      </c>
    </row>
    <row r="19" spans="2:7" x14ac:dyDescent="0.2">
      <c r="B19" s="9">
        <v>7</v>
      </c>
      <c r="C19" s="16">
        <f t="shared" si="2"/>
        <v>40</v>
      </c>
      <c r="D19" s="10">
        <f t="shared" si="3"/>
        <v>26.60228454489344</v>
      </c>
      <c r="E19" s="13"/>
      <c r="F19" s="16">
        <f t="shared" si="0"/>
        <v>60.000000000000057</v>
      </c>
      <c r="G19" s="10">
        <f t="shared" si="1"/>
        <v>39.903426817340197</v>
      </c>
    </row>
    <row r="20" spans="2:7" x14ac:dyDescent="0.2">
      <c r="B20" s="9">
        <v>8</v>
      </c>
      <c r="C20" s="16">
        <f t="shared" si="2"/>
        <v>40</v>
      </c>
      <c r="D20" s="10">
        <f t="shared" si="3"/>
        <v>25.096494853673061</v>
      </c>
      <c r="E20" s="13"/>
      <c r="F20" s="16">
        <f t="shared" si="0"/>
        <v>60.000000000000057</v>
      </c>
      <c r="G20" s="10">
        <f t="shared" si="1"/>
        <v>37.644742280509625</v>
      </c>
    </row>
    <row r="21" spans="2:7" x14ac:dyDescent="0.2">
      <c r="B21" s="9">
        <v>9</v>
      </c>
      <c r="C21" s="16">
        <f t="shared" si="2"/>
        <v>40</v>
      </c>
      <c r="D21" s="10">
        <f t="shared" si="3"/>
        <v>23.675938541200999</v>
      </c>
      <c r="E21" s="13"/>
      <c r="F21" s="16">
        <f t="shared" si="0"/>
        <v>60.000000000000057</v>
      </c>
      <c r="G21" s="10">
        <f t="shared" si="1"/>
        <v>35.513907811801531</v>
      </c>
    </row>
    <row r="22" spans="2:7" x14ac:dyDescent="0.2">
      <c r="B22" s="9">
        <v>10</v>
      </c>
      <c r="C22" s="16">
        <f t="shared" si="2"/>
        <v>40</v>
      </c>
      <c r="D22" s="10">
        <f t="shared" si="3"/>
        <v>22.335791076604714</v>
      </c>
      <c r="E22" s="13"/>
      <c r="F22" s="16">
        <f t="shared" si="0"/>
        <v>60.000000000000057</v>
      </c>
      <c r="G22" s="10">
        <f t="shared" si="1"/>
        <v>33.503686614907103</v>
      </c>
    </row>
    <row r="23" spans="2:7" x14ac:dyDescent="0.2">
      <c r="B23" s="9">
        <v>11</v>
      </c>
      <c r="C23" s="16">
        <f t="shared" si="2"/>
        <v>40</v>
      </c>
      <c r="D23" s="10">
        <f t="shared" si="3"/>
        <v>21.071501015664822</v>
      </c>
      <c r="E23" s="13"/>
      <c r="F23" s="16">
        <f t="shared" si="0"/>
        <v>60.000000000000057</v>
      </c>
      <c r="G23" s="10">
        <f t="shared" si="1"/>
        <v>31.607251523497265</v>
      </c>
    </row>
    <row r="24" spans="2:7" x14ac:dyDescent="0.2">
      <c r="B24" s="9">
        <v>12</v>
      </c>
      <c r="C24" s="16">
        <f t="shared" si="2"/>
        <v>40</v>
      </c>
      <c r="D24" s="10">
        <f t="shared" si="3"/>
        <v>19.87877454308002</v>
      </c>
      <c r="E24" s="13"/>
      <c r="F24" s="16">
        <f t="shared" si="0"/>
        <v>60.000000000000057</v>
      </c>
      <c r="G24" s="10">
        <f t="shared" si="1"/>
        <v>29.818161814620058</v>
      </c>
    </row>
    <row r="25" spans="2:7" x14ac:dyDescent="0.2">
      <c r="B25" s="9">
        <v>13</v>
      </c>
      <c r="C25" s="16">
        <f t="shared" si="2"/>
        <v>40</v>
      </c>
      <c r="D25" s="10">
        <f>C25/(1+$D$9)^$B25</f>
        <v>18.753560889698129</v>
      </c>
      <c r="E25" s="13"/>
      <c r="F25" s="16">
        <f t="shared" si="0"/>
        <v>60.000000000000057</v>
      </c>
      <c r="G25" s="10">
        <f t="shared" si="1"/>
        <v>28.130341334547222</v>
      </c>
    </row>
    <row r="26" spans="2:7" x14ac:dyDescent="0.2">
      <c r="B26" s="9">
        <v>14</v>
      </c>
      <c r="C26" s="16">
        <f t="shared" si="2"/>
        <v>40</v>
      </c>
      <c r="D26" s="10">
        <f>C26/(1+$D$9)^$B26</f>
        <v>17.692038575186917</v>
      </c>
      <c r="E26" s="13"/>
      <c r="F26" s="16">
        <f t="shared" si="0"/>
        <v>60.000000000000057</v>
      </c>
      <c r="G26" s="10">
        <f t="shared" si="1"/>
        <v>26.538057862780398</v>
      </c>
    </row>
    <row r="27" spans="2:7" x14ac:dyDescent="0.2">
      <c r="B27" s="9">
        <v>15</v>
      </c>
      <c r="C27" s="16">
        <f t="shared" si="2"/>
        <v>40</v>
      </c>
      <c r="D27" s="10">
        <f t="shared" si="3"/>
        <v>16.690602429421613</v>
      </c>
      <c r="E27" s="13"/>
      <c r="F27" s="16">
        <f t="shared" si="0"/>
        <v>60.000000000000057</v>
      </c>
      <c r="G27" s="10">
        <f t="shared" si="1"/>
        <v>25.035903644132446</v>
      </c>
    </row>
    <row r="28" spans="2:7" x14ac:dyDescent="0.2">
      <c r="B28" s="9">
        <v>16</v>
      </c>
      <c r="C28" s="16">
        <f t="shared" si="2"/>
        <v>40</v>
      </c>
      <c r="D28" s="10">
        <f t="shared" si="3"/>
        <v>15.745851348510961</v>
      </c>
      <c r="E28" s="13"/>
      <c r="F28" s="16">
        <f t="shared" si="0"/>
        <v>60.000000000000057</v>
      </c>
      <c r="G28" s="10">
        <f t="shared" si="1"/>
        <v>23.618777022766462</v>
      </c>
    </row>
    <row r="29" spans="2:7" x14ac:dyDescent="0.2">
      <c r="B29" s="9">
        <v>17</v>
      </c>
      <c r="C29" s="16">
        <f t="shared" si="2"/>
        <v>40</v>
      </c>
      <c r="D29" s="10">
        <f t="shared" si="3"/>
        <v>14.854576743878264</v>
      </c>
      <c r="E29" s="13"/>
      <c r="F29" s="16">
        <f t="shared" si="0"/>
        <v>60.000000000000057</v>
      </c>
      <c r="G29" s="10">
        <f t="shared" si="1"/>
        <v>22.281865115817418</v>
      </c>
    </row>
    <row r="30" spans="2:7" x14ac:dyDescent="0.2">
      <c r="B30" s="9">
        <v>18</v>
      </c>
      <c r="C30" s="16">
        <f t="shared" si="2"/>
        <v>40</v>
      </c>
      <c r="D30" s="10">
        <f t="shared" si="3"/>
        <v>14.013751645168172</v>
      </c>
      <c r="E30" s="13"/>
      <c r="F30" s="16">
        <f t="shared" si="0"/>
        <v>60.000000000000057</v>
      </c>
      <c r="G30" s="10">
        <f t="shared" si="1"/>
        <v>21.020627467752281</v>
      </c>
    </row>
    <row r="31" spans="2:7" x14ac:dyDescent="0.2">
      <c r="B31" s="9">
        <v>19</v>
      </c>
      <c r="C31" s="16">
        <f t="shared" si="2"/>
        <v>40</v>
      </c>
      <c r="D31" s="10">
        <f t="shared" si="3"/>
        <v>13.220520419969972</v>
      </c>
      <c r="E31" s="13"/>
      <c r="F31" s="16">
        <f t="shared" si="0"/>
        <v>60.000000000000057</v>
      </c>
      <c r="G31" s="10">
        <f t="shared" si="1"/>
        <v>19.83078062995498</v>
      </c>
    </row>
    <row r="32" spans="2:7" x14ac:dyDescent="0.2">
      <c r="B32" s="9">
        <v>20</v>
      </c>
      <c r="C32" s="16">
        <f>-D$4*D$7-D4</f>
        <v>1040</v>
      </c>
      <c r="D32" s="10">
        <f>C32/(1+$D$9)^$B32</f>
        <v>324.27691596152766</v>
      </c>
      <c r="E32" s="13"/>
      <c r="F32" s="16">
        <f>-G$4*G$9-G4</f>
        <v>1060</v>
      </c>
      <c r="G32" s="10">
        <f t="shared" si="1"/>
        <v>330.51301049924933</v>
      </c>
    </row>
    <row r="33" spans="2:7" x14ac:dyDescent="0.2">
      <c r="B33" s="9"/>
      <c r="C33" s="16"/>
      <c r="D33" s="10"/>
      <c r="E33" s="13"/>
      <c r="F33" s="16"/>
      <c r="G33" s="10"/>
    </row>
    <row r="34" spans="2:7" x14ac:dyDescent="0.2">
      <c r="B34" s="69" t="s">
        <v>196</v>
      </c>
      <c r="C34" s="69"/>
      <c r="D34" s="70">
        <f>SUM(D13:D32)</f>
        <v>770.60157562869426</v>
      </c>
      <c r="E34" s="74"/>
      <c r="F34" s="69"/>
      <c r="G34" s="70">
        <f>SUM(G13:G32)</f>
        <v>1000</v>
      </c>
    </row>
    <row r="35" spans="2:7" x14ac:dyDescent="0.2">
      <c r="B35" s="9"/>
      <c r="C35" s="16"/>
      <c r="D35" s="10"/>
      <c r="E35" s="13"/>
      <c r="F35" t="s">
        <v>242</v>
      </c>
    </row>
    <row r="36" spans="2:7" x14ac:dyDescent="0.2">
      <c r="B36" s="9"/>
      <c r="C36" s="16"/>
      <c r="D36" s="10"/>
      <c r="E36" s="13"/>
      <c r="F36" t="s">
        <v>249</v>
      </c>
    </row>
    <row r="37" spans="2:7" x14ac:dyDescent="0.2">
      <c r="B37" s="9"/>
      <c r="C37" s="16"/>
      <c r="D37" s="10"/>
      <c r="E37" s="13"/>
    </row>
    <row r="38" spans="2:7" x14ac:dyDescent="0.2">
      <c r="B38" s="9"/>
      <c r="C38" s="16"/>
      <c r="D38" s="10"/>
      <c r="E38" s="13"/>
    </row>
    <row r="39" spans="2:7" x14ac:dyDescent="0.2">
      <c r="B39" s="9"/>
      <c r="C39" s="16"/>
      <c r="D39" s="10"/>
      <c r="E39" s="13"/>
    </row>
    <row r="40" spans="2:7" x14ac:dyDescent="0.2">
      <c r="B40" s="9"/>
      <c r="C40" s="16"/>
      <c r="D40" s="10"/>
      <c r="E40" s="13"/>
    </row>
    <row r="41" spans="2:7" x14ac:dyDescent="0.2">
      <c r="B41" s="9"/>
      <c r="C41" s="16"/>
      <c r="D41" s="10"/>
      <c r="E41" s="1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41"/>
  <sheetViews>
    <sheetView zoomScale="115" zoomScaleNormal="115" workbookViewId="0">
      <selection activeCell="C32" sqref="C32"/>
    </sheetView>
  </sheetViews>
  <sheetFormatPr baseColWidth="10" defaultColWidth="8.83203125" defaultRowHeight="15" x14ac:dyDescent="0.2"/>
  <cols>
    <col min="1" max="1" width="7.1640625" customWidth="1"/>
    <col min="2" max="2" width="29.6640625" customWidth="1"/>
    <col min="3" max="3" width="20.5" customWidth="1"/>
    <col min="4" max="4" width="13.5" customWidth="1"/>
    <col min="5" max="5" width="4.6640625" customWidth="1"/>
    <col min="6" max="6" width="26.33203125" customWidth="1"/>
  </cols>
  <sheetData>
    <row r="1" spans="1:9" x14ac:dyDescent="0.2">
      <c r="A1" s="34" t="s">
        <v>237</v>
      </c>
    </row>
    <row r="2" spans="1:9" x14ac:dyDescent="0.2">
      <c r="A2" s="34"/>
      <c r="C2" s="3" t="s">
        <v>229</v>
      </c>
      <c r="D2" s="3"/>
      <c r="E2" s="3"/>
    </row>
    <row r="3" spans="1:9" x14ac:dyDescent="0.2">
      <c r="C3" s="3" t="s">
        <v>241</v>
      </c>
      <c r="D3" s="3"/>
      <c r="F3" s="3" t="s">
        <v>240</v>
      </c>
      <c r="G3" s="3"/>
    </row>
    <row r="4" spans="1:9" x14ac:dyDescent="0.2">
      <c r="B4" t="s">
        <v>248</v>
      </c>
      <c r="D4" s="143">
        <v>-1000</v>
      </c>
      <c r="E4" s="15"/>
      <c r="F4" t="s">
        <v>248</v>
      </c>
      <c r="G4" s="15">
        <v>-1000</v>
      </c>
    </row>
    <row r="5" spans="1:9" x14ac:dyDescent="0.2">
      <c r="D5" s="15"/>
      <c r="E5" s="15"/>
      <c r="G5" s="15"/>
    </row>
    <row r="6" spans="1:9" x14ac:dyDescent="0.2">
      <c r="B6" t="s">
        <v>243</v>
      </c>
      <c r="D6" s="157">
        <v>0.08</v>
      </c>
      <c r="E6" s="13"/>
      <c r="F6" t="s">
        <v>243</v>
      </c>
      <c r="G6" s="6">
        <v>0.1236</v>
      </c>
    </row>
    <row r="7" spans="1:9" x14ac:dyDescent="0.2">
      <c r="B7" t="s">
        <v>244</v>
      </c>
      <c r="D7" s="13">
        <f>D6/2</f>
        <v>0.04</v>
      </c>
      <c r="E7" s="13"/>
      <c r="F7" t="s">
        <v>244</v>
      </c>
      <c r="G7" s="86">
        <f>(1+G6)^0.5-1</f>
        <v>6.0000000000000053E-2</v>
      </c>
    </row>
    <row r="8" spans="1:9" x14ac:dyDescent="0.2">
      <c r="B8" t="s">
        <v>246</v>
      </c>
      <c r="D8" s="219">
        <v>4.2000000000000003E-2</v>
      </c>
      <c r="F8" t="s">
        <v>6</v>
      </c>
      <c r="G8" s="6">
        <v>0.1236</v>
      </c>
    </row>
    <row r="9" spans="1:9" x14ac:dyDescent="0.2">
      <c r="B9" t="s">
        <v>245</v>
      </c>
      <c r="D9" s="81">
        <f>(1+D8)^0.5-1</f>
        <v>2.0784012413987529E-2</v>
      </c>
      <c r="E9" s="13"/>
      <c r="F9" t="s">
        <v>239</v>
      </c>
      <c r="G9">
        <f>(1+G8)^0.5-1</f>
        <v>6.0000000000000053E-2</v>
      </c>
      <c r="I9" s="73" t="s">
        <v>626</v>
      </c>
    </row>
    <row r="10" spans="1:9" x14ac:dyDescent="0.2">
      <c r="D10" s="13"/>
      <c r="E10" s="13"/>
    </row>
    <row r="11" spans="1:9" x14ac:dyDescent="0.2">
      <c r="B11" s="3" t="s">
        <v>238</v>
      </c>
      <c r="C11" s="3" t="s">
        <v>247</v>
      </c>
      <c r="D11" s="3" t="s">
        <v>186</v>
      </c>
      <c r="E11" s="13"/>
      <c r="F11" s="3" t="s">
        <v>247</v>
      </c>
      <c r="G11" s="3" t="s">
        <v>186</v>
      </c>
    </row>
    <row r="12" spans="1:9" x14ac:dyDescent="0.2">
      <c r="B12" s="9">
        <v>0</v>
      </c>
      <c r="C12" s="16"/>
      <c r="D12" s="10"/>
      <c r="E12" s="13"/>
      <c r="F12" s="16"/>
      <c r="G12" s="10"/>
    </row>
    <row r="13" spans="1:9" x14ac:dyDescent="0.2">
      <c r="B13" s="9">
        <v>1</v>
      </c>
      <c r="C13" s="16">
        <f>-D$4*D$7</f>
        <v>40</v>
      </c>
      <c r="D13" s="10">
        <f>C13/(1+$D$9)^$B13</f>
        <v>39.185566695354616</v>
      </c>
      <c r="E13" s="13"/>
      <c r="F13" s="16">
        <f t="shared" ref="F13:F31" si="0">-G$4*G$9</f>
        <v>60.000000000000057</v>
      </c>
      <c r="G13" s="10">
        <f t="shared" ref="G13:G32" si="1">F13/(1+$G$9)^$B13</f>
        <v>56.60377358490571</v>
      </c>
    </row>
    <row r="14" spans="1:9" x14ac:dyDescent="0.2">
      <c r="B14" s="9">
        <v>2</v>
      </c>
      <c r="C14" s="16">
        <f t="shared" ref="C14:C31" si="2">-D$4*D$7</f>
        <v>40</v>
      </c>
      <c r="D14" s="10">
        <f>C14/(1+$D$9)^$B14</f>
        <v>38.387715930902118</v>
      </c>
      <c r="E14" s="13"/>
      <c r="F14" s="16">
        <f t="shared" si="0"/>
        <v>60.000000000000057</v>
      </c>
      <c r="G14" s="10">
        <f t="shared" si="1"/>
        <v>53.399786400854438</v>
      </c>
    </row>
    <row r="15" spans="1:9" x14ac:dyDescent="0.2">
      <c r="B15" s="9">
        <v>3</v>
      </c>
      <c r="C15" s="16">
        <f t="shared" si="2"/>
        <v>40</v>
      </c>
      <c r="D15" s="10">
        <f>C15/(1+$D$9)^$B15</f>
        <v>37.606110072317293</v>
      </c>
      <c r="E15" s="13"/>
      <c r="F15" s="16">
        <f t="shared" si="0"/>
        <v>60.000000000000057</v>
      </c>
      <c r="G15" s="10">
        <f t="shared" si="1"/>
        <v>50.377156981938143</v>
      </c>
    </row>
    <row r="16" spans="1:9" x14ac:dyDescent="0.2">
      <c r="B16" s="9">
        <v>4</v>
      </c>
      <c r="C16" s="16">
        <f t="shared" si="2"/>
        <v>40</v>
      </c>
      <c r="D16" s="10">
        <f t="shared" ref="D16:D30" si="3">C16/(1+$D$9)^$B16</f>
        <v>36.84041835979091</v>
      </c>
      <c r="E16" s="13"/>
      <c r="F16" s="16">
        <f t="shared" si="0"/>
        <v>60.000000000000057</v>
      </c>
      <c r="G16" s="10">
        <f t="shared" si="1"/>
        <v>47.525619794281269</v>
      </c>
    </row>
    <row r="17" spans="2:7" x14ac:dyDescent="0.2">
      <c r="B17" s="9">
        <v>5</v>
      </c>
      <c r="C17" s="16">
        <f t="shared" si="2"/>
        <v>40</v>
      </c>
      <c r="D17" s="10">
        <f t="shared" si="3"/>
        <v>36.090316768058834</v>
      </c>
      <c r="E17" s="13"/>
      <c r="F17" s="16">
        <f t="shared" si="0"/>
        <v>60.000000000000057</v>
      </c>
      <c r="G17" s="10">
        <f t="shared" si="1"/>
        <v>44.835490371963459</v>
      </c>
    </row>
    <row r="18" spans="2:7" x14ac:dyDescent="0.2">
      <c r="B18" s="9">
        <v>6</v>
      </c>
      <c r="C18" s="16">
        <f t="shared" si="2"/>
        <v>40</v>
      </c>
      <c r="D18" s="10">
        <f t="shared" si="3"/>
        <v>35.355487869281106</v>
      </c>
      <c r="E18" s="13"/>
      <c r="F18" s="16">
        <f t="shared" si="0"/>
        <v>60.000000000000057</v>
      </c>
      <c r="G18" s="10">
        <f t="shared" si="1"/>
        <v>42.297632426380616</v>
      </c>
    </row>
    <row r="19" spans="2:7" x14ac:dyDescent="0.2">
      <c r="B19" s="9">
        <v>7</v>
      </c>
      <c r="C19" s="16">
        <f t="shared" si="2"/>
        <v>40</v>
      </c>
      <c r="D19" s="10">
        <f t="shared" si="3"/>
        <v>34.635620698712899</v>
      </c>
      <c r="E19" s="13"/>
      <c r="F19" s="16">
        <f t="shared" si="0"/>
        <v>60.000000000000057</v>
      </c>
      <c r="G19" s="10">
        <f t="shared" si="1"/>
        <v>39.903426817340197</v>
      </c>
    </row>
    <row r="20" spans="2:7" x14ac:dyDescent="0.2">
      <c r="B20" s="9">
        <v>8</v>
      </c>
      <c r="C20" s="16">
        <f t="shared" si="2"/>
        <v>40</v>
      </c>
      <c r="D20" s="10">
        <f t="shared" si="3"/>
        <v>33.930410623110483</v>
      </c>
      <c r="E20" s="13"/>
      <c r="F20" s="16">
        <f t="shared" si="0"/>
        <v>60.000000000000057</v>
      </c>
      <c r="G20" s="10">
        <f t="shared" si="1"/>
        <v>37.644742280509625</v>
      </c>
    </row>
    <row r="21" spans="2:7" x14ac:dyDescent="0.2">
      <c r="B21" s="9">
        <v>9</v>
      </c>
      <c r="C21" s="16">
        <f t="shared" si="2"/>
        <v>40</v>
      </c>
      <c r="D21" s="10">
        <f t="shared" si="3"/>
        <v>33.239559211816612</v>
      </c>
      <c r="E21" s="13"/>
      <c r="F21" s="16">
        <f t="shared" si="0"/>
        <v>60.000000000000057</v>
      </c>
      <c r="G21" s="10">
        <f t="shared" si="1"/>
        <v>35.513907811801531</v>
      </c>
    </row>
    <row r="22" spans="2:7" x14ac:dyDescent="0.2">
      <c r="B22" s="9">
        <v>10</v>
      </c>
      <c r="C22" s="16">
        <f t="shared" si="2"/>
        <v>40</v>
      </c>
      <c r="D22" s="10">
        <f t="shared" si="3"/>
        <v>32.56277411047072</v>
      </c>
      <c r="E22" s="13"/>
      <c r="F22" s="16">
        <f t="shared" si="0"/>
        <v>60.000000000000057</v>
      </c>
      <c r="G22" s="10">
        <f t="shared" si="1"/>
        <v>33.503686614907103</v>
      </c>
    </row>
    <row r="23" spans="2:7" x14ac:dyDescent="0.2">
      <c r="B23" s="9">
        <v>11</v>
      </c>
      <c r="C23" s="16">
        <f t="shared" si="2"/>
        <v>40</v>
      </c>
      <c r="D23" s="10">
        <f t="shared" si="3"/>
        <v>31.899768917290416</v>
      </c>
      <c r="E23" s="13"/>
      <c r="F23" s="16">
        <f t="shared" si="0"/>
        <v>60.000000000000057</v>
      </c>
      <c r="G23" s="10">
        <f t="shared" si="1"/>
        <v>31.607251523497265</v>
      </c>
    </row>
    <row r="24" spans="2:7" x14ac:dyDescent="0.2">
      <c r="B24" s="9">
        <v>12</v>
      </c>
      <c r="C24" s="16">
        <f t="shared" si="2"/>
        <v>40</v>
      </c>
      <c r="D24" s="10">
        <f t="shared" si="3"/>
        <v>31.250263061872097</v>
      </c>
      <c r="E24" s="13"/>
      <c r="F24" s="16">
        <f t="shared" si="0"/>
        <v>60.000000000000057</v>
      </c>
      <c r="G24" s="10">
        <f t="shared" si="1"/>
        <v>29.818161814620058</v>
      </c>
    </row>
    <row r="25" spans="2:7" x14ac:dyDescent="0.2">
      <c r="B25" s="9">
        <v>13</v>
      </c>
      <c r="C25" s="16">
        <f t="shared" si="2"/>
        <v>40</v>
      </c>
      <c r="D25" s="10">
        <f t="shared" si="3"/>
        <v>30.613981686459145</v>
      </c>
      <c r="E25" s="13"/>
      <c r="F25" s="16">
        <f t="shared" si="0"/>
        <v>60.000000000000057</v>
      </c>
      <c r="G25" s="10">
        <f t="shared" si="1"/>
        <v>28.130341334547222</v>
      </c>
    </row>
    <row r="26" spans="2:7" x14ac:dyDescent="0.2">
      <c r="B26" s="9">
        <v>14</v>
      </c>
      <c r="C26" s="16">
        <f t="shared" si="2"/>
        <v>40</v>
      </c>
      <c r="D26" s="10">
        <f>C26/(1+$D$9)^$B26</f>
        <v>29.990655529627738</v>
      </c>
      <c r="E26" s="13"/>
      <c r="F26" s="16">
        <f t="shared" si="0"/>
        <v>60.000000000000057</v>
      </c>
      <c r="G26" s="10">
        <f t="shared" si="1"/>
        <v>26.538057862780398</v>
      </c>
    </row>
    <row r="27" spans="2:7" x14ac:dyDescent="0.2">
      <c r="B27" s="9">
        <v>15</v>
      </c>
      <c r="C27" s="16">
        <f t="shared" si="2"/>
        <v>40</v>
      </c>
      <c r="D27" s="10">
        <f t="shared" si="3"/>
        <v>29.380020812340835</v>
      </c>
      <c r="E27" s="13"/>
      <c r="F27" s="16">
        <f t="shared" si="0"/>
        <v>60.000000000000057</v>
      </c>
      <c r="G27" s="10">
        <f t="shared" si="1"/>
        <v>25.035903644132446</v>
      </c>
    </row>
    <row r="28" spans="2:7" x14ac:dyDescent="0.2">
      <c r="B28" s="9">
        <v>16</v>
      </c>
      <c r="C28" s="16">
        <f t="shared" si="2"/>
        <v>40</v>
      </c>
      <c r="D28" s="10">
        <f t="shared" si="3"/>
        <v>28.781819126322215</v>
      </c>
      <c r="E28" s="13"/>
      <c r="F28" s="16">
        <f t="shared" si="0"/>
        <v>60.000000000000057</v>
      </c>
      <c r="G28" s="10">
        <f t="shared" si="1"/>
        <v>23.618777022766462</v>
      </c>
    </row>
    <row r="29" spans="2:7" x14ac:dyDescent="0.2">
      <c r="B29" s="9">
        <v>17</v>
      </c>
      <c r="C29" s="16">
        <f t="shared" si="2"/>
        <v>40</v>
      </c>
      <c r="D29" s="10">
        <f t="shared" si="3"/>
        <v>28.195797324703307</v>
      </c>
      <c r="E29" s="13"/>
      <c r="F29" s="16">
        <f t="shared" si="0"/>
        <v>60.000000000000057</v>
      </c>
      <c r="G29" s="10">
        <f t="shared" si="1"/>
        <v>22.281865115817418</v>
      </c>
    </row>
    <row r="30" spans="2:7" x14ac:dyDescent="0.2">
      <c r="B30" s="9">
        <v>18</v>
      </c>
      <c r="C30" s="16">
        <f t="shared" si="2"/>
        <v>40</v>
      </c>
      <c r="D30" s="10">
        <f t="shared" si="3"/>
        <v>27.621707414896566</v>
      </c>
      <c r="E30" s="13"/>
      <c r="F30" s="16">
        <f t="shared" si="0"/>
        <v>60.000000000000057</v>
      </c>
      <c r="G30" s="10">
        <f t="shared" si="1"/>
        <v>21.020627467752281</v>
      </c>
    </row>
    <row r="31" spans="2:7" x14ac:dyDescent="0.2">
      <c r="B31" s="9">
        <v>19</v>
      </c>
      <c r="C31" s="16">
        <f t="shared" si="2"/>
        <v>40</v>
      </c>
      <c r="D31" s="10">
        <f>C31/(1+$D$9)^$B31</f>
        <v>27.059306453650013</v>
      </c>
      <c r="E31" s="13"/>
      <c r="F31" s="16">
        <f t="shared" si="0"/>
        <v>60.000000000000057</v>
      </c>
      <c r="G31" s="10">
        <f t="shared" si="1"/>
        <v>19.83078062995498</v>
      </c>
    </row>
    <row r="32" spans="2:7" x14ac:dyDescent="0.2">
      <c r="B32" s="9">
        <v>20</v>
      </c>
      <c r="C32" s="16">
        <f>-D$4*D$7-D4</f>
        <v>1040</v>
      </c>
      <c r="D32" s="10">
        <f>C32/(1+$D$9)^$B32</f>
        <v>689.21726755020234</v>
      </c>
      <c r="E32" s="13"/>
      <c r="F32" s="16">
        <f>-G$4*G$9-G4</f>
        <v>1060</v>
      </c>
      <c r="G32" s="10">
        <f t="shared" si="1"/>
        <v>330.51301049924933</v>
      </c>
    </row>
    <row r="33" spans="2:7" x14ac:dyDescent="0.2">
      <c r="B33" s="9"/>
      <c r="C33" s="16"/>
      <c r="D33" s="10"/>
      <c r="E33" s="13"/>
      <c r="F33" s="16"/>
      <c r="G33" s="10"/>
    </row>
    <row r="34" spans="2:7" x14ac:dyDescent="0.2">
      <c r="B34" s="69" t="s">
        <v>196</v>
      </c>
      <c r="C34" s="69"/>
      <c r="D34" s="70">
        <f>SUM(D13:D32)</f>
        <v>1311.8445682171805</v>
      </c>
      <c r="E34" s="74"/>
      <c r="F34" s="69"/>
      <c r="G34" s="70">
        <f>SUM(G13:G32)</f>
        <v>1000</v>
      </c>
    </row>
    <row r="35" spans="2:7" x14ac:dyDescent="0.2">
      <c r="B35" s="9"/>
      <c r="C35" s="16"/>
      <c r="D35" s="10"/>
      <c r="E35" s="13"/>
      <c r="F35" t="s">
        <v>242</v>
      </c>
    </row>
    <row r="36" spans="2:7" x14ac:dyDescent="0.2">
      <c r="B36" s="9"/>
      <c r="C36" s="16"/>
      <c r="D36" s="10"/>
      <c r="E36" s="13"/>
      <c r="F36" t="s">
        <v>249</v>
      </c>
    </row>
    <row r="37" spans="2:7" x14ac:dyDescent="0.2">
      <c r="B37" s="9"/>
      <c r="C37" s="16"/>
      <c r="D37" s="10"/>
      <c r="E37" s="13"/>
    </row>
    <row r="38" spans="2:7" x14ac:dyDescent="0.2">
      <c r="B38" s="9"/>
      <c r="C38" s="16"/>
      <c r="D38" s="10"/>
      <c r="E38" s="13"/>
    </row>
    <row r="39" spans="2:7" x14ac:dyDescent="0.2">
      <c r="B39" s="9"/>
      <c r="C39" s="16"/>
      <c r="D39" s="10"/>
      <c r="E39" s="13"/>
    </row>
    <row r="40" spans="2:7" x14ac:dyDescent="0.2">
      <c r="B40" s="9"/>
      <c r="C40" s="16"/>
      <c r="D40" s="10"/>
      <c r="E40" s="13"/>
    </row>
    <row r="41" spans="2:7" x14ac:dyDescent="0.2">
      <c r="B41" s="9"/>
      <c r="C41" s="16"/>
      <c r="D41" s="10"/>
      <c r="E41" s="13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44"/>
  <sheetViews>
    <sheetView tabSelected="1" topLeftCell="E1" zoomScale="85" zoomScaleNormal="85" workbookViewId="0">
      <selection activeCell="J5" sqref="J5"/>
    </sheetView>
  </sheetViews>
  <sheetFormatPr baseColWidth="10" defaultColWidth="8.83203125" defaultRowHeight="15" x14ac:dyDescent="0.2"/>
  <cols>
    <col min="2" max="2" width="6.1640625" customWidth="1"/>
    <col min="3" max="3" width="28.83203125" customWidth="1"/>
    <col min="4" max="4" width="30" customWidth="1"/>
    <col min="5" max="5" width="33" customWidth="1"/>
    <col min="7" max="8" width="3.1640625" customWidth="1"/>
    <col min="10" max="10" width="12.5" bestFit="1" customWidth="1"/>
    <col min="15" max="15" width="4.6640625" customWidth="1"/>
    <col min="16" max="16" width="3.1640625" customWidth="1"/>
  </cols>
  <sheetData>
    <row r="1" spans="1:16" ht="19" x14ac:dyDescent="0.25">
      <c r="A1" s="126" t="s">
        <v>463</v>
      </c>
      <c r="G1" s="135"/>
      <c r="I1" s="126" t="s">
        <v>462</v>
      </c>
      <c r="P1" s="135"/>
    </row>
    <row r="2" spans="1:16" ht="19" x14ac:dyDescent="0.25">
      <c r="A2" s="126"/>
      <c r="G2" s="135"/>
      <c r="I2" s="126"/>
      <c r="P2" s="135"/>
    </row>
    <row r="3" spans="1:16" x14ac:dyDescent="0.2">
      <c r="A3" s="31"/>
      <c r="B3" s="31" t="s">
        <v>412</v>
      </c>
      <c r="C3" s="134" t="s">
        <v>161</v>
      </c>
      <c r="D3" s="52" t="s">
        <v>179</v>
      </c>
      <c r="E3" s="52" t="s">
        <v>93</v>
      </c>
      <c r="G3" s="135"/>
      <c r="P3" s="135"/>
    </row>
    <row r="4" spans="1:16" x14ac:dyDescent="0.2">
      <c r="A4" s="33" t="s">
        <v>413</v>
      </c>
      <c r="G4" s="135"/>
      <c r="P4" s="135"/>
    </row>
    <row r="5" spans="1:16" ht="54.75" customHeight="1" x14ac:dyDescent="0.2">
      <c r="A5" s="29" t="s">
        <v>161</v>
      </c>
      <c r="C5" s="135"/>
      <c r="G5" s="135"/>
      <c r="I5" s="199" t="s">
        <v>587</v>
      </c>
      <c r="P5" s="135"/>
    </row>
    <row r="6" spans="1:16" ht="60.75" customHeight="1" x14ac:dyDescent="0.2">
      <c r="A6" s="29" t="s">
        <v>411</v>
      </c>
      <c r="D6" s="135"/>
      <c r="G6" s="135"/>
      <c r="P6" s="135"/>
    </row>
    <row r="7" spans="1:16" ht="54.75" customHeight="1" x14ac:dyDescent="0.2">
      <c r="A7" s="29" t="s">
        <v>93</v>
      </c>
      <c r="E7" s="135"/>
      <c r="G7" s="135"/>
      <c r="I7" s="217" t="s">
        <v>613</v>
      </c>
      <c r="P7" s="135"/>
    </row>
    <row r="8" spans="1:16" x14ac:dyDescent="0.2">
      <c r="G8" s="135"/>
      <c r="P8" s="135"/>
    </row>
    <row r="9" spans="1:16" x14ac:dyDescent="0.2">
      <c r="G9" s="135"/>
      <c r="P9" s="135"/>
    </row>
    <row r="10" spans="1:16" ht="24" x14ac:dyDescent="0.3">
      <c r="G10" s="135"/>
      <c r="I10" s="218" t="s">
        <v>614</v>
      </c>
      <c r="P10" s="135"/>
    </row>
    <row r="11" spans="1:16" x14ac:dyDescent="0.2">
      <c r="G11" s="135"/>
      <c r="P11" s="135"/>
    </row>
    <row r="12" spans="1:16" x14ac:dyDescent="0.2">
      <c r="G12" s="135"/>
      <c r="P12" s="135"/>
    </row>
    <row r="13" spans="1:16" x14ac:dyDescent="0.2">
      <c r="G13" s="135"/>
      <c r="P13" s="135"/>
    </row>
    <row r="14" spans="1:16" x14ac:dyDescent="0.2">
      <c r="G14" s="135"/>
      <c r="P14" s="135"/>
    </row>
    <row r="15" spans="1:16" x14ac:dyDescent="0.2">
      <c r="G15" s="135"/>
      <c r="P15" s="135"/>
    </row>
    <row r="16" spans="1:16" x14ac:dyDescent="0.2">
      <c r="G16" s="135"/>
      <c r="P16" s="135"/>
    </row>
    <row r="17" spans="7:16" x14ac:dyDescent="0.2">
      <c r="G17" s="135"/>
      <c r="P17" s="135"/>
    </row>
    <row r="18" spans="7:16" x14ac:dyDescent="0.2">
      <c r="G18" s="135"/>
      <c r="P18" s="135"/>
    </row>
    <row r="19" spans="7:16" x14ac:dyDescent="0.2">
      <c r="G19" s="135"/>
      <c r="P19" s="135"/>
    </row>
    <row r="20" spans="7:16" x14ac:dyDescent="0.2">
      <c r="G20" s="135"/>
      <c r="P20" s="135"/>
    </row>
    <row r="21" spans="7:16" x14ac:dyDescent="0.2">
      <c r="G21" s="135"/>
      <c r="P21" s="135"/>
    </row>
    <row r="22" spans="7:16" x14ac:dyDescent="0.2">
      <c r="G22" s="135"/>
      <c r="J22" s="19"/>
      <c r="P22" s="135"/>
    </row>
    <row r="23" spans="7:16" x14ac:dyDescent="0.2">
      <c r="G23" s="135"/>
      <c r="J23" s="15"/>
      <c r="K23" s="16"/>
      <c r="P23" s="135"/>
    </row>
    <row r="24" spans="7:16" x14ac:dyDescent="0.2">
      <c r="G24" s="135"/>
      <c r="P24" s="135"/>
    </row>
    <row r="25" spans="7:16" x14ac:dyDescent="0.2">
      <c r="G25" s="135"/>
      <c r="P25" s="135"/>
    </row>
    <row r="26" spans="7:16" x14ac:dyDescent="0.2">
      <c r="G26" s="135"/>
      <c r="P26" s="135"/>
    </row>
    <row r="27" spans="7:16" x14ac:dyDescent="0.2">
      <c r="G27" s="135"/>
      <c r="P27" s="135"/>
    </row>
    <row r="28" spans="7:16" x14ac:dyDescent="0.2">
      <c r="G28" s="135"/>
      <c r="P28" s="135"/>
    </row>
    <row r="29" spans="7:16" x14ac:dyDescent="0.2">
      <c r="G29" s="135"/>
      <c r="P29" s="135"/>
    </row>
    <row r="30" spans="7:16" x14ac:dyDescent="0.2">
      <c r="G30" s="135"/>
      <c r="P30" s="135"/>
    </row>
    <row r="31" spans="7:16" x14ac:dyDescent="0.2">
      <c r="G31" s="135"/>
      <c r="P31" s="135"/>
    </row>
    <row r="32" spans="7:16" x14ac:dyDescent="0.2">
      <c r="G32" s="135"/>
      <c r="P32" s="135"/>
    </row>
    <row r="33" spans="1:16" x14ac:dyDescent="0.2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</row>
    <row r="35" spans="1:16" ht="22" x14ac:dyDescent="0.2">
      <c r="I35" s="141" t="s">
        <v>464</v>
      </c>
    </row>
    <row r="37" spans="1:16" ht="29" x14ac:dyDescent="0.35">
      <c r="J37" s="142" t="s">
        <v>465</v>
      </c>
    </row>
    <row r="40" spans="1:16" x14ac:dyDescent="0.2">
      <c r="J40" t="s">
        <v>162</v>
      </c>
      <c r="K40" s="81">
        <v>1.4999999999999999E-2</v>
      </c>
      <c r="M40" s="87" t="s">
        <v>466</v>
      </c>
    </row>
    <row r="41" spans="1:16" x14ac:dyDescent="0.2">
      <c r="J41" t="s">
        <v>467</v>
      </c>
      <c r="K41" s="13">
        <v>0.02</v>
      </c>
      <c r="M41" s="87" t="s">
        <v>468</v>
      </c>
    </row>
    <row r="42" spans="1:16" x14ac:dyDescent="0.2">
      <c r="J42" s="87" t="s">
        <v>469</v>
      </c>
      <c r="M42" s="87" t="s">
        <v>470</v>
      </c>
    </row>
    <row r="44" spans="1:16" x14ac:dyDescent="0.2">
      <c r="K44">
        <f>(K40-K41)/(1+K41)</f>
        <v>-4.9019607843137263E-3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96"/>
  <sheetViews>
    <sheetView zoomScale="70" zoomScaleNormal="70" workbookViewId="0">
      <selection activeCell="F43" sqref="F43"/>
    </sheetView>
  </sheetViews>
  <sheetFormatPr baseColWidth="10" defaultColWidth="8.83203125" defaultRowHeight="15" x14ac:dyDescent="0.2"/>
  <cols>
    <col min="3" max="3" width="13.83203125" bestFit="1" customWidth="1"/>
    <col min="9" max="9" width="11" customWidth="1"/>
    <col min="11" max="11" width="17.1640625" customWidth="1"/>
    <col min="12" max="12" width="11.33203125" customWidth="1"/>
    <col min="13" max="13" width="13.83203125" customWidth="1"/>
    <col min="14" max="14" width="17.6640625" customWidth="1"/>
  </cols>
  <sheetData>
    <row r="1" spans="1:14" x14ac:dyDescent="0.2">
      <c r="A1" s="34" t="s">
        <v>250</v>
      </c>
      <c r="B1" s="34"/>
      <c r="C1" s="34"/>
    </row>
    <row r="2" spans="1:14" x14ac:dyDescent="0.2">
      <c r="B2" s="3" t="s">
        <v>253</v>
      </c>
      <c r="C2" s="3"/>
      <c r="I2" s="34"/>
      <c r="K2" s="3" t="s">
        <v>153</v>
      </c>
      <c r="L2" s="3"/>
    </row>
    <row r="3" spans="1:14" x14ac:dyDescent="0.2">
      <c r="L3" s="15"/>
      <c r="M3" s="15"/>
      <c r="N3" s="15"/>
    </row>
    <row r="4" spans="1:14" x14ac:dyDescent="0.2">
      <c r="B4" t="s">
        <v>93</v>
      </c>
      <c r="C4">
        <f>85*26</f>
        <v>2210</v>
      </c>
      <c r="K4" t="s">
        <v>239</v>
      </c>
      <c r="M4" s="81">
        <f>5%/2</f>
        <v>2.5000000000000001E-2</v>
      </c>
      <c r="N4" s="13"/>
    </row>
    <row r="5" spans="1:14" x14ac:dyDescent="0.2">
      <c r="B5" t="s">
        <v>162</v>
      </c>
      <c r="C5" s="81">
        <f>5%/2</f>
        <v>2.5000000000000001E-2</v>
      </c>
    </row>
    <row r="6" spans="1:14" x14ac:dyDescent="0.2">
      <c r="B6" t="s">
        <v>163</v>
      </c>
      <c r="C6">
        <f>45*2</f>
        <v>90</v>
      </c>
      <c r="I6" s="3" t="s">
        <v>251</v>
      </c>
      <c r="J6" s="3" t="s">
        <v>238</v>
      </c>
      <c r="K6" s="3" t="s">
        <v>44</v>
      </c>
      <c r="L6" s="3" t="s">
        <v>41</v>
      </c>
      <c r="M6" s="3" t="s">
        <v>154</v>
      </c>
      <c r="N6" s="3" t="s">
        <v>43</v>
      </c>
    </row>
    <row r="7" spans="1:14" x14ac:dyDescent="0.2">
      <c r="I7">
        <v>20.5</v>
      </c>
      <c r="J7">
        <v>1</v>
      </c>
      <c r="K7" s="10"/>
      <c r="L7" s="10"/>
      <c r="M7" s="10">
        <f>85*26</f>
        <v>2210</v>
      </c>
      <c r="N7" s="10">
        <f>K7+L7+M7</f>
        <v>2210</v>
      </c>
    </row>
    <row r="8" spans="1:14" ht="19" x14ac:dyDescent="0.25">
      <c r="B8" t="s">
        <v>179</v>
      </c>
      <c r="C8" s="83">
        <f>C4*((1+C5)^C6-1)/C5</f>
        <v>727430.89973914856</v>
      </c>
      <c r="I8">
        <f>I7+0.5</f>
        <v>21</v>
      </c>
      <c r="J8">
        <v>2</v>
      </c>
      <c r="K8" s="10">
        <f>N7</f>
        <v>2210</v>
      </c>
      <c r="L8" s="10">
        <f t="shared" ref="L8:L39" si="0">N7*(M$4)</f>
        <v>55.25</v>
      </c>
      <c r="M8" s="10">
        <f t="shared" ref="M8:M71" si="1">85*26</f>
        <v>2210</v>
      </c>
      <c r="N8" s="10">
        <f t="shared" ref="N8:N71" si="2">K8+M8+L8</f>
        <v>4475.25</v>
      </c>
    </row>
    <row r="9" spans="1:14" x14ac:dyDescent="0.2">
      <c r="I9">
        <f t="shared" ref="I9:I72" si="3">I8+0.5</f>
        <v>21.5</v>
      </c>
      <c r="J9">
        <v>3</v>
      </c>
      <c r="K9" s="10">
        <f t="shared" ref="K9:K72" si="4">N8</f>
        <v>4475.25</v>
      </c>
      <c r="L9" s="10">
        <f t="shared" si="0"/>
        <v>111.88125000000001</v>
      </c>
      <c r="M9" s="10">
        <f t="shared" si="1"/>
        <v>2210</v>
      </c>
      <c r="N9" s="10">
        <f t="shared" si="2"/>
        <v>6797.1312500000004</v>
      </c>
    </row>
    <row r="10" spans="1:14" x14ac:dyDescent="0.2">
      <c r="C10" t="s">
        <v>252</v>
      </c>
      <c r="I10">
        <f t="shared" si="3"/>
        <v>22</v>
      </c>
      <c r="J10">
        <v>4</v>
      </c>
      <c r="K10" s="10">
        <f>N9</f>
        <v>6797.1312500000004</v>
      </c>
      <c r="L10" s="10">
        <f t="shared" si="0"/>
        <v>169.92828125000003</v>
      </c>
      <c r="M10" s="10">
        <f t="shared" si="1"/>
        <v>2210</v>
      </c>
      <c r="N10" s="10">
        <f t="shared" si="2"/>
        <v>9177.0595312500009</v>
      </c>
    </row>
    <row r="11" spans="1:14" x14ac:dyDescent="0.2">
      <c r="I11">
        <f t="shared" si="3"/>
        <v>22.5</v>
      </c>
      <c r="J11">
        <v>5</v>
      </c>
      <c r="K11" s="10">
        <f t="shared" si="4"/>
        <v>9177.0595312500009</v>
      </c>
      <c r="L11" s="10">
        <f t="shared" si="0"/>
        <v>229.42648828125004</v>
      </c>
      <c r="M11" s="10">
        <f t="shared" si="1"/>
        <v>2210</v>
      </c>
      <c r="N11" s="10">
        <f t="shared" si="2"/>
        <v>11616.48601953125</v>
      </c>
    </row>
    <row r="12" spans="1:14" x14ac:dyDescent="0.2">
      <c r="I12">
        <f t="shared" si="3"/>
        <v>23</v>
      </c>
      <c r="J12">
        <v>6</v>
      </c>
      <c r="K12" s="10">
        <f t="shared" si="4"/>
        <v>11616.48601953125</v>
      </c>
      <c r="L12" s="10">
        <f t="shared" si="0"/>
        <v>290.41215048828127</v>
      </c>
      <c r="M12" s="10">
        <f t="shared" si="1"/>
        <v>2210</v>
      </c>
      <c r="N12" s="10">
        <f t="shared" si="2"/>
        <v>14116.898170019531</v>
      </c>
    </row>
    <row r="13" spans="1:14" x14ac:dyDescent="0.2">
      <c r="B13" t="s">
        <v>596</v>
      </c>
      <c r="I13">
        <f t="shared" si="3"/>
        <v>23.5</v>
      </c>
      <c r="J13">
        <v>7</v>
      </c>
      <c r="K13" s="10">
        <f t="shared" si="4"/>
        <v>14116.898170019531</v>
      </c>
      <c r="L13" s="10">
        <f t="shared" si="0"/>
        <v>352.92245425048827</v>
      </c>
      <c r="M13" s="10">
        <f t="shared" si="1"/>
        <v>2210</v>
      </c>
      <c r="N13" s="10">
        <f t="shared" si="2"/>
        <v>16679.820624270018</v>
      </c>
    </row>
    <row r="14" spans="1:14" x14ac:dyDescent="0.2">
      <c r="B14" s="206" t="s">
        <v>588</v>
      </c>
      <c r="I14">
        <f t="shared" si="3"/>
        <v>24</v>
      </c>
      <c r="J14">
        <v>8</v>
      </c>
      <c r="K14" s="10">
        <f t="shared" si="4"/>
        <v>16679.820624270018</v>
      </c>
      <c r="L14" s="10">
        <f t="shared" si="0"/>
        <v>416.99551560675047</v>
      </c>
      <c r="M14" s="10">
        <f t="shared" si="1"/>
        <v>2210</v>
      </c>
      <c r="N14" s="10">
        <f t="shared" si="2"/>
        <v>19306.81613987677</v>
      </c>
    </row>
    <row r="15" spans="1:14" x14ac:dyDescent="0.2">
      <c r="B15" s="206" t="s">
        <v>93</v>
      </c>
      <c r="C15" s="206">
        <f>85*52/12</f>
        <v>368.33333333333331</v>
      </c>
      <c r="I15">
        <f t="shared" si="3"/>
        <v>24.5</v>
      </c>
      <c r="J15">
        <v>9</v>
      </c>
      <c r="K15" s="10">
        <f t="shared" si="4"/>
        <v>19306.81613987677</v>
      </c>
      <c r="L15" s="10">
        <f t="shared" si="0"/>
        <v>482.67040349691928</v>
      </c>
      <c r="M15" s="10">
        <f t="shared" si="1"/>
        <v>2210</v>
      </c>
      <c r="N15" s="10">
        <f t="shared" si="2"/>
        <v>21999.486543373689</v>
      </c>
    </row>
    <row r="16" spans="1:14" x14ac:dyDescent="0.2">
      <c r="B16" s="206" t="s">
        <v>162</v>
      </c>
      <c r="C16" s="210">
        <f>5%/12</f>
        <v>4.1666666666666666E-3</v>
      </c>
      <c r="I16">
        <f t="shared" si="3"/>
        <v>25</v>
      </c>
      <c r="J16">
        <v>10</v>
      </c>
      <c r="K16" s="10">
        <f t="shared" si="4"/>
        <v>21999.486543373689</v>
      </c>
      <c r="L16" s="10">
        <f t="shared" si="0"/>
        <v>549.98716358434228</v>
      </c>
      <c r="M16" s="10">
        <f t="shared" si="1"/>
        <v>2210</v>
      </c>
      <c r="N16" s="10">
        <f t="shared" si="2"/>
        <v>24759.47370695803</v>
      </c>
    </row>
    <row r="17" spans="2:14" x14ac:dyDescent="0.2">
      <c r="B17" s="206" t="s">
        <v>163</v>
      </c>
      <c r="C17" s="206">
        <f>45*12</f>
        <v>540</v>
      </c>
      <c r="I17">
        <f t="shared" si="3"/>
        <v>25.5</v>
      </c>
      <c r="J17">
        <v>11</v>
      </c>
      <c r="K17" s="10">
        <f t="shared" si="4"/>
        <v>24759.47370695803</v>
      </c>
      <c r="L17" s="10">
        <f t="shared" si="0"/>
        <v>618.98684267395083</v>
      </c>
      <c r="M17" s="10">
        <f t="shared" si="1"/>
        <v>2210</v>
      </c>
      <c r="N17" s="10">
        <f t="shared" si="2"/>
        <v>27588.460549631982</v>
      </c>
    </row>
    <row r="18" spans="2:14" x14ac:dyDescent="0.2">
      <c r="B18" s="206"/>
      <c r="C18" s="206"/>
      <c r="I18">
        <f t="shared" si="3"/>
        <v>26</v>
      </c>
      <c r="J18">
        <v>12</v>
      </c>
      <c r="K18" s="10">
        <f t="shared" si="4"/>
        <v>27588.460549631982</v>
      </c>
      <c r="L18" s="10">
        <f t="shared" si="0"/>
        <v>689.71151374079955</v>
      </c>
      <c r="M18" s="10">
        <f t="shared" si="1"/>
        <v>2210</v>
      </c>
      <c r="N18" s="10">
        <f t="shared" si="2"/>
        <v>30488.172063372782</v>
      </c>
    </row>
    <row r="19" spans="2:14" ht="19" x14ac:dyDescent="0.25">
      <c r="B19" s="206" t="s">
        <v>179</v>
      </c>
      <c r="C19" s="207">
        <f>C15*((1+C16)^C17-1)/C16</f>
        <v>746404.40334699559</v>
      </c>
      <c r="I19">
        <f t="shared" si="3"/>
        <v>26.5</v>
      </c>
      <c r="J19">
        <v>13</v>
      </c>
      <c r="K19" s="10">
        <f t="shared" si="4"/>
        <v>30488.172063372782</v>
      </c>
      <c r="L19" s="10">
        <f t="shared" si="0"/>
        <v>762.20430158431964</v>
      </c>
      <c r="M19" s="10">
        <f t="shared" si="1"/>
        <v>2210</v>
      </c>
      <c r="N19" s="10">
        <f t="shared" si="2"/>
        <v>33460.376364957105</v>
      </c>
    </row>
    <row r="20" spans="2:14" x14ac:dyDescent="0.2">
      <c r="C20" s="206" t="s">
        <v>589</v>
      </c>
      <c r="I20">
        <f t="shared" si="3"/>
        <v>27</v>
      </c>
      <c r="J20">
        <v>14</v>
      </c>
      <c r="K20" s="10">
        <f t="shared" si="4"/>
        <v>33460.376364957105</v>
      </c>
      <c r="L20" s="10">
        <f t="shared" si="0"/>
        <v>836.50940912392764</v>
      </c>
      <c r="M20" s="10">
        <f t="shared" si="1"/>
        <v>2210</v>
      </c>
      <c r="N20" s="10">
        <f t="shared" si="2"/>
        <v>36506.885774081034</v>
      </c>
    </row>
    <row r="21" spans="2:14" x14ac:dyDescent="0.2">
      <c r="I21">
        <f t="shared" si="3"/>
        <v>27.5</v>
      </c>
      <c r="J21">
        <v>15</v>
      </c>
      <c r="K21" s="10">
        <f t="shared" si="4"/>
        <v>36506.885774081034</v>
      </c>
      <c r="L21" s="10">
        <f t="shared" si="0"/>
        <v>912.67214435202595</v>
      </c>
      <c r="M21" s="10">
        <f t="shared" si="1"/>
        <v>2210</v>
      </c>
      <c r="N21" s="10">
        <f t="shared" si="2"/>
        <v>39629.557918433064</v>
      </c>
    </row>
    <row r="22" spans="2:14" x14ac:dyDescent="0.2">
      <c r="B22" s="208" t="s">
        <v>590</v>
      </c>
      <c r="I22">
        <f t="shared" si="3"/>
        <v>28</v>
      </c>
      <c r="J22">
        <v>16</v>
      </c>
      <c r="K22" s="10">
        <f t="shared" si="4"/>
        <v>39629.557918433064</v>
      </c>
      <c r="L22" s="10">
        <f t="shared" si="0"/>
        <v>990.73894796082664</v>
      </c>
      <c r="M22" s="10">
        <f t="shared" si="1"/>
        <v>2210</v>
      </c>
      <c r="N22" s="10">
        <f t="shared" si="2"/>
        <v>42830.296866393888</v>
      </c>
    </row>
    <row r="23" spans="2:14" x14ac:dyDescent="0.2">
      <c r="B23" s="208" t="s">
        <v>591</v>
      </c>
      <c r="I23">
        <f t="shared" si="3"/>
        <v>28.5</v>
      </c>
      <c r="J23">
        <v>17</v>
      </c>
      <c r="K23" s="10">
        <f t="shared" si="4"/>
        <v>42830.296866393888</v>
      </c>
      <c r="L23" s="10">
        <f t="shared" si="0"/>
        <v>1070.7574216598473</v>
      </c>
      <c r="M23" s="10">
        <f t="shared" si="1"/>
        <v>2210</v>
      </c>
      <c r="N23" s="10">
        <f t="shared" si="2"/>
        <v>46111.054288053732</v>
      </c>
    </row>
    <row r="24" spans="2:14" x14ac:dyDescent="0.2">
      <c r="B24" s="208" t="s">
        <v>592</v>
      </c>
      <c r="I24">
        <f t="shared" si="3"/>
        <v>29</v>
      </c>
      <c r="J24">
        <v>18</v>
      </c>
      <c r="K24" s="10">
        <f t="shared" si="4"/>
        <v>46111.054288053732</v>
      </c>
      <c r="L24" s="10">
        <f t="shared" si="0"/>
        <v>1152.7763572013434</v>
      </c>
      <c r="M24" s="10">
        <f t="shared" si="1"/>
        <v>2210</v>
      </c>
      <c r="N24" s="10">
        <f t="shared" si="2"/>
        <v>49473.830645255075</v>
      </c>
    </row>
    <row r="25" spans="2:14" x14ac:dyDescent="0.2">
      <c r="B25" s="208" t="s">
        <v>93</v>
      </c>
      <c r="C25" s="208">
        <f>85*52/12</f>
        <v>368.33333333333331</v>
      </c>
      <c r="I25">
        <f t="shared" si="3"/>
        <v>29.5</v>
      </c>
      <c r="J25">
        <v>19</v>
      </c>
      <c r="K25" s="10">
        <f t="shared" si="4"/>
        <v>49473.830645255075</v>
      </c>
      <c r="L25" s="10">
        <f t="shared" si="0"/>
        <v>1236.8457661313769</v>
      </c>
      <c r="M25" s="10">
        <f t="shared" si="1"/>
        <v>2210</v>
      </c>
      <c r="N25" s="10">
        <f t="shared" si="2"/>
        <v>52920.676411386448</v>
      </c>
    </row>
    <row r="26" spans="2:14" x14ac:dyDescent="0.2">
      <c r="B26" s="208" t="s">
        <v>162</v>
      </c>
      <c r="C26" s="212">
        <v>4.0952979072536684E-3</v>
      </c>
      <c r="I26">
        <f t="shared" si="3"/>
        <v>30</v>
      </c>
      <c r="J26">
        <v>20</v>
      </c>
      <c r="K26" s="10">
        <f t="shared" si="4"/>
        <v>52920.676411386448</v>
      </c>
      <c r="L26" s="10">
        <f t="shared" si="0"/>
        <v>1323.0169102846612</v>
      </c>
      <c r="M26" s="10">
        <f t="shared" si="1"/>
        <v>2210</v>
      </c>
      <c r="N26" s="10">
        <f t="shared" si="2"/>
        <v>56453.693321671111</v>
      </c>
    </row>
    <row r="27" spans="2:14" x14ac:dyDescent="0.2">
      <c r="B27" s="208" t="s">
        <v>163</v>
      </c>
      <c r="C27" s="208">
        <f>45*12</f>
        <v>540</v>
      </c>
      <c r="I27">
        <f t="shared" si="3"/>
        <v>30.5</v>
      </c>
      <c r="J27">
        <v>21</v>
      </c>
      <c r="K27" s="10">
        <f t="shared" si="4"/>
        <v>56453.693321671111</v>
      </c>
      <c r="L27" s="10">
        <f t="shared" si="0"/>
        <v>1411.3423330417779</v>
      </c>
      <c r="M27" s="10">
        <f t="shared" si="1"/>
        <v>2210</v>
      </c>
      <c r="N27" s="10">
        <f t="shared" si="2"/>
        <v>60075.03565471289</v>
      </c>
    </row>
    <row r="28" spans="2:14" x14ac:dyDescent="0.2">
      <c r="B28" s="208"/>
      <c r="C28" s="208"/>
      <c r="I28">
        <f t="shared" si="3"/>
        <v>31</v>
      </c>
      <c r="J28">
        <v>22</v>
      </c>
      <c r="K28" s="10">
        <f t="shared" si="4"/>
        <v>60075.03565471289</v>
      </c>
      <c r="L28" s="10">
        <f t="shared" si="0"/>
        <v>1501.8758913678223</v>
      </c>
      <c r="M28" s="10">
        <f t="shared" si="1"/>
        <v>2210</v>
      </c>
      <c r="N28" s="10">
        <f t="shared" si="2"/>
        <v>63786.911546080715</v>
      </c>
    </row>
    <row r="29" spans="2:14" ht="19" x14ac:dyDescent="0.25">
      <c r="B29" s="208" t="s">
        <v>179</v>
      </c>
      <c r="C29" s="209">
        <f>C25*((1+C26)^C27-1)/C26</f>
        <v>727431.00006234995</v>
      </c>
      <c r="I29">
        <f t="shared" si="3"/>
        <v>31.5</v>
      </c>
      <c r="J29">
        <v>23</v>
      </c>
      <c r="K29" s="10">
        <f t="shared" si="4"/>
        <v>63786.911546080715</v>
      </c>
      <c r="L29" s="10">
        <f t="shared" si="0"/>
        <v>1594.672788652018</v>
      </c>
      <c r="M29" s="10">
        <f t="shared" si="1"/>
        <v>2210</v>
      </c>
      <c r="N29" s="10">
        <f t="shared" si="2"/>
        <v>67591.584334732746</v>
      </c>
    </row>
    <row r="30" spans="2:14" x14ac:dyDescent="0.2">
      <c r="B30" s="208"/>
      <c r="C30" s="208" t="s">
        <v>593</v>
      </c>
      <c r="I30">
        <f t="shared" si="3"/>
        <v>32</v>
      </c>
      <c r="J30">
        <v>24</v>
      </c>
      <c r="K30" s="10">
        <f t="shared" si="4"/>
        <v>67591.584334732746</v>
      </c>
      <c r="L30" s="10">
        <f t="shared" si="0"/>
        <v>1689.7896083683188</v>
      </c>
      <c r="M30" s="10">
        <f t="shared" si="1"/>
        <v>2210</v>
      </c>
      <c r="N30" s="10">
        <f t="shared" si="2"/>
        <v>71491.373943101062</v>
      </c>
    </row>
    <row r="31" spans="2:14" x14ac:dyDescent="0.2">
      <c r="B31" s="208"/>
      <c r="C31" s="208" t="s">
        <v>594</v>
      </c>
      <c r="I31">
        <f t="shared" si="3"/>
        <v>32.5</v>
      </c>
      <c r="J31">
        <v>25</v>
      </c>
      <c r="K31" s="10">
        <f t="shared" si="4"/>
        <v>71491.373943101062</v>
      </c>
      <c r="L31" s="10">
        <f t="shared" si="0"/>
        <v>1787.2843485775265</v>
      </c>
      <c r="M31" s="10">
        <f t="shared" si="1"/>
        <v>2210</v>
      </c>
      <c r="N31" s="10">
        <f t="shared" si="2"/>
        <v>75488.658291678585</v>
      </c>
    </row>
    <row r="32" spans="2:14" x14ac:dyDescent="0.2">
      <c r="C32" s="208" t="s">
        <v>595</v>
      </c>
      <c r="I32">
        <f t="shared" si="3"/>
        <v>33</v>
      </c>
      <c r="J32">
        <v>26</v>
      </c>
      <c r="K32" s="10">
        <f t="shared" si="4"/>
        <v>75488.658291678585</v>
      </c>
      <c r="L32" s="10">
        <f t="shared" si="0"/>
        <v>1887.2164572919646</v>
      </c>
      <c r="M32" s="10">
        <f t="shared" si="1"/>
        <v>2210</v>
      </c>
      <c r="N32" s="10">
        <f t="shared" si="2"/>
        <v>79585.874748970557</v>
      </c>
    </row>
    <row r="33" spans="3:14" x14ac:dyDescent="0.2">
      <c r="C33" s="211">
        <f>C26*12</f>
        <v>4.9143574887044017E-2</v>
      </c>
      <c r="I33">
        <f t="shared" si="3"/>
        <v>33.5</v>
      </c>
      <c r="J33">
        <v>27</v>
      </c>
      <c r="K33" s="10">
        <f t="shared" si="4"/>
        <v>79585.874748970557</v>
      </c>
      <c r="L33" s="10">
        <f t="shared" si="0"/>
        <v>1989.6468687242641</v>
      </c>
      <c r="M33" s="10">
        <f t="shared" si="1"/>
        <v>2210</v>
      </c>
      <c r="N33" s="10">
        <f t="shared" si="2"/>
        <v>83785.521617694816</v>
      </c>
    </row>
    <row r="34" spans="3:14" x14ac:dyDescent="0.2">
      <c r="I34">
        <f t="shared" si="3"/>
        <v>34</v>
      </c>
      <c r="J34">
        <v>28</v>
      </c>
      <c r="K34" s="10">
        <f t="shared" si="4"/>
        <v>83785.521617694816</v>
      </c>
      <c r="L34" s="10">
        <f t="shared" si="0"/>
        <v>2094.6380404423703</v>
      </c>
      <c r="M34" s="10">
        <f t="shared" si="1"/>
        <v>2210</v>
      </c>
      <c r="N34" s="10">
        <f t="shared" si="2"/>
        <v>88090.159658137185</v>
      </c>
    </row>
    <row r="35" spans="3:14" x14ac:dyDescent="0.2">
      <c r="I35">
        <f t="shared" si="3"/>
        <v>34.5</v>
      </c>
      <c r="J35">
        <v>29</v>
      </c>
      <c r="K35" s="10">
        <f t="shared" si="4"/>
        <v>88090.159658137185</v>
      </c>
      <c r="L35" s="10">
        <f t="shared" si="0"/>
        <v>2202.2539914534295</v>
      </c>
      <c r="M35" s="10">
        <f t="shared" si="1"/>
        <v>2210</v>
      </c>
      <c r="N35" s="10">
        <f t="shared" si="2"/>
        <v>92502.413649590613</v>
      </c>
    </row>
    <row r="36" spans="3:14" x14ac:dyDescent="0.2">
      <c r="I36">
        <f t="shared" si="3"/>
        <v>35</v>
      </c>
      <c r="J36">
        <v>30</v>
      </c>
      <c r="K36" s="10">
        <f t="shared" si="4"/>
        <v>92502.413649590613</v>
      </c>
      <c r="L36" s="10">
        <f t="shared" si="0"/>
        <v>2312.5603412397654</v>
      </c>
      <c r="M36" s="10">
        <f t="shared" si="1"/>
        <v>2210</v>
      </c>
      <c r="N36" s="10">
        <f t="shared" si="2"/>
        <v>97024.973990830375</v>
      </c>
    </row>
    <row r="37" spans="3:14" x14ac:dyDescent="0.2">
      <c r="I37">
        <f t="shared" si="3"/>
        <v>35.5</v>
      </c>
      <c r="J37">
        <v>31</v>
      </c>
      <c r="K37" s="10">
        <f t="shared" si="4"/>
        <v>97024.973990830375</v>
      </c>
      <c r="L37" s="10">
        <f t="shared" si="0"/>
        <v>2425.6243497707596</v>
      </c>
      <c r="M37" s="10">
        <f t="shared" si="1"/>
        <v>2210</v>
      </c>
      <c r="N37" s="10">
        <f t="shared" si="2"/>
        <v>101660.59834060114</v>
      </c>
    </row>
    <row r="38" spans="3:14" x14ac:dyDescent="0.2">
      <c r="I38">
        <f t="shared" si="3"/>
        <v>36</v>
      </c>
      <c r="J38">
        <v>32</v>
      </c>
      <c r="K38" s="10">
        <f t="shared" si="4"/>
        <v>101660.59834060114</v>
      </c>
      <c r="L38" s="10">
        <f t="shared" si="0"/>
        <v>2541.5149585150284</v>
      </c>
      <c r="M38" s="10">
        <f t="shared" si="1"/>
        <v>2210</v>
      </c>
      <c r="N38" s="10">
        <f t="shared" si="2"/>
        <v>106412.11329911617</v>
      </c>
    </row>
    <row r="39" spans="3:14" x14ac:dyDescent="0.2">
      <c r="I39">
        <f t="shared" si="3"/>
        <v>36.5</v>
      </c>
      <c r="J39">
        <v>33</v>
      </c>
      <c r="K39" s="10">
        <f t="shared" si="4"/>
        <v>106412.11329911617</v>
      </c>
      <c r="L39" s="10">
        <f t="shared" si="0"/>
        <v>2660.3028324779043</v>
      </c>
      <c r="M39" s="10">
        <f t="shared" si="1"/>
        <v>2210</v>
      </c>
      <c r="N39" s="10">
        <f t="shared" si="2"/>
        <v>111282.41613159407</v>
      </c>
    </row>
    <row r="40" spans="3:14" x14ac:dyDescent="0.2">
      <c r="I40">
        <f t="shared" si="3"/>
        <v>37</v>
      </c>
      <c r="J40">
        <v>34</v>
      </c>
      <c r="K40" s="10">
        <f t="shared" si="4"/>
        <v>111282.41613159407</v>
      </c>
      <c r="L40" s="10">
        <f t="shared" ref="L40:L71" si="5">N39*(M$4)</f>
        <v>2782.0604032898518</v>
      </c>
      <c r="M40" s="10">
        <f t="shared" si="1"/>
        <v>2210</v>
      </c>
      <c r="N40" s="10">
        <f t="shared" si="2"/>
        <v>116274.47653488393</v>
      </c>
    </row>
    <row r="41" spans="3:14" x14ac:dyDescent="0.2">
      <c r="I41">
        <f t="shared" si="3"/>
        <v>37.5</v>
      </c>
      <c r="J41">
        <v>35</v>
      </c>
      <c r="K41" s="10">
        <f t="shared" si="4"/>
        <v>116274.47653488393</v>
      </c>
      <c r="L41" s="10">
        <f t="shared" si="5"/>
        <v>2906.8619133720986</v>
      </c>
      <c r="M41" s="10">
        <f t="shared" si="1"/>
        <v>2210</v>
      </c>
      <c r="N41" s="10">
        <f t="shared" si="2"/>
        <v>121391.33844825602</v>
      </c>
    </row>
    <row r="42" spans="3:14" x14ac:dyDescent="0.2">
      <c r="I42">
        <f t="shared" si="3"/>
        <v>38</v>
      </c>
      <c r="J42">
        <v>36</v>
      </c>
      <c r="K42" s="10">
        <f t="shared" si="4"/>
        <v>121391.33844825602</v>
      </c>
      <c r="L42" s="10">
        <f t="shared" si="5"/>
        <v>3034.7834612064007</v>
      </c>
      <c r="M42" s="10">
        <f t="shared" si="1"/>
        <v>2210</v>
      </c>
      <c r="N42" s="10">
        <f t="shared" si="2"/>
        <v>126636.12190946242</v>
      </c>
    </row>
    <row r="43" spans="3:14" x14ac:dyDescent="0.2">
      <c r="I43">
        <f t="shared" si="3"/>
        <v>38.5</v>
      </c>
      <c r="J43">
        <v>37</v>
      </c>
      <c r="K43" s="10">
        <f t="shared" si="4"/>
        <v>126636.12190946242</v>
      </c>
      <c r="L43" s="10">
        <f t="shared" si="5"/>
        <v>3165.9030477365609</v>
      </c>
      <c r="M43" s="10">
        <f t="shared" si="1"/>
        <v>2210</v>
      </c>
      <c r="N43" s="10">
        <f t="shared" si="2"/>
        <v>132012.024957199</v>
      </c>
    </row>
    <row r="44" spans="3:14" x14ac:dyDescent="0.2">
      <c r="I44">
        <f t="shared" si="3"/>
        <v>39</v>
      </c>
      <c r="J44">
        <v>38</v>
      </c>
      <c r="K44" s="10">
        <f t="shared" si="4"/>
        <v>132012.024957199</v>
      </c>
      <c r="L44" s="10">
        <f t="shared" si="5"/>
        <v>3300.3006239299752</v>
      </c>
      <c r="M44" s="10">
        <f t="shared" si="1"/>
        <v>2210</v>
      </c>
      <c r="N44" s="10">
        <f t="shared" si="2"/>
        <v>137522.32558112897</v>
      </c>
    </row>
    <row r="45" spans="3:14" x14ac:dyDescent="0.2">
      <c r="I45">
        <f t="shared" si="3"/>
        <v>39.5</v>
      </c>
      <c r="J45">
        <v>39</v>
      </c>
      <c r="K45" s="10">
        <f t="shared" si="4"/>
        <v>137522.32558112897</v>
      </c>
      <c r="L45" s="10">
        <f t="shared" si="5"/>
        <v>3438.0581395282243</v>
      </c>
      <c r="M45" s="10">
        <f t="shared" si="1"/>
        <v>2210</v>
      </c>
      <c r="N45" s="10">
        <f t="shared" si="2"/>
        <v>143170.38372065721</v>
      </c>
    </row>
    <row r="46" spans="3:14" x14ac:dyDescent="0.2">
      <c r="I46">
        <f t="shared" si="3"/>
        <v>40</v>
      </c>
      <c r="J46">
        <v>40</v>
      </c>
      <c r="K46" s="10">
        <f t="shared" si="4"/>
        <v>143170.38372065721</v>
      </c>
      <c r="L46" s="10">
        <f t="shared" si="5"/>
        <v>3579.2595930164302</v>
      </c>
      <c r="M46" s="10">
        <f t="shared" si="1"/>
        <v>2210</v>
      </c>
      <c r="N46" s="10">
        <f t="shared" si="2"/>
        <v>148959.64331367365</v>
      </c>
    </row>
    <row r="47" spans="3:14" x14ac:dyDescent="0.2">
      <c r="I47">
        <f t="shared" si="3"/>
        <v>40.5</v>
      </c>
      <c r="J47">
        <v>41</v>
      </c>
      <c r="K47" s="10">
        <f t="shared" si="4"/>
        <v>148959.64331367365</v>
      </c>
      <c r="L47" s="10">
        <f t="shared" si="5"/>
        <v>3723.9910828418415</v>
      </c>
      <c r="M47" s="10">
        <f t="shared" si="1"/>
        <v>2210</v>
      </c>
      <c r="N47" s="10">
        <f t="shared" si="2"/>
        <v>154893.6343965155</v>
      </c>
    </row>
    <row r="48" spans="3:14" x14ac:dyDescent="0.2">
      <c r="I48">
        <f t="shared" si="3"/>
        <v>41</v>
      </c>
      <c r="J48">
        <v>42</v>
      </c>
      <c r="K48" s="10">
        <f t="shared" si="4"/>
        <v>154893.6343965155</v>
      </c>
      <c r="L48" s="10">
        <f t="shared" si="5"/>
        <v>3872.3408599128875</v>
      </c>
      <c r="M48" s="10">
        <f t="shared" si="1"/>
        <v>2210</v>
      </c>
      <c r="N48" s="10">
        <f t="shared" si="2"/>
        <v>160975.97525642838</v>
      </c>
    </row>
    <row r="49" spans="9:14" x14ac:dyDescent="0.2">
      <c r="I49">
        <f t="shared" si="3"/>
        <v>41.5</v>
      </c>
      <c r="J49">
        <v>43</v>
      </c>
      <c r="K49" s="10">
        <f t="shared" si="4"/>
        <v>160975.97525642838</v>
      </c>
      <c r="L49" s="10">
        <f t="shared" si="5"/>
        <v>4024.3993814107098</v>
      </c>
      <c r="M49" s="10">
        <f t="shared" si="1"/>
        <v>2210</v>
      </c>
      <c r="N49" s="10">
        <f t="shared" si="2"/>
        <v>167210.37463783909</v>
      </c>
    </row>
    <row r="50" spans="9:14" x14ac:dyDescent="0.2">
      <c r="I50">
        <f t="shared" si="3"/>
        <v>42</v>
      </c>
      <c r="J50">
        <v>44</v>
      </c>
      <c r="K50" s="10">
        <f t="shared" si="4"/>
        <v>167210.37463783909</v>
      </c>
      <c r="L50" s="10">
        <f t="shared" si="5"/>
        <v>4180.2593659459772</v>
      </c>
      <c r="M50" s="10">
        <f t="shared" si="1"/>
        <v>2210</v>
      </c>
      <c r="N50" s="10">
        <f t="shared" si="2"/>
        <v>173600.63400378506</v>
      </c>
    </row>
    <row r="51" spans="9:14" x14ac:dyDescent="0.2">
      <c r="I51">
        <f t="shared" si="3"/>
        <v>42.5</v>
      </c>
      <c r="J51">
        <v>45</v>
      </c>
      <c r="K51" s="10">
        <f t="shared" si="4"/>
        <v>173600.63400378506</v>
      </c>
      <c r="L51" s="10">
        <f t="shared" si="5"/>
        <v>4340.0158500946263</v>
      </c>
      <c r="M51" s="10">
        <f t="shared" si="1"/>
        <v>2210</v>
      </c>
      <c r="N51" s="10">
        <f t="shared" si="2"/>
        <v>180150.64985387967</v>
      </c>
    </row>
    <row r="52" spans="9:14" x14ac:dyDescent="0.2">
      <c r="I52">
        <f t="shared" si="3"/>
        <v>43</v>
      </c>
      <c r="J52">
        <v>46</v>
      </c>
      <c r="K52" s="10">
        <f t="shared" si="4"/>
        <v>180150.64985387967</v>
      </c>
      <c r="L52" s="10">
        <f t="shared" si="5"/>
        <v>4503.7662463469924</v>
      </c>
      <c r="M52" s="10">
        <f t="shared" si="1"/>
        <v>2210</v>
      </c>
      <c r="N52" s="10">
        <f t="shared" si="2"/>
        <v>186864.41610022666</v>
      </c>
    </row>
    <row r="53" spans="9:14" x14ac:dyDescent="0.2">
      <c r="I53">
        <f t="shared" si="3"/>
        <v>43.5</v>
      </c>
      <c r="J53">
        <v>47</v>
      </c>
      <c r="K53" s="10">
        <f t="shared" si="4"/>
        <v>186864.41610022666</v>
      </c>
      <c r="L53" s="10">
        <f t="shared" si="5"/>
        <v>4671.6104025056666</v>
      </c>
      <c r="M53" s="10">
        <f t="shared" si="1"/>
        <v>2210</v>
      </c>
      <c r="N53" s="10">
        <f t="shared" si="2"/>
        <v>193746.02650273233</v>
      </c>
    </row>
    <row r="54" spans="9:14" x14ac:dyDescent="0.2">
      <c r="I54">
        <f t="shared" si="3"/>
        <v>44</v>
      </c>
      <c r="J54">
        <v>48</v>
      </c>
      <c r="K54" s="10">
        <f t="shared" si="4"/>
        <v>193746.02650273233</v>
      </c>
      <c r="L54" s="10">
        <f t="shared" si="5"/>
        <v>4843.6506625683087</v>
      </c>
      <c r="M54" s="10">
        <f t="shared" si="1"/>
        <v>2210</v>
      </c>
      <c r="N54" s="10">
        <f t="shared" si="2"/>
        <v>200799.67716530064</v>
      </c>
    </row>
    <row r="55" spans="9:14" x14ac:dyDescent="0.2">
      <c r="I55">
        <f t="shared" si="3"/>
        <v>44.5</v>
      </c>
      <c r="J55">
        <v>49</v>
      </c>
      <c r="K55" s="10">
        <f t="shared" si="4"/>
        <v>200799.67716530064</v>
      </c>
      <c r="L55" s="10">
        <f t="shared" si="5"/>
        <v>5019.9919291325168</v>
      </c>
      <c r="M55" s="10">
        <f t="shared" si="1"/>
        <v>2210</v>
      </c>
      <c r="N55" s="10">
        <f t="shared" si="2"/>
        <v>208029.66909443316</v>
      </c>
    </row>
    <row r="56" spans="9:14" x14ac:dyDescent="0.2">
      <c r="I56">
        <f t="shared" si="3"/>
        <v>45</v>
      </c>
      <c r="J56">
        <v>50</v>
      </c>
      <c r="K56" s="10">
        <f t="shared" si="4"/>
        <v>208029.66909443316</v>
      </c>
      <c r="L56" s="10">
        <f t="shared" si="5"/>
        <v>5200.7417273608298</v>
      </c>
      <c r="M56" s="10">
        <f t="shared" si="1"/>
        <v>2210</v>
      </c>
      <c r="N56" s="10">
        <f t="shared" si="2"/>
        <v>215440.41082179401</v>
      </c>
    </row>
    <row r="57" spans="9:14" x14ac:dyDescent="0.2">
      <c r="I57">
        <f t="shared" si="3"/>
        <v>45.5</v>
      </c>
      <c r="J57">
        <v>51</v>
      </c>
      <c r="K57" s="10">
        <f t="shared" si="4"/>
        <v>215440.41082179401</v>
      </c>
      <c r="L57" s="10">
        <f t="shared" si="5"/>
        <v>5386.0102705448508</v>
      </c>
      <c r="M57" s="10">
        <f t="shared" si="1"/>
        <v>2210</v>
      </c>
      <c r="N57" s="10">
        <f t="shared" si="2"/>
        <v>223036.42109233886</v>
      </c>
    </row>
    <row r="58" spans="9:14" x14ac:dyDescent="0.2">
      <c r="I58">
        <f t="shared" si="3"/>
        <v>46</v>
      </c>
      <c r="J58">
        <v>52</v>
      </c>
      <c r="K58" s="10">
        <f t="shared" si="4"/>
        <v>223036.42109233886</v>
      </c>
      <c r="L58" s="10">
        <f t="shared" si="5"/>
        <v>5575.9105273084715</v>
      </c>
      <c r="M58" s="10">
        <f t="shared" si="1"/>
        <v>2210</v>
      </c>
      <c r="N58" s="10">
        <f t="shared" si="2"/>
        <v>230822.33161964733</v>
      </c>
    </row>
    <row r="59" spans="9:14" x14ac:dyDescent="0.2">
      <c r="I59">
        <f t="shared" si="3"/>
        <v>46.5</v>
      </c>
      <c r="J59">
        <v>53</v>
      </c>
      <c r="K59" s="10">
        <f t="shared" si="4"/>
        <v>230822.33161964733</v>
      </c>
      <c r="L59" s="10">
        <f t="shared" si="5"/>
        <v>5770.5582904911835</v>
      </c>
      <c r="M59" s="10">
        <f t="shared" si="1"/>
        <v>2210</v>
      </c>
      <c r="N59" s="10">
        <f t="shared" si="2"/>
        <v>238802.8899101385</v>
      </c>
    </row>
    <row r="60" spans="9:14" x14ac:dyDescent="0.2">
      <c r="I60">
        <f t="shared" si="3"/>
        <v>47</v>
      </c>
      <c r="J60">
        <v>54</v>
      </c>
      <c r="K60" s="10">
        <f t="shared" si="4"/>
        <v>238802.8899101385</v>
      </c>
      <c r="L60" s="10">
        <f t="shared" si="5"/>
        <v>5970.0722477534628</v>
      </c>
      <c r="M60" s="10">
        <f t="shared" si="1"/>
        <v>2210</v>
      </c>
      <c r="N60" s="10">
        <f t="shared" si="2"/>
        <v>246982.96215789198</v>
      </c>
    </row>
    <row r="61" spans="9:14" x14ac:dyDescent="0.2">
      <c r="I61">
        <f t="shared" si="3"/>
        <v>47.5</v>
      </c>
      <c r="J61">
        <v>55</v>
      </c>
      <c r="K61" s="10">
        <f t="shared" si="4"/>
        <v>246982.96215789198</v>
      </c>
      <c r="L61" s="10">
        <f t="shared" si="5"/>
        <v>6174.5740539472999</v>
      </c>
      <c r="M61" s="10">
        <f t="shared" si="1"/>
        <v>2210</v>
      </c>
      <c r="N61" s="10">
        <f t="shared" si="2"/>
        <v>255367.53621183927</v>
      </c>
    </row>
    <row r="62" spans="9:14" x14ac:dyDescent="0.2">
      <c r="I62">
        <f t="shared" si="3"/>
        <v>48</v>
      </c>
      <c r="J62">
        <v>56</v>
      </c>
      <c r="K62" s="10">
        <f t="shared" si="4"/>
        <v>255367.53621183927</v>
      </c>
      <c r="L62" s="10">
        <f t="shared" si="5"/>
        <v>6384.1884052959822</v>
      </c>
      <c r="M62" s="10">
        <f t="shared" si="1"/>
        <v>2210</v>
      </c>
      <c r="N62" s="10">
        <f t="shared" si="2"/>
        <v>263961.72461713525</v>
      </c>
    </row>
    <row r="63" spans="9:14" x14ac:dyDescent="0.2">
      <c r="I63">
        <f t="shared" si="3"/>
        <v>48.5</v>
      </c>
      <c r="J63">
        <v>57</v>
      </c>
      <c r="K63" s="10">
        <f t="shared" si="4"/>
        <v>263961.72461713525</v>
      </c>
      <c r="L63" s="10">
        <f t="shared" si="5"/>
        <v>6599.0431154283815</v>
      </c>
      <c r="M63" s="10">
        <f t="shared" si="1"/>
        <v>2210</v>
      </c>
      <c r="N63" s="10">
        <f t="shared" si="2"/>
        <v>272770.7677325636</v>
      </c>
    </row>
    <row r="64" spans="9:14" x14ac:dyDescent="0.2">
      <c r="I64">
        <f t="shared" si="3"/>
        <v>49</v>
      </c>
      <c r="J64">
        <v>58</v>
      </c>
      <c r="K64" s="10">
        <f t="shared" si="4"/>
        <v>272770.7677325636</v>
      </c>
      <c r="L64" s="10">
        <f t="shared" si="5"/>
        <v>6819.2691933140904</v>
      </c>
      <c r="M64" s="10">
        <f t="shared" si="1"/>
        <v>2210</v>
      </c>
      <c r="N64" s="10">
        <f t="shared" si="2"/>
        <v>281800.03692587768</v>
      </c>
    </row>
    <row r="65" spans="9:14" x14ac:dyDescent="0.2">
      <c r="I65">
        <f t="shared" si="3"/>
        <v>49.5</v>
      </c>
      <c r="J65">
        <v>59</v>
      </c>
      <c r="K65" s="10">
        <f t="shared" si="4"/>
        <v>281800.03692587768</v>
      </c>
      <c r="L65" s="10">
        <f t="shared" si="5"/>
        <v>7045.0009231469421</v>
      </c>
      <c r="M65" s="10">
        <f t="shared" si="1"/>
        <v>2210</v>
      </c>
      <c r="N65" s="10">
        <f t="shared" si="2"/>
        <v>291055.03784902464</v>
      </c>
    </row>
    <row r="66" spans="9:14" x14ac:dyDescent="0.2">
      <c r="I66">
        <f t="shared" si="3"/>
        <v>50</v>
      </c>
      <c r="J66">
        <v>60</v>
      </c>
      <c r="K66" s="10">
        <f t="shared" si="4"/>
        <v>291055.03784902464</v>
      </c>
      <c r="L66" s="10">
        <f t="shared" si="5"/>
        <v>7276.3759462256166</v>
      </c>
      <c r="M66" s="10">
        <f t="shared" si="1"/>
        <v>2210</v>
      </c>
      <c r="N66" s="10">
        <f t="shared" si="2"/>
        <v>300541.41379525024</v>
      </c>
    </row>
    <row r="67" spans="9:14" x14ac:dyDescent="0.2">
      <c r="I67">
        <f t="shared" si="3"/>
        <v>50.5</v>
      </c>
      <c r="J67">
        <v>61</v>
      </c>
      <c r="K67" s="10">
        <f t="shared" si="4"/>
        <v>300541.41379525024</v>
      </c>
      <c r="L67" s="10">
        <f t="shared" si="5"/>
        <v>7513.5353448812566</v>
      </c>
      <c r="M67" s="10">
        <f t="shared" si="1"/>
        <v>2210</v>
      </c>
      <c r="N67" s="10">
        <f t="shared" si="2"/>
        <v>310264.94914013147</v>
      </c>
    </row>
    <row r="68" spans="9:14" x14ac:dyDescent="0.2">
      <c r="I68">
        <f t="shared" si="3"/>
        <v>51</v>
      </c>
      <c r="J68">
        <v>62</v>
      </c>
      <c r="K68" s="10">
        <f t="shared" si="4"/>
        <v>310264.94914013147</v>
      </c>
      <c r="L68" s="10">
        <f t="shared" si="5"/>
        <v>7756.6237285032876</v>
      </c>
      <c r="M68" s="10">
        <f t="shared" si="1"/>
        <v>2210</v>
      </c>
      <c r="N68" s="10">
        <f t="shared" si="2"/>
        <v>320231.57286863477</v>
      </c>
    </row>
    <row r="69" spans="9:14" x14ac:dyDescent="0.2">
      <c r="I69">
        <f t="shared" si="3"/>
        <v>51.5</v>
      </c>
      <c r="J69">
        <v>63</v>
      </c>
      <c r="K69" s="10">
        <f t="shared" si="4"/>
        <v>320231.57286863477</v>
      </c>
      <c r="L69" s="10">
        <f t="shared" si="5"/>
        <v>8005.7893217158698</v>
      </c>
      <c r="M69" s="10">
        <f t="shared" si="1"/>
        <v>2210</v>
      </c>
      <c r="N69" s="10">
        <f t="shared" si="2"/>
        <v>330447.36219035066</v>
      </c>
    </row>
    <row r="70" spans="9:14" x14ac:dyDescent="0.2">
      <c r="I70">
        <f t="shared" si="3"/>
        <v>52</v>
      </c>
      <c r="J70">
        <v>64</v>
      </c>
      <c r="K70" s="10">
        <f t="shared" si="4"/>
        <v>330447.36219035066</v>
      </c>
      <c r="L70" s="10">
        <f t="shared" si="5"/>
        <v>8261.1840547587672</v>
      </c>
      <c r="M70" s="10">
        <f t="shared" si="1"/>
        <v>2210</v>
      </c>
      <c r="N70" s="10">
        <f t="shared" si="2"/>
        <v>340918.54624510941</v>
      </c>
    </row>
    <row r="71" spans="9:14" x14ac:dyDescent="0.2">
      <c r="I71">
        <f t="shared" si="3"/>
        <v>52.5</v>
      </c>
      <c r="J71">
        <v>65</v>
      </c>
      <c r="K71" s="10">
        <f t="shared" si="4"/>
        <v>340918.54624510941</v>
      </c>
      <c r="L71" s="10">
        <f t="shared" si="5"/>
        <v>8522.9636561277348</v>
      </c>
      <c r="M71" s="10">
        <f t="shared" si="1"/>
        <v>2210</v>
      </c>
      <c r="N71" s="10">
        <f t="shared" si="2"/>
        <v>351651.50990123715</v>
      </c>
    </row>
    <row r="72" spans="9:14" x14ac:dyDescent="0.2">
      <c r="I72">
        <f t="shared" si="3"/>
        <v>53</v>
      </c>
      <c r="J72">
        <v>66</v>
      </c>
      <c r="K72" s="10">
        <f t="shared" si="4"/>
        <v>351651.50990123715</v>
      </c>
      <c r="L72" s="10">
        <f t="shared" ref="L72:L96" si="6">N71*(M$4)</f>
        <v>8791.2877475309288</v>
      </c>
      <c r="M72" s="10">
        <f t="shared" ref="M72:M96" si="7">85*26</f>
        <v>2210</v>
      </c>
      <c r="N72" s="10">
        <f t="shared" ref="N72:N96" si="8">K72+M72+L72</f>
        <v>362652.79764876806</v>
      </c>
    </row>
    <row r="73" spans="9:14" x14ac:dyDescent="0.2">
      <c r="I73">
        <f t="shared" ref="I73:I96" si="9">I72+0.5</f>
        <v>53.5</v>
      </c>
      <c r="J73">
        <v>67</v>
      </c>
      <c r="K73" s="10">
        <f t="shared" ref="K73:K96" si="10">N72</f>
        <v>362652.79764876806</v>
      </c>
      <c r="L73" s="10">
        <f t="shared" si="6"/>
        <v>9066.3199412192025</v>
      </c>
      <c r="M73" s="10">
        <f t="shared" si="7"/>
        <v>2210</v>
      </c>
      <c r="N73" s="10">
        <f t="shared" si="8"/>
        <v>373929.11758998723</v>
      </c>
    </row>
    <row r="74" spans="9:14" x14ac:dyDescent="0.2">
      <c r="I74">
        <f t="shared" si="9"/>
        <v>54</v>
      </c>
      <c r="J74">
        <v>68</v>
      </c>
      <c r="K74" s="10">
        <f t="shared" si="10"/>
        <v>373929.11758998723</v>
      </c>
      <c r="L74" s="10">
        <f t="shared" si="6"/>
        <v>9348.2279397496804</v>
      </c>
      <c r="M74" s="10">
        <f t="shared" si="7"/>
        <v>2210</v>
      </c>
      <c r="N74" s="10">
        <f t="shared" si="8"/>
        <v>385487.34552973689</v>
      </c>
    </row>
    <row r="75" spans="9:14" x14ac:dyDescent="0.2">
      <c r="I75">
        <f t="shared" si="9"/>
        <v>54.5</v>
      </c>
      <c r="J75">
        <v>69</v>
      </c>
      <c r="K75" s="10">
        <f t="shared" si="10"/>
        <v>385487.34552973689</v>
      </c>
      <c r="L75" s="10">
        <f t="shared" si="6"/>
        <v>9637.183638243423</v>
      </c>
      <c r="M75" s="10">
        <f t="shared" si="7"/>
        <v>2210</v>
      </c>
      <c r="N75" s="10">
        <f t="shared" si="8"/>
        <v>397334.5291679803</v>
      </c>
    </row>
    <row r="76" spans="9:14" x14ac:dyDescent="0.2">
      <c r="I76">
        <f t="shared" si="9"/>
        <v>55</v>
      </c>
      <c r="J76">
        <v>70</v>
      </c>
      <c r="K76" s="10">
        <f t="shared" si="10"/>
        <v>397334.5291679803</v>
      </c>
      <c r="L76" s="10">
        <f t="shared" si="6"/>
        <v>9933.3632291995091</v>
      </c>
      <c r="M76" s="10">
        <f t="shared" si="7"/>
        <v>2210</v>
      </c>
      <c r="N76" s="10">
        <f t="shared" si="8"/>
        <v>409477.89239717979</v>
      </c>
    </row>
    <row r="77" spans="9:14" x14ac:dyDescent="0.2">
      <c r="I77">
        <f t="shared" si="9"/>
        <v>55.5</v>
      </c>
      <c r="J77">
        <v>71</v>
      </c>
      <c r="K77" s="10">
        <f t="shared" si="10"/>
        <v>409477.89239717979</v>
      </c>
      <c r="L77" s="10">
        <f t="shared" si="6"/>
        <v>10236.947309929496</v>
      </c>
      <c r="M77" s="10">
        <f t="shared" si="7"/>
        <v>2210</v>
      </c>
      <c r="N77" s="10">
        <f t="shared" si="8"/>
        <v>421924.83970710926</v>
      </c>
    </row>
    <row r="78" spans="9:14" x14ac:dyDescent="0.2">
      <c r="I78">
        <f t="shared" si="9"/>
        <v>56</v>
      </c>
      <c r="J78">
        <v>72</v>
      </c>
      <c r="K78" s="10">
        <f t="shared" si="10"/>
        <v>421924.83970710926</v>
      </c>
      <c r="L78" s="10">
        <f t="shared" si="6"/>
        <v>10548.120992677732</v>
      </c>
      <c r="M78" s="10">
        <f t="shared" si="7"/>
        <v>2210</v>
      </c>
      <c r="N78" s="10">
        <f t="shared" si="8"/>
        <v>434682.96069978701</v>
      </c>
    </row>
    <row r="79" spans="9:14" x14ac:dyDescent="0.2">
      <c r="I79">
        <f t="shared" si="9"/>
        <v>56.5</v>
      </c>
      <c r="J79">
        <v>73</v>
      </c>
      <c r="K79" s="10">
        <f t="shared" si="10"/>
        <v>434682.96069978701</v>
      </c>
      <c r="L79" s="10">
        <f t="shared" si="6"/>
        <v>10867.074017494677</v>
      </c>
      <c r="M79" s="10">
        <f t="shared" si="7"/>
        <v>2210</v>
      </c>
      <c r="N79" s="10">
        <f t="shared" si="8"/>
        <v>447760.0347172817</v>
      </c>
    </row>
    <row r="80" spans="9:14" x14ac:dyDescent="0.2">
      <c r="I80">
        <f t="shared" si="9"/>
        <v>57</v>
      </c>
      <c r="J80">
        <v>74</v>
      </c>
      <c r="K80" s="10">
        <f t="shared" si="10"/>
        <v>447760.0347172817</v>
      </c>
      <c r="L80" s="10">
        <f t="shared" si="6"/>
        <v>11194.000867932044</v>
      </c>
      <c r="M80" s="10">
        <f t="shared" si="7"/>
        <v>2210</v>
      </c>
      <c r="N80" s="10">
        <f t="shared" si="8"/>
        <v>461164.03558521374</v>
      </c>
    </row>
    <row r="81" spans="9:14" x14ac:dyDescent="0.2">
      <c r="I81">
        <f t="shared" si="9"/>
        <v>57.5</v>
      </c>
      <c r="J81">
        <v>75</v>
      </c>
      <c r="K81" s="10">
        <f t="shared" si="10"/>
        <v>461164.03558521374</v>
      </c>
      <c r="L81" s="10">
        <f t="shared" si="6"/>
        <v>11529.100889630345</v>
      </c>
      <c r="M81" s="10">
        <f t="shared" si="7"/>
        <v>2210</v>
      </c>
      <c r="N81" s="10">
        <f t="shared" si="8"/>
        <v>474903.13647484407</v>
      </c>
    </row>
    <row r="82" spans="9:14" x14ac:dyDescent="0.2">
      <c r="I82">
        <f t="shared" si="9"/>
        <v>58</v>
      </c>
      <c r="J82">
        <v>76</v>
      </c>
      <c r="K82" s="10">
        <f t="shared" si="10"/>
        <v>474903.13647484407</v>
      </c>
      <c r="L82" s="10">
        <f t="shared" si="6"/>
        <v>11872.578411871102</v>
      </c>
      <c r="M82" s="10">
        <f t="shared" si="7"/>
        <v>2210</v>
      </c>
      <c r="N82" s="10">
        <f t="shared" si="8"/>
        <v>488985.71488671517</v>
      </c>
    </row>
    <row r="83" spans="9:14" x14ac:dyDescent="0.2">
      <c r="I83">
        <f t="shared" si="9"/>
        <v>58.5</v>
      </c>
      <c r="J83">
        <v>77</v>
      </c>
      <c r="K83" s="10">
        <f t="shared" si="10"/>
        <v>488985.71488671517</v>
      </c>
      <c r="L83" s="10">
        <f t="shared" si="6"/>
        <v>12224.64287216788</v>
      </c>
      <c r="M83" s="10">
        <f t="shared" si="7"/>
        <v>2210</v>
      </c>
      <c r="N83" s="10">
        <f t="shared" si="8"/>
        <v>503420.35775888304</v>
      </c>
    </row>
    <row r="84" spans="9:14" x14ac:dyDescent="0.2">
      <c r="I84">
        <f t="shared" si="9"/>
        <v>59</v>
      </c>
      <c r="J84">
        <v>78</v>
      </c>
      <c r="K84" s="10">
        <f t="shared" si="10"/>
        <v>503420.35775888304</v>
      </c>
      <c r="L84" s="10">
        <f t="shared" si="6"/>
        <v>12585.508943972076</v>
      </c>
      <c r="M84" s="10">
        <f t="shared" si="7"/>
        <v>2210</v>
      </c>
      <c r="N84" s="10">
        <f t="shared" si="8"/>
        <v>518215.8667028551</v>
      </c>
    </row>
    <row r="85" spans="9:14" x14ac:dyDescent="0.2">
      <c r="I85">
        <f t="shared" si="9"/>
        <v>59.5</v>
      </c>
      <c r="J85">
        <v>79</v>
      </c>
      <c r="K85" s="10">
        <f t="shared" si="10"/>
        <v>518215.8667028551</v>
      </c>
      <c r="L85" s="10">
        <f t="shared" si="6"/>
        <v>12955.396667571378</v>
      </c>
      <c r="M85" s="10">
        <f t="shared" si="7"/>
        <v>2210</v>
      </c>
      <c r="N85" s="10">
        <f t="shared" si="8"/>
        <v>533381.26337042649</v>
      </c>
    </row>
    <row r="86" spans="9:14" x14ac:dyDescent="0.2">
      <c r="I86">
        <f t="shared" si="9"/>
        <v>60</v>
      </c>
      <c r="J86">
        <v>80</v>
      </c>
      <c r="K86" s="10">
        <f t="shared" si="10"/>
        <v>533381.26337042649</v>
      </c>
      <c r="L86" s="10">
        <f t="shared" si="6"/>
        <v>13334.531584260663</v>
      </c>
      <c r="M86" s="10">
        <f t="shared" si="7"/>
        <v>2210</v>
      </c>
      <c r="N86" s="10">
        <f t="shared" si="8"/>
        <v>548925.79495468712</v>
      </c>
    </row>
    <row r="87" spans="9:14" x14ac:dyDescent="0.2">
      <c r="I87">
        <f t="shared" si="9"/>
        <v>60.5</v>
      </c>
      <c r="J87">
        <v>81</v>
      </c>
      <c r="K87" s="10">
        <f t="shared" si="10"/>
        <v>548925.79495468712</v>
      </c>
      <c r="L87" s="10">
        <f t="shared" si="6"/>
        <v>13723.144873867179</v>
      </c>
      <c r="M87" s="10">
        <f t="shared" si="7"/>
        <v>2210</v>
      </c>
      <c r="N87" s="10">
        <f t="shared" si="8"/>
        <v>564858.93982855428</v>
      </c>
    </row>
    <row r="88" spans="9:14" x14ac:dyDescent="0.2">
      <c r="I88">
        <f t="shared" si="9"/>
        <v>61</v>
      </c>
      <c r="J88">
        <v>82</v>
      </c>
      <c r="K88" s="10">
        <f t="shared" si="10"/>
        <v>564858.93982855428</v>
      </c>
      <c r="L88" s="10">
        <f t="shared" si="6"/>
        <v>14121.473495713857</v>
      </c>
      <c r="M88" s="10">
        <f t="shared" si="7"/>
        <v>2210</v>
      </c>
      <c r="N88" s="10">
        <f t="shared" si="8"/>
        <v>581190.41332426819</v>
      </c>
    </row>
    <row r="89" spans="9:14" x14ac:dyDescent="0.2">
      <c r="I89">
        <f t="shared" si="9"/>
        <v>61.5</v>
      </c>
      <c r="J89">
        <v>83</v>
      </c>
      <c r="K89" s="10">
        <f t="shared" si="10"/>
        <v>581190.41332426819</v>
      </c>
      <c r="L89" s="10">
        <f t="shared" si="6"/>
        <v>14529.760333106706</v>
      </c>
      <c r="M89" s="10">
        <f t="shared" si="7"/>
        <v>2210</v>
      </c>
      <c r="N89" s="10">
        <f t="shared" si="8"/>
        <v>597930.17365737492</v>
      </c>
    </row>
    <row r="90" spans="9:14" x14ac:dyDescent="0.2">
      <c r="I90">
        <f t="shared" si="9"/>
        <v>62</v>
      </c>
      <c r="J90">
        <v>84</v>
      </c>
      <c r="K90" s="10">
        <f t="shared" si="10"/>
        <v>597930.17365737492</v>
      </c>
      <c r="L90" s="10">
        <f t="shared" si="6"/>
        <v>14948.254341434375</v>
      </c>
      <c r="M90" s="10">
        <f t="shared" si="7"/>
        <v>2210</v>
      </c>
      <c r="N90" s="10">
        <f t="shared" si="8"/>
        <v>615088.42799880926</v>
      </c>
    </row>
    <row r="91" spans="9:14" x14ac:dyDescent="0.2">
      <c r="I91">
        <f t="shared" si="9"/>
        <v>62.5</v>
      </c>
      <c r="J91">
        <v>85</v>
      </c>
      <c r="K91" s="10">
        <f t="shared" si="10"/>
        <v>615088.42799880926</v>
      </c>
      <c r="L91" s="10">
        <f t="shared" si="6"/>
        <v>15377.210699970232</v>
      </c>
      <c r="M91" s="10">
        <f t="shared" si="7"/>
        <v>2210</v>
      </c>
      <c r="N91" s="10">
        <f t="shared" si="8"/>
        <v>632675.63869877951</v>
      </c>
    </row>
    <row r="92" spans="9:14" x14ac:dyDescent="0.2">
      <c r="I92">
        <f t="shared" si="9"/>
        <v>63</v>
      </c>
      <c r="J92">
        <v>86</v>
      </c>
      <c r="K92" s="10">
        <f t="shared" si="10"/>
        <v>632675.63869877951</v>
      </c>
      <c r="L92" s="10">
        <f t="shared" si="6"/>
        <v>15816.890967469488</v>
      </c>
      <c r="M92" s="10">
        <f t="shared" si="7"/>
        <v>2210</v>
      </c>
      <c r="N92" s="10">
        <f t="shared" si="8"/>
        <v>650702.52966624894</v>
      </c>
    </row>
    <row r="93" spans="9:14" x14ac:dyDescent="0.2">
      <c r="I93">
        <f t="shared" si="9"/>
        <v>63.5</v>
      </c>
      <c r="J93">
        <v>87</v>
      </c>
      <c r="K93" s="10">
        <f t="shared" si="10"/>
        <v>650702.52966624894</v>
      </c>
      <c r="L93" s="10">
        <f t="shared" si="6"/>
        <v>16267.563241656224</v>
      </c>
      <c r="M93" s="10">
        <f t="shared" si="7"/>
        <v>2210</v>
      </c>
      <c r="N93" s="10">
        <f t="shared" si="8"/>
        <v>669180.09290790511</v>
      </c>
    </row>
    <row r="94" spans="9:14" x14ac:dyDescent="0.2">
      <c r="I94">
        <f t="shared" si="9"/>
        <v>64</v>
      </c>
      <c r="J94">
        <v>88</v>
      </c>
      <c r="K94" s="10">
        <f t="shared" si="10"/>
        <v>669180.09290790511</v>
      </c>
      <c r="L94" s="10">
        <f t="shared" si="6"/>
        <v>16729.50232269763</v>
      </c>
      <c r="M94" s="10">
        <f t="shared" si="7"/>
        <v>2210</v>
      </c>
      <c r="N94" s="10">
        <f t="shared" si="8"/>
        <v>688119.59523060278</v>
      </c>
    </row>
    <row r="95" spans="9:14" x14ac:dyDescent="0.2">
      <c r="I95">
        <f t="shared" si="9"/>
        <v>64.5</v>
      </c>
      <c r="J95">
        <v>89</v>
      </c>
      <c r="K95" s="10">
        <f t="shared" si="10"/>
        <v>688119.59523060278</v>
      </c>
      <c r="L95" s="10">
        <f t="shared" si="6"/>
        <v>17202.989880765072</v>
      </c>
      <c r="M95" s="10">
        <f t="shared" si="7"/>
        <v>2210</v>
      </c>
      <c r="N95" s="10">
        <f t="shared" si="8"/>
        <v>707532.58511136787</v>
      </c>
    </row>
    <row r="96" spans="9:14" ht="19" x14ac:dyDescent="0.25">
      <c r="I96">
        <f t="shared" si="9"/>
        <v>65</v>
      </c>
      <c r="J96">
        <v>90</v>
      </c>
      <c r="K96" s="10">
        <f t="shared" si="10"/>
        <v>707532.58511136787</v>
      </c>
      <c r="L96" s="10">
        <f t="shared" si="6"/>
        <v>17688.314627784199</v>
      </c>
      <c r="M96" s="10">
        <f t="shared" si="7"/>
        <v>2210</v>
      </c>
      <c r="N96" s="82">
        <f t="shared" si="8"/>
        <v>727430.89973915205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1"/>
  <sheetViews>
    <sheetView zoomScale="110" zoomScaleNormal="110" workbookViewId="0">
      <selection activeCell="N12" sqref="N12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20.1640625" customWidth="1"/>
    <col min="4" max="4" width="3.83203125" customWidth="1"/>
    <col min="5" max="5" width="6.33203125" customWidth="1"/>
    <col min="6" max="6" width="15.6640625" customWidth="1"/>
    <col min="7" max="7" width="6" customWidth="1"/>
    <col min="8" max="8" width="4" customWidth="1"/>
    <col min="9" max="9" width="6.33203125" customWidth="1"/>
    <col min="10" max="10" width="10.83203125" customWidth="1"/>
    <col min="11" max="11" width="20" customWidth="1"/>
    <col min="12" max="12" width="6.33203125" customWidth="1"/>
    <col min="13" max="13" width="4.33203125" customWidth="1"/>
    <col min="14" max="14" width="19.5" customWidth="1"/>
  </cols>
  <sheetData>
    <row r="1" spans="1:14" x14ac:dyDescent="0.2">
      <c r="A1" s="34" t="s">
        <v>255</v>
      </c>
    </row>
    <row r="2" spans="1:14" x14ac:dyDescent="0.2">
      <c r="B2" s="84" t="s">
        <v>9</v>
      </c>
      <c r="C2" s="3"/>
      <c r="I2" s="84" t="s">
        <v>256</v>
      </c>
      <c r="J2" s="3"/>
      <c r="K2" s="3"/>
      <c r="L2" s="3"/>
      <c r="N2" s="84" t="s">
        <v>70</v>
      </c>
    </row>
    <row r="4" spans="1:14" x14ac:dyDescent="0.2">
      <c r="B4" t="s">
        <v>6</v>
      </c>
      <c r="C4" s="23">
        <v>7.0000000000000007E-2</v>
      </c>
      <c r="I4" t="s">
        <v>11</v>
      </c>
      <c r="J4" t="s">
        <v>64</v>
      </c>
      <c r="K4" t="s">
        <v>65</v>
      </c>
      <c r="N4" s="2">
        <f>-PMT(C4,C5,C6)</f>
        <v>142.37750272736474</v>
      </c>
    </row>
    <row r="5" spans="1:14" x14ac:dyDescent="0.2">
      <c r="B5" t="s">
        <v>144</v>
      </c>
      <c r="C5" s="25">
        <v>10</v>
      </c>
    </row>
    <row r="6" spans="1:14" x14ac:dyDescent="0.2">
      <c r="B6" t="s">
        <v>161</v>
      </c>
      <c r="C6" s="25">
        <v>1000</v>
      </c>
      <c r="I6">
        <v>1</v>
      </c>
      <c r="J6" s="8">
        <v>142.37750272736474</v>
      </c>
      <c r="K6" s="1">
        <f>J6/(1+$C$4)^I6</f>
        <v>133.06308666108853</v>
      </c>
    </row>
    <row r="7" spans="1:14" x14ac:dyDescent="0.2">
      <c r="I7">
        <v>2</v>
      </c>
      <c r="J7" s="1">
        <f>J6</f>
        <v>142.37750272736474</v>
      </c>
      <c r="K7" s="1">
        <f t="shared" ref="K7:K15" si="0">J7/(1+$C$4)^I7</f>
        <v>124.35802491690518</v>
      </c>
    </row>
    <row r="8" spans="1:14" x14ac:dyDescent="0.2">
      <c r="B8" t="s">
        <v>254</v>
      </c>
      <c r="C8" s="66">
        <f>C4*((1+C4)^C5)/((1+C4)^C5-1)</f>
        <v>0.14237750272736471</v>
      </c>
      <c r="I8">
        <v>3</v>
      </c>
      <c r="J8" s="1">
        <f t="shared" ref="J8:J15" si="1">J7</f>
        <v>142.37750272736474</v>
      </c>
      <c r="K8" s="1">
        <f t="shared" si="0"/>
        <v>116.22245319336932</v>
      </c>
    </row>
    <row r="9" spans="1:14" x14ac:dyDescent="0.2">
      <c r="I9">
        <v>4</v>
      </c>
      <c r="J9" s="1">
        <f t="shared" si="1"/>
        <v>142.37750272736474</v>
      </c>
      <c r="K9" s="1">
        <f t="shared" si="0"/>
        <v>108.61911513399002</v>
      </c>
    </row>
    <row r="10" spans="1:14" x14ac:dyDescent="0.2">
      <c r="B10" t="s">
        <v>93</v>
      </c>
      <c r="C10" s="45">
        <f>C8*C6</f>
        <v>142.37750272736471</v>
      </c>
      <c r="I10">
        <v>5</v>
      </c>
      <c r="J10" s="1">
        <f t="shared" si="1"/>
        <v>142.37750272736474</v>
      </c>
      <c r="K10" s="1">
        <f t="shared" si="0"/>
        <v>101.51319171400935</v>
      </c>
      <c r="L10" s="1"/>
    </row>
    <row r="11" spans="1:14" x14ac:dyDescent="0.2">
      <c r="I11">
        <v>6</v>
      </c>
      <c r="J11" s="1">
        <f t="shared" si="1"/>
        <v>142.37750272736474</v>
      </c>
      <c r="K11" s="1">
        <f t="shared" si="0"/>
        <v>94.872141788793797</v>
      </c>
      <c r="L11" s="1"/>
    </row>
    <row r="12" spans="1:14" x14ac:dyDescent="0.2">
      <c r="I12">
        <v>7</v>
      </c>
      <c r="J12" s="1">
        <f t="shared" si="1"/>
        <v>142.37750272736474</v>
      </c>
      <c r="K12" s="1">
        <f t="shared" si="0"/>
        <v>88.66555307363906</v>
      </c>
      <c r="L12" s="1"/>
    </row>
    <row r="13" spans="1:14" x14ac:dyDescent="0.2">
      <c r="I13">
        <v>8</v>
      </c>
      <c r="J13" s="1">
        <f t="shared" si="1"/>
        <v>142.37750272736474</v>
      </c>
      <c r="K13" s="1">
        <f t="shared" si="0"/>
        <v>82.86500287255987</v>
      </c>
      <c r="L13" s="1"/>
    </row>
    <row r="14" spans="1:14" x14ac:dyDescent="0.2">
      <c r="I14">
        <v>9</v>
      </c>
      <c r="J14" s="1">
        <f t="shared" si="1"/>
        <v>142.37750272736474</v>
      </c>
      <c r="K14" s="1">
        <f t="shared" si="0"/>
        <v>77.443927918280238</v>
      </c>
      <c r="L14" s="1"/>
    </row>
    <row r="15" spans="1:14" x14ac:dyDescent="0.2">
      <c r="I15">
        <v>10</v>
      </c>
      <c r="J15" s="1">
        <f t="shared" si="1"/>
        <v>142.37750272736474</v>
      </c>
      <c r="K15" s="1">
        <f t="shared" si="0"/>
        <v>72.377502727364714</v>
      </c>
      <c r="L15" s="1"/>
    </row>
    <row r="17" spans="9:12" x14ac:dyDescent="0.2">
      <c r="I17" t="s">
        <v>17</v>
      </c>
      <c r="K17" s="85">
        <f>SUM(K6:K15)</f>
        <v>1000.0000000000001</v>
      </c>
    </row>
    <row r="21" spans="9:12" x14ac:dyDescent="0.2">
      <c r="L21" s="24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25"/>
  <sheetViews>
    <sheetView zoomScale="85" zoomScaleNormal="85" workbookViewId="0">
      <selection activeCell="C11" sqref="C11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20.1640625" customWidth="1"/>
    <col min="4" max="4" width="3.83203125" customWidth="1"/>
    <col min="5" max="5" width="6.33203125" customWidth="1"/>
    <col min="6" max="6" width="15.6640625" customWidth="1"/>
    <col min="7" max="7" width="17.6640625" customWidth="1"/>
    <col min="8" max="8" width="4" customWidth="1"/>
    <col min="9" max="9" width="6.33203125" customWidth="1"/>
    <col min="10" max="10" width="14.5" customWidth="1"/>
    <col min="11" max="11" width="18.5" customWidth="1"/>
    <col min="12" max="12" width="15.5" customWidth="1"/>
    <col min="13" max="13" width="20" customWidth="1"/>
    <col min="14" max="14" width="4.33203125" customWidth="1"/>
    <col min="15" max="15" width="19.5" customWidth="1"/>
    <col min="16" max="16" width="14.83203125" customWidth="1"/>
    <col min="17" max="17" width="11.83203125" customWidth="1"/>
  </cols>
  <sheetData>
    <row r="1" spans="1:18" x14ac:dyDescent="0.2">
      <c r="A1" s="34" t="s">
        <v>257</v>
      </c>
    </row>
    <row r="2" spans="1:18" x14ac:dyDescent="0.2">
      <c r="B2" s="84" t="s">
        <v>9</v>
      </c>
      <c r="C2" s="3"/>
      <c r="I2" s="84" t="s">
        <v>279</v>
      </c>
      <c r="J2" s="3"/>
      <c r="K2" s="3"/>
      <c r="L2" s="3"/>
      <c r="M2" s="3"/>
      <c r="O2" s="84" t="s">
        <v>276</v>
      </c>
    </row>
    <row r="4" spans="1:18" x14ac:dyDescent="0.2">
      <c r="B4" t="s">
        <v>6</v>
      </c>
      <c r="C4" s="23">
        <v>7.0000000000000007E-2</v>
      </c>
      <c r="I4" t="s">
        <v>266</v>
      </c>
      <c r="O4" t="s">
        <v>271</v>
      </c>
    </row>
    <row r="5" spans="1:18" x14ac:dyDescent="0.2">
      <c r="B5" t="s">
        <v>144</v>
      </c>
      <c r="C5" s="25">
        <v>10</v>
      </c>
      <c r="J5" t="s">
        <v>267</v>
      </c>
      <c r="K5" s="1">
        <f>C7/(1+C4)^C5</f>
        <v>-101.66985842694356</v>
      </c>
      <c r="O5" t="s">
        <v>272</v>
      </c>
    </row>
    <row r="6" spans="1:18" x14ac:dyDescent="0.2">
      <c r="B6" t="s">
        <v>262</v>
      </c>
      <c r="C6" s="25">
        <v>1000</v>
      </c>
      <c r="O6" t="s">
        <v>273</v>
      </c>
    </row>
    <row r="7" spans="1:18" x14ac:dyDescent="0.2">
      <c r="B7" t="s">
        <v>258</v>
      </c>
      <c r="C7" s="25">
        <v>-200</v>
      </c>
      <c r="I7" t="s">
        <v>268</v>
      </c>
    </row>
    <row r="8" spans="1:18" x14ac:dyDescent="0.2">
      <c r="J8" s="87" t="s">
        <v>269</v>
      </c>
      <c r="K8" s="1">
        <f>C6+K5</f>
        <v>898.33014157305638</v>
      </c>
      <c r="O8" t="s">
        <v>278</v>
      </c>
      <c r="P8" s="2"/>
      <c r="Q8" s="2"/>
    </row>
    <row r="9" spans="1:18" x14ac:dyDescent="0.2">
      <c r="B9" t="s">
        <v>254</v>
      </c>
      <c r="C9" s="66">
        <f>C4*((1+C4)^C5)/((1+C4)^C5-1)</f>
        <v>0.14237750272736471</v>
      </c>
    </row>
    <row r="10" spans="1:18" x14ac:dyDescent="0.2">
      <c r="I10" t="s">
        <v>270</v>
      </c>
      <c r="O10" t="s">
        <v>11</v>
      </c>
      <c r="P10" s="3" t="s">
        <v>274</v>
      </c>
      <c r="Q10" s="3" t="s">
        <v>275</v>
      </c>
      <c r="R10" s="3" t="s">
        <v>277</v>
      </c>
    </row>
    <row r="11" spans="1:18" x14ac:dyDescent="0.2">
      <c r="B11" t="s">
        <v>261</v>
      </c>
      <c r="C11" s="45">
        <f>C9*C6</f>
        <v>142.37750272736471</v>
      </c>
      <c r="I11" t="s">
        <v>11</v>
      </c>
      <c r="J11" t="s">
        <v>64</v>
      </c>
      <c r="K11" t="s">
        <v>65</v>
      </c>
      <c r="O11">
        <v>0</v>
      </c>
      <c r="P11" s="89">
        <v>1000</v>
      </c>
      <c r="Q11" s="88"/>
      <c r="R11" s="1">
        <f>(P11+Q11)/(1+$C$4)^O11</f>
        <v>1000</v>
      </c>
    </row>
    <row r="12" spans="1:18" x14ac:dyDescent="0.2">
      <c r="E12" t="s">
        <v>263</v>
      </c>
      <c r="I12">
        <v>1</v>
      </c>
      <c r="J12" s="8">
        <v>127.90198202507355</v>
      </c>
      <c r="K12" s="1">
        <f t="shared" ref="K12:K20" si="0">J12/(1+$C$4)^I12</f>
        <v>119.53456264025564</v>
      </c>
      <c r="O12">
        <v>1</v>
      </c>
      <c r="P12" s="1">
        <v>0</v>
      </c>
      <c r="Q12" s="8">
        <v>-127.90200218189177</v>
      </c>
      <c r="R12" s="1">
        <f t="shared" ref="R12:R21" si="1">(P12+Q12)/(1+$C$4)^O12</f>
        <v>-119.53458147840352</v>
      </c>
    </row>
    <row r="13" spans="1:18" x14ac:dyDescent="0.2">
      <c r="B13" t="s">
        <v>259</v>
      </c>
      <c r="C13" s="45">
        <f>C7/(1+C4)^C5</f>
        <v>-101.66985842694356</v>
      </c>
      <c r="I13">
        <v>2</v>
      </c>
      <c r="J13" s="1">
        <f>J12</f>
        <v>127.90198202507355</v>
      </c>
      <c r="K13" s="1">
        <f t="shared" si="0"/>
        <v>111.71454452360341</v>
      </c>
      <c r="O13">
        <v>2</v>
      </c>
      <c r="P13" s="1">
        <v>0</v>
      </c>
      <c r="Q13" s="1">
        <f>Q12</f>
        <v>-127.90200218189177</v>
      </c>
      <c r="R13" s="1">
        <f t="shared" si="1"/>
        <v>-111.71456212934909</v>
      </c>
    </row>
    <row r="14" spans="1:18" x14ac:dyDescent="0.2">
      <c r="E14" t="s">
        <v>264</v>
      </c>
      <c r="I14">
        <v>3</v>
      </c>
      <c r="J14" s="1">
        <f t="shared" ref="J14:J21" si="2">J13</f>
        <v>127.90198202507355</v>
      </c>
      <c r="K14" s="1">
        <f t="shared" si="0"/>
        <v>104.40611637719944</v>
      </c>
      <c r="O14">
        <v>3</v>
      </c>
      <c r="P14" s="1">
        <v>0</v>
      </c>
      <c r="Q14" s="1">
        <f t="shared" ref="Q14:Q21" si="3">Q13</f>
        <v>-127.90200218189177</v>
      </c>
      <c r="R14" s="1">
        <f t="shared" si="1"/>
        <v>-104.40613283116737</v>
      </c>
    </row>
    <row r="15" spans="1:18" x14ac:dyDescent="0.2">
      <c r="B15" t="s">
        <v>260</v>
      </c>
      <c r="C15" s="45">
        <f>C9*C13</f>
        <v>-14.475500545472942</v>
      </c>
      <c r="I15">
        <v>4</v>
      </c>
      <c r="J15" s="1">
        <f t="shared" si="2"/>
        <v>127.90198202507355</v>
      </c>
      <c r="K15" s="1">
        <f t="shared" si="0"/>
        <v>97.575809698317244</v>
      </c>
      <c r="O15">
        <v>4</v>
      </c>
      <c r="P15" s="1">
        <v>0</v>
      </c>
      <c r="Q15" s="1">
        <f t="shared" si="3"/>
        <v>-127.90200218189177</v>
      </c>
      <c r="R15" s="1">
        <f t="shared" si="1"/>
        <v>-97.575825075857352</v>
      </c>
    </row>
    <row r="16" spans="1:18" x14ac:dyDescent="0.2">
      <c r="I16">
        <v>5</v>
      </c>
      <c r="J16" s="1">
        <f t="shared" si="2"/>
        <v>127.90198202507355</v>
      </c>
      <c r="K16" s="1">
        <f t="shared" si="0"/>
        <v>91.192345512446011</v>
      </c>
      <c r="O16">
        <v>5</v>
      </c>
      <c r="P16" s="1">
        <v>0</v>
      </c>
      <c r="Q16" s="1">
        <f t="shared" si="3"/>
        <v>-127.90200218189177</v>
      </c>
      <c r="R16" s="1">
        <f t="shared" si="1"/>
        <v>-91.192359883978824</v>
      </c>
    </row>
    <row r="17" spans="2:18" x14ac:dyDescent="0.2">
      <c r="B17" t="s">
        <v>265</v>
      </c>
      <c r="C17" s="46">
        <f>C11+C15</f>
        <v>127.90200218189177</v>
      </c>
      <c r="I17">
        <v>6</v>
      </c>
      <c r="J17" s="1">
        <f t="shared" si="2"/>
        <v>127.90198202507355</v>
      </c>
      <c r="K17" s="1">
        <f t="shared" si="0"/>
        <v>85.226491133127126</v>
      </c>
      <c r="O17">
        <v>6</v>
      </c>
      <c r="P17" s="1">
        <v>0</v>
      </c>
      <c r="Q17" s="1">
        <f t="shared" si="3"/>
        <v>-127.90200218189177</v>
      </c>
      <c r="R17" s="1">
        <f t="shared" si="1"/>
        <v>-85.226504564466197</v>
      </c>
    </row>
    <row r="18" spans="2:18" x14ac:dyDescent="0.2">
      <c r="I18">
        <v>7</v>
      </c>
      <c r="J18" s="1">
        <f t="shared" si="2"/>
        <v>127.90198202507355</v>
      </c>
      <c r="K18" s="1">
        <f t="shared" si="0"/>
        <v>79.650926292642168</v>
      </c>
      <c r="O18">
        <v>7</v>
      </c>
      <c r="P18" s="1">
        <v>0</v>
      </c>
      <c r="Q18" s="1">
        <f t="shared" si="3"/>
        <v>-127.90200218189177</v>
      </c>
      <c r="R18" s="1">
        <f t="shared" si="1"/>
        <v>-79.650938845295514</v>
      </c>
    </row>
    <row r="19" spans="2:18" x14ac:dyDescent="0.2">
      <c r="I19">
        <v>8</v>
      </c>
      <c r="J19" s="1">
        <f t="shared" si="2"/>
        <v>127.90198202507355</v>
      </c>
      <c r="K19" s="1">
        <f t="shared" si="0"/>
        <v>74.440118030506696</v>
      </c>
      <c r="O19">
        <v>8</v>
      </c>
      <c r="P19" s="1">
        <v>0</v>
      </c>
      <c r="Q19" s="1">
        <f t="shared" si="3"/>
        <v>-127.90200218189177</v>
      </c>
      <c r="R19" s="1">
        <f t="shared" si="1"/>
        <v>-74.440129761958417</v>
      </c>
    </row>
    <row r="20" spans="2:18" x14ac:dyDescent="0.2">
      <c r="I20">
        <v>9</v>
      </c>
      <c r="J20" s="1">
        <f t="shared" si="2"/>
        <v>127.90198202507355</v>
      </c>
      <c r="K20" s="1">
        <f t="shared" si="0"/>
        <v>69.570203766828683</v>
      </c>
      <c r="O20">
        <v>9</v>
      </c>
      <c r="P20" s="1">
        <v>0</v>
      </c>
      <c r="Q20" s="1">
        <f t="shared" si="3"/>
        <v>-127.90200218189177</v>
      </c>
      <c r="R20" s="1">
        <f t="shared" si="1"/>
        <v>-69.570214730802263</v>
      </c>
    </row>
    <row r="21" spans="2:18" x14ac:dyDescent="0.2">
      <c r="C21" s="2">
        <f>PMT(C4,C5,C6,C7)</f>
        <v>-127.90200218189179</v>
      </c>
      <c r="I21">
        <v>10</v>
      </c>
      <c r="J21" s="1">
        <f t="shared" si="2"/>
        <v>127.90198202507355</v>
      </c>
      <c r="K21" s="1">
        <f>(J21)/(1+$C$4)^I21</f>
        <v>65.018882025073538</v>
      </c>
      <c r="O21">
        <v>10</v>
      </c>
      <c r="P21" s="1">
        <v>-200</v>
      </c>
      <c r="Q21" s="1">
        <f t="shared" si="3"/>
        <v>-127.90200218189177</v>
      </c>
      <c r="R21" s="1">
        <f t="shared" si="1"/>
        <v>-166.68875069872138</v>
      </c>
    </row>
    <row r="23" spans="2:18" x14ac:dyDescent="0.2">
      <c r="I23" t="s">
        <v>17</v>
      </c>
      <c r="K23" s="85">
        <f>SUM(K12:K21)</f>
        <v>898.32999999999993</v>
      </c>
      <c r="O23" t="s">
        <v>17</v>
      </c>
      <c r="R23" s="90">
        <f>SUM(R11:R21)</f>
        <v>0</v>
      </c>
    </row>
    <row r="25" spans="2:18" x14ac:dyDescent="0.2">
      <c r="J25" s="8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"/>
  <sheetViews>
    <sheetView zoomScale="130" zoomScaleNormal="130" workbookViewId="0">
      <selection activeCell="A12" sqref="A12"/>
    </sheetView>
  </sheetViews>
  <sheetFormatPr baseColWidth="10" defaultColWidth="8.83203125" defaultRowHeight="15" x14ac:dyDescent="0.2"/>
  <cols>
    <col min="1" max="1" width="3.6640625" customWidth="1"/>
    <col min="2" max="2" width="34" customWidth="1"/>
    <col min="3" max="3" width="11.5" customWidth="1"/>
    <col min="4" max="4" width="4.33203125" customWidth="1"/>
    <col min="5" max="5" width="3.5" customWidth="1"/>
    <col min="6" max="6" width="6" customWidth="1"/>
    <col min="7" max="7" width="16.83203125" customWidth="1"/>
    <col min="8" max="8" width="19.33203125" customWidth="1"/>
    <col min="9" max="9" width="10.5" customWidth="1"/>
    <col min="11" max="11" width="13.1640625" customWidth="1"/>
    <col min="12" max="12" width="16.5" customWidth="1"/>
    <col min="13" max="13" width="6.1640625" customWidth="1"/>
    <col min="16" max="16" width="10" customWidth="1"/>
    <col min="18" max="18" width="9.6640625" bestFit="1" customWidth="1"/>
    <col min="19" max="19" width="3.5" customWidth="1"/>
    <col min="20" max="20" width="6.6640625" customWidth="1"/>
    <col min="21" max="21" width="9.5" customWidth="1"/>
    <col min="22" max="22" width="8.6640625" customWidth="1"/>
    <col min="25" max="25" width="2.83203125" customWidth="1"/>
    <col min="26" max="26" width="11.5" customWidth="1"/>
    <col min="27" max="27" width="10.83203125" customWidth="1"/>
  </cols>
  <sheetData>
    <row r="1" spans="1:27" x14ac:dyDescent="0.2">
      <c r="A1" t="s">
        <v>0</v>
      </c>
      <c r="C1" t="s">
        <v>1</v>
      </c>
    </row>
    <row r="4" spans="1:27" x14ac:dyDescent="0.2">
      <c r="B4" s="3" t="s">
        <v>146</v>
      </c>
      <c r="C4" s="3"/>
      <c r="F4" s="3" t="s">
        <v>147</v>
      </c>
      <c r="G4" s="3"/>
      <c r="H4" s="3"/>
      <c r="I4" s="3"/>
      <c r="K4" s="3" t="s">
        <v>148</v>
      </c>
      <c r="L4" s="3"/>
      <c r="N4" s="3" t="s">
        <v>149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8" x14ac:dyDescent="0.2">
      <c r="T5" s="3" t="s">
        <v>136</v>
      </c>
      <c r="U5" s="48" t="s">
        <v>145</v>
      </c>
      <c r="V5" s="48" t="s">
        <v>133</v>
      </c>
      <c r="W5" s="48" t="s">
        <v>134</v>
      </c>
      <c r="X5" s="48" t="s">
        <v>131</v>
      </c>
      <c r="Y5" s="3"/>
      <c r="Z5" s="48" t="s">
        <v>130</v>
      </c>
      <c r="AA5" s="48" t="s">
        <v>129</v>
      </c>
    </row>
    <row r="6" spans="1:27" x14ac:dyDescent="0.2">
      <c r="B6" t="s">
        <v>6</v>
      </c>
      <c r="C6" s="157">
        <v>0.08</v>
      </c>
      <c r="G6" t="s">
        <v>6</v>
      </c>
      <c r="H6" s="13">
        <f>C6</f>
        <v>0.08</v>
      </c>
      <c r="K6" t="s">
        <v>15</v>
      </c>
      <c r="L6" s="53">
        <v>0.08</v>
      </c>
      <c r="N6" t="s">
        <v>138</v>
      </c>
      <c r="R6" s="51">
        <v>0.08</v>
      </c>
    </row>
    <row r="7" spans="1:27" x14ac:dyDescent="0.2">
      <c r="B7" t="s">
        <v>163</v>
      </c>
      <c r="C7" s="154">
        <v>5</v>
      </c>
      <c r="N7" t="s">
        <v>144</v>
      </c>
      <c r="R7" s="53">
        <v>5</v>
      </c>
    </row>
    <row r="8" spans="1:27" ht="39" customHeight="1" x14ac:dyDescent="0.2">
      <c r="B8" t="s">
        <v>7</v>
      </c>
      <c r="C8">
        <f>($C$6*(1+$C$6)^C7)/((1+$C$6)^C7-1)</f>
        <v>0.25045645456683646</v>
      </c>
      <c r="F8" t="s">
        <v>11</v>
      </c>
      <c r="G8" t="s">
        <v>3</v>
      </c>
      <c r="H8" t="s">
        <v>4</v>
      </c>
      <c r="I8" s="4" t="s">
        <v>5</v>
      </c>
      <c r="K8" t="s">
        <v>580</v>
      </c>
      <c r="L8" s="63" t="s">
        <v>581</v>
      </c>
      <c r="N8" t="s">
        <v>135</v>
      </c>
      <c r="R8" s="47">
        <v>5000</v>
      </c>
    </row>
    <row r="9" spans="1:27" x14ac:dyDescent="0.2">
      <c r="F9">
        <v>1</v>
      </c>
      <c r="G9" s="15">
        <f>5000*$H$6</f>
        <v>400</v>
      </c>
      <c r="H9" s="15">
        <f>5000/5</f>
        <v>1000</v>
      </c>
      <c r="I9" s="15">
        <f>G9+H9</f>
        <v>1400</v>
      </c>
      <c r="K9" s="55">
        <v>1252.2822728341835</v>
      </c>
      <c r="L9" s="45">
        <f>K9/(1+$L$6)^F9</f>
        <v>1159.5206229946143</v>
      </c>
      <c r="N9" t="s">
        <v>137</v>
      </c>
      <c r="R9" s="50">
        <f>-PMT(R6,R7,R8)</f>
        <v>1252.282272834183</v>
      </c>
      <c r="T9">
        <v>2020</v>
      </c>
      <c r="U9" s="16">
        <f>R8</f>
        <v>5000</v>
      </c>
      <c r="V9" s="21">
        <f>R8*R$6</f>
        <v>400</v>
      </c>
      <c r="W9" s="21">
        <f>R$9-V9</f>
        <v>852.282272834183</v>
      </c>
      <c r="X9" s="16">
        <f>R8-W9</f>
        <v>4147.7177271658165</v>
      </c>
      <c r="Z9" s="21">
        <f>W9</f>
        <v>852.282272834183</v>
      </c>
      <c r="AA9" s="16">
        <f>V9</f>
        <v>400</v>
      </c>
    </row>
    <row r="10" spans="1:27" x14ac:dyDescent="0.2">
      <c r="F10">
        <v>2</v>
      </c>
      <c r="G10" s="15">
        <f>(4000)*$H$6</f>
        <v>320</v>
      </c>
      <c r="H10" s="15">
        <f>5000/5</f>
        <v>1000</v>
      </c>
      <c r="I10" s="15">
        <f>G10+H10</f>
        <v>1320</v>
      </c>
      <c r="K10" s="45">
        <f>K9</f>
        <v>1252.2822728341835</v>
      </c>
      <c r="L10" s="45">
        <f>K10/(1+$L$6)^F10</f>
        <v>1073.6302064764945</v>
      </c>
      <c r="R10" s="49"/>
      <c r="T10">
        <v>2021</v>
      </c>
      <c r="U10" s="15">
        <f>X9</f>
        <v>4147.7177271658165</v>
      </c>
      <c r="V10" s="21">
        <f>U10*R$6</f>
        <v>331.81741817326531</v>
      </c>
      <c r="W10" s="21">
        <f>R$9-V10</f>
        <v>920.46485466091769</v>
      </c>
      <c r="X10" s="16">
        <f>U10-W10</f>
        <v>3227.2528725048987</v>
      </c>
      <c r="Z10" s="21">
        <f>Z9+W10</f>
        <v>1772.7471274951008</v>
      </c>
      <c r="AA10" s="16">
        <f>AA9+V10</f>
        <v>731.81741817326531</v>
      </c>
    </row>
    <row r="11" spans="1:27" x14ac:dyDescent="0.2">
      <c r="B11" t="s">
        <v>489</v>
      </c>
      <c r="C11" s="143">
        <v>5000</v>
      </c>
      <c r="F11">
        <v>3</v>
      </c>
      <c r="G11" s="15">
        <f>3000*$H$6</f>
        <v>240</v>
      </c>
      <c r="H11" s="15">
        <f>5000/5</f>
        <v>1000</v>
      </c>
      <c r="I11" s="15">
        <f>G11+H11</f>
        <v>1240</v>
      </c>
      <c r="K11" s="45">
        <f>K10</f>
        <v>1252.2822728341835</v>
      </c>
      <c r="L11" s="45">
        <f>K11/(1+$L$6)^F11</f>
        <v>994.10204303379135</v>
      </c>
      <c r="T11">
        <v>2022</v>
      </c>
      <c r="U11" s="15">
        <f>X10</f>
        <v>3227.2528725048987</v>
      </c>
      <c r="V11" s="21">
        <f>U11*R$6</f>
        <v>258.18022980039188</v>
      </c>
      <c r="W11" s="21">
        <f>R$9-V11</f>
        <v>994.10204303379112</v>
      </c>
      <c r="X11" s="16">
        <f>U11-W11</f>
        <v>2233.1508294711075</v>
      </c>
      <c r="Z11" s="21">
        <f>Z10+W11</f>
        <v>2766.849170528892</v>
      </c>
      <c r="AA11" s="16">
        <f>AA10+V11</f>
        <v>989.99764797365719</v>
      </c>
    </row>
    <row r="12" spans="1:27" x14ac:dyDescent="0.2">
      <c r="F12">
        <v>4</v>
      </c>
      <c r="G12" s="15">
        <f>(2000)*$H$6</f>
        <v>160</v>
      </c>
      <c r="H12" s="15">
        <f>5000/5</f>
        <v>1000</v>
      </c>
      <c r="I12" s="15">
        <f>G12+H12</f>
        <v>1160</v>
      </c>
      <c r="K12" s="45">
        <f>K11</f>
        <v>1252.2822728341835</v>
      </c>
      <c r="L12" s="45">
        <f>K12/(1+$L$6)^F12</f>
        <v>920.46485466091781</v>
      </c>
      <c r="T12">
        <v>2023</v>
      </c>
      <c r="U12" s="15">
        <f>X11</f>
        <v>2233.1508294711075</v>
      </c>
      <c r="V12" s="21">
        <f>U12*R$6</f>
        <v>178.6520663576886</v>
      </c>
      <c r="W12" s="21">
        <f>R$9-V12</f>
        <v>1073.6302064764943</v>
      </c>
      <c r="X12" s="16">
        <f>U12-W12</f>
        <v>1159.5206229946132</v>
      </c>
      <c r="Z12" s="21">
        <f>Z11+W12</f>
        <v>3840.4793770053866</v>
      </c>
      <c r="AA12" s="16">
        <f>AA11+V12</f>
        <v>1168.6497143313459</v>
      </c>
    </row>
    <row r="13" spans="1:27" x14ac:dyDescent="0.2">
      <c r="B13" t="s">
        <v>8</v>
      </c>
      <c r="C13" s="45">
        <f>C8*C11</f>
        <v>1252.2822728341823</v>
      </c>
      <c r="F13">
        <v>5</v>
      </c>
      <c r="G13" s="15">
        <f>1000*$H$6</f>
        <v>80</v>
      </c>
      <c r="H13" s="15">
        <f>5000/5</f>
        <v>1000</v>
      </c>
      <c r="I13" s="15">
        <f>G13+H13</f>
        <v>1080</v>
      </c>
      <c r="K13" s="45">
        <f>K12</f>
        <v>1252.2822728341835</v>
      </c>
      <c r="L13" s="45">
        <f>K13/(1+$L$6)^F13</f>
        <v>852.28227283418312</v>
      </c>
      <c r="T13">
        <v>2024</v>
      </c>
      <c r="U13" s="15">
        <f>X12</f>
        <v>1159.5206229946132</v>
      </c>
      <c r="V13" s="21">
        <f>U13*R$6</f>
        <v>92.76164983956906</v>
      </c>
      <c r="W13" s="21">
        <f>R$9-V13</f>
        <v>1159.5206229946139</v>
      </c>
      <c r="X13" s="16">
        <f>U13-W13</f>
        <v>0</v>
      </c>
      <c r="Z13" s="21">
        <f>Z12+W13</f>
        <v>5000</v>
      </c>
      <c r="AA13" s="16">
        <f>AA12+V13</f>
        <v>1261.411364170915</v>
      </c>
    </row>
    <row r="15" spans="1:27" x14ac:dyDescent="0.2">
      <c r="G15" t="s">
        <v>10</v>
      </c>
      <c r="L15" s="54">
        <f>SUM(L9:L13)</f>
        <v>5000.0000000000018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L26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6.83203125" customWidth="1"/>
    <col min="2" max="2" width="18.1640625" customWidth="1"/>
    <col min="3" max="3" width="20.1640625" customWidth="1"/>
    <col min="4" max="4" width="3.83203125" customWidth="1"/>
    <col min="5" max="5" width="6.33203125" customWidth="1"/>
    <col min="6" max="6" width="28.33203125" customWidth="1"/>
    <col min="8" max="8" width="4.5" customWidth="1"/>
    <col min="9" max="9" width="18.1640625" customWidth="1"/>
    <col min="10" max="10" width="20.1640625" customWidth="1"/>
    <col min="11" max="11" width="3.33203125" customWidth="1"/>
    <col min="12" max="12" width="19.5" customWidth="1"/>
  </cols>
  <sheetData>
    <row r="2" spans="1:12" x14ac:dyDescent="0.2">
      <c r="B2" s="3" t="s">
        <v>67</v>
      </c>
      <c r="C2" s="3"/>
      <c r="I2" s="3" t="s">
        <v>71</v>
      </c>
      <c r="J2" s="3"/>
      <c r="L2" s="3" t="s">
        <v>70</v>
      </c>
    </row>
    <row r="4" spans="1:12" x14ac:dyDescent="0.2">
      <c r="B4" t="s">
        <v>6</v>
      </c>
      <c r="C4" s="23">
        <v>7.0000000000000007E-2</v>
      </c>
      <c r="F4" t="s">
        <v>69</v>
      </c>
      <c r="I4" t="s">
        <v>6</v>
      </c>
      <c r="J4" s="23">
        <v>7.0000000000000007E-2</v>
      </c>
      <c r="L4" s="2">
        <f>-PMT(C4,A12,C14)</f>
        <v>129.50886645262659</v>
      </c>
    </row>
    <row r="5" spans="1:12" x14ac:dyDescent="0.2">
      <c r="G5">
        <f>($C$4*(1+$C$4)^A12)/((1+$C$4)^A12-1)</f>
        <v>0.24389069444137401</v>
      </c>
    </row>
    <row r="6" spans="1:12" x14ac:dyDescent="0.2">
      <c r="A6" t="s">
        <v>11</v>
      </c>
      <c r="B6" t="s">
        <v>64</v>
      </c>
      <c r="C6" t="s">
        <v>65</v>
      </c>
      <c r="I6" t="s">
        <v>64</v>
      </c>
      <c r="J6" t="s">
        <v>65</v>
      </c>
    </row>
    <row r="8" spans="1:12" x14ac:dyDescent="0.2">
      <c r="A8">
        <v>1</v>
      </c>
      <c r="B8" s="22">
        <v>45</v>
      </c>
      <c r="C8" s="1">
        <f>B8/(1+$C$4)^A8</f>
        <v>42.056074766355138</v>
      </c>
      <c r="I8" s="1">
        <f>G16</f>
        <v>129.50886645262656</v>
      </c>
      <c r="J8" s="1">
        <f>I8/(1+$C$4)^A8</f>
        <v>121.03632378750146</v>
      </c>
    </row>
    <row r="9" spans="1:12" x14ac:dyDescent="0.2">
      <c r="A9">
        <v>2</v>
      </c>
      <c r="B9" s="22">
        <v>90</v>
      </c>
      <c r="C9" s="1">
        <f>B9/(1+$C$4)^A9</f>
        <v>78.609485544589049</v>
      </c>
      <c r="I9" s="1">
        <f>I8</f>
        <v>129.50886645262656</v>
      </c>
      <c r="J9" s="1">
        <f>I9/(1+$C$4)^A9</f>
        <v>113.11805961448735</v>
      </c>
    </row>
    <row r="10" spans="1:12" x14ac:dyDescent="0.2">
      <c r="A10">
        <v>3</v>
      </c>
      <c r="B10" s="22">
        <v>180</v>
      </c>
      <c r="C10" s="1">
        <f>B10/(1+$C$4)^A10</f>
        <v>146.93361784035335</v>
      </c>
      <c r="I10" s="1">
        <f>I9</f>
        <v>129.50886645262656</v>
      </c>
      <c r="J10" s="1">
        <f>I10/(1+$C$4)^A10</f>
        <v>105.71781272381995</v>
      </c>
    </row>
    <row r="11" spans="1:12" x14ac:dyDescent="0.2">
      <c r="A11">
        <v>4</v>
      </c>
      <c r="B11" s="22">
        <v>135</v>
      </c>
      <c r="C11" s="1">
        <f>B11/(1+$C$4)^A11</f>
        <v>102.9908536264159</v>
      </c>
      <c r="I11" s="1">
        <f>I10</f>
        <v>129.50886645262656</v>
      </c>
      <c r="J11" s="1">
        <f>I11/(1+$C$4)^A11</f>
        <v>98.801694134411164</v>
      </c>
    </row>
    <row r="12" spans="1:12" x14ac:dyDescent="0.2">
      <c r="A12">
        <v>5</v>
      </c>
      <c r="B12" s="22">
        <v>225</v>
      </c>
      <c r="C12" s="1">
        <f>B12/(1+$C$4)^A12</f>
        <v>160.42189038382537</v>
      </c>
      <c r="I12" s="1">
        <f>I11</f>
        <v>129.50886645262656</v>
      </c>
      <c r="J12" s="1">
        <f>I12/(1+$C$4)^A12</f>
        <v>92.338031901318843</v>
      </c>
    </row>
    <row r="13" spans="1:12" x14ac:dyDescent="0.2">
      <c r="B13" s="1"/>
      <c r="C13" s="1"/>
      <c r="I13" s="1"/>
      <c r="J13" s="1"/>
    </row>
    <row r="14" spans="1:12" x14ac:dyDescent="0.2">
      <c r="A14" t="s">
        <v>68</v>
      </c>
      <c r="C14" s="24">
        <f>SUM(C8:C13)</f>
        <v>531.01192216153891</v>
      </c>
      <c r="F14" t="s">
        <v>66</v>
      </c>
      <c r="G14" s="1">
        <f>C14</f>
        <v>531.01192216153891</v>
      </c>
      <c r="J14" s="24">
        <f>SUM(J8:J13)</f>
        <v>531.01192216153868</v>
      </c>
    </row>
    <row r="16" spans="1:12" x14ac:dyDescent="0.2">
      <c r="F16" t="s">
        <v>603</v>
      </c>
      <c r="G16" s="61">
        <f>G5*G14</f>
        <v>129.50886645262656</v>
      </c>
    </row>
    <row r="18" spans="6:10" x14ac:dyDescent="0.2">
      <c r="J18" t="s">
        <v>601</v>
      </c>
    </row>
    <row r="19" spans="6:10" x14ac:dyDescent="0.2">
      <c r="J19" t="s">
        <v>602</v>
      </c>
    </row>
    <row r="21" spans="6:10" x14ac:dyDescent="0.2">
      <c r="F21" s="73" t="s">
        <v>597</v>
      </c>
    </row>
    <row r="22" spans="6:10" x14ac:dyDescent="0.2">
      <c r="F22" s="73" t="s">
        <v>604</v>
      </c>
    </row>
    <row r="23" spans="6:10" x14ac:dyDescent="0.2">
      <c r="F23" s="73" t="s">
        <v>605</v>
      </c>
    </row>
    <row r="24" spans="6:10" x14ac:dyDescent="0.2">
      <c r="F24" s="73" t="s">
        <v>606</v>
      </c>
    </row>
    <row r="26" spans="6:10" x14ac:dyDescent="0.2">
      <c r="F26" s="73" t="s">
        <v>607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1"/>
  <sheetViews>
    <sheetView zoomScale="85" zoomScaleNormal="85" workbookViewId="0">
      <selection activeCell="T22" sqref="T22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20.1640625" customWidth="1"/>
    <col min="4" max="4" width="3.83203125" customWidth="1"/>
    <col min="5" max="5" width="8.83203125" customWidth="1"/>
    <col min="6" max="8" width="9" bestFit="1" customWidth="1"/>
    <col min="9" max="9" width="6.5" customWidth="1"/>
    <col min="10" max="11" width="9" bestFit="1" customWidth="1"/>
    <col min="14" max="14" width="6" customWidth="1"/>
    <col min="17" max="17" width="3.83203125" customWidth="1"/>
    <col min="20" max="20" width="3.83203125" customWidth="1"/>
    <col min="23" max="23" width="3.83203125" customWidth="1"/>
  </cols>
  <sheetData>
    <row r="1" spans="1:15" x14ac:dyDescent="0.2">
      <c r="A1" s="34" t="s">
        <v>257</v>
      </c>
    </row>
    <row r="2" spans="1:15" x14ac:dyDescent="0.2">
      <c r="A2" s="34" t="s">
        <v>292</v>
      </c>
    </row>
    <row r="3" spans="1:15" x14ac:dyDescent="0.2">
      <c r="B3" s="84" t="s">
        <v>9</v>
      </c>
      <c r="C3" s="3"/>
    </row>
    <row r="5" spans="1:15" x14ac:dyDescent="0.2">
      <c r="B5" t="s">
        <v>6</v>
      </c>
      <c r="C5" s="23">
        <v>0.12</v>
      </c>
    </row>
    <row r="7" spans="1:15" x14ac:dyDescent="0.2">
      <c r="E7" t="s">
        <v>281</v>
      </c>
      <c r="F7" t="s">
        <v>282</v>
      </c>
      <c r="G7" t="s">
        <v>283</v>
      </c>
      <c r="H7" t="s">
        <v>284</v>
      </c>
    </row>
    <row r="8" spans="1:15" x14ac:dyDescent="0.2">
      <c r="B8" t="s">
        <v>161</v>
      </c>
      <c r="E8" s="91">
        <v>30.95</v>
      </c>
      <c r="F8" s="91">
        <v>44.95</v>
      </c>
      <c r="G8" s="91">
        <v>53.95</v>
      </c>
      <c r="H8" s="91">
        <v>59.95</v>
      </c>
    </row>
    <row r="9" spans="1:15" x14ac:dyDescent="0.2">
      <c r="B9" t="s">
        <v>163</v>
      </c>
      <c r="E9" s="91">
        <v>1</v>
      </c>
      <c r="F9" s="91">
        <v>2</v>
      </c>
      <c r="G9" s="91">
        <v>3</v>
      </c>
      <c r="H9" s="91">
        <v>4</v>
      </c>
    </row>
    <row r="11" spans="1:15" x14ac:dyDescent="0.2">
      <c r="B11" t="s">
        <v>254</v>
      </c>
      <c r="E11" s="66">
        <f>($C5*(1+$C5)^E9)/((1+$C5)^E9-1)</f>
        <v>1.1199999999999992</v>
      </c>
      <c r="F11" s="66">
        <f>$C5*((1+$C5)^F9)/((1+$C5)^F9-1)</f>
        <v>0.59169811320754684</v>
      </c>
      <c r="G11" s="66">
        <f>$C5*((1+$C5)^G9)/((1+$C5)^G9-1)</f>
        <v>0.41634898055950659</v>
      </c>
      <c r="H11" s="66">
        <f>$C5*((1+$C5)^H9)/((1+$C5)^H9-1)</f>
        <v>0.32923443630568966</v>
      </c>
    </row>
    <row r="13" spans="1:15" x14ac:dyDescent="0.2">
      <c r="B13" t="s">
        <v>261</v>
      </c>
      <c r="E13" s="45">
        <f>E11*E8</f>
        <v>34.663999999999973</v>
      </c>
      <c r="F13" s="45">
        <f>F11*F8</f>
        <v>26.596830188679231</v>
      </c>
      <c r="G13" s="45">
        <f>G11*G8</f>
        <v>22.462027501185382</v>
      </c>
      <c r="H13" s="45">
        <f>H11*H8</f>
        <v>19.737604456526096</v>
      </c>
    </row>
    <row r="14" spans="1:15" x14ac:dyDescent="0.2">
      <c r="B14" t="s">
        <v>285</v>
      </c>
    </row>
    <row r="15" spans="1:15" x14ac:dyDescent="0.2">
      <c r="C15" s="45"/>
    </row>
    <row r="16" spans="1:15" x14ac:dyDescent="0.2">
      <c r="E16" t="s">
        <v>492</v>
      </c>
      <c r="J16" t="s">
        <v>493</v>
      </c>
      <c r="O16" t="s">
        <v>494</v>
      </c>
    </row>
    <row r="17" spans="3:27" x14ac:dyDescent="0.2">
      <c r="C17" s="45"/>
      <c r="E17" t="s">
        <v>281</v>
      </c>
      <c r="F17" t="s">
        <v>282</v>
      </c>
      <c r="G17" t="s">
        <v>283</v>
      </c>
      <c r="H17" t="s">
        <v>284</v>
      </c>
      <c r="J17" t="s">
        <v>281</v>
      </c>
      <c r="K17" t="s">
        <v>282</v>
      </c>
      <c r="L17" t="s">
        <v>283</v>
      </c>
      <c r="M17" t="s">
        <v>284</v>
      </c>
      <c r="O17" t="s">
        <v>281</v>
      </c>
      <c r="P17" t="s">
        <v>281</v>
      </c>
      <c r="R17" t="s">
        <v>282</v>
      </c>
      <c r="S17" t="s">
        <v>282</v>
      </c>
      <c r="U17" t="s">
        <v>283</v>
      </c>
      <c r="V17" t="s">
        <v>283</v>
      </c>
      <c r="X17" t="s">
        <v>284</v>
      </c>
      <c r="Y17" t="s">
        <v>284</v>
      </c>
    </row>
    <row r="18" spans="3:27" x14ac:dyDescent="0.2">
      <c r="D18">
        <v>1</v>
      </c>
      <c r="E18" s="153">
        <f>$E$8*(1+C5)</f>
        <v>34.664000000000001</v>
      </c>
      <c r="F18" s="153">
        <f>F$8*(1+$C$5)</f>
        <v>50.344000000000008</v>
      </c>
      <c r="G18" s="153">
        <f>G$8*(1+$C$5)</f>
        <v>60.424000000000007</v>
      </c>
      <c r="H18" s="153">
        <f>H$8*(1+$C$5)</f>
        <v>67.144000000000005</v>
      </c>
      <c r="J18" s="45">
        <f>E18/(1+$C$5)^$D18</f>
        <v>30.95</v>
      </c>
      <c r="K18" s="45">
        <f>F18/(1+$C$5)^$D18</f>
        <v>44.95</v>
      </c>
      <c r="L18" s="45">
        <f>G18/(1+$C$5)^$D18</f>
        <v>53.95</v>
      </c>
      <c r="M18" s="45">
        <f>H18/(1+$C$5)^$D18</f>
        <v>59.949999999999996</v>
      </c>
      <c r="O18" s="54">
        <v>34.663711326582785</v>
      </c>
      <c r="P18" s="45">
        <f>O18/(1+$C$5)^$D18</f>
        <v>30.949742255877485</v>
      </c>
      <c r="R18" s="54">
        <v>26.596714051110816</v>
      </c>
      <c r="S18" s="45">
        <f>R18/(1+$C$5)^$D18</f>
        <v>23.747066117063227</v>
      </c>
      <c r="U18" s="54">
        <v>22.462317408628579</v>
      </c>
      <c r="V18" s="45">
        <f>U18/(1+$C$5)^$D18</f>
        <v>20.05564054341837</v>
      </c>
      <c r="X18" s="54">
        <v>19.737264096441944</v>
      </c>
      <c r="Y18" s="45">
        <f>X18/(1+$C$5)^$D18</f>
        <v>17.62255722896602</v>
      </c>
    </row>
    <row r="19" spans="3:27" x14ac:dyDescent="0.2">
      <c r="C19" s="46"/>
      <c r="D19">
        <f>D18+1</f>
        <v>2</v>
      </c>
      <c r="E19" s="1">
        <f>E18</f>
        <v>34.664000000000001</v>
      </c>
      <c r="J19" s="45">
        <f t="shared" ref="J19:K29" si="0">E19/(1+$C$5)^$D19</f>
        <v>27.633928571428569</v>
      </c>
      <c r="K19" s="45">
        <f t="shared" si="0"/>
        <v>0</v>
      </c>
      <c r="L19" s="45">
        <f t="shared" ref="L19:L29" si="1">G19/(1+$C$5)^$D19</f>
        <v>0</v>
      </c>
      <c r="M19" s="45">
        <f t="shared" ref="M19:M29" si="2">H19/(1+$C$5)^$D19</f>
        <v>0</v>
      </c>
      <c r="O19" s="45">
        <f>O18</f>
        <v>34.663711326582785</v>
      </c>
      <c r="P19" s="45">
        <f t="shared" ref="P19:P29" si="3">O19/(1+$C$5)^$D19</f>
        <v>27.63369844274775</v>
      </c>
      <c r="R19" s="45">
        <f>R18</f>
        <v>26.596714051110816</v>
      </c>
      <c r="S19" s="45">
        <f t="shared" ref="S19:S29" si="4">R19/(1+$C$5)^$D19</f>
        <v>21.202737604520735</v>
      </c>
      <c r="U19" s="45">
        <f>U18</f>
        <v>22.462317408628579</v>
      </c>
      <c r="V19" s="45">
        <f t="shared" ref="V19:V29" si="5">U19/(1+$C$5)^$D19</f>
        <v>17.906821913766404</v>
      </c>
      <c r="X19" s="45">
        <f>X18</f>
        <v>19.737264096441944</v>
      </c>
      <c r="Y19" s="45">
        <f t="shared" ref="Y19:Y29" si="6">X19/(1+$C$5)^$D19</f>
        <v>15.734426097291088</v>
      </c>
    </row>
    <row r="20" spans="3:27" x14ac:dyDescent="0.2">
      <c r="D20">
        <f t="shared" ref="D20:D30" si="7">D19+1</f>
        <v>3</v>
      </c>
      <c r="E20" s="1">
        <f t="shared" ref="E20:E29" si="8">E19</f>
        <v>34.664000000000001</v>
      </c>
      <c r="F20" s="1">
        <f>F18</f>
        <v>50.344000000000008</v>
      </c>
      <c r="J20" s="45">
        <f t="shared" si="0"/>
        <v>24.673150510204074</v>
      </c>
      <c r="K20" s="45">
        <f t="shared" si="0"/>
        <v>35.833864795918366</v>
      </c>
      <c r="L20" s="45">
        <f t="shared" si="1"/>
        <v>0</v>
      </c>
      <c r="M20" s="45">
        <f t="shared" si="2"/>
        <v>0</v>
      </c>
      <c r="O20" s="45">
        <f t="shared" ref="O20:O29" si="9">O19</f>
        <v>34.663711326582785</v>
      </c>
      <c r="P20" s="45">
        <f t="shared" si="3"/>
        <v>24.672945038167633</v>
      </c>
      <c r="R20" s="45">
        <f t="shared" ref="R20:R29" si="10">R19</f>
        <v>26.596714051110816</v>
      </c>
      <c r="S20" s="45">
        <f t="shared" si="4"/>
        <v>18.931015718322083</v>
      </c>
      <c r="U20" s="45">
        <f t="shared" ref="U20:U29" si="11">U19</f>
        <v>22.462317408628579</v>
      </c>
      <c r="V20" s="45">
        <f t="shared" si="5"/>
        <v>15.988233851577142</v>
      </c>
      <c r="X20" s="45">
        <f t="shared" ref="X20:X29" si="12">X19</f>
        <v>19.737264096441944</v>
      </c>
      <c r="Y20" s="45">
        <f t="shared" si="6"/>
        <v>14.048594729724185</v>
      </c>
    </row>
    <row r="21" spans="3:27" x14ac:dyDescent="0.2">
      <c r="D21">
        <f t="shared" si="7"/>
        <v>4</v>
      </c>
      <c r="E21" s="1">
        <f t="shared" si="8"/>
        <v>34.664000000000001</v>
      </c>
      <c r="G21" s="1">
        <f>G18</f>
        <v>60.424000000000007</v>
      </c>
      <c r="J21" s="45">
        <f t="shared" si="0"/>
        <v>22.02959866982507</v>
      </c>
      <c r="K21" s="45">
        <f t="shared" si="0"/>
        <v>0</v>
      </c>
      <c r="L21" s="45">
        <f t="shared" si="1"/>
        <v>38.40054436953352</v>
      </c>
      <c r="M21" s="45">
        <f t="shared" si="2"/>
        <v>0</v>
      </c>
      <c r="N21" s="46"/>
      <c r="O21" s="45">
        <f t="shared" si="9"/>
        <v>34.663711326582785</v>
      </c>
      <c r="P21" s="45">
        <f t="shared" si="3"/>
        <v>22.029415212649674</v>
      </c>
      <c r="R21" s="45">
        <f t="shared" si="10"/>
        <v>26.596714051110816</v>
      </c>
      <c r="S21" s="45">
        <f t="shared" si="4"/>
        <v>16.902692605644717</v>
      </c>
      <c r="U21" s="45">
        <f t="shared" si="11"/>
        <v>22.462317408628579</v>
      </c>
      <c r="V21" s="45">
        <f t="shared" si="5"/>
        <v>14.275208796051022</v>
      </c>
      <c r="X21" s="45">
        <f t="shared" si="12"/>
        <v>19.737264096441944</v>
      </c>
      <c r="Y21" s="45">
        <f t="shared" si="6"/>
        <v>12.543388151539451</v>
      </c>
      <c r="AA21" s="46"/>
    </row>
    <row r="22" spans="3:27" x14ac:dyDescent="0.2">
      <c r="D22">
        <f t="shared" si="7"/>
        <v>5</v>
      </c>
      <c r="E22" s="1">
        <f t="shared" si="8"/>
        <v>34.664000000000001</v>
      </c>
      <c r="F22" s="1">
        <f>F18</f>
        <v>50.344000000000008</v>
      </c>
      <c r="H22" s="1">
        <f>H18</f>
        <v>67.144000000000005</v>
      </c>
      <c r="J22" s="45">
        <f t="shared" si="0"/>
        <v>19.669284526629525</v>
      </c>
      <c r="K22" s="45">
        <f t="shared" si="0"/>
        <v>28.566537624297165</v>
      </c>
      <c r="L22" s="45">
        <f t="shared" si="1"/>
        <v>0</v>
      </c>
      <c r="M22" s="45">
        <f t="shared" si="2"/>
        <v>38.099308800369627</v>
      </c>
      <c r="O22" s="45">
        <f t="shared" si="9"/>
        <v>34.663711326582785</v>
      </c>
      <c r="P22" s="45">
        <f t="shared" si="3"/>
        <v>19.669120725580065</v>
      </c>
      <c r="R22" s="45">
        <f t="shared" si="10"/>
        <v>26.596714051110816</v>
      </c>
      <c r="S22" s="45">
        <f t="shared" si="4"/>
        <v>15.091689826468498</v>
      </c>
      <c r="U22" s="45">
        <f t="shared" si="11"/>
        <v>22.462317408628579</v>
      </c>
      <c r="V22" s="45">
        <f t="shared" si="5"/>
        <v>12.745722139331269</v>
      </c>
      <c r="X22" s="45">
        <f t="shared" si="12"/>
        <v>19.737264096441944</v>
      </c>
      <c r="Y22" s="45">
        <f t="shared" si="6"/>
        <v>11.199453706731651</v>
      </c>
    </row>
    <row r="23" spans="3:27" x14ac:dyDescent="0.2">
      <c r="D23">
        <f t="shared" si="7"/>
        <v>6</v>
      </c>
      <c r="E23" s="1">
        <f t="shared" si="8"/>
        <v>34.664000000000001</v>
      </c>
      <c r="J23" s="45">
        <f t="shared" si="0"/>
        <v>17.561861184490645</v>
      </c>
      <c r="K23" s="45">
        <f t="shared" si="0"/>
        <v>0</v>
      </c>
      <c r="L23" s="45">
        <f t="shared" si="1"/>
        <v>0</v>
      </c>
      <c r="M23" s="45">
        <f t="shared" si="2"/>
        <v>0</v>
      </c>
      <c r="O23" s="45">
        <f t="shared" si="9"/>
        <v>34.663711326582785</v>
      </c>
      <c r="P23" s="45">
        <f t="shared" si="3"/>
        <v>17.561714933553628</v>
      </c>
      <c r="R23" s="45">
        <f t="shared" si="10"/>
        <v>26.596714051110816</v>
      </c>
      <c r="S23" s="45">
        <f t="shared" si="4"/>
        <v>13.474723059346871</v>
      </c>
      <c r="U23" s="45">
        <f t="shared" si="11"/>
        <v>22.462317408628579</v>
      </c>
      <c r="V23" s="45">
        <f t="shared" si="5"/>
        <v>11.380109052974346</v>
      </c>
      <c r="X23" s="45">
        <f t="shared" si="12"/>
        <v>19.737264096441944</v>
      </c>
      <c r="Y23" s="45">
        <f t="shared" si="6"/>
        <v>9.99951223815326</v>
      </c>
    </row>
    <row r="24" spans="3:27" x14ac:dyDescent="0.2">
      <c r="D24">
        <f t="shared" si="7"/>
        <v>7</v>
      </c>
      <c r="E24" s="1">
        <f t="shared" si="8"/>
        <v>34.664000000000001</v>
      </c>
      <c r="F24" s="1">
        <f>F18</f>
        <v>50.344000000000008</v>
      </c>
      <c r="G24" s="1">
        <f>G18</f>
        <v>60.424000000000007</v>
      </c>
      <c r="J24" s="45">
        <f t="shared" si="0"/>
        <v>15.680233200438074</v>
      </c>
      <c r="K24" s="45">
        <f t="shared" si="0"/>
        <v>22.773068896920567</v>
      </c>
      <c r="L24" s="45">
        <f t="shared" si="1"/>
        <v>27.332748987516453</v>
      </c>
      <c r="M24" s="45">
        <f t="shared" si="2"/>
        <v>0</v>
      </c>
      <c r="O24" s="45">
        <f t="shared" si="9"/>
        <v>34.663711326582785</v>
      </c>
      <c r="P24" s="45">
        <f t="shared" si="3"/>
        <v>15.680102619244309</v>
      </c>
      <c r="R24" s="45">
        <f t="shared" si="10"/>
        <v>26.596714051110816</v>
      </c>
      <c r="S24" s="45">
        <f t="shared" si="4"/>
        <v>12.031002731559706</v>
      </c>
      <c r="U24" s="45">
        <f t="shared" si="11"/>
        <v>22.462317408628579</v>
      </c>
      <c r="V24" s="45">
        <f t="shared" si="5"/>
        <v>10.16081165444138</v>
      </c>
      <c r="X24" s="45">
        <f t="shared" si="12"/>
        <v>19.737264096441944</v>
      </c>
      <c r="Y24" s="45">
        <f t="shared" si="6"/>
        <v>8.9281359269225522</v>
      </c>
    </row>
    <row r="25" spans="3:27" x14ac:dyDescent="0.2">
      <c r="D25">
        <f t="shared" si="7"/>
        <v>8</v>
      </c>
      <c r="E25" s="1">
        <f t="shared" si="8"/>
        <v>34.664000000000001</v>
      </c>
      <c r="J25" s="45">
        <f t="shared" si="0"/>
        <v>14.000208214676851</v>
      </c>
      <c r="K25" s="45">
        <f t="shared" si="0"/>
        <v>0</v>
      </c>
      <c r="L25" s="45">
        <f t="shared" si="1"/>
        <v>0</v>
      </c>
      <c r="M25" s="45">
        <f t="shared" si="2"/>
        <v>0</v>
      </c>
      <c r="N25" s="46"/>
      <c r="O25" s="45">
        <f t="shared" si="9"/>
        <v>34.663711326582785</v>
      </c>
      <c r="P25" s="45">
        <f t="shared" si="3"/>
        <v>14.000091624325275</v>
      </c>
      <c r="R25" s="45">
        <f t="shared" si="10"/>
        <v>26.596714051110816</v>
      </c>
      <c r="S25" s="45">
        <f t="shared" si="4"/>
        <v>10.741966724606879</v>
      </c>
      <c r="U25" s="45">
        <f t="shared" si="11"/>
        <v>22.462317408628579</v>
      </c>
      <c r="V25" s="45">
        <f t="shared" si="5"/>
        <v>9.0721532628940889</v>
      </c>
      <c r="X25" s="45">
        <f t="shared" si="12"/>
        <v>19.737264096441944</v>
      </c>
      <c r="Y25" s="45">
        <f t="shared" si="6"/>
        <v>7.9715499347522787</v>
      </c>
      <c r="AA25" s="46"/>
    </row>
    <row r="26" spans="3:27" x14ac:dyDescent="0.2">
      <c r="D26">
        <f t="shared" si="7"/>
        <v>9</v>
      </c>
      <c r="E26" s="1">
        <f t="shared" si="8"/>
        <v>34.664000000000001</v>
      </c>
      <c r="F26" s="1">
        <f>F18</f>
        <v>50.344000000000008</v>
      </c>
      <c r="H26" s="1">
        <f>H18</f>
        <v>67.144000000000005</v>
      </c>
      <c r="J26" s="45">
        <f t="shared" si="0"/>
        <v>12.500185905961475</v>
      </c>
      <c r="K26" s="45">
        <f t="shared" si="0"/>
        <v>18.154551097672645</v>
      </c>
      <c r="L26" s="45">
        <f t="shared" si="1"/>
        <v>0</v>
      </c>
      <c r="M26" s="45">
        <f t="shared" si="2"/>
        <v>24.21279951736318</v>
      </c>
      <c r="O26" s="45">
        <f t="shared" si="9"/>
        <v>34.663711326582785</v>
      </c>
      <c r="P26" s="45">
        <f t="shared" si="3"/>
        <v>12.500081807433281</v>
      </c>
      <c r="R26" s="45">
        <f t="shared" si="10"/>
        <v>26.596714051110816</v>
      </c>
      <c r="S26" s="45">
        <f t="shared" si="4"/>
        <v>9.5910417183989995</v>
      </c>
      <c r="U26" s="45">
        <f t="shared" si="11"/>
        <v>22.462317408628579</v>
      </c>
      <c r="V26" s="45">
        <f t="shared" si="5"/>
        <v>8.1001368418697215</v>
      </c>
      <c r="X26" s="45">
        <f t="shared" si="12"/>
        <v>19.737264096441944</v>
      </c>
      <c r="Y26" s="45">
        <f t="shared" si="6"/>
        <v>7.1174552988859627</v>
      </c>
    </row>
    <row r="27" spans="3:27" x14ac:dyDescent="0.2">
      <c r="D27">
        <f t="shared" si="7"/>
        <v>10</v>
      </c>
      <c r="E27" s="1">
        <f t="shared" si="8"/>
        <v>34.664000000000001</v>
      </c>
      <c r="G27" s="1">
        <f>G18</f>
        <v>60.424000000000007</v>
      </c>
      <c r="J27" s="45">
        <f t="shared" si="0"/>
        <v>11.160880273179886</v>
      </c>
      <c r="K27" s="45">
        <f t="shared" si="0"/>
        <v>0</v>
      </c>
      <c r="L27" s="45">
        <f t="shared" si="1"/>
        <v>19.454910847756217</v>
      </c>
      <c r="M27" s="45">
        <f t="shared" si="2"/>
        <v>0</v>
      </c>
      <c r="O27" s="45">
        <f t="shared" si="9"/>
        <v>34.663711326582785</v>
      </c>
      <c r="P27" s="45">
        <f t="shared" si="3"/>
        <v>11.160787328065428</v>
      </c>
      <c r="R27" s="45">
        <f t="shared" si="10"/>
        <v>26.596714051110816</v>
      </c>
      <c r="S27" s="45">
        <f t="shared" si="4"/>
        <v>8.5634301057133921</v>
      </c>
      <c r="U27" s="45">
        <f t="shared" si="11"/>
        <v>22.462317408628579</v>
      </c>
      <c r="V27" s="45">
        <f t="shared" si="5"/>
        <v>7.2322650373836792</v>
      </c>
      <c r="X27" s="45">
        <f t="shared" si="12"/>
        <v>19.737264096441944</v>
      </c>
      <c r="Y27" s="45">
        <f t="shared" si="6"/>
        <v>6.3548708025767517</v>
      </c>
    </row>
    <row r="28" spans="3:27" x14ac:dyDescent="0.2">
      <c r="D28">
        <f t="shared" si="7"/>
        <v>11</v>
      </c>
      <c r="E28" s="1">
        <f t="shared" si="8"/>
        <v>34.664000000000001</v>
      </c>
      <c r="F28" s="1">
        <f>F18</f>
        <v>50.344000000000008</v>
      </c>
      <c r="J28" s="45">
        <f t="shared" si="0"/>
        <v>9.9650716724820398</v>
      </c>
      <c r="K28" s="45">
        <f t="shared" si="0"/>
        <v>14.472696984751785</v>
      </c>
      <c r="L28" s="45">
        <f t="shared" si="1"/>
        <v>0</v>
      </c>
      <c r="M28" s="45">
        <f t="shared" si="2"/>
        <v>0</v>
      </c>
      <c r="O28" s="45">
        <f t="shared" si="9"/>
        <v>34.663711326582785</v>
      </c>
      <c r="P28" s="45">
        <f t="shared" si="3"/>
        <v>9.9649886857727026</v>
      </c>
      <c r="R28" s="45">
        <f t="shared" si="10"/>
        <v>26.596714051110816</v>
      </c>
      <c r="S28" s="45">
        <f t="shared" si="4"/>
        <v>7.6459197372440979</v>
      </c>
      <c r="U28" s="45">
        <f t="shared" si="11"/>
        <v>22.462317408628579</v>
      </c>
      <c r="V28" s="45">
        <f t="shared" si="5"/>
        <v>6.4573794976639984</v>
      </c>
      <c r="X28" s="45">
        <f t="shared" si="12"/>
        <v>19.737264096441944</v>
      </c>
      <c r="Y28" s="45">
        <f t="shared" si="6"/>
        <v>5.6739917880149564</v>
      </c>
    </row>
    <row r="29" spans="3:27" x14ac:dyDescent="0.2">
      <c r="D29">
        <f t="shared" si="7"/>
        <v>12</v>
      </c>
      <c r="E29" s="1">
        <f t="shared" si="8"/>
        <v>34.664000000000001</v>
      </c>
      <c r="J29" s="45">
        <f t="shared" si="0"/>
        <v>8.8973854218589654</v>
      </c>
      <c r="K29" s="45">
        <f t="shared" si="0"/>
        <v>0</v>
      </c>
      <c r="L29" s="45">
        <f t="shared" si="1"/>
        <v>0</v>
      </c>
      <c r="M29" s="45">
        <f t="shared" si="2"/>
        <v>0</v>
      </c>
      <c r="N29" s="46"/>
      <c r="O29" s="45">
        <f t="shared" si="9"/>
        <v>34.663711326582785</v>
      </c>
      <c r="P29" s="45">
        <f t="shared" si="3"/>
        <v>8.8973113265827699</v>
      </c>
      <c r="R29" s="45">
        <f t="shared" si="10"/>
        <v>26.596714051110816</v>
      </c>
      <c r="S29" s="45">
        <f t="shared" si="4"/>
        <v>6.8267140511108027</v>
      </c>
      <c r="U29" s="45">
        <f t="shared" si="11"/>
        <v>22.462317408628579</v>
      </c>
      <c r="V29" s="45">
        <f t="shared" si="5"/>
        <v>5.7655174086285701</v>
      </c>
      <c r="X29" s="45">
        <f t="shared" si="12"/>
        <v>19.737264096441944</v>
      </c>
      <c r="Y29" s="45">
        <f t="shared" si="6"/>
        <v>5.0660640964419255</v>
      </c>
    </row>
    <row r="30" spans="3:27" x14ac:dyDescent="0.2">
      <c r="D30">
        <f t="shared" si="7"/>
        <v>13</v>
      </c>
    </row>
    <row r="31" spans="3:27" x14ac:dyDescent="0.2">
      <c r="E31" s="46">
        <f t="shared" ref="E31:G31" si="13">SUM(E18:E29)</f>
        <v>415.9679999999999</v>
      </c>
      <c r="F31" s="46">
        <f t="shared" si="13"/>
        <v>302.06400000000002</v>
      </c>
      <c r="G31" s="46">
        <f t="shared" si="13"/>
        <v>241.69600000000003</v>
      </c>
      <c r="H31" s="46">
        <f>SUM(H18:H29)</f>
        <v>201.43200000000002</v>
      </c>
      <c r="J31" s="46">
        <f>SUM(J18:J29)</f>
        <v>214.72178815117516</v>
      </c>
      <c r="K31" s="46">
        <f t="shared" ref="K31:M31" si="14">SUM(K18:K29)</f>
        <v>164.75071939956055</v>
      </c>
      <c r="L31" s="46">
        <f t="shared" si="14"/>
        <v>139.13820420480619</v>
      </c>
      <c r="M31" s="46">
        <f t="shared" si="14"/>
        <v>122.26210831773281</v>
      </c>
      <c r="O31" s="46">
        <f>SUM(O18:O29)</f>
        <v>415.96453591899331</v>
      </c>
      <c r="P31" s="46">
        <f>SUM(P18:P29)</f>
        <v>214.72</v>
      </c>
      <c r="R31" s="46">
        <f>SUM(R18:R29)</f>
        <v>319.16056861332981</v>
      </c>
      <c r="S31" s="46">
        <f>SUM(S18:S29)</f>
        <v>164.75</v>
      </c>
      <c r="U31" s="46">
        <f>SUM(U18:U29)</f>
        <v>269.54780890354289</v>
      </c>
      <c r="V31" s="46">
        <f>SUM(V18:V29)</f>
        <v>139.13999999999999</v>
      </c>
      <c r="X31" s="46">
        <f>SUM(X18:X29)</f>
        <v>236.84716915730334</v>
      </c>
      <c r="Y31" s="46">
        <f>SUM(Y18:Y29)</f>
        <v>122.26000000000008</v>
      </c>
    </row>
    <row r="33" spans="5:21" x14ac:dyDescent="0.2">
      <c r="E33" s="46"/>
      <c r="F33" s="46"/>
      <c r="G33" s="46"/>
      <c r="H33" s="46"/>
      <c r="J33" s="46"/>
      <c r="K33" s="46"/>
      <c r="L33" s="46"/>
      <c r="M33" s="46"/>
    </row>
    <row r="34" spans="5:21" x14ac:dyDescent="0.2">
      <c r="O34" s="73" t="s">
        <v>490</v>
      </c>
      <c r="R34" s="73"/>
      <c r="U34" s="73"/>
    </row>
    <row r="35" spans="5:21" x14ac:dyDescent="0.2">
      <c r="O35" s="73" t="s">
        <v>491</v>
      </c>
    </row>
    <row r="36" spans="5:21" x14ac:dyDescent="0.2">
      <c r="E36" s="45"/>
      <c r="F36" s="45"/>
      <c r="G36" s="45"/>
      <c r="H36" s="45"/>
    </row>
    <row r="37" spans="5:21" x14ac:dyDescent="0.2">
      <c r="E37" s="45"/>
      <c r="F37" s="45"/>
      <c r="G37" s="45"/>
      <c r="H37" s="45"/>
    </row>
    <row r="38" spans="5:21" x14ac:dyDescent="0.2">
      <c r="E38" s="45"/>
      <c r="F38" s="45"/>
      <c r="G38" s="45"/>
      <c r="H38" s="45"/>
    </row>
    <row r="39" spans="5:21" x14ac:dyDescent="0.2">
      <c r="E39" s="45"/>
      <c r="F39" s="45"/>
      <c r="G39" s="45"/>
      <c r="H39" s="45"/>
    </row>
    <row r="40" spans="5:21" x14ac:dyDescent="0.2">
      <c r="E40" s="45"/>
      <c r="F40" s="45"/>
      <c r="G40" s="45"/>
      <c r="H40" s="45"/>
    </row>
    <row r="41" spans="5:21" x14ac:dyDescent="0.2">
      <c r="E41" s="45"/>
      <c r="F41" s="45"/>
      <c r="G41" s="45"/>
      <c r="H41" s="45"/>
    </row>
    <row r="42" spans="5:21" x14ac:dyDescent="0.2">
      <c r="E42" s="45"/>
      <c r="F42" s="45"/>
      <c r="G42" s="45"/>
      <c r="H42" s="45"/>
    </row>
    <row r="43" spans="5:21" x14ac:dyDescent="0.2">
      <c r="E43" s="45"/>
      <c r="F43" s="45"/>
      <c r="G43" s="45"/>
      <c r="H43" s="45"/>
    </row>
    <row r="44" spans="5:21" x14ac:dyDescent="0.2">
      <c r="E44" s="45"/>
      <c r="F44" s="45"/>
      <c r="G44" s="45"/>
      <c r="H44" s="45"/>
    </row>
    <row r="45" spans="5:21" x14ac:dyDescent="0.2">
      <c r="E45" s="45"/>
      <c r="F45" s="45"/>
      <c r="G45" s="45"/>
      <c r="H45" s="45"/>
    </row>
    <row r="46" spans="5:21" x14ac:dyDescent="0.2">
      <c r="E46" s="45"/>
      <c r="F46" s="45"/>
      <c r="G46" s="45"/>
      <c r="H46" s="45"/>
    </row>
    <row r="47" spans="5:21" x14ac:dyDescent="0.2">
      <c r="E47" s="45"/>
      <c r="F47" s="45"/>
      <c r="G47" s="45"/>
      <c r="H47" s="45"/>
    </row>
    <row r="48" spans="5:21" x14ac:dyDescent="0.2">
      <c r="E48" s="45"/>
    </row>
    <row r="49" spans="5:8" x14ac:dyDescent="0.2">
      <c r="E49" s="46"/>
      <c r="F49" s="46"/>
      <c r="G49" s="46"/>
      <c r="H49" s="46"/>
    </row>
    <row r="51" spans="5:8" x14ac:dyDescent="0.2">
      <c r="E51" s="46"/>
      <c r="F51" s="46"/>
      <c r="G51" s="46"/>
      <c r="H51" s="46"/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1"/>
  <sheetViews>
    <sheetView zoomScaleNormal="100" workbookViewId="0">
      <selection activeCell="A17" sqref="A17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8.83203125" customWidth="1"/>
    <col min="4" max="4" width="3.83203125" customWidth="1"/>
    <col min="5" max="5" width="10.33203125" customWidth="1"/>
    <col min="6" max="6" width="11.5" customWidth="1"/>
    <col min="7" max="7" width="11.33203125" customWidth="1"/>
    <col min="8" max="8" width="4.1640625" customWidth="1"/>
    <col min="9" max="10" width="17.6640625" customWidth="1"/>
    <col min="11" max="11" width="4" customWidth="1"/>
  </cols>
  <sheetData>
    <row r="1" spans="1:7" x14ac:dyDescent="0.2">
      <c r="A1" s="34" t="s">
        <v>293</v>
      </c>
    </row>
    <row r="2" spans="1:7" x14ac:dyDescent="0.2">
      <c r="A2" s="34"/>
    </row>
    <row r="3" spans="1:7" x14ac:dyDescent="0.2">
      <c r="B3" s="84" t="s">
        <v>9</v>
      </c>
      <c r="C3" s="3"/>
    </row>
    <row r="5" spans="1:7" x14ac:dyDescent="0.2">
      <c r="B5" t="s">
        <v>6</v>
      </c>
      <c r="C5" s="23">
        <v>0.15</v>
      </c>
    </row>
    <row r="7" spans="1:7" x14ac:dyDescent="0.2">
      <c r="E7" t="s">
        <v>281</v>
      </c>
      <c r="F7" t="s">
        <v>282</v>
      </c>
      <c r="G7" t="s">
        <v>283</v>
      </c>
    </row>
    <row r="8" spans="1:7" x14ac:dyDescent="0.2">
      <c r="B8" t="s">
        <v>161</v>
      </c>
      <c r="E8" s="91">
        <v>1000</v>
      </c>
      <c r="F8" s="91">
        <v>1500</v>
      </c>
      <c r="G8" s="91">
        <v>2000</v>
      </c>
    </row>
    <row r="9" spans="1:7" x14ac:dyDescent="0.2">
      <c r="B9" t="s">
        <v>163</v>
      </c>
      <c r="E9" s="91"/>
      <c r="F9" s="91">
        <v>20</v>
      </c>
      <c r="G9" s="91">
        <v>5</v>
      </c>
    </row>
    <row r="11" spans="1:7" x14ac:dyDescent="0.2">
      <c r="B11" t="s">
        <v>254</v>
      </c>
      <c r="E11" s="66" t="e">
        <f>$C5*((1+$C5)^E9)/((1+$C5)^E9-1)</f>
        <v>#DIV/0!</v>
      </c>
      <c r="F11" s="66">
        <f>$C5*((1+$C5)^F9)/((1+$C5)^F9-1)</f>
        <v>0.1597614704057439</v>
      </c>
      <c r="G11" s="66">
        <f>$C5*((1+$C5)^G9)/((1+$C5)^G9-1)</f>
        <v>0.29831555246152841</v>
      </c>
    </row>
    <row r="13" spans="1:7" x14ac:dyDescent="0.2">
      <c r="B13" t="s">
        <v>261</v>
      </c>
      <c r="E13" s="45">
        <f>C5*E8</f>
        <v>150</v>
      </c>
      <c r="F13" s="45">
        <f>F11*F8</f>
        <v>239.64220560861585</v>
      </c>
      <c r="G13" s="45">
        <f>G11*G8</f>
        <v>596.6311049230568</v>
      </c>
    </row>
    <row r="15" spans="1:7" x14ac:dyDescent="0.2">
      <c r="B15" t="s">
        <v>286</v>
      </c>
      <c r="C15" s="45"/>
      <c r="E15" s="91">
        <v>200</v>
      </c>
      <c r="F15" s="91">
        <v>276.2</v>
      </c>
      <c r="G15" s="91">
        <v>654.79999999999995</v>
      </c>
    </row>
    <row r="17" spans="2:7" x14ac:dyDescent="0.2">
      <c r="B17" t="s">
        <v>291</v>
      </c>
      <c r="C17" s="45"/>
      <c r="E17" s="46">
        <f>E15-E13</f>
        <v>50</v>
      </c>
      <c r="F17" s="46">
        <f>F15-F13</f>
        <v>36.557794391384135</v>
      </c>
      <c r="G17" s="92">
        <f>G15-G13</f>
        <v>58.168895076943159</v>
      </c>
    </row>
    <row r="19" spans="2:7" x14ac:dyDescent="0.2">
      <c r="B19" t="s">
        <v>289</v>
      </c>
      <c r="C19" s="46"/>
    </row>
    <row r="20" spans="2:7" x14ac:dyDescent="0.2">
      <c r="B20" t="s">
        <v>288</v>
      </c>
    </row>
    <row r="21" spans="2:7" x14ac:dyDescent="0.2">
      <c r="B21" t="s">
        <v>290</v>
      </c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H24"/>
  <sheetViews>
    <sheetView topLeftCell="K1" zoomScale="85" zoomScaleNormal="85" workbookViewId="0">
      <selection activeCell="X19" sqref="X19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8.83203125" customWidth="1"/>
    <col min="4" max="4" width="3.83203125" customWidth="1"/>
    <col min="5" max="5" width="10.33203125" customWidth="1"/>
    <col min="6" max="6" width="11.5" customWidth="1"/>
    <col min="7" max="7" width="13.33203125" customWidth="1"/>
    <col min="8" max="8" width="4.1640625" customWidth="1"/>
    <col min="9" max="10" width="17.6640625" customWidth="1"/>
    <col min="11" max="11" width="3.33203125" customWidth="1"/>
    <col min="12" max="12" width="7.83203125" customWidth="1"/>
    <col min="13" max="13" width="12.1640625" customWidth="1"/>
    <col min="15" max="15" width="3.83203125" customWidth="1"/>
    <col min="16" max="16" width="14.33203125" customWidth="1"/>
    <col min="17" max="17" width="15.83203125" customWidth="1"/>
    <col min="19" max="19" width="3.5" customWidth="1"/>
    <col min="20" max="20" width="7.83203125" customWidth="1"/>
    <col min="21" max="21" width="12.1640625" customWidth="1"/>
    <col min="23" max="23" width="3.83203125" customWidth="1"/>
    <col min="24" max="24" width="14.33203125" customWidth="1"/>
    <col min="25" max="25" width="15.83203125" customWidth="1"/>
    <col min="27" max="27" width="3.5" customWidth="1"/>
    <col min="28" max="28" width="3.6640625" customWidth="1"/>
    <col min="29" max="29" width="35.33203125" bestFit="1" customWidth="1"/>
    <col min="30" max="30" width="8.83203125" customWidth="1"/>
    <col min="31" max="31" width="3.83203125" customWidth="1"/>
    <col min="32" max="32" width="10.33203125" customWidth="1"/>
    <col min="33" max="33" width="11.5" customWidth="1"/>
  </cols>
  <sheetData>
    <row r="1" spans="1:34" x14ac:dyDescent="0.2">
      <c r="A1" s="34" t="s">
        <v>303</v>
      </c>
      <c r="AB1" s="34" t="s">
        <v>294</v>
      </c>
    </row>
    <row r="2" spans="1:34" x14ac:dyDescent="0.2">
      <c r="A2" s="34"/>
      <c r="AB2" s="34"/>
    </row>
    <row r="3" spans="1:34" x14ac:dyDescent="0.2">
      <c r="B3" s="84" t="s">
        <v>9</v>
      </c>
      <c r="C3" s="3"/>
      <c r="AC3" s="84" t="s">
        <v>9</v>
      </c>
      <c r="AD3" s="3"/>
    </row>
    <row r="5" spans="1:34" x14ac:dyDescent="0.2">
      <c r="B5" t="s">
        <v>6</v>
      </c>
      <c r="C5" s="23">
        <v>7.0000000000000007E-2</v>
      </c>
      <c r="AC5" t="s">
        <v>6</v>
      </c>
      <c r="AD5" s="23">
        <v>7.0000000000000007E-2</v>
      </c>
    </row>
    <row r="7" spans="1:34" x14ac:dyDescent="0.2">
      <c r="E7" s="3" t="s">
        <v>281</v>
      </c>
      <c r="F7" s="3" t="s">
        <v>282</v>
      </c>
      <c r="L7" s="3" t="s">
        <v>598</v>
      </c>
      <c r="M7" s="3"/>
      <c r="N7" s="3"/>
      <c r="T7" s="3" t="s">
        <v>299</v>
      </c>
      <c r="U7" s="3"/>
      <c r="V7" s="3"/>
      <c r="AF7" s="3" t="s">
        <v>281</v>
      </c>
      <c r="AG7" s="3" t="s">
        <v>282</v>
      </c>
    </row>
    <row r="8" spans="1:34" x14ac:dyDescent="0.2">
      <c r="B8" t="s">
        <v>295</v>
      </c>
      <c r="E8" s="91">
        <v>7000</v>
      </c>
      <c r="F8" s="91">
        <v>5000</v>
      </c>
      <c r="AC8" t="s">
        <v>295</v>
      </c>
      <c r="AF8" s="91">
        <v>7000</v>
      </c>
      <c r="AG8" s="91">
        <v>5000</v>
      </c>
    </row>
    <row r="9" spans="1:34" ht="32" x14ac:dyDescent="0.2">
      <c r="B9" t="s">
        <v>258</v>
      </c>
      <c r="E9" s="91">
        <v>-1500</v>
      </c>
      <c r="F9" s="91">
        <v>-1000</v>
      </c>
      <c r="L9" s="3" t="s">
        <v>141</v>
      </c>
      <c r="M9" s="52" t="s">
        <v>185</v>
      </c>
      <c r="N9" s="52" t="s">
        <v>300</v>
      </c>
      <c r="P9" s="3" t="s">
        <v>186</v>
      </c>
      <c r="Q9" s="48" t="s">
        <v>301</v>
      </c>
      <c r="R9" s="3" t="s">
        <v>280</v>
      </c>
      <c r="T9" s="3" t="s">
        <v>141</v>
      </c>
      <c r="U9" s="52" t="s">
        <v>185</v>
      </c>
      <c r="V9" s="52" t="s">
        <v>300</v>
      </c>
      <c r="X9" s="3" t="s">
        <v>186</v>
      </c>
      <c r="Y9" s="48" t="s">
        <v>301</v>
      </c>
      <c r="Z9" s="3" t="s">
        <v>280</v>
      </c>
      <c r="AC9" t="s">
        <v>258</v>
      </c>
      <c r="AF9" s="91">
        <v>-1500</v>
      </c>
      <c r="AG9" s="91">
        <v>-1000</v>
      </c>
    </row>
    <row r="10" spans="1:34" x14ac:dyDescent="0.2">
      <c r="B10" t="s">
        <v>163</v>
      </c>
      <c r="E10" s="91">
        <v>12</v>
      </c>
      <c r="F10" s="91">
        <v>6</v>
      </c>
      <c r="L10">
        <v>0</v>
      </c>
      <c r="M10">
        <v>5000</v>
      </c>
      <c r="P10">
        <f>(M10+N10)/(1+$C$5)^$T10</f>
        <v>5000</v>
      </c>
      <c r="Q10" s="66"/>
      <c r="R10" s="5">
        <f>P10*Q$15</f>
        <v>1048.9789987916408</v>
      </c>
      <c r="T10">
        <v>0</v>
      </c>
      <c r="U10">
        <v>5000</v>
      </c>
      <c r="X10">
        <f>(U10+V10)/(1+$C$5)^$T10</f>
        <v>5000</v>
      </c>
      <c r="Y10" s="66"/>
      <c r="Z10" s="5">
        <f>X10*Y$15</f>
        <v>629.50994327510239</v>
      </c>
      <c r="AC10" t="s">
        <v>163</v>
      </c>
      <c r="AF10" s="91">
        <v>12</v>
      </c>
      <c r="AG10" s="96">
        <v>9</v>
      </c>
      <c r="AH10" s="73" t="s">
        <v>599</v>
      </c>
    </row>
    <row r="11" spans="1:34" x14ac:dyDescent="0.2">
      <c r="L11" t="s">
        <v>226</v>
      </c>
      <c r="T11" t="s">
        <v>226</v>
      </c>
      <c r="AH11" t="s">
        <v>600</v>
      </c>
    </row>
    <row r="12" spans="1:34" x14ac:dyDescent="0.2">
      <c r="B12" t="s">
        <v>254</v>
      </c>
      <c r="E12" s="66">
        <f>$C5*((1+$C5)^E10)/((1+$C5)^E10-1)</f>
        <v>0.12590198865502047</v>
      </c>
      <c r="F12" s="66">
        <f>$C5*((1+$C5)^F10)/((1+$C5)^F10-1)</f>
        <v>0.20979579975832816</v>
      </c>
      <c r="L12">
        <v>6</v>
      </c>
      <c r="N12">
        <v>-1000</v>
      </c>
      <c r="P12" s="5">
        <f>(N12)/(1+$C$5)^$T12</f>
        <v>-666.3422238165125</v>
      </c>
      <c r="Q12" s="86"/>
      <c r="R12" s="5">
        <f>P12*Q$15</f>
        <v>-139.79579975832814</v>
      </c>
      <c r="T12">
        <v>6</v>
      </c>
      <c r="U12">
        <v>5000</v>
      </c>
      <c r="V12">
        <v>-1000</v>
      </c>
      <c r="X12" s="5">
        <f>(U12)/(1+$C$5)^$T12</f>
        <v>3331.7111190825626</v>
      </c>
      <c r="Y12" s="86"/>
      <c r="Z12" s="5">
        <f>X12*Y$15</f>
        <v>419.46905551653839</v>
      </c>
      <c r="AC12" t="s">
        <v>254</v>
      </c>
      <c r="AF12" s="66">
        <f>$C5*((1+$C5)^AF10)/((1+$C5)^AF10-1)</f>
        <v>0.12590198865502047</v>
      </c>
      <c r="AG12" s="66">
        <f>$C5*((1+$C5)^AG10)/((1+$C5)^AG10-1)</f>
        <v>0.15348647013842193</v>
      </c>
    </row>
    <row r="13" spans="1:34" x14ac:dyDescent="0.2">
      <c r="P13" s="5"/>
      <c r="Q13" s="86"/>
      <c r="R13" s="5"/>
      <c r="T13">
        <v>6</v>
      </c>
      <c r="X13" s="5">
        <f>(V12)/(1+$C$5)^$T12</f>
        <v>-666.3422238165125</v>
      </c>
      <c r="Y13" s="86"/>
      <c r="Z13" s="5">
        <f>X13*Y$15</f>
        <v>-83.893811103307669</v>
      </c>
    </row>
    <row r="14" spans="1:34" x14ac:dyDescent="0.2">
      <c r="B14" t="s">
        <v>261</v>
      </c>
      <c r="E14" s="15">
        <f>E12*E8</f>
        <v>881.31392058514336</v>
      </c>
      <c r="F14" s="15">
        <f>F12*F8</f>
        <v>1048.9789987916408</v>
      </c>
      <c r="T14" t="s">
        <v>302</v>
      </c>
      <c r="AC14" t="s">
        <v>261</v>
      </c>
      <c r="AF14" s="15">
        <f>AF12*AF8</f>
        <v>881.31392058514336</v>
      </c>
      <c r="AG14" s="15">
        <f>AG12*AG8</f>
        <v>767.43235069210959</v>
      </c>
    </row>
    <row r="15" spans="1:34" x14ac:dyDescent="0.2">
      <c r="P15" s="5"/>
      <c r="Q15" s="86">
        <f>$C$5*((1+$C$5)^L12)/((1+$C$5)^L12-1)</f>
        <v>0.20979579975832816</v>
      </c>
      <c r="R15" s="5"/>
      <c r="T15">
        <v>12</v>
      </c>
      <c r="V15">
        <v>-1000</v>
      </c>
      <c r="X15" s="5">
        <f>(U15+V15)/(1+$C$5)^$T15</f>
        <v>-444.01195924073528</v>
      </c>
      <c r="Y15" s="86">
        <f>$C$5*((1+$C$5)^T15)/((1+$C$5)^T15-1)</f>
        <v>0.12590198865502047</v>
      </c>
      <c r="Z15" s="5">
        <f>X15*Y15</f>
        <v>-55.901988655020467</v>
      </c>
    </row>
    <row r="16" spans="1:34" x14ac:dyDescent="0.2">
      <c r="B16" t="s">
        <v>259</v>
      </c>
      <c r="E16" s="15">
        <f>E9/(1+$C5)^E10</f>
        <v>-666.01793886110295</v>
      </c>
      <c r="F16" s="15">
        <f>F9/(1+$C5)^F10</f>
        <v>-666.3422238165125</v>
      </c>
      <c r="AC16" t="s">
        <v>259</v>
      </c>
      <c r="AF16" s="15">
        <f>AF9/(1+$C5)^AF10</f>
        <v>-666.01793886110295</v>
      </c>
      <c r="AG16" s="15">
        <f>AG9/(1+$C5)^AG10</f>
        <v>-543.93374258414804</v>
      </c>
    </row>
    <row r="17" spans="2:33" x14ac:dyDescent="0.2">
      <c r="B17" t="s">
        <v>260</v>
      </c>
      <c r="E17" s="15">
        <f>E12*E16</f>
        <v>-83.852982982530705</v>
      </c>
      <c r="F17" s="15">
        <f>F12*F16</f>
        <v>-139.79579975832814</v>
      </c>
      <c r="R17" s="94">
        <f>SUM(R10:R15)</f>
        <v>909.18319903331269</v>
      </c>
      <c r="Z17" s="94">
        <f>SUM(Z10:Z15)</f>
        <v>909.18319903331269</v>
      </c>
      <c r="AC17" t="s">
        <v>260</v>
      </c>
      <c r="AF17" s="15">
        <f>AF12*AF16</f>
        <v>-83.852982982530705</v>
      </c>
      <c r="AG17" s="15">
        <f>AG12*AG16</f>
        <v>-83.486470138421922</v>
      </c>
    </row>
    <row r="19" spans="2:33" x14ac:dyDescent="0.2">
      <c r="B19" t="s">
        <v>287</v>
      </c>
      <c r="C19" s="45"/>
      <c r="E19" s="16">
        <f>E14+E17</f>
        <v>797.4609376026126</v>
      </c>
      <c r="F19" s="95">
        <f>F14+F17</f>
        <v>909.18319903331269</v>
      </c>
      <c r="AC19" t="s">
        <v>287</v>
      </c>
      <c r="AD19" s="45"/>
      <c r="AF19" s="16">
        <f>AF14+AF17</f>
        <v>797.4609376026126</v>
      </c>
      <c r="AG19" s="95">
        <f>AG14+AG17</f>
        <v>683.94588055368763</v>
      </c>
    </row>
    <row r="20" spans="2:33" x14ac:dyDescent="0.2">
      <c r="N20" s="73"/>
      <c r="V20" s="73"/>
    </row>
    <row r="21" spans="2:33" x14ac:dyDescent="0.2">
      <c r="B21" t="s">
        <v>298</v>
      </c>
      <c r="AC21" t="s">
        <v>298</v>
      </c>
    </row>
    <row r="22" spans="2:33" x14ac:dyDescent="0.2">
      <c r="B22" t="s">
        <v>296</v>
      </c>
      <c r="E22" s="15">
        <f>E12*(E8+E9)</f>
        <v>692.4609376026126</v>
      </c>
      <c r="F22" s="15">
        <f>F12*(F8+F9)</f>
        <v>839.18319903331258</v>
      </c>
      <c r="AC22" t="s">
        <v>296</v>
      </c>
      <c r="AF22" s="15">
        <f>AF12*(AF8+AF9)</f>
        <v>692.4609376026126</v>
      </c>
      <c r="AG22" s="15">
        <f>AG12*(AG8+AG9)</f>
        <v>613.94588055368774</v>
      </c>
    </row>
    <row r="23" spans="2:33" x14ac:dyDescent="0.2">
      <c r="B23" s="3" t="s">
        <v>297</v>
      </c>
      <c r="C23" s="3"/>
      <c r="D23" s="3"/>
      <c r="E23" s="93">
        <f>-E9*$C5</f>
        <v>105.00000000000001</v>
      </c>
      <c r="F23" s="93">
        <f>-F9*$C5</f>
        <v>70</v>
      </c>
      <c r="AC23" s="3" t="s">
        <v>297</v>
      </c>
      <c r="AD23" s="3"/>
      <c r="AE23" s="3"/>
      <c r="AF23" s="93">
        <f>-AF9*$C5</f>
        <v>105.00000000000001</v>
      </c>
      <c r="AG23" s="93">
        <f>-AG9*$C5</f>
        <v>70</v>
      </c>
    </row>
    <row r="24" spans="2:33" x14ac:dyDescent="0.2">
      <c r="B24" t="s">
        <v>287</v>
      </c>
      <c r="E24" s="16">
        <f>E22+E23</f>
        <v>797.4609376026126</v>
      </c>
      <c r="F24" s="16">
        <f>F22+F23</f>
        <v>909.18319903331258</v>
      </c>
      <c r="AC24" t="s">
        <v>287</v>
      </c>
      <c r="AF24" s="16">
        <f>AF22+AF23</f>
        <v>797.4609376026126</v>
      </c>
      <c r="AG24" s="16">
        <f>AG22+AG23</f>
        <v>683.94588055368774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0"/>
  <sheetViews>
    <sheetView zoomScale="110" zoomScaleNormal="110" workbookViewId="0">
      <selection activeCell="F10" sqref="F10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20.1640625" customWidth="1"/>
    <col min="4" max="4" width="3.83203125" customWidth="1"/>
    <col min="5" max="5" width="13.5" customWidth="1"/>
    <col min="6" max="6" width="15.6640625" customWidth="1"/>
    <col min="7" max="7" width="2.6640625" customWidth="1"/>
    <col min="8" max="8" width="17.6640625" customWidth="1"/>
    <col min="9" max="9" width="4" customWidth="1"/>
  </cols>
  <sheetData>
    <row r="1" spans="1:10" x14ac:dyDescent="0.2">
      <c r="A1" s="34" t="s">
        <v>307</v>
      </c>
      <c r="E1" t="s">
        <v>518</v>
      </c>
    </row>
    <row r="3" spans="1:10" x14ac:dyDescent="0.2">
      <c r="B3" s="84" t="s">
        <v>308</v>
      </c>
      <c r="C3" s="3"/>
    </row>
    <row r="5" spans="1:10" x14ac:dyDescent="0.2">
      <c r="B5" t="s">
        <v>6</v>
      </c>
      <c r="C5" s="23">
        <v>2.0000000000000001E-4</v>
      </c>
    </row>
    <row r="7" spans="1:10" x14ac:dyDescent="0.2">
      <c r="E7" t="s">
        <v>281</v>
      </c>
      <c r="F7" t="s">
        <v>282</v>
      </c>
    </row>
    <row r="8" spans="1:10" x14ac:dyDescent="0.2">
      <c r="B8" t="s">
        <v>161</v>
      </c>
      <c r="E8" s="159">
        <v>5500000</v>
      </c>
      <c r="F8" s="97">
        <v>5000000</v>
      </c>
      <c r="H8" s="97">
        <v>5000000</v>
      </c>
    </row>
    <row r="9" spans="1:10" x14ac:dyDescent="0.2">
      <c r="B9" t="s">
        <v>304</v>
      </c>
      <c r="E9" s="91" t="s">
        <v>305</v>
      </c>
      <c r="F9" s="197">
        <v>50</v>
      </c>
    </row>
    <row r="10" spans="1:10" x14ac:dyDescent="0.2">
      <c r="H10" s="15">
        <f>H8/(1+C5)^50</f>
        <v>4950254.1183375539</v>
      </c>
      <c r="J10">
        <f>H10/F8</f>
        <v>0.99005082366751074</v>
      </c>
    </row>
    <row r="11" spans="1:10" x14ac:dyDescent="0.2">
      <c r="B11" t="s">
        <v>254</v>
      </c>
      <c r="E11" s="66"/>
      <c r="F11" s="86">
        <f>$C5*((1+$C5)^F9)/((1+$C5)^F9-1)</f>
        <v>2.0102166583066339E-2</v>
      </c>
      <c r="H11" s="15">
        <f>H8/(1+C5)^100</f>
        <v>4901003.1672235802</v>
      </c>
    </row>
    <row r="12" spans="1:10" x14ac:dyDescent="0.2">
      <c r="H12" s="15">
        <f>H8/(1+C5)^150</f>
        <v>4852242.2225067839</v>
      </c>
    </row>
    <row r="13" spans="1:10" x14ac:dyDescent="0.2">
      <c r="B13" t="s">
        <v>261</v>
      </c>
      <c r="E13" s="15">
        <f>C5*E8</f>
        <v>1100</v>
      </c>
      <c r="F13" s="15">
        <f>F11*F8</f>
        <v>100510.8329153317</v>
      </c>
    </row>
    <row r="16" spans="1:10" x14ac:dyDescent="0.2">
      <c r="C16" s="45"/>
      <c r="E16" t="s">
        <v>306</v>
      </c>
    </row>
    <row r="18" spans="3:3" x14ac:dyDescent="0.2">
      <c r="C18" s="45"/>
    </row>
    <row r="20" spans="3:3" x14ac:dyDescent="0.2">
      <c r="C20" s="46"/>
    </row>
  </sheetData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zoomScale="115" zoomScaleNormal="115" workbookViewId="0">
      <selection activeCell="H19" sqref="H19"/>
    </sheetView>
  </sheetViews>
  <sheetFormatPr baseColWidth="10" defaultColWidth="8.83203125" defaultRowHeight="15" x14ac:dyDescent="0.2"/>
  <cols>
    <col min="1" max="1" width="3.6640625" customWidth="1"/>
    <col min="2" max="2" width="35.33203125" bestFit="1" customWidth="1"/>
    <col min="3" max="3" width="20.1640625" customWidth="1"/>
    <col min="4" max="4" width="3.83203125" customWidth="1"/>
    <col min="5" max="5" width="15.6640625" customWidth="1"/>
    <col min="6" max="6" width="16.5" bestFit="1" customWidth="1"/>
    <col min="7" max="8" width="17.6640625" customWidth="1"/>
    <col min="9" max="9" width="15.1640625" customWidth="1"/>
  </cols>
  <sheetData>
    <row r="1" spans="1:9" x14ac:dyDescent="0.2">
      <c r="A1" s="34" t="s">
        <v>309</v>
      </c>
    </row>
    <row r="3" spans="1:9" x14ac:dyDescent="0.2">
      <c r="E3" s="3" t="s">
        <v>22</v>
      </c>
      <c r="F3" s="3" t="s">
        <v>314</v>
      </c>
      <c r="G3" s="3" t="s">
        <v>313</v>
      </c>
      <c r="H3" s="3" t="s">
        <v>583</v>
      </c>
      <c r="I3" s="3" t="s">
        <v>43</v>
      </c>
    </row>
    <row r="4" spans="1:9" x14ac:dyDescent="0.2">
      <c r="E4">
        <v>0</v>
      </c>
      <c r="I4" s="16">
        <f>C7</f>
        <v>2400</v>
      </c>
    </row>
    <row r="5" spans="1:9" x14ac:dyDescent="0.2">
      <c r="B5" t="s">
        <v>311</v>
      </c>
      <c r="C5" s="100">
        <v>0.06</v>
      </c>
      <c r="E5">
        <v>1</v>
      </c>
      <c r="F5" s="98">
        <f>I4*$C$6</f>
        <v>12</v>
      </c>
      <c r="G5" s="2">
        <f>$C$9-F5</f>
        <v>395.02909354585717</v>
      </c>
      <c r="H5" s="98">
        <f>SUM(F5:G5)</f>
        <v>407.02909354585717</v>
      </c>
      <c r="I5" s="46">
        <f>I4-G5</f>
        <v>2004.9709064541428</v>
      </c>
    </row>
    <row r="6" spans="1:9" x14ac:dyDescent="0.2">
      <c r="B6" t="s">
        <v>310</v>
      </c>
      <c r="C6" s="81">
        <f>C5/12</f>
        <v>5.0000000000000001E-3</v>
      </c>
      <c r="E6">
        <v>2</v>
      </c>
      <c r="F6" s="98">
        <f>I5*$C$6</f>
        <v>10.024854532270714</v>
      </c>
      <c r="G6" s="2">
        <f>$C$9-F6</f>
        <v>397.00423901358647</v>
      </c>
      <c r="H6" s="98">
        <f t="shared" ref="H6:H10" si="0">SUM(F6:G6)</f>
        <v>407.02909354585717</v>
      </c>
      <c r="I6" s="46">
        <f t="shared" ref="I6:I9" si="1">I5-G6</f>
        <v>1607.9666674405562</v>
      </c>
    </row>
    <row r="7" spans="1:9" x14ac:dyDescent="0.2">
      <c r="B7" t="s">
        <v>44</v>
      </c>
      <c r="C7" s="99">
        <v>2400</v>
      </c>
      <c r="E7">
        <v>3</v>
      </c>
      <c r="F7" s="98">
        <f t="shared" ref="F7:F9" si="2">I6*$C$6</f>
        <v>8.039833337202781</v>
      </c>
      <c r="G7" s="2">
        <f t="shared" ref="G7:G10" si="3">$C$9-F7</f>
        <v>398.9892602086544</v>
      </c>
      <c r="H7" s="98">
        <f t="shared" si="0"/>
        <v>407.02909354585717</v>
      </c>
      <c r="I7" s="46">
        <f t="shared" si="1"/>
        <v>1208.9774072319019</v>
      </c>
    </row>
    <row r="8" spans="1:9" x14ac:dyDescent="0.2">
      <c r="E8">
        <v>4</v>
      </c>
      <c r="F8" s="98">
        <f t="shared" si="2"/>
        <v>6.0448870361595093</v>
      </c>
      <c r="G8" s="2">
        <f t="shared" si="3"/>
        <v>400.98420650969763</v>
      </c>
      <c r="H8" s="98">
        <f t="shared" si="0"/>
        <v>407.02909354585717</v>
      </c>
      <c r="I8" s="46">
        <f t="shared" si="1"/>
        <v>807.99320072220428</v>
      </c>
    </row>
    <row r="9" spans="1:9" x14ac:dyDescent="0.2">
      <c r="B9" t="s">
        <v>312</v>
      </c>
      <c r="C9" s="2">
        <f>-PMT(C6,6,C7)</f>
        <v>407.02909354585717</v>
      </c>
      <c r="E9">
        <v>5</v>
      </c>
      <c r="F9" s="98">
        <f t="shared" si="2"/>
        <v>4.0399660036110214</v>
      </c>
      <c r="G9" s="2">
        <f t="shared" si="3"/>
        <v>402.98912754224614</v>
      </c>
      <c r="H9" s="98">
        <f t="shared" si="0"/>
        <v>407.02909354585717</v>
      </c>
      <c r="I9" s="46">
        <f t="shared" si="1"/>
        <v>405.00407317995814</v>
      </c>
    </row>
    <row r="10" spans="1:9" x14ac:dyDescent="0.2">
      <c r="C10" t="s">
        <v>535</v>
      </c>
      <c r="E10">
        <v>6</v>
      </c>
      <c r="F10" s="98">
        <f>I9*$C$6</f>
        <v>2.025020365899791</v>
      </c>
      <c r="G10" s="2">
        <f t="shared" si="3"/>
        <v>405.0040731799574</v>
      </c>
      <c r="H10" s="98">
        <f t="shared" si="0"/>
        <v>407.02909354585717</v>
      </c>
      <c r="I10" s="46">
        <f>I9-G10</f>
        <v>7.3896444519050419E-13</v>
      </c>
    </row>
    <row r="11" spans="1:9" x14ac:dyDescent="0.2">
      <c r="G11" s="21">
        <f>SUM(G5:G10)</f>
        <v>2399.9999999999991</v>
      </c>
    </row>
    <row r="12" spans="1:9" x14ac:dyDescent="0.2">
      <c r="B12" t="s">
        <v>315</v>
      </c>
    </row>
    <row r="13" spans="1:9" x14ac:dyDescent="0.2">
      <c r="B13" t="s">
        <v>316</v>
      </c>
    </row>
    <row r="14" spans="1:9" x14ac:dyDescent="0.2">
      <c r="B14" t="s">
        <v>317</v>
      </c>
    </row>
    <row r="16" spans="1:9" x14ac:dyDescent="0.2">
      <c r="C16" s="45">
        <f>0.2*C9</f>
        <v>81.405818709171442</v>
      </c>
      <c r="F16">
        <v>1</v>
      </c>
      <c r="G16" s="49">
        <v>6.0900000000000003E-2</v>
      </c>
      <c r="H16">
        <f>F$16*(1+G16)</f>
        <v>1.0609</v>
      </c>
    </row>
    <row r="17" spans="3:8" x14ac:dyDescent="0.2">
      <c r="H17">
        <f>F$16*(1+G17)</f>
        <v>1</v>
      </c>
    </row>
    <row r="18" spans="3:8" x14ac:dyDescent="0.2">
      <c r="C18" s="226">
        <v>0.06</v>
      </c>
      <c r="G18" s="6">
        <v>4.9386200000000003E-3</v>
      </c>
      <c r="H18" s="86">
        <f>F$16*(1+G18)^12</f>
        <v>1.0608999742683145</v>
      </c>
    </row>
    <row r="19" spans="3:8" x14ac:dyDescent="0.2">
      <c r="C19">
        <f>(1+C18/D19)^D19-1</f>
        <v>6.0899999999999954E-2</v>
      </c>
      <c r="D19">
        <v>2</v>
      </c>
      <c r="G19" s="6">
        <v>5.0000000000000001E-3</v>
      </c>
      <c r="H19" s="86">
        <f>F$16*(1+G19)^12</f>
        <v>1.0616778118644976</v>
      </c>
    </row>
    <row r="20" spans="3:8" x14ac:dyDescent="0.2">
      <c r="C20" s="13">
        <f>(1+C19)^(1/D20)</f>
        <v>1.0049386220311969</v>
      </c>
      <c r="D20">
        <v>12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0"/>
  <sheetViews>
    <sheetView zoomScale="130" zoomScaleNormal="130" workbookViewId="0">
      <selection activeCell="E15" sqref="E15"/>
    </sheetView>
  </sheetViews>
  <sheetFormatPr baseColWidth="10" defaultColWidth="8.83203125" defaultRowHeight="15" outlineLevelRow="1" x14ac:dyDescent="0.2"/>
  <cols>
    <col min="1" max="1" width="18.1640625" customWidth="1"/>
    <col min="3" max="3" width="14.6640625" customWidth="1"/>
    <col min="4" max="4" width="10.1640625" customWidth="1"/>
    <col min="5" max="5" width="13.33203125" bestFit="1" customWidth="1"/>
    <col min="6" max="6" width="10.5" bestFit="1" customWidth="1"/>
    <col min="7" max="7" width="13.83203125" customWidth="1"/>
    <col min="8" max="8" width="4.5" customWidth="1"/>
    <col min="9" max="10" width="15.6640625" customWidth="1"/>
  </cols>
  <sheetData>
    <row r="1" spans="1:10" x14ac:dyDescent="0.2">
      <c r="A1" s="34" t="s">
        <v>528</v>
      </c>
    </row>
    <row r="3" spans="1:10" x14ac:dyDescent="0.2">
      <c r="A3" t="s">
        <v>519</v>
      </c>
      <c r="E3" s="47">
        <v>500000</v>
      </c>
      <c r="I3" t="s">
        <v>530</v>
      </c>
    </row>
    <row r="4" spans="1:10" x14ac:dyDescent="0.2">
      <c r="A4" t="s">
        <v>520</v>
      </c>
      <c r="E4" s="12">
        <f>30*12</f>
        <v>360</v>
      </c>
      <c r="F4" t="s">
        <v>527</v>
      </c>
      <c r="I4" t="s">
        <v>531</v>
      </c>
    </row>
    <row r="5" spans="1:10" x14ac:dyDescent="0.2">
      <c r="A5" t="s">
        <v>311</v>
      </c>
      <c r="E5" s="51">
        <v>0.05</v>
      </c>
    </row>
    <row r="6" spans="1:10" x14ac:dyDescent="0.2">
      <c r="A6" t="s">
        <v>310</v>
      </c>
      <c r="E6" s="6">
        <f>E5/12</f>
        <v>4.1666666666666666E-3</v>
      </c>
    </row>
    <row r="7" spans="1:10" x14ac:dyDescent="0.2">
      <c r="A7" t="s">
        <v>529</v>
      </c>
      <c r="E7" s="6">
        <f>(1+E5/12)^12-1</f>
        <v>5.116189788173342E-2</v>
      </c>
    </row>
    <row r="8" spans="1:10" x14ac:dyDescent="0.2">
      <c r="A8" t="s">
        <v>137</v>
      </c>
      <c r="E8" s="50">
        <f>-PMT(E5/12,E4,E3)</f>
        <v>2684.1081150606951</v>
      </c>
    </row>
    <row r="9" spans="1:10" ht="26.25" customHeight="1" x14ac:dyDescent="0.2">
      <c r="D9">
        <f>E3*E9</f>
        <v>2684.1081150606906</v>
      </c>
      <c r="E9" s="164">
        <f>((E6*(1+E6)^E4)/((1+E6)^E4-1))</f>
        <v>5.3682162301213815E-3</v>
      </c>
    </row>
    <row r="10" spans="1:10" ht="32" x14ac:dyDescent="0.2">
      <c r="B10" s="3" t="s">
        <v>136</v>
      </c>
      <c r="C10" s="48" t="s">
        <v>135</v>
      </c>
      <c r="D10" s="48" t="s">
        <v>133</v>
      </c>
      <c r="E10" s="48" t="s">
        <v>616</v>
      </c>
      <c r="F10" s="161" t="s">
        <v>615</v>
      </c>
      <c r="G10" s="48" t="s">
        <v>131</v>
      </c>
      <c r="H10" s="3"/>
      <c r="I10" s="48" t="s">
        <v>130</v>
      </c>
      <c r="J10" s="48" t="s">
        <v>129</v>
      </c>
    </row>
    <row r="11" spans="1:10" x14ac:dyDescent="0.2">
      <c r="B11" s="44">
        <v>44197</v>
      </c>
      <c r="C11" s="160">
        <f>E3</f>
        <v>500000</v>
      </c>
      <c r="D11" s="16">
        <f>C11*E$6</f>
        <v>2083.3333333333335</v>
      </c>
      <c r="E11" s="21">
        <v>1000</v>
      </c>
      <c r="F11" s="162">
        <f>D11+E11</f>
        <v>3083.3333333333335</v>
      </c>
      <c r="G11" s="16">
        <f t="shared" ref="G11:G74" si="0">C11-E11-F11</f>
        <v>495916.66666666669</v>
      </c>
      <c r="I11" s="21">
        <f>E11</f>
        <v>1000</v>
      </c>
      <c r="J11" s="16">
        <f>D11</f>
        <v>2083.3333333333335</v>
      </c>
    </row>
    <row r="12" spans="1:10" x14ac:dyDescent="0.2">
      <c r="B12" s="44">
        <v>44228</v>
      </c>
      <c r="C12" s="15">
        <f t="shared" ref="C12:C75" si="1">G11</f>
        <v>495916.66666666669</v>
      </c>
      <c r="D12" s="16">
        <f>C12*E$6</f>
        <v>2066.3194444444443</v>
      </c>
      <c r="E12" s="21">
        <f>E11</f>
        <v>1000</v>
      </c>
      <c r="F12" s="162">
        <f t="shared" ref="F12:F75" si="2">D12+E12</f>
        <v>3066.3194444444443</v>
      </c>
      <c r="G12" s="16">
        <f t="shared" si="0"/>
        <v>491850.34722222225</v>
      </c>
      <c r="I12" s="21">
        <f t="shared" ref="I12:I75" si="3">I11+E12</f>
        <v>2000</v>
      </c>
      <c r="J12" s="16">
        <f t="shared" ref="J12:J75" si="4">J11+D12</f>
        <v>4149.6527777777774</v>
      </c>
    </row>
    <row r="13" spans="1:10" x14ac:dyDescent="0.2">
      <c r="B13" s="44">
        <v>44256</v>
      </c>
      <c r="C13" s="15">
        <f t="shared" si="1"/>
        <v>491850.34722222225</v>
      </c>
      <c r="D13" s="16">
        <f t="shared" ref="D13:D69" si="5">C13*E$6</f>
        <v>2049.3764467592591</v>
      </c>
      <c r="E13" s="21">
        <f t="shared" ref="E13:E76" si="6">E12</f>
        <v>1000</v>
      </c>
      <c r="F13" s="162">
        <f t="shared" si="2"/>
        <v>3049.3764467592591</v>
      </c>
      <c r="G13" s="16">
        <f t="shared" si="0"/>
        <v>487800.97077546298</v>
      </c>
      <c r="I13" s="21">
        <f t="shared" si="3"/>
        <v>3000</v>
      </c>
      <c r="J13" s="16">
        <f t="shared" si="4"/>
        <v>6199.0292245370365</v>
      </c>
    </row>
    <row r="14" spans="1:10" x14ac:dyDescent="0.2">
      <c r="B14" s="44">
        <v>44287</v>
      </c>
      <c r="C14" s="15">
        <f t="shared" si="1"/>
        <v>487800.97077546298</v>
      </c>
      <c r="D14" s="16">
        <f t="shared" si="5"/>
        <v>2032.5040448977625</v>
      </c>
      <c r="E14" s="21">
        <f t="shared" si="6"/>
        <v>1000</v>
      </c>
      <c r="F14" s="162">
        <f t="shared" si="2"/>
        <v>3032.5040448977625</v>
      </c>
      <c r="G14" s="16">
        <f t="shared" si="0"/>
        <v>483768.46673056524</v>
      </c>
      <c r="I14" s="21">
        <f t="shared" si="3"/>
        <v>4000</v>
      </c>
      <c r="J14" s="16">
        <f t="shared" si="4"/>
        <v>8231.5332694347999</v>
      </c>
    </row>
    <row r="15" spans="1:10" x14ac:dyDescent="0.2">
      <c r="B15" s="44">
        <v>44317</v>
      </c>
      <c r="C15" s="15">
        <f t="shared" si="1"/>
        <v>483768.46673056524</v>
      </c>
      <c r="D15" s="16">
        <f t="shared" si="5"/>
        <v>2015.7019447106884</v>
      </c>
      <c r="E15" s="21">
        <f t="shared" si="6"/>
        <v>1000</v>
      </c>
      <c r="F15" s="162">
        <f t="shared" si="2"/>
        <v>3015.7019447106886</v>
      </c>
      <c r="G15" s="16">
        <f t="shared" si="0"/>
        <v>479752.76478585455</v>
      </c>
      <c r="I15" s="21">
        <f t="shared" si="3"/>
        <v>5000</v>
      </c>
      <c r="J15" s="16">
        <f t="shared" si="4"/>
        <v>10247.235214145488</v>
      </c>
    </row>
    <row r="16" spans="1:10" x14ac:dyDescent="0.2">
      <c r="B16" s="44">
        <v>44348</v>
      </c>
      <c r="C16" s="15">
        <f t="shared" si="1"/>
        <v>479752.76478585455</v>
      </c>
      <c r="D16" s="16">
        <f t="shared" si="5"/>
        <v>1998.9698532743939</v>
      </c>
      <c r="E16" s="21">
        <f t="shared" si="6"/>
        <v>1000</v>
      </c>
      <c r="F16" s="162">
        <f t="shared" si="2"/>
        <v>2998.9698532743942</v>
      </c>
      <c r="G16" s="16">
        <f t="shared" si="0"/>
        <v>475753.79493258015</v>
      </c>
      <c r="I16" s="21">
        <f t="shared" si="3"/>
        <v>6000</v>
      </c>
      <c r="J16" s="16">
        <f t="shared" si="4"/>
        <v>12246.205067419882</v>
      </c>
    </row>
    <row r="17" spans="2:10" x14ac:dyDescent="0.2">
      <c r="B17" s="44">
        <v>44378</v>
      </c>
      <c r="C17" s="15">
        <f t="shared" si="1"/>
        <v>475753.79493258015</v>
      </c>
      <c r="D17" s="16">
        <f t="shared" si="5"/>
        <v>1982.3074788857505</v>
      </c>
      <c r="E17" s="21">
        <f t="shared" si="6"/>
        <v>1000</v>
      </c>
      <c r="F17" s="162">
        <f t="shared" si="2"/>
        <v>2982.3074788857502</v>
      </c>
      <c r="G17" s="16">
        <f t="shared" si="0"/>
        <v>471771.4874536944</v>
      </c>
      <c r="I17" s="21">
        <f t="shared" si="3"/>
        <v>7000</v>
      </c>
      <c r="J17" s="16">
        <f t="shared" si="4"/>
        <v>14228.512546305632</v>
      </c>
    </row>
    <row r="18" spans="2:10" x14ac:dyDescent="0.2">
      <c r="B18" s="44">
        <v>44409</v>
      </c>
      <c r="C18" s="15">
        <f t="shared" si="1"/>
        <v>471771.4874536944</v>
      </c>
      <c r="D18" s="16">
        <f t="shared" si="5"/>
        <v>1965.71453105706</v>
      </c>
      <c r="E18" s="21">
        <f t="shared" si="6"/>
        <v>1000</v>
      </c>
      <c r="F18" s="162">
        <f t="shared" si="2"/>
        <v>2965.71453105706</v>
      </c>
      <c r="G18" s="16">
        <f t="shared" si="0"/>
        <v>467805.77292263735</v>
      </c>
      <c r="I18" s="21">
        <f t="shared" si="3"/>
        <v>8000</v>
      </c>
      <c r="J18" s="16">
        <f t="shared" si="4"/>
        <v>16194.227077362691</v>
      </c>
    </row>
    <row r="19" spans="2:10" x14ac:dyDescent="0.2">
      <c r="B19" s="44">
        <v>44440</v>
      </c>
      <c r="C19" s="15">
        <f t="shared" si="1"/>
        <v>467805.77292263735</v>
      </c>
      <c r="D19" s="16">
        <f t="shared" si="5"/>
        <v>1949.190720510989</v>
      </c>
      <c r="E19" s="21">
        <f t="shared" si="6"/>
        <v>1000</v>
      </c>
      <c r="F19" s="162">
        <f t="shared" si="2"/>
        <v>2949.1907205109892</v>
      </c>
      <c r="G19" s="16">
        <f t="shared" si="0"/>
        <v>463856.58220212639</v>
      </c>
      <c r="I19" s="21">
        <f t="shared" si="3"/>
        <v>9000</v>
      </c>
      <c r="J19" s="16">
        <f t="shared" si="4"/>
        <v>18143.417797873681</v>
      </c>
    </row>
    <row r="20" spans="2:10" x14ac:dyDescent="0.2">
      <c r="B20" s="44">
        <v>44470</v>
      </c>
      <c r="C20" s="15">
        <f t="shared" si="1"/>
        <v>463856.58220212639</v>
      </c>
      <c r="D20" s="16">
        <f t="shared" si="5"/>
        <v>1932.7357591755265</v>
      </c>
      <c r="E20" s="21">
        <f t="shared" si="6"/>
        <v>1000</v>
      </c>
      <c r="F20" s="162">
        <f t="shared" si="2"/>
        <v>2932.7357591755263</v>
      </c>
      <c r="G20" s="16">
        <f t="shared" si="0"/>
        <v>459923.84644295089</v>
      </c>
      <c r="I20" s="21">
        <f t="shared" si="3"/>
        <v>10000</v>
      </c>
      <c r="J20" s="16">
        <f t="shared" si="4"/>
        <v>20076.153557049209</v>
      </c>
    </row>
    <row r="21" spans="2:10" x14ac:dyDescent="0.2">
      <c r="B21" s="44">
        <v>44501</v>
      </c>
      <c r="C21" s="15">
        <f t="shared" si="1"/>
        <v>459923.84644295089</v>
      </c>
      <c r="D21" s="16">
        <f t="shared" si="5"/>
        <v>1916.3493601789621</v>
      </c>
      <c r="E21" s="21">
        <f t="shared" si="6"/>
        <v>1000</v>
      </c>
      <c r="F21" s="162">
        <f t="shared" si="2"/>
        <v>2916.3493601789623</v>
      </c>
      <c r="G21" s="16">
        <f t="shared" si="0"/>
        <v>456007.49708277191</v>
      </c>
      <c r="I21" s="21">
        <f t="shared" si="3"/>
        <v>11000</v>
      </c>
      <c r="J21" s="16">
        <f t="shared" si="4"/>
        <v>21992.502917228172</v>
      </c>
    </row>
    <row r="22" spans="2:10" x14ac:dyDescent="0.2">
      <c r="B22" s="44">
        <v>44531</v>
      </c>
      <c r="C22" s="15">
        <f t="shared" si="1"/>
        <v>456007.49708277191</v>
      </c>
      <c r="D22" s="16">
        <f t="shared" si="5"/>
        <v>1900.031237844883</v>
      </c>
      <c r="E22" s="21">
        <f t="shared" si="6"/>
        <v>1000</v>
      </c>
      <c r="F22" s="162">
        <f t="shared" si="2"/>
        <v>2900.031237844883</v>
      </c>
      <c r="G22" s="16">
        <f t="shared" si="0"/>
        <v>452107.46584492701</v>
      </c>
      <c r="I22" s="21">
        <f t="shared" si="3"/>
        <v>12000</v>
      </c>
      <c r="J22" s="16">
        <f t="shared" si="4"/>
        <v>23892.534155073055</v>
      </c>
    </row>
    <row r="23" spans="2:10" outlineLevel="1" x14ac:dyDescent="0.2">
      <c r="B23" s="44">
        <v>44562</v>
      </c>
      <c r="C23" s="15">
        <f t="shared" si="1"/>
        <v>452107.46584492701</v>
      </c>
      <c r="D23" s="16">
        <f t="shared" si="5"/>
        <v>1883.7811076871958</v>
      </c>
      <c r="E23" s="21">
        <f t="shared" si="6"/>
        <v>1000</v>
      </c>
      <c r="F23" s="162">
        <f t="shared" si="2"/>
        <v>2883.7811076871958</v>
      </c>
      <c r="G23" s="16">
        <f t="shared" si="0"/>
        <v>448223.68473723979</v>
      </c>
      <c r="I23" s="21">
        <f t="shared" si="3"/>
        <v>13000</v>
      </c>
      <c r="J23" s="16">
        <f t="shared" si="4"/>
        <v>25776.31526276025</v>
      </c>
    </row>
    <row r="24" spans="2:10" outlineLevel="1" x14ac:dyDescent="0.2">
      <c r="B24" s="44">
        <v>44593</v>
      </c>
      <c r="C24" s="15">
        <f t="shared" si="1"/>
        <v>448223.68473723979</v>
      </c>
      <c r="D24" s="16">
        <f t="shared" si="5"/>
        <v>1867.5986864051658</v>
      </c>
      <c r="E24" s="21">
        <f t="shared" si="6"/>
        <v>1000</v>
      </c>
      <c r="F24" s="162">
        <f t="shared" si="2"/>
        <v>2867.5986864051656</v>
      </c>
      <c r="G24" s="16">
        <f t="shared" si="0"/>
        <v>444356.08605083462</v>
      </c>
      <c r="I24" s="21">
        <f t="shared" si="3"/>
        <v>14000</v>
      </c>
      <c r="J24" s="16">
        <f t="shared" si="4"/>
        <v>27643.913949165417</v>
      </c>
    </row>
    <row r="25" spans="2:10" outlineLevel="1" x14ac:dyDescent="0.2">
      <c r="B25" s="44">
        <v>44621</v>
      </c>
      <c r="C25" s="15">
        <f t="shared" si="1"/>
        <v>444356.08605083462</v>
      </c>
      <c r="D25" s="16">
        <f t="shared" si="5"/>
        <v>1851.4836918784777</v>
      </c>
      <c r="E25" s="21">
        <f t="shared" si="6"/>
        <v>1000</v>
      </c>
      <c r="F25" s="162">
        <f t="shared" si="2"/>
        <v>2851.4836918784777</v>
      </c>
      <c r="G25" s="16">
        <f t="shared" si="0"/>
        <v>440504.60235895612</v>
      </c>
      <c r="I25" s="21">
        <f t="shared" si="3"/>
        <v>15000</v>
      </c>
      <c r="J25" s="16">
        <f t="shared" si="4"/>
        <v>29495.397641043895</v>
      </c>
    </row>
    <row r="26" spans="2:10" outlineLevel="1" x14ac:dyDescent="0.2">
      <c r="B26" s="44">
        <v>44652</v>
      </c>
      <c r="C26" s="15">
        <f t="shared" si="1"/>
        <v>440504.60235895612</v>
      </c>
      <c r="D26" s="16">
        <f t="shared" si="5"/>
        <v>1835.435843162317</v>
      </c>
      <c r="E26" s="21">
        <f t="shared" si="6"/>
        <v>1000</v>
      </c>
      <c r="F26" s="162">
        <f t="shared" si="2"/>
        <v>2835.4358431623168</v>
      </c>
      <c r="G26" s="16">
        <f t="shared" si="0"/>
        <v>436669.16651579383</v>
      </c>
      <c r="I26" s="21">
        <f t="shared" si="3"/>
        <v>16000</v>
      </c>
      <c r="J26" s="16">
        <f t="shared" si="4"/>
        <v>31330.833484206214</v>
      </c>
    </row>
    <row r="27" spans="2:10" outlineLevel="1" x14ac:dyDescent="0.2">
      <c r="B27" s="44">
        <v>44682</v>
      </c>
      <c r="C27" s="15">
        <f t="shared" si="1"/>
        <v>436669.16651579383</v>
      </c>
      <c r="D27" s="16">
        <f t="shared" si="5"/>
        <v>1819.4548604824743</v>
      </c>
      <c r="E27" s="21">
        <f t="shared" si="6"/>
        <v>1000</v>
      </c>
      <c r="F27" s="162">
        <f t="shared" si="2"/>
        <v>2819.454860482474</v>
      </c>
      <c r="G27" s="16">
        <f t="shared" si="0"/>
        <v>432849.71165531134</v>
      </c>
      <c r="I27" s="21">
        <f t="shared" si="3"/>
        <v>17000</v>
      </c>
      <c r="J27" s="16">
        <f t="shared" si="4"/>
        <v>33150.288344688692</v>
      </c>
    </row>
    <row r="28" spans="2:10" outlineLevel="1" x14ac:dyDescent="0.2">
      <c r="B28" s="44">
        <v>44713</v>
      </c>
      <c r="C28" s="15">
        <f t="shared" si="1"/>
        <v>432849.71165531134</v>
      </c>
      <c r="D28" s="16">
        <f t="shared" si="5"/>
        <v>1803.540465230464</v>
      </c>
      <c r="E28" s="21">
        <f t="shared" si="6"/>
        <v>1000</v>
      </c>
      <c r="F28" s="162">
        <f t="shared" si="2"/>
        <v>2803.5404652304642</v>
      </c>
      <c r="G28" s="16">
        <f t="shared" si="0"/>
        <v>429046.17119008087</v>
      </c>
      <c r="I28" s="21">
        <f t="shared" si="3"/>
        <v>18000</v>
      </c>
      <c r="J28" s="16">
        <f t="shared" si="4"/>
        <v>34953.828809919156</v>
      </c>
    </row>
    <row r="29" spans="2:10" outlineLevel="1" x14ac:dyDescent="0.2">
      <c r="B29" s="44">
        <v>44743</v>
      </c>
      <c r="C29" s="15">
        <f t="shared" si="1"/>
        <v>429046.17119008087</v>
      </c>
      <c r="D29" s="16">
        <f t="shared" si="5"/>
        <v>1787.6923799586702</v>
      </c>
      <c r="E29" s="21">
        <f t="shared" si="6"/>
        <v>1000</v>
      </c>
      <c r="F29" s="162">
        <f t="shared" si="2"/>
        <v>2787.6923799586702</v>
      </c>
      <c r="G29" s="16">
        <f t="shared" si="0"/>
        <v>425258.47881012218</v>
      </c>
      <c r="I29" s="21">
        <f t="shared" si="3"/>
        <v>19000</v>
      </c>
      <c r="J29" s="16">
        <f t="shared" si="4"/>
        <v>36741.521189877829</v>
      </c>
    </row>
    <row r="30" spans="2:10" outlineLevel="1" x14ac:dyDescent="0.2">
      <c r="B30" s="44">
        <v>44774</v>
      </c>
      <c r="C30" s="15">
        <f t="shared" si="1"/>
        <v>425258.47881012218</v>
      </c>
      <c r="D30" s="16">
        <f t="shared" si="5"/>
        <v>1771.9103283755092</v>
      </c>
      <c r="E30" s="21">
        <f t="shared" si="6"/>
        <v>1000</v>
      </c>
      <c r="F30" s="162">
        <f t="shared" si="2"/>
        <v>2771.9103283755094</v>
      </c>
      <c r="G30" s="16">
        <f t="shared" si="0"/>
        <v>421486.56848174665</v>
      </c>
      <c r="I30" s="21">
        <f t="shared" si="3"/>
        <v>20000</v>
      </c>
      <c r="J30" s="16">
        <f t="shared" si="4"/>
        <v>38513.431518253339</v>
      </c>
    </row>
    <row r="31" spans="2:10" outlineLevel="1" x14ac:dyDescent="0.2">
      <c r="B31" s="44">
        <v>44805</v>
      </c>
      <c r="C31" s="15">
        <f t="shared" si="1"/>
        <v>421486.56848174665</v>
      </c>
      <c r="D31" s="16">
        <f t="shared" si="5"/>
        <v>1756.194035340611</v>
      </c>
      <c r="E31" s="21">
        <f t="shared" si="6"/>
        <v>1000</v>
      </c>
      <c r="F31" s="162">
        <f t="shared" si="2"/>
        <v>2756.1940353406108</v>
      </c>
      <c r="G31" s="16">
        <f t="shared" si="0"/>
        <v>417730.37444640603</v>
      </c>
      <c r="I31" s="21">
        <f t="shared" si="3"/>
        <v>21000</v>
      </c>
      <c r="J31" s="16">
        <f t="shared" si="4"/>
        <v>40269.625553593949</v>
      </c>
    </row>
    <row r="32" spans="2:10" outlineLevel="1" x14ac:dyDescent="0.2">
      <c r="B32" s="44">
        <v>44835</v>
      </c>
      <c r="C32" s="15">
        <f t="shared" si="1"/>
        <v>417730.37444640603</v>
      </c>
      <c r="D32" s="16">
        <f t="shared" si="5"/>
        <v>1740.543226860025</v>
      </c>
      <c r="E32" s="21">
        <f t="shared" si="6"/>
        <v>1000</v>
      </c>
      <c r="F32" s="162">
        <f t="shared" si="2"/>
        <v>2740.5432268600252</v>
      </c>
      <c r="G32" s="16">
        <f t="shared" si="0"/>
        <v>413989.83121954603</v>
      </c>
      <c r="I32" s="21">
        <f t="shared" si="3"/>
        <v>22000</v>
      </c>
      <c r="J32" s="16">
        <f t="shared" si="4"/>
        <v>42010.168780453976</v>
      </c>
    </row>
    <row r="33" spans="2:10" outlineLevel="1" x14ac:dyDescent="0.2">
      <c r="B33" s="44">
        <v>44866</v>
      </c>
      <c r="C33" s="15">
        <f t="shared" si="1"/>
        <v>413989.83121954603</v>
      </c>
      <c r="D33" s="16">
        <f t="shared" si="5"/>
        <v>1724.9576300814417</v>
      </c>
      <c r="E33" s="21">
        <f t="shared" si="6"/>
        <v>1000</v>
      </c>
      <c r="F33" s="162">
        <f t="shared" si="2"/>
        <v>2724.9576300814415</v>
      </c>
      <c r="G33" s="16">
        <f t="shared" si="0"/>
        <v>410264.87358946458</v>
      </c>
      <c r="I33" s="21">
        <f t="shared" si="3"/>
        <v>23000</v>
      </c>
      <c r="J33" s="16">
        <f t="shared" si="4"/>
        <v>43735.12641053542</v>
      </c>
    </row>
    <row r="34" spans="2:10" outlineLevel="1" x14ac:dyDescent="0.2">
      <c r="B34" s="44">
        <v>44896</v>
      </c>
      <c r="C34" s="15">
        <f t="shared" si="1"/>
        <v>410264.87358946458</v>
      </c>
      <c r="D34" s="16">
        <f t="shared" si="5"/>
        <v>1709.4369732894356</v>
      </c>
      <c r="E34" s="21">
        <f t="shared" si="6"/>
        <v>1000</v>
      </c>
      <c r="F34" s="162">
        <f t="shared" si="2"/>
        <v>2709.4369732894356</v>
      </c>
      <c r="G34" s="16">
        <f t="shared" si="0"/>
        <v>406555.43661617517</v>
      </c>
      <c r="I34" s="21">
        <f t="shared" si="3"/>
        <v>24000</v>
      </c>
      <c r="J34" s="16">
        <f t="shared" si="4"/>
        <v>45444.563383824854</v>
      </c>
    </row>
    <row r="35" spans="2:10" outlineLevel="1" x14ac:dyDescent="0.2">
      <c r="B35" s="44">
        <v>44927</v>
      </c>
      <c r="C35" s="15">
        <f t="shared" si="1"/>
        <v>406555.43661617517</v>
      </c>
      <c r="D35" s="16">
        <f t="shared" si="5"/>
        <v>1693.9809859007298</v>
      </c>
      <c r="E35" s="21">
        <f t="shared" si="6"/>
        <v>1000</v>
      </c>
      <c r="F35" s="162">
        <f t="shared" si="2"/>
        <v>2693.98098590073</v>
      </c>
      <c r="G35" s="16">
        <f t="shared" si="0"/>
        <v>402861.45563027443</v>
      </c>
      <c r="I35" s="21">
        <f t="shared" si="3"/>
        <v>25000</v>
      </c>
      <c r="J35" s="16">
        <f t="shared" si="4"/>
        <v>47138.544369725583</v>
      </c>
    </row>
    <row r="36" spans="2:10" outlineLevel="1" x14ac:dyDescent="0.2">
      <c r="B36" s="44">
        <v>44958</v>
      </c>
      <c r="C36" s="15">
        <f t="shared" si="1"/>
        <v>402861.45563027443</v>
      </c>
      <c r="D36" s="16">
        <f t="shared" si="5"/>
        <v>1678.5893984594768</v>
      </c>
      <c r="E36" s="21">
        <f t="shared" si="6"/>
        <v>1000</v>
      </c>
      <c r="F36" s="162">
        <f t="shared" si="2"/>
        <v>2678.5893984594768</v>
      </c>
      <c r="G36" s="16">
        <f t="shared" si="0"/>
        <v>399182.86623181496</v>
      </c>
      <c r="I36" s="21">
        <f t="shared" si="3"/>
        <v>26000</v>
      </c>
      <c r="J36" s="16">
        <f t="shared" si="4"/>
        <v>48817.133768185056</v>
      </c>
    </row>
    <row r="37" spans="2:10" outlineLevel="1" x14ac:dyDescent="0.2">
      <c r="B37" s="44">
        <v>44986</v>
      </c>
      <c r="C37" s="15">
        <f t="shared" si="1"/>
        <v>399182.86623181496</v>
      </c>
      <c r="D37" s="16">
        <f t="shared" si="5"/>
        <v>1663.2619426325623</v>
      </c>
      <c r="E37" s="21">
        <f t="shared" si="6"/>
        <v>1000</v>
      </c>
      <c r="F37" s="162">
        <f t="shared" si="2"/>
        <v>2663.2619426325623</v>
      </c>
      <c r="G37" s="16">
        <f t="shared" si="0"/>
        <v>395519.6042891824</v>
      </c>
      <c r="I37" s="21">
        <f t="shared" si="3"/>
        <v>27000</v>
      </c>
      <c r="J37" s="16">
        <f t="shared" si="4"/>
        <v>50480.395710817618</v>
      </c>
    </row>
    <row r="38" spans="2:10" outlineLevel="1" x14ac:dyDescent="0.2">
      <c r="B38" s="44">
        <v>45017</v>
      </c>
      <c r="C38" s="15">
        <f t="shared" si="1"/>
        <v>395519.6042891824</v>
      </c>
      <c r="D38" s="16">
        <f t="shared" si="5"/>
        <v>1647.9983512049266</v>
      </c>
      <c r="E38" s="21">
        <f t="shared" si="6"/>
        <v>1000</v>
      </c>
      <c r="F38" s="162">
        <f t="shared" si="2"/>
        <v>2647.9983512049266</v>
      </c>
      <c r="G38" s="16">
        <f t="shared" si="0"/>
        <v>391871.6059379775</v>
      </c>
      <c r="I38" s="21">
        <f t="shared" si="3"/>
        <v>28000</v>
      </c>
      <c r="J38" s="16">
        <f t="shared" si="4"/>
        <v>52128.394062022548</v>
      </c>
    </row>
    <row r="39" spans="2:10" outlineLevel="1" x14ac:dyDescent="0.2">
      <c r="B39" s="44">
        <v>45047</v>
      </c>
      <c r="C39" s="15">
        <f t="shared" si="1"/>
        <v>391871.6059379775</v>
      </c>
      <c r="D39" s="16">
        <f t="shared" si="5"/>
        <v>1632.7983580749062</v>
      </c>
      <c r="E39" s="21">
        <f t="shared" si="6"/>
        <v>1000</v>
      </c>
      <c r="F39" s="162">
        <f t="shared" si="2"/>
        <v>2632.798358074906</v>
      </c>
      <c r="G39" s="16">
        <f t="shared" si="0"/>
        <v>388238.80757990258</v>
      </c>
      <c r="I39" s="21">
        <f t="shared" si="3"/>
        <v>29000</v>
      </c>
      <c r="J39" s="16">
        <f t="shared" si="4"/>
        <v>53761.192420097454</v>
      </c>
    </row>
    <row r="40" spans="2:10" outlineLevel="1" x14ac:dyDescent="0.2">
      <c r="B40" s="44">
        <v>45078</v>
      </c>
      <c r="C40" s="15">
        <f t="shared" si="1"/>
        <v>388238.80757990258</v>
      </c>
      <c r="D40" s="16">
        <f t="shared" si="5"/>
        <v>1617.6616982495941</v>
      </c>
      <c r="E40" s="21">
        <f t="shared" si="6"/>
        <v>1000</v>
      </c>
      <c r="F40" s="162">
        <f t="shared" si="2"/>
        <v>2617.6616982495943</v>
      </c>
      <c r="G40" s="16">
        <f t="shared" si="0"/>
        <v>384621.14588165301</v>
      </c>
      <c r="I40" s="21">
        <f t="shared" si="3"/>
        <v>30000</v>
      </c>
      <c r="J40" s="16">
        <f t="shared" si="4"/>
        <v>55378.854118347044</v>
      </c>
    </row>
    <row r="41" spans="2:10" outlineLevel="1" x14ac:dyDescent="0.2">
      <c r="B41" s="44">
        <v>45108</v>
      </c>
      <c r="C41" s="15">
        <f t="shared" si="1"/>
        <v>384621.14588165301</v>
      </c>
      <c r="D41" s="16">
        <f t="shared" si="5"/>
        <v>1602.5881078402208</v>
      </c>
      <c r="E41" s="21">
        <f t="shared" si="6"/>
        <v>1000</v>
      </c>
      <c r="F41" s="162">
        <f t="shared" si="2"/>
        <v>2602.5881078402208</v>
      </c>
      <c r="G41" s="16">
        <f t="shared" si="0"/>
        <v>381018.55777381279</v>
      </c>
      <c r="I41" s="21">
        <f t="shared" si="3"/>
        <v>31000</v>
      </c>
      <c r="J41" s="16">
        <f t="shared" si="4"/>
        <v>56981.442226187268</v>
      </c>
    </row>
    <row r="42" spans="2:10" outlineLevel="1" x14ac:dyDescent="0.2">
      <c r="B42" s="44">
        <v>45139</v>
      </c>
      <c r="C42" s="15">
        <f t="shared" si="1"/>
        <v>381018.55777381279</v>
      </c>
      <c r="D42" s="16">
        <f t="shared" si="5"/>
        <v>1587.5773240575534</v>
      </c>
      <c r="E42" s="21">
        <f t="shared" si="6"/>
        <v>1000</v>
      </c>
      <c r="F42" s="162">
        <f t="shared" si="2"/>
        <v>2587.5773240575536</v>
      </c>
      <c r="G42" s="16">
        <f t="shared" si="0"/>
        <v>377430.98044975521</v>
      </c>
      <c r="I42" s="21">
        <f t="shared" si="3"/>
        <v>32000</v>
      </c>
      <c r="J42" s="16">
        <f t="shared" si="4"/>
        <v>58569.019550244819</v>
      </c>
    </row>
    <row r="43" spans="2:10" outlineLevel="1" x14ac:dyDescent="0.2">
      <c r="B43" s="44">
        <v>45170</v>
      </c>
      <c r="C43" s="15">
        <f t="shared" si="1"/>
        <v>377430.98044975521</v>
      </c>
      <c r="D43" s="16">
        <f t="shared" si="5"/>
        <v>1572.6290852073134</v>
      </c>
      <c r="E43" s="21">
        <f t="shared" si="6"/>
        <v>1000</v>
      </c>
      <c r="F43" s="162">
        <f t="shared" si="2"/>
        <v>2572.6290852073134</v>
      </c>
      <c r="G43" s="16">
        <f t="shared" si="0"/>
        <v>373858.35136454791</v>
      </c>
      <c r="I43" s="21">
        <f t="shared" si="3"/>
        <v>33000</v>
      </c>
      <c r="J43" s="16">
        <f t="shared" si="4"/>
        <v>60141.648635452133</v>
      </c>
    </row>
    <row r="44" spans="2:10" outlineLevel="1" x14ac:dyDescent="0.2">
      <c r="B44" s="44">
        <v>45200</v>
      </c>
      <c r="C44" s="15">
        <f t="shared" si="1"/>
        <v>373858.35136454791</v>
      </c>
      <c r="D44" s="16">
        <f t="shared" si="5"/>
        <v>1557.7431306856163</v>
      </c>
      <c r="E44" s="21">
        <f t="shared" si="6"/>
        <v>1000</v>
      </c>
      <c r="F44" s="162">
        <f t="shared" si="2"/>
        <v>2557.7431306856161</v>
      </c>
      <c r="G44" s="16">
        <f t="shared" si="0"/>
        <v>370300.60823386232</v>
      </c>
      <c r="I44" s="21">
        <f t="shared" si="3"/>
        <v>34000</v>
      </c>
      <c r="J44" s="16">
        <f t="shared" si="4"/>
        <v>61699.391766137749</v>
      </c>
    </row>
    <row r="45" spans="2:10" outlineLevel="1" x14ac:dyDescent="0.2">
      <c r="B45" s="44">
        <v>45231</v>
      </c>
      <c r="C45" s="15">
        <f t="shared" si="1"/>
        <v>370300.60823386232</v>
      </c>
      <c r="D45" s="16">
        <f t="shared" si="5"/>
        <v>1542.9192009744263</v>
      </c>
      <c r="E45" s="21">
        <f t="shared" si="6"/>
        <v>1000</v>
      </c>
      <c r="F45" s="162">
        <f t="shared" si="2"/>
        <v>2542.9192009744265</v>
      </c>
      <c r="G45" s="16">
        <f t="shared" si="0"/>
        <v>366757.68903288792</v>
      </c>
      <c r="I45" s="21">
        <f t="shared" si="3"/>
        <v>35000</v>
      </c>
      <c r="J45" s="16">
        <f t="shared" si="4"/>
        <v>63242.310967112178</v>
      </c>
    </row>
    <row r="46" spans="2:10" outlineLevel="1" x14ac:dyDescent="0.2">
      <c r="B46" s="44">
        <v>45261</v>
      </c>
      <c r="C46" s="15">
        <f t="shared" si="1"/>
        <v>366757.68903288792</v>
      </c>
      <c r="D46" s="16">
        <f t="shared" si="5"/>
        <v>1528.157037637033</v>
      </c>
      <c r="E46" s="21">
        <f t="shared" si="6"/>
        <v>1000</v>
      </c>
      <c r="F46" s="162">
        <f t="shared" si="2"/>
        <v>2528.1570376370328</v>
      </c>
      <c r="G46" s="16">
        <f t="shared" si="0"/>
        <v>363229.5319952509</v>
      </c>
      <c r="I46" s="21">
        <f t="shared" si="3"/>
        <v>36000</v>
      </c>
      <c r="J46" s="16">
        <f t="shared" si="4"/>
        <v>64770.468004749215</v>
      </c>
    </row>
    <row r="47" spans="2:10" outlineLevel="1" x14ac:dyDescent="0.2">
      <c r="B47" s="44">
        <v>45292</v>
      </c>
      <c r="C47" s="15">
        <f t="shared" si="1"/>
        <v>363229.5319952509</v>
      </c>
      <c r="D47" s="16">
        <f t="shared" si="5"/>
        <v>1513.4563833135453</v>
      </c>
      <c r="E47" s="21">
        <f t="shared" si="6"/>
        <v>1000</v>
      </c>
      <c r="F47" s="162">
        <f t="shared" si="2"/>
        <v>2513.4563833135453</v>
      </c>
      <c r="G47" s="16">
        <f t="shared" si="0"/>
        <v>359716.07561193738</v>
      </c>
      <c r="I47" s="21">
        <f t="shared" si="3"/>
        <v>37000</v>
      </c>
      <c r="J47" s="16">
        <f t="shared" si="4"/>
        <v>66283.924388062762</v>
      </c>
    </row>
    <row r="48" spans="2:10" outlineLevel="1" x14ac:dyDescent="0.2">
      <c r="B48" s="44">
        <v>45323</v>
      </c>
      <c r="C48" s="15">
        <f t="shared" si="1"/>
        <v>359716.07561193738</v>
      </c>
      <c r="D48" s="16">
        <f t="shared" si="5"/>
        <v>1498.8169817164057</v>
      </c>
      <c r="E48" s="21">
        <f t="shared" si="6"/>
        <v>1000</v>
      </c>
      <c r="F48" s="162">
        <f t="shared" si="2"/>
        <v>2498.8169817164057</v>
      </c>
      <c r="G48" s="16">
        <f t="shared" si="0"/>
        <v>356217.25863022095</v>
      </c>
      <c r="I48" s="21">
        <f t="shared" si="3"/>
        <v>38000</v>
      </c>
      <c r="J48" s="16">
        <f t="shared" si="4"/>
        <v>67782.741369779164</v>
      </c>
    </row>
    <row r="49" spans="2:10" outlineLevel="1" x14ac:dyDescent="0.2">
      <c r="B49" s="44">
        <v>45352</v>
      </c>
      <c r="C49" s="15">
        <f t="shared" si="1"/>
        <v>356217.25863022095</v>
      </c>
      <c r="D49" s="16">
        <f t="shared" si="5"/>
        <v>1484.2385776259207</v>
      </c>
      <c r="E49" s="21">
        <f t="shared" si="6"/>
        <v>1000</v>
      </c>
      <c r="F49" s="162">
        <f t="shared" si="2"/>
        <v>2484.2385776259207</v>
      </c>
      <c r="G49" s="16">
        <f t="shared" si="0"/>
        <v>352733.02005259501</v>
      </c>
      <c r="I49" s="21">
        <f t="shared" si="3"/>
        <v>39000</v>
      </c>
      <c r="J49" s="16">
        <f t="shared" si="4"/>
        <v>69266.979947405081</v>
      </c>
    </row>
    <row r="50" spans="2:10" outlineLevel="1" x14ac:dyDescent="0.2">
      <c r="B50" s="44">
        <v>45383</v>
      </c>
      <c r="C50" s="15">
        <f t="shared" si="1"/>
        <v>352733.02005259501</v>
      </c>
      <c r="D50" s="16">
        <f t="shared" si="5"/>
        <v>1469.7209168858126</v>
      </c>
      <c r="E50" s="21">
        <f t="shared" si="6"/>
        <v>1000</v>
      </c>
      <c r="F50" s="162">
        <f t="shared" si="2"/>
        <v>2469.7209168858126</v>
      </c>
      <c r="G50" s="16">
        <f t="shared" si="0"/>
        <v>349263.29913570918</v>
      </c>
      <c r="I50" s="21">
        <f t="shared" si="3"/>
        <v>40000</v>
      </c>
      <c r="J50" s="16">
        <f t="shared" si="4"/>
        <v>70736.700864290891</v>
      </c>
    </row>
    <row r="51" spans="2:10" outlineLevel="1" x14ac:dyDescent="0.2">
      <c r="B51" s="44">
        <v>45413</v>
      </c>
      <c r="C51" s="15">
        <f t="shared" si="1"/>
        <v>349263.29913570918</v>
      </c>
      <c r="D51" s="16">
        <f t="shared" si="5"/>
        <v>1455.2637463987883</v>
      </c>
      <c r="E51" s="21">
        <f t="shared" si="6"/>
        <v>1000</v>
      </c>
      <c r="F51" s="162">
        <f t="shared" si="2"/>
        <v>2455.2637463987885</v>
      </c>
      <c r="G51" s="16">
        <f t="shared" si="0"/>
        <v>345808.03538931039</v>
      </c>
      <c r="I51" s="21">
        <f t="shared" si="3"/>
        <v>41000</v>
      </c>
      <c r="J51" s="16">
        <f t="shared" si="4"/>
        <v>72191.964610689683</v>
      </c>
    </row>
    <row r="52" spans="2:10" outlineLevel="1" x14ac:dyDescent="0.2">
      <c r="B52" s="44">
        <v>45444</v>
      </c>
      <c r="C52" s="15">
        <f t="shared" si="1"/>
        <v>345808.03538931039</v>
      </c>
      <c r="D52" s="16">
        <f t="shared" si="5"/>
        <v>1440.8668141221267</v>
      </c>
      <c r="E52" s="21">
        <f t="shared" si="6"/>
        <v>1000</v>
      </c>
      <c r="F52" s="162">
        <f t="shared" si="2"/>
        <v>2440.8668141221269</v>
      </c>
      <c r="G52" s="16">
        <f t="shared" si="0"/>
        <v>342367.16857518826</v>
      </c>
      <c r="I52" s="21">
        <f t="shared" si="3"/>
        <v>42000</v>
      </c>
      <c r="J52" s="16">
        <f t="shared" si="4"/>
        <v>73632.831424811811</v>
      </c>
    </row>
    <row r="53" spans="2:10" outlineLevel="1" x14ac:dyDescent="0.2">
      <c r="B53" s="44">
        <v>45474</v>
      </c>
      <c r="C53" s="15">
        <f t="shared" si="1"/>
        <v>342367.16857518826</v>
      </c>
      <c r="D53" s="16">
        <f t="shared" si="5"/>
        <v>1426.5298690632844</v>
      </c>
      <c r="E53" s="21">
        <f t="shared" si="6"/>
        <v>1000</v>
      </c>
      <c r="F53" s="162">
        <f t="shared" si="2"/>
        <v>2426.5298690632844</v>
      </c>
      <c r="G53" s="16">
        <f t="shared" si="0"/>
        <v>338940.63870612497</v>
      </c>
      <c r="I53" s="21">
        <f t="shared" si="3"/>
        <v>43000</v>
      </c>
      <c r="J53" s="16">
        <f t="shared" si="4"/>
        <v>75059.361293875088</v>
      </c>
    </row>
    <row r="54" spans="2:10" outlineLevel="1" x14ac:dyDescent="0.2">
      <c r="B54" s="44">
        <v>45505</v>
      </c>
      <c r="C54" s="15">
        <f t="shared" si="1"/>
        <v>338940.63870612497</v>
      </c>
      <c r="D54" s="16">
        <f t="shared" si="5"/>
        <v>1412.2526612755207</v>
      </c>
      <c r="E54" s="21">
        <f t="shared" si="6"/>
        <v>1000</v>
      </c>
      <c r="F54" s="162">
        <f t="shared" si="2"/>
        <v>2412.2526612755209</v>
      </c>
      <c r="G54" s="16">
        <f t="shared" si="0"/>
        <v>335528.38604484947</v>
      </c>
      <c r="I54" s="21">
        <f t="shared" si="3"/>
        <v>44000</v>
      </c>
      <c r="J54" s="16">
        <f t="shared" si="4"/>
        <v>76471.613955150606</v>
      </c>
    </row>
    <row r="55" spans="2:10" outlineLevel="1" x14ac:dyDescent="0.2">
      <c r="B55" s="44">
        <v>45536</v>
      </c>
      <c r="C55" s="15">
        <f t="shared" si="1"/>
        <v>335528.38604484947</v>
      </c>
      <c r="D55" s="16">
        <f t="shared" si="5"/>
        <v>1398.0349418535395</v>
      </c>
      <c r="E55" s="21">
        <f t="shared" si="6"/>
        <v>1000</v>
      </c>
      <c r="F55" s="162">
        <f t="shared" si="2"/>
        <v>2398.0349418535397</v>
      </c>
      <c r="G55" s="16">
        <f t="shared" si="0"/>
        <v>332130.35110299592</v>
      </c>
      <c r="I55" s="21">
        <f t="shared" si="3"/>
        <v>45000</v>
      </c>
      <c r="J55" s="16">
        <f t="shared" si="4"/>
        <v>77869.648897004139</v>
      </c>
    </row>
    <row r="56" spans="2:10" outlineLevel="1" x14ac:dyDescent="0.2">
      <c r="B56" s="44">
        <v>45566</v>
      </c>
      <c r="C56" s="15">
        <f t="shared" si="1"/>
        <v>332130.35110299592</v>
      </c>
      <c r="D56" s="16">
        <f t="shared" si="5"/>
        <v>1383.8764629291497</v>
      </c>
      <c r="E56" s="21">
        <f t="shared" si="6"/>
        <v>1000</v>
      </c>
      <c r="F56" s="162">
        <f t="shared" si="2"/>
        <v>2383.87646292915</v>
      </c>
      <c r="G56" s="16">
        <f t="shared" si="0"/>
        <v>328746.47464006679</v>
      </c>
      <c r="I56" s="21">
        <f t="shared" si="3"/>
        <v>46000</v>
      </c>
      <c r="J56" s="16">
        <f t="shared" si="4"/>
        <v>79253.525359933294</v>
      </c>
    </row>
    <row r="57" spans="2:10" outlineLevel="1" x14ac:dyDescent="0.2">
      <c r="B57" s="44">
        <v>45597</v>
      </c>
      <c r="C57" s="15">
        <f t="shared" si="1"/>
        <v>328746.47464006679</v>
      </c>
      <c r="D57" s="16">
        <f t="shared" si="5"/>
        <v>1369.776977666945</v>
      </c>
      <c r="E57" s="21">
        <f t="shared" si="6"/>
        <v>1000</v>
      </c>
      <c r="F57" s="162">
        <f t="shared" si="2"/>
        <v>2369.7769776669447</v>
      </c>
      <c r="G57" s="16">
        <f t="shared" si="0"/>
        <v>325376.69766239985</v>
      </c>
      <c r="I57" s="21">
        <f t="shared" si="3"/>
        <v>47000</v>
      </c>
      <c r="J57" s="16">
        <f t="shared" si="4"/>
        <v>80623.302337600238</v>
      </c>
    </row>
    <row r="58" spans="2:10" outlineLevel="1" x14ac:dyDescent="0.2">
      <c r="B58" s="44">
        <v>45627</v>
      </c>
      <c r="C58" s="15">
        <f t="shared" si="1"/>
        <v>325376.69766239985</v>
      </c>
      <c r="D58" s="16">
        <f t="shared" si="5"/>
        <v>1355.7362402599992</v>
      </c>
      <c r="E58" s="21">
        <f t="shared" si="6"/>
        <v>1000</v>
      </c>
      <c r="F58" s="162">
        <f t="shared" si="2"/>
        <v>2355.7362402599992</v>
      </c>
      <c r="G58" s="16">
        <f t="shared" si="0"/>
        <v>322020.96142213984</v>
      </c>
      <c r="I58" s="21">
        <f t="shared" si="3"/>
        <v>48000</v>
      </c>
      <c r="J58" s="16">
        <f t="shared" si="4"/>
        <v>81979.038577860236</v>
      </c>
    </row>
    <row r="59" spans="2:10" outlineLevel="1" x14ac:dyDescent="0.2">
      <c r="B59" s="44">
        <v>45658</v>
      </c>
      <c r="C59" s="15">
        <f t="shared" si="1"/>
        <v>322020.96142213984</v>
      </c>
      <c r="D59" s="16">
        <f t="shared" si="5"/>
        <v>1341.7540059255825</v>
      </c>
      <c r="E59" s="21">
        <f t="shared" si="6"/>
        <v>1000</v>
      </c>
      <c r="F59" s="162">
        <f t="shared" si="2"/>
        <v>2341.7540059255825</v>
      </c>
      <c r="G59" s="16">
        <f t="shared" si="0"/>
        <v>318679.20741621428</v>
      </c>
      <c r="I59" s="21">
        <f t="shared" si="3"/>
        <v>49000</v>
      </c>
      <c r="J59" s="16">
        <f t="shared" si="4"/>
        <v>83320.79258378582</v>
      </c>
    </row>
    <row r="60" spans="2:10" outlineLevel="1" x14ac:dyDescent="0.2">
      <c r="B60" s="44">
        <v>45689</v>
      </c>
      <c r="C60" s="15">
        <f t="shared" si="1"/>
        <v>318679.20741621428</v>
      </c>
      <c r="D60" s="16">
        <f t="shared" si="5"/>
        <v>1327.8300309008928</v>
      </c>
      <c r="E60" s="21">
        <f t="shared" si="6"/>
        <v>1000</v>
      </c>
      <c r="F60" s="162">
        <f t="shared" si="2"/>
        <v>2327.8300309008928</v>
      </c>
      <c r="G60" s="16">
        <f t="shared" si="0"/>
        <v>315351.37738531339</v>
      </c>
      <c r="I60" s="21">
        <f t="shared" si="3"/>
        <v>50000</v>
      </c>
      <c r="J60" s="16">
        <f t="shared" si="4"/>
        <v>84648.622614686712</v>
      </c>
    </row>
    <row r="61" spans="2:10" outlineLevel="1" x14ac:dyDescent="0.2">
      <c r="B61" s="44">
        <v>45717</v>
      </c>
      <c r="C61" s="15">
        <f t="shared" si="1"/>
        <v>315351.37738531339</v>
      </c>
      <c r="D61" s="16">
        <f t="shared" si="5"/>
        <v>1313.9640724388057</v>
      </c>
      <c r="E61" s="21">
        <f t="shared" si="6"/>
        <v>1000</v>
      </c>
      <c r="F61" s="162">
        <f t="shared" si="2"/>
        <v>2313.9640724388055</v>
      </c>
      <c r="G61" s="16">
        <f t="shared" si="0"/>
        <v>312037.41331287456</v>
      </c>
      <c r="I61" s="21">
        <f t="shared" si="3"/>
        <v>51000</v>
      </c>
      <c r="J61" s="16">
        <f t="shared" si="4"/>
        <v>85962.586687125513</v>
      </c>
    </row>
    <row r="62" spans="2:10" outlineLevel="1" x14ac:dyDescent="0.2">
      <c r="B62" s="44">
        <v>45748</v>
      </c>
      <c r="C62" s="15">
        <f t="shared" si="1"/>
        <v>312037.41331287456</v>
      </c>
      <c r="D62" s="16">
        <f t="shared" si="5"/>
        <v>1300.1558888036441</v>
      </c>
      <c r="E62" s="21">
        <f t="shared" si="6"/>
        <v>1000</v>
      </c>
      <c r="F62" s="162">
        <f t="shared" si="2"/>
        <v>2300.1558888036443</v>
      </c>
      <c r="G62" s="16">
        <f t="shared" si="0"/>
        <v>308737.25742407091</v>
      </c>
      <c r="I62" s="21">
        <f t="shared" si="3"/>
        <v>52000</v>
      </c>
      <c r="J62" s="16">
        <f t="shared" si="4"/>
        <v>87262.742575929151</v>
      </c>
    </row>
    <row r="63" spans="2:10" outlineLevel="1" x14ac:dyDescent="0.2">
      <c r="B63" s="44">
        <v>45778</v>
      </c>
      <c r="C63" s="15">
        <f t="shared" si="1"/>
        <v>308737.25742407091</v>
      </c>
      <c r="D63" s="16">
        <f t="shared" si="5"/>
        <v>1286.4052392669621</v>
      </c>
      <c r="E63" s="21">
        <f t="shared" si="6"/>
        <v>1000</v>
      </c>
      <c r="F63" s="162">
        <f t="shared" si="2"/>
        <v>2286.4052392669619</v>
      </c>
      <c r="G63" s="16">
        <f t="shared" si="0"/>
        <v>305450.85218480392</v>
      </c>
      <c r="I63" s="21">
        <f t="shared" si="3"/>
        <v>53000</v>
      </c>
      <c r="J63" s="16">
        <f t="shared" si="4"/>
        <v>88549.14781519612</v>
      </c>
    </row>
    <row r="64" spans="2:10" outlineLevel="1" x14ac:dyDescent="0.2">
      <c r="B64" s="44">
        <v>45809</v>
      </c>
      <c r="C64" s="15">
        <f t="shared" si="1"/>
        <v>305450.85218480392</v>
      </c>
      <c r="D64" s="16">
        <f t="shared" si="5"/>
        <v>1272.7118841033496</v>
      </c>
      <c r="E64" s="21">
        <f t="shared" si="6"/>
        <v>1000</v>
      </c>
      <c r="F64" s="162">
        <f t="shared" si="2"/>
        <v>2272.7118841033498</v>
      </c>
      <c r="G64" s="16">
        <f t="shared" si="0"/>
        <v>302178.14030070056</v>
      </c>
      <c r="I64" s="21">
        <f t="shared" si="3"/>
        <v>54000</v>
      </c>
      <c r="J64" s="16">
        <f t="shared" si="4"/>
        <v>89821.859699299472</v>
      </c>
    </row>
    <row r="65" spans="1:10" outlineLevel="1" x14ac:dyDescent="0.2">
      <c r="B65" s="44">
        <v>45839</v>
      </c>
      <c r="C65" s="15">
        <f t="shared" si="1"/>
        <v>302178.14030070056</v>
      </c>
      <c r="D65" s="16">
        <f t="shared" si="5"/>
        <v>1259.0755845862523</v>
      </c>
      <c r="E65" s="21">
        <f t="shared" si="6"/>
        <v>1000</v>
      </c>
      <c r="F65" s="162">
        <f t="shared" si="2"/>
        <v>2259.0755845862523</v>
      </c>
      <c r="G65" s="16">
        <f t="shared" si="0"/>
        <v>298919.06471611431</v>
      </c>
      <c r="I65" s="21">
        <f t="shared" si="3"/>
        <v>55000</v>
      </c>
      <c r="J65" s="16">
        <f t="shared" si="4"/>
        <v>91080.93528388573</v>
      </c>
    </row>
    <row r="66" spans="1:10" outlineLevel="1" x14ac:dyDescent="0.2">
      <c r="B66" s="44">
        <v>45870</v>
      </c>
      <c r="C66" s="15">
        <f t="shared" si="1"/>
        <v>298919.06471611431</v>
      </c>
      <c r="D66" s="16">
        <f t="shared" si="5"/>
        <v>1245.4961029838096</v>
      </c>
      <c r="E66" s="21">
        <f t="shared" si="6"/>
        <v>1000</v>
      </c>
      <c r="F66" s="162">
        <f t="shared" si="2"/>
        <v>2245.4961029838096</v>
      </c>
      <c r="G66" s="16">
        <f t="shared" si="0"/>
        <v>295673.56861313048</v>
      </c>
      <c r="I66" s="21">
        <f t="shared" si="3"/>
        <v>56000</v>
      </c>
      <c r="J66" s="16">
        <f t="shared" si="4"/>
        <v>92326.431386869546</v>
      </c>
    </row>
    <row r="67" spans="1:10" outlineLevel="1" x14ac:dyDescent="0.2">
      <c r="B67" s="44">
        <v>45901</v>
      </c>
      <c r="C67" s="15">
        <f t="shared" si="1"/>
        <v>295673.56861313048</v>
      </c>
      <c r="D67" s="16">
        <f t="shared" si="5"/>
        <v>1231.9732025547103</v>
      </c>
      <c r="E67" s="21">
        <f t="shared" si="6"/>
        <v>1000</v>
      </c>
      <c r="F67" s="162">
        <f t="shared" si="2"/>
        <v>2231.97320255471</v>
      </c>
      <c r="G67" s="16">
        <f t="shared" si="0"/>
        <v>292441.5954105758</v>
      </c>
      <c r="I67" s="21">
        <f t="shared" si="3"/>
        <v>57000</v>
      </c>
      <c r="J67" s="16">
        <f t="shared" si="4"/>
        <v>93558.404589424259</v>
      </c>
    </row>
    <row r="68" spans="1:10" outlineLevel="1" x14ac:dyDescent="0.2">
      <c r="B68" s="44">
        <v>45931</v>
      </c>
      <c r="C68" s="15">
        <f t="shared" si="1"/>
        <v>292441.5954105758</v>
      </c>
      <c r="D68" s="16">
        <f t="shared" si="5"/>
        <v>1218.5066475440658</v>
      </c>
      <c r="E68" s="21">
        <f t="shared" si="6"/>
        <v>1000</v>
      </c>
      <c r="F68" s="162">
        <f t="shared" si="2"/>
        <v>2218.5066475440658</v>
      </c>
      <c r="G68" s="16">
        <f t="shared" si="0"/>
        <v>289223.08876303176</v>
      </c>
      <c r="I68" s="21">
        <f t="shared" si="3"/>
        <v>58000</v>
      </c>
      <c r="J68" s="16">
        <f t="shared" si="4"/>
        <v>94776.911236968328</v>
      </c>
    </row>
    <row r="69" spans="1:10" outlineLevel="1" x14ac:dyDescent="0.2">
      <c r="B69" s="44">
        <v>45962</v>
      </c>
      <c r="C69" s="15">
        <f t="shared" si="1"/>
        <v>289223.08876303176</v>
      </c>
      <c r="D69" s="16">
        <f t="shared" si="5"/>
        <v>1205.096203179299</v>
      </c>
      <c r="E69" s="21">
        <f t="shared" si="6"/>
        <v>1000</v>
      </c>
      <c r="F69" s="162">
        <f t="shared" si="2"/>
        <v>2205.0962031792988</v>
      </c>
      <c r="G69" s="16">
        <f t="shared" si="0"/>
        <v>286017.99255985249</v>
      </c>
      <c r="I69" s="21">
        <f t="shared" si="3"/>
        <v>59000</v>
      </c>
      <c r="J69" s="16">
        <f t="shared" si="4"/>
        <v>95982.00744014763</v>
      </c>
    </row>
    <row r="70" spans="1:10" x14ac:dyDescent="0.2">
      <c r="A70" t="s">
        <v>128</v>
      </c>
      <c r="B70" s="44">
        <v>45992</v>
      </c>
      <c r="C70" s="15">
        <f t="shared" si="1"/>
        <v>286017.99255985249</v>
      </c>
      <c r="D70" s="16">
        <f>C70*E$6</f>
        <v>1191.7416356660519</v>
      </c>
      <c r="E70" s="21">
        <f t="shared" si="6"/>
        <v>1000</v>
      </c>
      <c r="F70" s="162">
        <f t="shared" si="2"/>
        <v>2191.7416356660519</v>
      </c>
      <c r="G70" s="16">
        <f t="shared" si="0"/>
        <v>282826.25092418643</v>
      </c>
      <c r="I70" s="21">
        <f t="shared" si="3"/>
        <v>60000</v>
      </c>
      <c r="J70" s="16">
        <f t="shared" si="4"/>
        <v>97173.749075813685</v>
      </c>
    </row>
    <row r="71" spans="1:10" outlineLevel="1" x14ac:dyDescent="0.2">
      <c r="B71" s="44">
        <v>46023</v>
      </c>
      <c r="C71" s="15">
        <f t="shared" si="1"/>
        <v>282826.25092418643</v>
      </c>
      <c r="D71" s="16">
        <f t="shared" ref="D71:D134" si="7">C71*E$6</f>
        <v>1178.4427121841102</v>
      </c>
      <c r="E71" s="21">
        <f t="shared" si="6"/>
        <v>1000</v>
      </c>
      <c r="F71" s="162">
        <f t="shared" si="2"/>
        <v>2178.44271218411</v>
      </c>
      <c r="G71" s="16">
        <f t="shared" si="0"/>
        <v>279647.80821200233</v>
      </c>
      <c r="I71" s="21">
        <f t="shared" si="3"/>
        <v>61000</v>
      </c>
      <c r="J71" s="16">
        <f t="shared" si="4"/>
        <v>98352.191787997799</v>
      </c>
    </row>
    <row r="72" spans="1:10" outlineLevel="1" x14ac:dyDescent="0.2">
      <c r="B72" s="44">
        <v>46054</v>
      </c>
      <c r="C72" s="15">
        <f t="shared" si="1"/>
        <v>279647.80821200233</v>
      </c>
      <c r="D72" s="16">
        <f t="shared" si="7"/>
        <v>1165.1992008833431</v>
      </c>
      <c r="E72" s="21">
        <f t="shared" si="6"/>
        <v>1000</v>
      </c>
      <c r="F72" s="162">
        <f t="shared" si="2"/>
        <v>2165.1992008833431</v>
      </c>
      <c r="G72" s="16">
        <f t="shared" si="0"/>
        <v>276482.609011119</v>
      </c>
      <c r="I72" s="21">
        <f t="shared" si="3"/>
        <v>62000</v>
      </c>
      <c r="J72" s="16">
        <f t="shared" si="4"/>
        <v>99517.390988881147</v>
      </c>
    </row>
    <row r="73" spans="1:10" outlineLevel="1" x14ac:dyDescent="0.2">
      <c r="B73" s="44">
        <v>46082</v>
      </c>
      <c r="C73" s="15">
        <f t="shared" si="1"/>
        <v>276482.609011119</v>
      </c>
      <c r="D73" s="16">
        <f t="shared" si="7"/>
        <v>1152.0108708796624</v>
      </c>
      <c r="E73" s="21">
        <f t="shared" si="6"/>
        <v>1000</v>
      </c>
      <c r="F73" s="162">
        <f t="shared" si="2"/>
        <v>2152.0108708796624</v>
      </c>
      <c r="G73" s="16">
        <f t="shared" si="0"/>
        <v>273330.59814023931</v>
      </c>
      <c r="I73" s="21">
        <f t="shared" si="3"/>
        <v>63000</v>
      </c>
      <c r="J73" s="16">
        <f t="shared" si="4"/>
        <v>100669.40185976081</v>
      </c>
    </row>
    <row r="74" spans="1:10" outlineLevel="1" x14ac:dyDescent="0.2">
      <c r="B74" s="44">
        <v>46113</v>
      </c>
      <c r="C74" s="15">
        <f t="shared" si="1"/>
        <v>273330.59814023931</v>
      </c>
      <c r="D74" s="16">
        <f t="shared" si="7"/>
        <v>1138.8774922509972</v>
      </c>
      <c r="E74" s="21">
        <f t="shared" si="6"/>
        <v>1000</v>
      </c>
      <c r="F74" s="162">
        <f t="shared" si="2"/>
        <v>2138.8774922509974</v>
      </c>
      <c r="G74" s="16">
        <f t="shared" si="0"/>
        <v>270191.72064798832</v>
      </c>
      <c r="I74" s="21">
        <f t="shared" si="3"/>
        <v>64000</v>
      </c>
      <c r="J74" s="16">
        <f t="shared" si="4"/>
        <v>101808.2793520118</v>
      </c>
    </row>
    <row r="75" spans="1:10" outlineLevel="1" x14ac:dyDescent="0.2">
      <c r="B75" s="44">
        <v>46143</v>
      </c>
      <c r="C75" s="15">
        <f t="shared" si="1"/>
        <v>270191.72064798832</v>
      </c>
      <c r="D75" s="16">
        <f t="shared" si="7"/>
        <v>1125.7988360332847</v>
      </c>
      <c r="E75" s="21">
        <f t="shared" si="6"/>
        <v>1000</v>
      </c>
      <c r="F75" s="162">
        <f t="shared" si="2"/>
        <v>2125.7988360332847</v>
      </c>
      <c r="G75" s="16">
        <f t="shared" ref="G75:G138" si="8">C75-E75-F75</f>
        <v>267065.92181195505</v>
      </c>
      <c r="I75" s="21">
        <f t="shared" si="3"/>
        <v>65000</v>
      </c>
      <c r="J75" s="16">
        <f t="shared" si="4"/>
        <v>102934.07818804508</v>
      </c>
    </row>
    <row r="76" spans="1:10" outlineLevel="1" x14ac:dyDescent="0.2">
      <c r="B76" s="44">
        <v>46174</v>
      </c>
      <c r="C76" s="15">
        <f t="shared" ref="C76:C139" si="9">G75</f>
        <v>267065.92181195505</v>
      </c>
      <c r="D76" s="16">
        <f t="shared" si="7"/>
        <v>1112.7746742164793</v>
      </c>
      <c r="E76" s="21">
        <f t="shared" si="6"/>
        <v>1000</v>
      </c>
      <c r="F76" s="162">
        <f t="shared" ref="F76:F128" si="10">D76+E76</f>
        <v>2112.7746742164791</v>
      </c>
      <c r="G76" s="16">
        <f t="shared" si="8"/>
        <v>263953.14713773859</v>
      </c>
      <c r="I76" s="21">
        <f t="shared" ref="I76:I139" si="11">I75+E76</f>
        <v>66000</v>
      </c>
      <c r="J76" s="16">
        <f t="shared" ref="J76:J139" si="12">J75+D76</f>
        <v>104046.85286226156</v>
      </c>
    </row>
    <row r="77" spans="1:10" outlineLevel="1" x14ac:dyDescent="0.2">
      <c r="B77" s="44">
        <v>46204</v>
      </c>
      <c r="C77" s="15">
        <f t="shared" si="9"/>
        <v>263953.14713773859</v>
      </c>
      <c r="D77" s="16">
        <f t="shared" si="7"/>
        <v>1099.8047797405775</v>
      </c>
      <c r="E77" s="21">
        <f t="shared" ref="E77:E140" si="13">E76</f>
        <v>1000</v>
      </c>
      <c r="F77" s="162">
        <f t="shared" si="10"/>
        <v>2099.8047797405775</v>
      </c>
      <c r="G77" s="16">
        <f t="shared" si="8"/>
        <v>260853.34235799802</v>
      </c>
      <c r="I77" s="21">
        <f t="shared" si="11"/>
        <v>67000</v>
      </c>
      <c r="J77" s="16">
        <f t="shared" si="12"/>
        <v>105146.65764200213</v>
      </c>
    </row>
    <row r="78" spans="1:10" outlineLevel="1" x14ac:dyDescent="0.2">
      <c r="B78" s="44">
        <v>46235</v>
      </c>
      <c r="C78" s="15">
        <f t="shared" si="9"/>
        <v>260853.34235799802</v>
      </c>
      <c r="D78" s="16">
        <f t="shared" si="7"/>
        <v>1086.8889264916584</v>
      </c>
      <c r="E78" s="21">
        <f t="shared" si="13"/>
        <v>1000</v>
      </c>
      <c r="F78" s="162">
        <f t="shared" si="10"/>
        <v>2086.8889264916584</v>
      </c>
      <c r="G78" s="16">
        <f t="shared" si="8"/>
        <v>257766.45343150635</v>
      </c>
      <c r="I78" s="21">
        <f t="shared" si="11"/>
        <v>68000</v>
      </c>
      <c r="J78" s="16">
        <f t="shared" si="12"/>
        <v>106233.5465684938</v>
      </c>
    </row>
    <row r="79" spans="1:10" outlineLevel="1" x14ac:dyDescent="0.2">
      <c r="B79" s="44">
        <v>46266</v>
      </c>
      <c r="C79" s="15">
        <f t="shared" si="9"/>
        <v>257766.45343150635</v>
      </c>
      <c r="D79" s="16">
        <f t="shared" si="7"/>
        <v>1074.0268892979432</v>
      </c>
      <c r="E79" s="21">
        <f t="shared" si="13"/>
        <v>1000</v>
      </c>
      <c r="F79" s="162">
        <f t="shared" si="10"/>
        <v>2074.0268892979429</v>
      </c>
      <c r="G79" s="16">
        <f t="shared" si="8"/>
        <v>254692.42654220841</v>
      </c>
      <c r="I79" s="21">
        <f t="shared" si="11"/>
        <v>69000</v>
      </c>
      <c r="J79" s="16">
        <f t="shared" si="12"/>
        <v>107307.57345779173</v>
      </c>
    </row>
    <row r="80" spans="1:10" outlineLevel="1" x14ac:dyDescent="0.2">
      <c r="B80" s="44">
        <v>46296</v>
      </c>
      <c r="C80" s="15">
        <f t="shared" si="9"/>
        <v>254692.42654220841</v>
      </c>
      <c r="D80" s="16">
        <f t="shared" si="7"/>
        <v>1061.2184439258683</v>
      </c>
      <c r="E80" s="21">
        <f t="shared" si="13"/>
        <v>1000</v>
      </c>
      <c r="F80" s="162">
        <f t="shared" si="10"/>
        <v>2061.2184439258681</v>
      </c>
      <c r="G80" s="16">
        <f t="shared" si="8"/>
        <v>251631.20809828254</v>
      </c>
      <c r="I80" s="21">
        <f t="shared" si="11"/>
        <v>70000</v>
      </c>
      <c r="J80" s="16">
        <f t="shared" si="12"/>
        <v>108368.7919017176</v>
      </c>
    </row>
    <row r="81" spans="2:10" outlineLevel="1" x14ac:dyDescent="0.2">
      <c r="B81" s="44">
        <v>46327</v>
      </c>
      <c r="C81" s="15">
        <f t="shared" si="9"/>
        <v>251631.20809828254</v>
      </c>
      <c r="D81" s="16">
        <f t="shared" si="7"/>
        <v>1048.4633670761773</v>
      </c>
      <c r="E81" s="21">
        <f t="shared" si="13"/>
        <v>1000</v>
      </c>
      <c r="F81" s="162">
        <f t="shared" si="10"/>
        <v>2048.4633670761773</v>
      </c>
      <c r="G81" s="16">
        <f t="shared" si="8"/>
        <v>248582.74473120636</v>
      </c>
      <c r="I81" s="21">
        <f t="shared" si="11"/>
        <v>71000</v>
      </c>
      <c r="J81" s="16">
        <f t="shared" si="12"/>
        <v>109417.25526879379</v>
      </c>
    </row>
    <row r="82" spans="2:10" outlineLevel="1" x14ac:dyDescent="0.2">
      <c r="B82" s="44">
        <v>46357</v>
      </c>
      <c r="C82" s="15">
        <f t="shared" si="9"/>
        <v>248582.74473120636</v>
      </c>
      <c r="D82" s="16">
        <f t="shared" si="7"/>
        <v>1035.7614363800265</v>
      </c>
      <c r="E82" s="21">
        <f t="shared" si="13"/>
        <v>1000</v>
      </c>
      <c r="F82" s="162">
        <f t="shared" si="10"/>
        <v>2035.7614363800265</v>
      </c>
      <c r="G82" s="16">
        <f t="shared" si="8"/>
        <v>245546.98329482632</v>
      </c>
      <c r="I82" s="21">
        <f t="shared" si="11"/>
        <v>72000</v>
      </c>
      <c r="J82" s="16">
        <f t="shared" si="12"/>
        <v>110453.01670517381</v>
      </c>
    </row>
    <row r="83" spans="2:10" outlineLevel="1" x14ac:dyDescent="0.2">
      <c r="B83" s="44">
        <v>46388</v>
      </c>
      <c r="C83" s="15">
        <f t="shared" si="9"/>
        <v>245546.98329482632</v>
      </c>
      <c r="D83" s="16">
        <f t="shared" si="7"/>
        <v>1023.1124303951096</v>
      </c>
      <c r="E83" s="21">
        <f t="shared" si="13"/>
        <v>1000</v>
      </c>
      <c r="F83" s="162">
        <f t="shared" si="10"/>
        <v>2023.1124303951096</v>
      </c>
      <c r="G83" s="16">
        <f t="shared" si="8"/>
        <v>242523.8708644312</v>
      </c>
      <c r="I83" s="21">
        <f t="shared" si="11"/>
        <v>73000</v>
      </c>
      <c r="J83" s="16">
        <f t="shared" si="12"/>
        <v>111476.12913556892</v>
      </c>
    </row>
    <row r="84" spans="2:10" outlineLevel="1" x14ac:dyDescent="0.2">
      <c r="B84" s="44">
        <v>46419</v>
      </c>
      <c r="C84" s="15">
        <f t="shared" si="9"/>
        <v>242523.8708644312</v>
      </c>
      <c r="D84" s="16">
        <f t="shared" si="7"/>
        <v>1010.5161286017966</v>
      </c>
      <c r="E84" s="21">
        <f t="shared" si="13"/>
        <v>1000</v>
      </c>
      <c r="F84" s="162">
        <f t="shared" si="10"/>
        <v>2010.5161286017965</v>
      </c>
      <c r="G84" s="16">
        <f t="shared" si="8"/>
        <v>239513.3547358294</v>
      </c>
      <c r="I84" s="21">
        <f t="shared" si="11"/>
        <v>74000</v>
      </c>
      <c r="J84" s="16">
        <f t="shared" si="12"/>
        <v>112486.64526417071</v>
      </c>
    </row>
    <row r="85" spans="2:10" outlineLevel="1" x14ac:dyDescent="0.2">
      <c r="B85" s="44">
        <v>46447</v>
      </c>
      <c r="C85" s="15">
        <f t="shared" si="9"/>
        <v>239513.3547358294</v>
      </c>
      <c r="D85" s="16">
        <f t="shared" si="7"/>
        <v>997.9723113992892</v>
      </c>
      <c r="E85" s="21">
        <f t="shared" si="13"/>
        <v>1000</v>
      </c>
      <c r="F85" s="162">
        <f t="shared" si="10"/>
        <v>1997.9723113992891</v>
      </c>
      <c r="G85" s="16">
        <f t="shared" si="8"/>
        <v>236515.38242443011</v>
      </c>
      <c r="I85" s="21">
        <f t="shared" si="11"/>
        <v>75000</v>
      </c>
      <c r="J85" s="16">
        <f t="shared" si="12"/>
        <v>113484.61757557001</v>
      </c>
    </row>
    <row r="86" spans="2:10" outlineLevel="1" x14ac:dyDescent="0.2">
      <c r="B86" s="44">
        <v>46478</v>
      </c>
      <c r="C86" s="15">
        <f t="shared" si="9"/>
        <v>236515.38242443011</v>
      </c>
      <c r="D86" s="16">
        <f t="shared" si="7"/>
        <v>985.48076010179204</v>
      </c>
      <c r="E86" s="21">
        <f t="shared" si="13"/>
        <v>1000</v>
      </c>
      <c r="F86" s="162">
        <f t="shared" si="10"/>
        <v>1985.4807601017919</v>
      </c>
      <c r="G86" s="16">
        <f t="shared" si="8"/>
        <v>233529.90166432832</v>
      </c>
      <c r="I86" s="21">
        <f t="shared" si="11"/>
        <v>76000</v>
      </c>
      <c r="J86" s="16">
        <f t="shared" si="12"/>
        <v>114470.09833567181</v>
      </c>
    </row>
    <row r="87" spans="2:10" outlineLevel="1" x14ac:dyDescent="0.2">
      <c r="B87" s="44">
        <v>46508</v>
      </c>
      <c r="C87" s="15">
        <f t="shared" si="9"/>
        <v>233529.90166432832</v>
      </c>
      <c r="D87" s="16">
        <f t="shared" si="7"/>
        <v>973.04125693470132</v>
      </c>
      <c r="E87" s="21">
        <f t="shared" si="13"/>
        <v>1000</v>
      </c>
      <c r="F87" s="162">
        <f t="shared" si="10"/>
        <v>1973.0412569347013</v>
      </c>
      <c r="G87" s="16">
        <f t="shared" si="8"/>
        <v>230556.86040739363</v>
      </c>
      <c r="I87" s="21">
        <f t="shared" si="11"/>
        <v>77000</v>
      </c>
      <c r="J87" s="16">
        <f t="shared" si="12"/>
        <v>115443.1395926065</v>
      </c>
    </row>
    <row r="88" spans="2:10" outlineLevel="1" x14ac:dyDescent="0.2">
      <c r="B88" s="44">
        <v>46539</v>
      </c>
      <c r="C88" s="15">
        <f t="shared" si="9"/>
        <v>230556.86040739363</v>
      </c>
      <c r="D88" s="16">
        <f t="shared" si="7"/>
        <v>960.65358503080677</v>
      </c>
      <c r="E88" s="21">
        <f t="shared" si="13"/>
        <v>1000</v>
      </c>
      <c r="F88" s="162">
        <f t="shared" si="10"/>
        <v>1960.6535850308069</v>
      </c>
      <c r="G88" s="16">
        <f t="shared" si="8"/>
        <v>227596.20682236282</v>
      </c>
      <c r="I88" s="21">
        <f t="shared" si="11"/>
        <v>78000</v>
      </c>
      <c r="J88" s="16">
        <f t="shared" si="12"/>
        <v>116403.79317763732</v>
      </c>
    </row>
    <row r="89" spans="2:10" outlineLevel="1" x14ac:dyDescent="0.2">
      <c r="B89" s="44">
        <v>46569</v>
      </c>
      <c r="C89" s="15">
        <f t="shared" si="9"/>
        <v>227596.20682236282</v>
      </c>
      <c r="D89" s="16">
        <f t="shared" si="7"/>
        <v>948.31752842651167</v>
      </c>
      <c r="E89" s="21">
        <f t="shared" si="13"/>
        <v>1000</v>
      </c>
      <c r="F89" s="162">
        <f t="shared" si="10"/>
        <v>1948.3175284265117</v>
      </c>
      <c r="G89" s="16">
        <f t="shared" si="8"/>
        <v>224647.88929393631</v>
      </c>
      <c r="I89" s="21">
        <f t="shared" si="11"/>
        <v>79000</v>
      </c>
      <c r="J89" s="16">
        <f t="shared" si="12"/>
        <v>117352.11070606383</v>
      </c>
    </row>
    <row r="90" spans="2:10" outlineLevel="1" x14ac:dyDescent="0.2">
      <c r="B90" s="44">
        <v>46600</v>
      </c>
      <c r="C90" s="15">
        <f t="shared" si="9"/>
        <v>224647.88929393631</v>
      </c>
      <c r="D90" s="16">
        <f t="shared" si="7"/>
        <v>936.03287205806794</v>
      </c>
      <c r="E90" s="21">
        <f t="shared" si="13"/>
        <v>1000</v>
      </c>
      <c r="F90" s="162">
        <f t="shared" si="10"/>
        <v>1936.0328720580678</v>
      </c>
      <c r="G90" s="16">
        <f t="shared" si="8"/>
        <v>221711.85642187824</v>
      </c>
      <c r="I90" s="21">
        <f t="shared" si="11"/>
        <v>80000</v>
      </c>
      <c r="J90" s="16">
        <f t="shared" si="12"/>
        <v>118288.1435781219</v>
      </c>
    </row>
    <row r="91" spans="2:10" outlineLevel="1" x14ac:dyDescent="0.2">
      <c r="B91" s="44">
        <v>46631</v>
      </c>
      <c r="C91" s="15">
        <f t="shared" si="9"/>
        <v>221711.85642187824</v>
      </c>
      <c r="D91" s="16">
        <f t="shared" si="7"/>
        <v>923.79940175782599</v>
      </c>
      <c r="E91" s="21">
        <f t="shared" si="13"/>
        <v>1000</v>
      </c>
      <c r="F91" s="162">
        <f t="shared" si="10"/>
        <v>1923.799401757826</v>
      </c>
      <c r="G91" s="16">
        <f t="shared" si="8"/>
        <v>218788.05702012041</v>
      </c>
      <c r="I91" s="21">
        <f t="shared" si="11"/>
        <v>81000</v>
      </c>
      <c r="J91" s="16">
        <f t="shared" si="12"/>
        <v>119211.94297987974</v>
      </c>
    </row>
    <row r="92" spans="2:10" outlineLevel="1" x14ac:dyDescent="0.2">
      <c r="B92" s="44">
        <v>46661</v>
      </c>
      <c r="C92" s="15">
        <f t="shared" si="9"/>
        <v>218788.05702012041</v>
      </c>
      <c r="D92" s="16">
        <f t="shared" si="7"/>
        <v>911.61690425050165</v>
      </c>
      <c r="E92" s="21">
        <f t="shared" si="13"/>
        <v>1000</v>
      </c>
      <c r="F92" s="162">
        <f t="shared" si="10"/>
        <v>1911.6169042505016</v>
      </c>
      <c r="G92" s="16">
        <f t="shared" si="8"/>
        <v>215876.44011586992</v>
      </c>
      <c r="I92" s="21">
        <f t="shared" si="11"/>
        <v>82000</v>
      </c>
      <c r="J92" s="16">
        <f t="shared" si="12"/>
        <v>120123.55988413024</v>
      </c>
    </row>
    <row r="93" spans="2:10" outlineLevel="1" x14ac:dyDescent="0.2">
      <c r="B93" s="44">
        <v>46692</v>
      </c>
      <c r="C93" s="15">
        <f t="shared" si="9"/>
        <v>215876.44011586992</v>
      </c>
      <c r="D93" s="16">
        <f t="shared" si="7"/>
        <v>899.48516714945799</v>
      </c>
      <c r="E93" s="21">
        <f t="shared" si="13"/>
        <v>1000</v>
      </c>
      <c r="F93" s="162">
        <f t="shared" si="10"/>
        <v>1899.485167149458</v>
      </c>
      <c r="G93" s="16">
        <f t="shared" si="8"/>
        <v>212976.95494872046</v>
      </c>
      <c r="I93" s="21">
        <f t="shared" si="11"/>
        <v>83000</v>
      </c>
      <c r="J93" s="16">
        <f t="shared" si="12"/>
        <v>121023.0450512797</v>
      </c>
    </row>
    <row r="94" spans="2:10" outlineLevel="1" x14ac:dyDescent="0.2">
      <c r="B94" s="44">
        <v>46722</v>
      </c>
      <c r="C94" s="15">
        <f t="shared" si="9"/>
        <v>212976.95494872046</v>
      </c>
      <c r="D94" s="16">
        <f t="shared" si="7"/>
        <v>887.40397895300191</v>
      </c>
      <c r="E94" s="21">
        <f t="shared" si="13"/>
        <v>1000</v>
      </c>
      <c r="F94" s="162">
        <f t="shared" si="10"/>
        <v>1887.403978953002</v>
      </c>
      <c r="G94" s="16">
        <f t="shared" si="8"/>
        <v>210089.55096976747</v>
      </c>
      <c r="I94" s="21">
        <f t="shared" si="11"/>
        <v>84000</v>
      </c>
      <c r="J94" s="16">
        <f t="shared" si="12"/>
        <v>121910.4490302327</v>
      </c>
    </row>
    <row r="95" spans="2:10" outlineLevel="1" x14ac:dyDescent="0.2">
      <c r="B95" s="44">
        <v>46753</v>
      </c>
      <c r="C95" s="15">
        <f t="shared" si="9"/>
        <v>210089.55096976747</v>
      </c>
      <c r="D95" s="16">
        <f t="shared" si="7"/>
        <v>875.37312904069779</v>
      </c>
      <c r="E95" s="21">
        <f t="shared" si="13"/>
        <v>1000</v>
      </c>
      <c r="F95" s="162">
        <f t="shared" si="10"/>
        <v>1875.3731290406977</v>
      </c>
      <c r="G95" s="16">
        <f t="shared" si="8"/>
        <v>207214.17784072677</v>
      </c>
      <c r="I95" s="21">
        <f t="shared" si="11"/>
        <v>85000</v>
      </c>
      <c r="J95" s="16">
        <f t="shared" si="12"/>
        <v>122785.8221592734</v>
      </c>
    </row>
    <row r="96" spans="2:10" outlineLevel="1" x14ac:dyDescent="0.2">
      <c r="B96" s="44">
        <v>46784</v>
      </c>
      <c r="C96" s="15">
        <f t="shared" si="9"/>
        <v>207214.17784072677</v>
      </c>
      <c r="D96" s="16">
        <f t="shared" si="7"/>
        <v>863.39240766969488</v>
      </c>
      <c r="E96" s="21">
        <f t="shared" si="13"/>
        <v>1000</v>
      </c>
      <c r="F96" s="162">
        <f t="shared" si="10"/>
        <v>1863.3924076696949</v>
      </c>
      <c r="G96" s="16">
        <f t="shared" si="8"/>
        <v>204350.78543305708</v>
      </c>
      <c r="I96" s="21">
        <f t="shared" si="11"/>
        <v>86000</v>
      </c>
      <c r="J96" s="16">
        <f t="shared" si="12"/>
        <v>123649.2145669431</v>
      </c>
    </row>
    <row r="97" spans="2:10" outlineLevel="1" x14ac:dyDescent="0.2">
      <c r="B97" s="44">
        <v>46813</v>
      </c>
      <c r="C97" s="15">
        <f t="shared" si="9"/>
        <v>204350.78543305708</v>
      </c>
      <c r="D97" s="16">
        <f t="shared" si="7"/>
        <v>851.46160597107121</v>
      </c>
      <c r="E97" s="21">
        <f t="shared" si="13"/>
        <v>1000</v>
      </c>
      <c r="F97" s="162">
        <f t="shared" si="10"/>
        <v>1851.4616059710711</v>
      </c>
      <c r="G97" s="16">
        <f t="shared" si="8"/>
        <v>201499.32382708602</v>
      </c>
      <c r="I97" s="21">
        <f t="shared" si="11"/>
        <v>87000</v>
      </c>
      <c r="J97" s="16">
        <f t="shared" si="12"/>
        <v>124500.67617291417</v>
      </c>
    </row>
    <row r="98" spans="2:10" outlineLevel="1" x14ac:dyDescent="0.2">
      <c r="B98" s="44">
        <v>46844</v>
      </c>
      <c r="C98" s="15">
        <f t="shared" si="9"/>
        <v>201499.32382708602</v>
      </c>
      <c r="D98" s="16">
        <f t="shared" si="7"/>
        <v>839.58051594619167</v>
      </c>
      <c r="E98" s="21">
        <f t="shared" si="13"/>
        <v>1000</v>
      </c>
      <c r="F98" s="162">
        <f t="shared" si="10"/>
        <v>1839.5805159461916</v>
      </c>
      <c r="G98" s="16">
        <f t="shared" si="8"/>
        <v>198659.74331113981</v>
      </c>
      <c r="I98" s="21">
        <f t="shared" si="11"/>
        <v>88000</v>
      </c>
      <c r="J98" s="16">
        <f t="shared" si="12"/>
        <v>125340.25668886036</v>
      </c>
    </row>
    <row r="99" spans="2:10" outlineLevel="1" x14ac:dyDescent="0.2">
      <c r="B99" s="44">
        <v>46874</v>
      </c>
      <c r="C99" s="15">
        <f t="shared" si="9"/>
        <v>198659.74331113981</v>
      </c>
      <c r="D99" s="16">
        <f t="shared" si="7"/>
        <v>827.7489304630825</v>
      </c>
      <c r="E99" s="21">
        <f t="shared" si="13"/>
        <v>1000</v>
      </c>
      <c r="F99" s="162">
        <f t="shared" si="10"/>
        <v>1827.7489304630826</v>
      </c>
      <c r="G99" s="16">
        <f t="shared" si="8"/>
        <v>195831.99438067674</v>
      </c>
      <c r="I99" s="21">
        <f t="shared" si="11"/>
        <v>89000</v>
      </c>
      <c r="J99" s="16">
        <f t="shared" si="12"/>
        <v>126168.00561932345</v>
      </c>
    </row>
    <row r="100" spans="2:10" outlineLevel="1" x14ac:dyDescent="0.2">
      <c r="B100" s="44">
        <v>46905</v>
      </c>
      <c r="C100" s="15">
        <f t="shared" si="9"/>
        <v>195831.99438067674</v>
      </c>
      <c r="D100" s="16">
        <f t="shared" si="7"/>
        <v>815.96664325281972</v>
      </c>
      <c r="E100" s="21">
        <f t="shared" si="13"/>
        <v>1000</v>
      </c>
      <c r="F100" s="162">
        <f t="shared" si="10"/>
        <v>1815.9666432528197</v>
      </c>
      <c r="G100" s="16">
        <f t="shared" si="8"/>
        <v>193016.02773742392</v>
      </c>
      <c r="I100" s="21">
        <f t="shared" si="11"/>
        <v>90000</v>
      </c>
      <c r="J100" s="16">
        <f t="shared" si="12"/>
        <v>126983.97226257627</v>
      </c>
    </row>
    <row r="101" spans="2:10" outlineLevel="1" x14ac:dyDescent="0.2">
      <c r="B101" s="44">
        <v>46935</v>
      </c>
      <c r="C101" s="15">
        <f t="shared" si="9"/>
        <v>193016.02773742392</v>
      </c>
      <c r="D101" s="16">
        <f t="shared" si="7"/>
        <v>804.23344890593296</v>
      </c>
      <c r="E101" s="21">
        <f t="shared" si="13"/>
        <v>1000</v>
      </c>
      <c r="F101" s="162">
        <f t="shared" si="10"/>
        <v>1804.2334489059331</v>
      </c>
      <c r="G101" s="16">
        <f t="shared" si="8"/>
        <v>190211.79428851799</v>
      </c>
      <c r="I101" s="21">
        <f t="shared" si="11"/>
        <v>91000</v>
      </c>
      <c r="J101" s="16">
        <f t="shared" si="12"/>
        <v>127788.20571148219</v>
      </c>
    </row>
    <row r="102" spans="2:10" outlineLevel="1" x14ac:dyDescent="0.2">
      <c r="B102" s="44">
        <v>46966</v>
      </c>
      <c r="C102" s="15">
        <f t="shared" si="9"/>
        <v>190211.79428851799</v>
      </c>
      <c r="D102" s="16">
        <f t="shared" si="7"/>
        <v>792.54914286882502</v>
      </c>
      <c r="E102" s="21">
        <f t="shared" si="13"/>
        <v>1000</v>
      </c>
      <c r="F102" s="162">
        <f t="shared" si="10"/>
        <v>1792.5491428688251</v>
      </c>
      <c r="G102" s="16">
        <f t="shared" si="8"/>
        <v>187419.24514564918</v>
      </c>
      <c r="I102" s="21">
        <f t="shared" si="11"/>
        <v>92000</v>
      </c>
      <c r="J102" s="16">
        <f t="shared" si="12"/>
        <v>128580.75485435102</v>
      </c>
    </row>
    <row r="103" spans="2:10" outlineLevel="1" x14ac:dyDescent="0.2">
      <c r="B103" s="44">
        <v>46997</v>
      </c>
      <c r="C103" s="15">
        <f t="shared" si="9"/>
        <v>187419.24514564918</v>
      </c>
      <c r="D103" s="16">
        <f t="shared" si="7"/>
        <v>780.91352144020493</v>
      </c>
      <c r="E103" s="21">
        <f t="shared" si="13"/>
        <v>1000</v>
      </c>
      <c r="F103" s="162">
        <f t="shared" si="10"/>
        <v>1780.9135214402049</v>
      </c>
      <c r="G103" s="16">
        <f t="shared" si="8"/>
        <v>184638.33162420898</v>
      </c>
      <c r="I103" s="21">
        <f t="shared" si="11"/>
        <v>93000</v>
      </c>
      <c r="J103" s="16">
        <f t="shared" si="12"/>
        <v>129361.66837579123</v>
      </c>
    </row>
    <row r="104" spans="2:10" outlineLevel="1" x14ac:dyDescent="0.2">
      <c r="B104" s="44">
        <v>47027</v>
      </c>
      <c r="C104" s="15">
        <f t="shared" si="9"/>
        <v>184638.33162420898</v>
      </c>
      <c r="D104" s="16">
        <f t="shared" si="7"/>
        <v>769.32638176753744</v>
      </c>
      <c r="E104" s="21">
        <f t="shared" si="13"/>
        <v>1000</v>
      </c>
      <c r="F104" s="162">
        <f t="shared" si="10"/>
        <v>1769.3263817675374</v>
      </c>
      <c r="G104" s="16">
        <f t="shared" si="8"/>
        <v>181869.00524244143</v>
      </c>
      <c r="I104" s="21">
        <f t="shared" si="11"/>
        <v>94000</v>
      </c>
      <c r="J104" s="16">
        <f t="shared" si="12"/>
        <v>130130.99475755876</v>
      </c>
    </row>
    <row r="105" spans="2:10" outlineLevel="1" x14ac:dyDescent="0.2">
      <c r="B105" s="44">
        <v>47058</v>
      </c>
      <c r="C105" s="15">
        <f t="shared" si="9"/>
        <v>181869.00524244143</v>
      </c>
      <c r="D105" s="16">
        <f t="shared" si="7"/>
        <v>757.78752184350594</v>
      </c>
      <c r="E105" s="21">
        <f t="shared" si="13"/>
        <v>1000</v>
      </c>
      <c r="F105" s="162">
        <f t="shared" si="10"/>
        <v>1757.7875218435061</v>
      </c>
      <c r="G105" s="16">
        <f t="shared" si="8"/>
        <v>179111.21772059792</v>
      </c>
      <c r="I105" s="21">
        <f t="shared" si="11"/>
        <v>95000</v>
      </c>
      <c r="J105" s="16">
        <f t="shared" si="12"/>
        <v>130888.78227940226</v>
      </c>
    </row>
    <row r="106" spans="2:10" outlineLevel="1" x14ac:dyDescent="0.2">
      <c r="B106" s="44">
        <v>47088</v>
      </c>
      <c r="C106" s="15">
        <f t="shared" si="9"/>
        <v>179111.21772059792</v>
      </c>
      <c r="D106" s="16">
        <f t="shared" si="7"/>
        <v>746.29674050249139</v>
      </c>
      <c r="E106" s="21">
        <f t="shared" si="13"/>
        <v>1000</v>
      </c>
      <c r="F106" s="162">
        <f t="shared" si="10"/>
        <v>1746.2967405024915</v>
      </c>
      <c r="G106" s="16">
        <f t="shared" si="8"/>
        <v>176364.92098009543</v>
      </c>
      <c r="I106" s="21">
        <f t="shared" si="11"/>
        <v>96000</v>
      </c>
      <c r="J106" s="16">
        <f t="shared" si="12"/>
        <v>131635.07901990475</v>
      </c>
    </row>
    <row r="107" spans="2:10" outlineLevel="1" x14ac:dyDescent="0.2">
      <c r="B107" s="44">
        <v>47119</v>
      </c>
      <c r="C107" s="15">
        <f t="shared" si="9"/>
        <v>176364.92098009543</v>
      </c>
      <c r="D107" s="16">
        <f t="shared" si="7"/>
        <v>734.85383741706426</v>
      </c>
      <c r="E107" s="21">
        <f t="shared" si="13"/>
        <v>1000</v>
      </c>
      <c r="F107" s="162">
        <f t="shared" si="10"/>
        <v>1734.8538374170644</v>
      </c>
      <c r="G107" s="16">
        <f t="shared" si="8"/>
        <v>173630.06714267837</v>
      </c>
      <c r="I107" s="21">
        <f t="shared" si="11"/>
        <v>97000</v>
      </c>
      <c r="J107" s="16">
        <f t="shared" si="12"/>
        <v>132369.93285732181</v>
      </c>
    </row>
    <row r="108" spans="2:10" outlineLevel="1" x14ac:dyDescent="0.2">
      <c r="B108" s="44">
        <v>47150</v>
      </c>
      <c r="C108" s="15">
        <f t="shared" si="9"/>
        <v>173630.06714267837</v>
      </c>
      <c r="D108" s="16">
        <f t="shared" si="7"/>
        <v>723.45861309449322</v>
      </c>
      <c r="E108" s="21">
        <f t="shared" si="13"/>
        <v>1000</v>
      </c>
      <c r="F108" s="162">
        <f t="shared" si="10"/>
        <v>1723.4586130944931</v>
      </c>
      <c r="G108" s="16">
        <f t="shared" si="8"/>
        <v>170906.60852958387</v>
      </c>
      <c r="I108" s="21">
        <f t="shared" si="11"/>
        <v>98000</v>
      </c>
      <c r="J108" s="16">
        <f t="shared" si="12"/>
        <v>133093.3914704163</v>
      </c>
    </row>
    <row r="109" spans="2:10" outlineLevel="1" x14ac:dyDescent="0.2">
      <c r="B109" s="44">
        <v>47178</v>
      </c>
      <c r="C109" s="15">
        <f t="shared" si="9"/>
        <v>170906.60852958387</v>
      </c>
      <c r="D109" s="16">
        <f t="shared" si="7"/>
        <v>712.1108688732661</v>
      </c>
      <c r="E109" s="21">
        <f t="shared" si="13"/>
        <v>1000</v>
      </c>
      <c r="F109" s="162">
        <f t="shared" si="10"/>
        <v>1712.1108688732661</v>
      </c>
      <c r="G109" s="16">
        <f t="shared" si="8"/>
        <v>168194.49766071059</v>
      </c>
      <c r="I109" s="21">
        <f t="shared" si="11"/>
        <v>99000</v>
      </c>
      <c r="J109" s="16">
        <f t="shared" si="12"/>
        <v>133805.50233928958</v>
      </c>
    </row>
    <row r="110" spans="2:10" outlineLevel="1" x14ac:dyDescent="0.2">
      <c r="B110" s="44">
        <v>47209</v>
      </c>
      <c r="C110" s="15">
        <f t="shared" si="9"/>
        <v>168194.49766071059</v>
      </c>
      <c r="D110" s="16">
        <f t="shared" si="7"/>
        <v>700.81040691962744</v>
      </c>
      <c r="E110" s="21">
        <f t="shared" si="13"/>
        <v>1000</v>
      </c>
      <c r="F110" s="162">
        <f t="shared" si="10"/>
        <v>1700.8104069196274</v>
      </c>
      <c r="G110" s="16">
        <f t="shared" si="8"/>
        <v>165493.68725379097</v>
      </c>
      <c r="I110" s="21">
        <f t="shared" si="11"/>
        <v>100000</v>
      </c>
      <c r="J110" s="16">
        <f t="shared" si="12"/>
        <v>134506.31274620921</v>
      </c>
    </row>
    <row r="111" spans="2:10" outlineLevel="1" x14ac:dyDescent="0.2">
      <c r="B111" s="44">
        <v>47239</v>
      </c>
      <c r="C111" s="15">
        <f t="shared" si="9"/>
        <v>165493.68725379097</v>
      </c>
      <c r="D111" s="16">
        <f t="shared" si="7"/>
        <v>689.55703022412899</v>
      </c>
      <c r="E111" s="21">
        <f t="shared" si="13"/>
        <v>1000</v>
      </c>
      <c r="F111" s="162">
        <f t="shared" si="10"/>
        <v>1689.557030224129</v>
      </c>
      <c r="G111" s="16">
        <f t="shared" si="8"/>
        <v>162804.13022356684</v>
      </c>
      <c r="I111" s="21">
        <f t="shared" si="11"/>
        <v>101000</v>
      </c>
      <c r="J111" s="16">
        <f t="shared" si="12"/>
        <v>135195.86977643333</v>
      </c>
    </row>
    <row r="112" spans="2:10" outlineLevel="1" x14ac:dyDescent="0.2">
      <c r="B112" s="44">
        <v>47270</v>
      </c>
      <c r="C112" s="15">
        <f t="shared" si="9"/>
        <v>162804.13022356684</v>
      </c>
      <c r="D112" s="16">
        <f t="shared" si="7"/>
        <v>678.35054259819515</v>
      </c>
      <c r="E112" s="21">
        <f t="shared" si="13"/>
        <v>1000</v>
      </c>
      <c r="F112" s="162">
        <f t="shared" si="10"/>
        <v>1678.3505425981953</v>
      </c>
      <c r="G112" s="16">
        <f t="shared" si="8"/>
        <v>160125.77968096864</v>
      </c>
      <c r="I112" s="21">
        <f t="shared" si="11"/>
        <v>102000</v>
      </c>
      <c r="J112" s="16">
        <f t="shared" si="12"/>
        <v>135874.22031903153</v>
      </c>
    </row>
    <row r="113" spans="2:10" outlineLevel="1" x14ac:dyDescent="0.2">
      <c r="B113" s="44">
        <v>47300</v>
      </c>
      <c r="C113" s="15">
        <f t="shared" si="9"/>
        <v>160125.77968096864</v>
      </c>
      <c r="D113" s="16">
        <f t="shared" si="7"/>
        <v>667.19074867070265</v>
      </c>
      <c r="E113" s="21">
        <f t="shared" si="13"/>
        <v>1000</v>
      </c>
      <c r="F113" s="162">
        <f t="shared" si="10"/>
        <v>1667.1907486707028</v>
      </c>
      <c r="G113" s="16">
        <f t="shared" si="8"/>
        <v>157458.58893229795</v>
      </c>
      <c r="I113" s="21">
        <f t="shared" si="11"/>
        <v>103000</v>
      </c>
      <c r="J113" s="16">
        <f t="shared" si="12"/>
        <v>136541.41106770223</v>
      </c>
    </row>
    <row r="114" spans="2:10" outlineLevel="1" x14ac:dyDescent="0.2">
      <c r="B114" s="44">
        <v>47331</v>
      </c>
      <c r="C114" s="15">
        <f t="shared" si="9"/>
        <v>157458.58893229795</v>
      </c>
      <c r="D114" s="16">
        <f t="shared" si="7"/>
        <v>656.07745388457477</v>
      </c>
      <c r="E114" s="21">
        <f t="shared" si="13"/>
        <v>1000</v>
      </c>
      <c r="F114" s="162">
        <f t="shared" si="10"/>
        <v>1656.0774538845749</v>
      </c>
      <c r="G114" s="16">
        <f t="shared" si="8"/>
        <v>154802.51147841336</v>
      </c>
      <c r="I114" s="21">
        <f t="shared" si="11"/>
        <v>104000</v>
      </c>
      <c r="J114" s="16">
        <f t="shared" si="12"/>
        <v>137197.48852158681</v>
      </c>
    </row>
    <row r="115" spans="2:10" outlineLevel="1" x14ac:dyDescent="0.2">
      <c r="B115" s="44">
        <v>47362</v>
      </c>
      <c r="C115" s="15">
        <f t="shared" si="9"/>
        <v>154802.51147841336</v>
      </c>
      <c r="D115" s="16">
        <f t="shared" si="7"/>
        <v>645.01046449338901</v>
      </c>
      <c r="E115" s="21">
        <f t="shared" si="13"/>
        <v>1000</v>
      </c>
      <c r="F115" s="162">
        <f t="shared" si="10"/>
        <v>1645.010464493389</v>
      </c>
      <c r="G115" s="16">
        <f t="shared" si="8"/>
        <v>152157.50101391997</v>
      </c>
      <c r="I115" s="21">
        <f t="shared" si="11"/>
        <v>105000</v>
      </c>
      <c r="J115" s="16">
        <f t="shared" si="12"/>
        <v>137842.4989860802</v>
      </c>
    </row>
    <row r="116" spans="2:10" outlineLevel="1" x14ac:dyDescent="0.2">
      <c r="B116" s="44">
        <v>47392</v>
      </c>
      <c r="C116" s="15">
        <f t="shared" si="9"/>
        <v>152157.50101391997</v>
      </c>
      <c r="D116" s="16">
        <f t="shared" si="7"/>
        <v>633.98958755799993</v>
      </c>
      <c r="E116" s="21">
        <f t="shared" si="13"/>
        <v>1000</v>
      </c>
      <c r="F116" s="162">
        <f t="shared" si="10"/>
        <v>1633.989587558</v>
      </c>
      <c r="G116" s="16">
        <f t="shared" si="8"/>
        <v>149523.51142636198</v>
      </c>
      <c r="I116" s="21">
        <f t="shared" si="11"/>
        <v>106000</v>
      </c>
      <c r="J116" s="16">
        <f t="shared" si="12"/>
        <v>138476.4885736382</v>
      </c>
    </row>
    <row r="117" spans="2:10" outlineLevel="1" x14ac:dyDescent="0.2">
      <c r="B117" s="44">
        <v>47423</v>
      </c>
      <c r="C117" s="15">
        <f t="shared" si="9"/>
        <v>149523.51142636198</v>
      </c>
      <c r="D117" s="16">
        <f t="shared" si="7"/>
        <v>623.01463094317489</v>
      </c>
      <c r="E117" s="21">
        <f t="shared" si="13"/>
        <v>1000</v>
      </c>
      <c r="F117" s="162">
        <f t="shared" si="10"/>
        <v>1623.0146309431748</v>
      </c>
      <c r="G117" s="16">
        <f t="shared" si="8"/>
        <v>146900.49679541879</v>
      </c>
      <c r="I117" s="21">
        <f t="shared" si="11"/>
        <v>107000</v>
      </c>
      <c r="J117" s="16">
        <f t="shared" si="12"/>
        <v>139099.50320458139</v>
      </c>
    </row>
    <row r="118" spans="2:10" outlineLevel="1" x14ac:dyDescent="0.2">
      <c r="B118" s="44">
        <v>47453</v>
      </c>
      <c r="C118" s="15">
        <f t="shared" si="9"/>
        <v>146900.49679541879</v>
      </c>
      <c r="D118" s="16">
        <f t="shared" si="7"/>
        <v>612.0854033142449</v>
      </c>
      <c r="E118" s="21">
        <f t="shared" si="13"/>
        <v>1000</v>
      </c>
      <c r="F118" s="162">
        <f t="shared" si="10"/>
        <v>1612.085403314245</v>
      </c>
      <c r="G118" s="16">
        <f t="shared" si="8"/>
        <v>144288.41139210455</v>
      </c>
      <c r="I118" s="21">
        <f t="shared" si="11"/>
        <v>108000</v>
      </c>
      <c r="J118" s="16">
        <f t="shared" si="12"/>
        <v>139711.58860789562</v>
      </c>
    </row>
    <row r="119" spans="2:10" outlineLevel="1" x14ac:dyDescent="0.2">
      <c r="B119" s="44">
        <v>47484</v>
      </c>
      <c r="C119" s="15">
        <f t="shared" si="9"/>
        <v>144288.41139210455</v>
      </c>
      <c r="D119" s="16">
        <f t="shared" si="7"/>
        <v>601.20171413376897</v>
      </c>
      <c r="E119" s="21">
        <f t="shared" si="13"/>
        <v>1000</v>
      </c>
      <c r="F119" s="162">
        <f t="shared" si="10"/>
        <v>1601.201714133769</v>
      </c>
      <c r="G119" s="16">
        <f t="shared" si="8"/>
        <v>141687.20967797079</v>
      </c>
      <c r="I119" s="21">
        <f t="shared" si="11"/>
        <v>109000</v>
      </c>
      <c r="J119" s="16">
        <f t="shared" si="12"/>
        <v>140312.79032202938</v>
      </c>
    </row>
    <row r="120" spans="2:10" outlineLevel="1" x14ac:dyDescent="0.2">
      <c r="B120" s="44">
        <v>47515</v>
      </c>
      <c r="C120" s="15">
        <f t="shared" si="9"/>
        <v>141687.20967797079</v>
      </c>
      <c r="D120" s="16">
        <f t="shared" si="7"/>
        <v>590.36337365821169</v>
      </c>
      <c r="E120" s="21">
        <f t="shared" si="13"/>
        <v>1000</v>
      </c>
      <c r="F120" s="162">
        <f t="shared" si="10"/>
        <v>1590.3633736582117</v>
      </c>
      <c r="G120" s="16">
        <f t="shared" si="8"/>
        <v>139096.84630431258</v>
      </c>
      <c r="I120" s="21">
        <f t="shared" si="11"/>
        <v>110000</v>
      </c>
      <c r="J120" s="16">
        <f t="shared" si="12"/>
        <v>140903.15369568759</v>
      </c>
    </row>
    <row r="121" spans="2:10" outlineLevel="1" x14ac:dyDescent="0.2">
      <c r="B121" s="44">
        <v>47543</v>
      </c>
      <c r="C121" s="15">
        <f t="shared" si="9"/>
        <v>139096.84630431258</v>
      </c>
      <c r="D121" s="16">
        <f t="shared" si="7"/>
        <v>579.57019293463577</v>
      </c>
      <c r="E121" s="21">
        <f t="shared" si="13"/>
        <v>1000</v>
      </c>
      <c r="F121" s="162">
        <f t="shared" si="10"/>
        <v>1579.5701929346358</v>
      </c>
      <c r="G121" s="16">
        <f t="shared" si="8"/>
        <v>136517.27611137796</v>
      </c>
      <c r="I121" s="21">
        <f t="shared" si="11"/>
        <v>111000</v>
      </c>
      <c r="J121" s="16">
        <f t="shared" si="12"/>
        <v>141482.72388862222</v>
      </c>
    </row>
    <row r="122" spans="2:10" outlineLevel="1" x14ac:dyDescent="0.2">
      <c r="B122" s="44">
        <v>47574</v>
      </c>
      <c r="C122" s="15">
        <f t="shared" si="9"/>
        <v>136517.27611137796</v>
      </c>
      <c r="D122" s="16">
        <f t="shared" si="7"/>
        <v>568.82198379740817</v>
      </c>
      <c r="E122" s="21">
        <f t="shared" si="13"/>
        <v>1000</v>
      </c>
      <c r="F122" s="162">
        <f t="shared" si="10"/>
        <v>1568.8219837974082</v>
      </c>
      <c r="G122" s="16">
        <f t="shared" si="8"/>
        <v>133948.45412758054</v>
      </c>
      <c r="I122" s="21">
        <f t="shared" si="11"/>
        <v>112000</v>
      </c>
      <c r="J122" s="16">
        <f t="shared" si="12"/>
        <v>142051.54587241964</v>
      </c>
    </row>
    <row r="123" spans="2:10" outlineLevel="1" x14ac:dyDescent="0.2">
      <c r="B123" s="44">
        <v>47604</v>
      </c>
      <c r="C123" s="15">
        <f t="shared" si="9"/>
        <v>133948.45412758054</v>
      </c>
      <c r="D123" s="16">
        <f t="shared" si="7"/>
        <v>558.1185588649189</v>
      </c>
      <c r="E123" s="21">
        <f t="shared" si="13"/>
        <v>1000</v>
      </c>
      <c r="F123" s="162">
        <f t="shared" si="10"/>
        <v>1558.1185588649189</v>
      </c>
      <c r="G123" s="16">
        <f t="shared" si="8"/>
        <v>131390.33556871561</v>
      </c>
      <c r="I123" s="21">
        <f t="shared" si="11"/>
        <v>113000</v>
      </c>
      <c r="J123" s="16">
        <f t="shared" si="12"/>
        <v>142609.66443128456</v>
      </c>
    </row>
    <row r="124" spans="2:10" outlineLevel="1" x14ac:dyDescent="0.2">
      <c r="B124" s="44">
        <v>47635</v>
      </c>
      <c r="C124" s="15">
        <f t="shared" si="9"/>
        <v>131390.33556871561</v>
      </c>
      <c r="D124" s="16">
        <f t="shared" si="7"/>
        <v>547.45973153631508</v>
      </c>
      <c r="E124" s="21">
        <f t="shared" si="13"/>
        <v>1000</v>
      </c>
      <c r="F124" s="162">
        <f t="shared" si="10"/>
        <v>1547.4597315363151</v>
      </c>
      <c r="G124" s="16">
        <f t="shared" si="8"/>
        <v>128842.87583717929</v>
      </c>
      <c r="I124" s="21">
        <f t="shared" si="11"/>
        <v>114000</v>
      </c>
      <c r="J124" s="16">
        <f t="shared" si="12"/>
        <v>143157.12416282087</v>
      </c>
    </row>
    <row r="125" spans="2:10" outlineLevel="1" x14ac:dyDescent="0.2">
      <c r="B125" s="44">
        <v>47665</v>
      </c>
      <c r="C125" s="15">
        <f t="shared" si="9"/>
        <v>128842.87583717929</v>
      </c>
      <c r="D125" s="16">
        <f t="shared" si="7"/>
        <v>536.84531598824708</v>
      </c>
      <c r="E125" s="21">
        <f t="shared" si="13"/>
        <v>1000</v>
      </c>
      <c r="F125" s="162">
        <f t="shared" si="10"/>
        <v>1536.845315988247</v>
      </c>
      <c r="G125" s="16">
        <f t="shared" si="8"/>
        <v>126306.03052119105</v>
      </c>
      <c r="I125" s="21">
        <f t="shared" si="11"/>
        <v>115000</v>
      </c>
      <c r="J125" s="16">
        <f t="shared" si="12"/>
        <v>143693.9694788091</v>
      </c>
    </row>
    <row r="126" spans="2:10" outlineLevel="1" x14ac:dyDescent="0.2">
      <c r="B126" s="44">
        <v>47696</v>
      </c>
      <c r="C126" s="15">
        <f t="shared" si="9"/>
        <v>126306.03052119105</v>
      </c>
      <c r="D126" s="16">
        <f t="shared" si="7"/>
        <v>526.27512717162938</v>
      </c>
      <c r="E126" s="21">
        <f t="shared" si="13"/>
        <v>1000</v>
      </c>
      <c r="F126" s="162">
        <f t="shared" si="10"/>
        <v>1526.2751271716293</v>
      </c>
      <c r="G126" s="16">
        <f t="shared" si="8"/>
        <v>123779.75539401942</v>
      </c>
      <c r="I126" s="21">
        <f t="shared" si="11"/>
        <v>116000</v>
      </c>
      <c r="J126" s="16">
        <f t="shared" si="12"/>
        <v>144220.24460598073</v>
      </c>
    </row>
    <row r="127" spans="2:10" outlineLevel="1" x14ac:dyDescent="0.2">
      <c r="B127" s="44">
        <v>47727</v>
      </c>
      <c r="C127" s="15">
        <f t="shared" si="9"/>
        <v>123779.75539401942</v>
      </c>
      <c r="D127" s="16">
        <f t="shared" si="7"/>
        <v>515.74898080841422</v>
      </c>
      <c r="E127" s="21">
        <f t="shared" si="13"/>
        <v>1000</v>
      </c>
      <c r="F127" s="162">
        <f t="shared" si="10"/>
        <v>1515.7489808084142</v>
      </c>
      <c r="G127" s="16">
        <f t="shared" si="8"/>
        <v>121264.006413211</v>
      </c>
      <c r="I127" s="21">
        <f t="shared" si="11"/>
        <v>117000</v>
      </c>
      <c r="J127" s="16">
        <f t="shared" si="12"/>
        <v>144735.99358678915</v>
      </c>
    </row>
    <row r="128" spans="2:10" outlineLevel="1" x14ac:dyDescent="0.2">
      <c r="B128" s="44">
        <v>47757</v>
      </c>
      <c r="C128" s="15">
        <f t="shared" si="9"/>
        <v>121264.006413211</v>
      </c>
      <c r="D128" s="16">
        <f t="shared" si="7"/>
        <v>505.26669338837917</v>
      </c>
      <c r="E128" s="21">
        <f t="shared" si="13"/>
        <v>1000</v>
      </c>
      <c r="F128" s="162">
        <f t="shared" si="10"/>
        <v>1505.2666933883793</v>
      </c>
      <c r="G128" s="16">
        <f t="shared" si="8"/>
        <v>118758.73971982262</v>
      </c>
      <c r="I128" s="21">
        <f t="shared" si="11"/>
        <v>118000</v>
      </c>
      <c r="J128" s="16">
        <f t="shared" si="12"/>
        <v>145241.26028017752</v>
      </c>
    </row>
    <row r="129" spans="2:10" outlineLevel="1" x14ac:dyDescent="0.2">
      <c r="B129" s="44">
        <v>47788</v>
      </c>
      <c r="C129" s="15">
        <f t="shared" si="9"/>
        <v>118758.73971982262</v>
      </c>
      <c r="D129" s="16">
        <f t="shared" si="7"/>
        <v>494.82808216592758</v>
      </c>
      <c r="E129" s="21">
        <f t="shared" si="13"/>
        <v>1000</v>
      </c>
      <c r="F129" s="163">
        <v>0</v>
      </c>
      <c r="G129" s="16">
        <f t="shared" si="8"/>
        <v>117758.73971982262</v>
      </c>
      <c r="I129" s="21">
        <f t="shared" si="11"/>
        <v>119000</v>
      </c>
      <c r="J129" s="16">
        <f t="shared" si="12"/>
        <v>145736.08836234343</v>
      </c>
    </row>
    <row r="130" spans="2:10" outlineLevel="1" x14ac:dyDescent="0.2">
      <c r="B130" s="44">
        <v>47818</v>
      </c>
      <c r="C130" s="15">
        <f t="shared" si="9"/>
        <v>117758.73971982262</v>
      </c>
      <c r="D130" s="16">
        <f t="shared" si="7"/>
        <v>490.66141549926095</v>
      </c>
      <c r="E130" s="21">
        <f t="shared" si="13"/>
        <v>1000</v>
      </c>
      <c r="F130" s="162">
        <v>0</v>
      </c>
      <c r="G130" s="16">
        <f t="shared" si="8"/>
        <v>116758.73971982262</v>
      </c>
      <c r="I130" s="21">
        <f t="shared" si="11"/>
        <v>120000</v>
      </c>
      <c r="J130" s="16">
        <f t="shared" si="12"/>
        <v>146226.74977784269</v>
      </c>
    </row>
    <row r="131" spans="2:10" outlineLevel="1" x14ac:dyDescent="0.2">
      <c r="B131" s="44">
        <v>47849</v>
      </c>
      <c r="C131" s="15">
        <f t="shared" si="9"/>
        <v>116758.73971982262</v>
      </c>
      <c r="D131" s="16">
        <f t="shared" si="7"/>
        <v>486.49474883259427</v>
      </c>
      <c r="E131" s="21">
        <f t="shared" si="13"/>
        <v>1000</v>
      </c>
      <c r="F131" s="163">
        <v>0</v>
      </c>
      <c r="G131" s="16">
        <f t="shared" si="8"/>
        <v>115758.73971982262</v>
      </c>
      <c r="I131" s="21">
        <f t="shared" si="11"/>
        <v>121000</v>
      </c>
      <c r="J131" s="16">
        <f t="shared" si="12"/>
        <v>146713.24452667529</v>
      </c>
    </row>
    <row r="132" spans="2:10" outlineLevel="1" x14ac:dyDescent="0.2">
      <c r="B132" s="44">
        <v>47880</v>
      </c>
      <c r="C132" s="15">
        <f t="shared" si="9"/>
        <v>115758.73971982262</v>
      </c>
      <c r="D132" s="16">
        <f t="shared" si="7"/>
        <v>482.32808216592758</v>
      </c>
      <c r="E132" s="21">
        <f t="shared" si="13"/>
        <v>1000</v>
      </c>
      <c r="F132" s="162">
        <v>0</v>
      </c>
      <c r="G132" s="16">
        <f t="shared" si="8"/>
        <v>114758.73971982262</v>
      </c>
      <c r="I132" s="21">
        <f t="shared" si="11"/>
        <v>122000</v>
      </c>
      <c r="J132" s="16">
        <f t="shared" si="12"/>
        <v>147195.5726088412</v>
      </c>
    </row>
    <row r="133" spans="2:10" outlineLevel="1" x14ac:dyDescent="0.2">
      <c r="B133" s="44">
        <v>47908</v>
      </c>
      <c r="C133" s="15">
        <f t="shared" si="9"/>
        <v>114758.73971982262</v>
      </c>
      <c r="D133" s="16">
        <f t="shared" si="7"/>
        <v>478.16141549926095</v>
      </c>
      <c r="E133" s="21">
        <f t="shared" si="13"/>
        <v>1000</v>
      </c>
      <c r="F133" s="163">
        <v>0</v>
      </c>
      <c r="G133" s="16">
        <f t="shared" si="8"/>
        <v>113758.73971982262</v>
      </c>
      <c r="I133" s="21">
        <f t="shared" si="11"/>
        <v>123000</v>
      </c>
      <c r="J133" s="16">
        <f t="shared" si="12"/>
        <v>147673.73402434046</v>
      </c>
    </row>
    <row r="134" spans="2:10" outlineLevel="1" x14ac:dyDescent="0.2">
      <c r="B134" s="44">
        <v>47939</v>
      </c>
      <c r="C134" s="15">
        <f t="shared" si="9"/>
        <v>113758.73971982262</v>
      </c>
      <c r="D134" s="16">
        <f t="shared" si="7"/>
        <v>473.99474883259427</v>
      </c>
      <c r="E134" s="21">
        <f t="shared" si="13"/>
        <v>1000</v>
      </c>
      <c r="F134" s="162">
        <v>0</v>
      </c>
      <c r="G134" s="16">
        <f t="shared" si="8"/>
        <v>112758.73971982262</v>
      </c>
      <c r="I134" s="21">
        <f t="shared" si="11"/>
        <v>124000</v>
      </c>
      <c r="J134" s="16">
        <f t="shared" si="12"/>
        <v>148147.72877317306</v>
      </c>
    </row>
    <row r="135" spans="2:10" outlineLevel="1" x14ac:dyDescent="0.2">
      <c r="B135" s="44">
        <v>47969</v>
      </c>
      <c r="C135" s="15">
        <f t="shared" si="9"/>
        <v>112758.73971982262</v>
      </c>
      <c r="D135" s="16">
        <f t="shared" ref="D135:D198" si="14">C135*E$6</f>
        <v>469.82808216592758</v>
      </c>
      <c r="E135" s="21">
        <f t="shared" si="13"/>
        <v>1000</v>
      </c>
      <c r="F135" s="163">
        <v>0</v>
      </c>
      <c r="G135" s="16">
        <f t="shared" si="8"/>
        <v>111758.73971982262</v>
      </c>
      <c r="I135" s="21">
        <f t="shared" si="11"/>
        <v>125000</v>
      </c>
      <c r="J135" s="16">
        <f t="shared" si="12"/>
        <v>148617.55685533897</v>
      </c>
    </row>
    <row r="136" spans="2:10" outlineLevel="1" x14ac:dyDescent="0.2">
      <c r="B136" s="44">
        <v>48000</v>
      </c>
      <c r="C136" s="15">
        <f t="shared" si="9"/>
        <v>111758.73971982262</v>
      </c>
      <c r="D136" s="16">
        <f t="shared" si="14"/>
        <v>465.66141549926095</v>
      </c>
      <c r="E136" s="21">
        <f t="shared" si="13"/>
        <v>1000</v>
      </c>
      <c r="F136" s="162">
        <v>0</v>
      </c>
      <c r="G136" s="16">
        <f t="shared" si="8"/>
        <v>110758.73971982262</v>
      </c>
      <c r="I136" s="21">
        <f t="shared" si="11"/>
        <v>126000</v>
      </c>
      <c r="J136" s="16">
        <f t="shared" si="12"/>
        <v>149083.21827083823</v>
      </c>
    </row>
    <row r="137" spans="2:10" outlineLevel="1" x14ac:dyDescent="0.2">
      <c r="B137" s="44">
        <v>48030</v>
      </c>
      <c r="C137" s="15">
        <f t="shared" si="9"/>
        <v>110758.73971982262</v>
      </c>
      <c r="D137" s="16">
        <f t="shared" si="14"/>
        <v>461.49474883259427</v>
      </c>
      <c r="E137" s="21">
        <f t="shared" si="13"/>
        <v>1000</v>
      </c>
      <c r="F137" s="163">
        <v>0</v>
      </c>
      <c r="G137" s="16">
        <f t="shared" si="8"/>
        <v>109758.73971982262</v>
      </c>
      <c r="I137" s="21">
        <f t="shared" si="11"/>
        <v>127000</v>
      </c>
      <c r="J137" s="16">
        <f t="shared" si="12"/>
        <v>149544.71301967083</v>
      </c>
    </row>
    <row r="138" spans="2:10" outlineLevel="1" x14ac:dyDescent="0.2">
      <c r="B138" s="44">
        <v>48061</v>
      </c>
      <c r="C138" s="15">
        <f t="shared" si="9"/>
        <v>109758.73971982262</v>
      </c>
      <c r="D138" s="16">
        <f t="shared" si="14"/>
        <v>457.32808216592758</v>
      </c>
      <c r="E138" s="21">
        <f t="shared" si="13"/>
        <v>1000</v>
      </c>
      <c r="F138" s="162">
        <v>0</v>
      </c>
      <c r="G138" s="16">
        <f t="shared" si="8"/>
        <v>108758.73971982262</v>
      </c>
      <c r="I138" s="21">
        <f t="shared" si="11"/>
        <v>128000</v>
      </c>
      <c r="J138" s="16">
        <f t="shared" si="12"/>
        <v>150002.04110183674</v>
      </c>
    </row>
    <row r="139" spans="2:10" outlineLevel="1" x14ac:dyDescent="0.2">
      <c r="B139" s="44">
        <v>48092</v>
      </c>
      <c r="C139" s="15">
        <f t="shared" si="9"/>
        <v>108758.73971982262</v>
      </c>
      <c r="D139" s="16">
        <f t="shared" si="14"/>
        <v>453.16141549926095</v>
      </c>
      <c r="E139" s="21">
        <f t="shared" si="13"/>
        <v>1000</v>
      </c>
      <c r="F139" s="163">
        <v>0</v>
      </c>
      <c r="G139" s="16">
        <f t="shared" ref="G139:G202" si="15">C139-E139-F139</f>
        <v>107758.73971982262</v>
      </c>
      <c r="I139" s="21">
        <f t="shared" si="11"/>
        <v>129000</v>
      </c>
      <c r="J139" s="16">
        <f t="shared" si="12"/>
        <v>150455.202517336</v>
      </c>
    </row>
    <row r="140" spans="2:10" outlineLevel="1" x14ac:dyDescent="0.2">
      <c r="B140" s="44">
        <v>48122</v>
      </c>
      <c r="C140" s="15">
        <f t="shared" ref="C140:C203" si="16">G139</f>
        <v>107758.73971982262</v>
      </c>
      <c r="D140" s="16">
        <f t="shared" si="14"/>
        <v>448.99474883259427</v>
      </c>
      <c r="E140" s="21">
        <f t="shared" si="13"/>
        <v>1000</v>
      </c>
      <c r="F140" s="162">
        <v>0</v>
      </c>
      <c r="G140" s="16">
        <f t="shared" si="15"/>
        <v>106758.73971982262</v>
      </c>
      <c r="I140" s="21">
        <f t="shared" ref="I140:I203" si="17">I139+E140</f>
        <v>130000</v>
      </c>
      <c r="J140" s="16">
        <f t="shared" ref="J140:J203" si="18">J139+D140</f>
        <v>150904.1972661686</v>
      </c>
    </row>
    <row r="141" spans="2:10" outlineLevel="1" x14ac:dyDescent="0.2">
      <c r="B141" s="44">
        <v>48153</v>
      </c>
      <c r="C141" s="15">
        <f t="shared" si="16"/>
        <v>106758.73971982262</v>
      </c>
      <c r="D141" s="16">
        <f t="shared" si="14"/>
        <v>444.82808216592758</v>
      </c>
      <c r="E141" s="21">
        <f t="shared" ref="E141:E204" si="19">E140</f>
        <v>1000</v>
      </c>
      <c r="F141" s="163">
        <v>0</v>
      </c>
      <c r="G141" s="16">
        <f t="shared" si="15"/>
        <v>105758.73971982262</v>
      </c>
      <c r="I141" s="21">
        <f t="shared" si="17"/>
        <v>131000</v>
      </c>
      <c r="J141" s="16">
        <f t="shared" si="18"/>
        <v>151349.02534833452</v>
      </c>
    </row>
    <row r="142" spans="2:10" outlineLevel="1" x14ac:dyDescent="0.2">
      <c r="B142" s="44">
        <v>48183</v>
      </c>
      <c r="C142" s="15">
        <f t="shared" si="16"/>
        <v>105758.73971982262</v>
      </c>
      <c r="D142" s="16">
        <f t="shared" si="14"/>
        <v>440.66141549926095</v>
      </c>
      <c r="E142" s="21">
        <f t="shared" si="19"/>
        <v>1000</v>
      </c>
      <c r="F142" s="162">
        <v>0</v>
      </c>
      <c r="G142" s="16">
        <f t="shared" si="15"/>
        <v>104758.73971982262</v>
      </c>
      <c r="I142" s="21">
        <f t="shared" si="17"/>
        <v>132000</v>
      </c>
      <c r="J142" s="16">
        <f t="shared" si="18"/>
        <v>151789.68676383377</v>
      </c>
    </row>
    <row r="143" spans="2:10" outlineLevel="1" x14ac:dyDescent="0.2">
      <c r="B143" s="44">
        <v>48214</v>
      </c>
      <c r="C143" s="15">
        <f t="shared" si="16"/>
        <v>104758.73971982262</v>
      </c>
      <c r="D143" s="16">
        <f t="shared" si="14"/>
        <v>436.49474883259427</v>
      </c>
      <c r="E143" s="21">
        <f t="shared" si="19"/>
        <v>1000</v>
      </c>
      <c r="F143" s="163">
        <v>0</v>
      </c>
      <c r="G143" s="16">
        <f t="shared" si="15"/>
        <v>103758.73971982262</v>
      </c>
      <c r="I143" s="21">
        <f t="shared" si="17"/>
        <v>133000</v>
      </c>
      <c r="J143" s="16">
        <f t="shared" si="18"/>
        <v>152226.18151266637</v>
      </c>
    </row>
    <row r="144" spans="2:10" outlineLevel="1" x14ac:dyDescent="0.2">
      <c r="B144" s="44">
        <v>48245</v>
      </c>
      <c r="C144" s="15">
        <f t="shared" si="16"/>
        <v>103758.73971982262</v>
      </c>
      <c r="D144" s="16">
        <f t="shared" si="14"/>
        <v>432.32808216592758</v>
      </c>
      <c r="E144" s="21">
        <f t="shared" si="19"/>
        <v>1000</v>
      </c>
      <c r="F144" s="162">
        <v>0</v>
      </c>
      <c r="G144" s="16">
        <f t="shared" si="15"/>
        <v>102758.73971982262</v>
      </c>
      <c r="I144" s="21">
        <f t="shared" si="17"/>
        <v>134000</v>
      </c>
      <c r="J144" s="16">
        <f t="shared" si="18"/>
        <v>152658.50959483229</v>
      </c>
    </row>
    <row r="145" spans="2:10" outlineLevel="1" x14ac:dyDescent="0.2">
      <c r="B145" s="44">
        <v>48274</v>
      </c>
      <c r="C145" s="15">
        <f t="shared" si="16"/>
        <v>102758.73971982262</v>
      </c>
      <c r="D145" s="16">
        <f t="shared" si="14"/>
        <v>428.16141549926095</v>
      </c>
      <c r="E145" s="21">
        <f t="shared" si="19"/>
        <v>1000</v>
      </c>
      <c r="F145" s="163">
        <v>0</v>
      </c>
      <c r="G145" s="16">
        <f t="shared" si="15"/>
        <v>101758.73971982262</v>
      </c>
      <c r="I145" s="21">
        <f t="shared" si="17"/>
        <v>135000</v>
      </c>
      <c r="J145" s="16">
        <f t="shared" si="18"/>
        <v>153086.67101033154</v>
      </c>
    </row>
    <row r="146" spans="2:10" outlineLevel="1" x14ac:dyDescent="0.2">
      <c r="B146" s="44">
        <v>48305</v>
      </c>
      <c r="C146" s="15">
        <f t="shared" si="16"/>
        <v>101758.73971982262</v>
      </c>
      <c r="D146" s="16">
        <f t="shared" si="14"/>
        <v>423.99474883259427</v>
      </c>
      <c r="E146" s="21">
        <f t="shared" si="19"/>
        <v>1000</v>
      </c>
      <c r="F146" s="162">
        <v>0</v>
      </c>
      <c r="G146" s="16">
        <f t="shared" si="15"/>
        <v>100758.73971982262</v>
      </c>
      <c r="I146" s="21">
        <f t="shared" si="17"/>
        <v>136000</v>
      </c>
      <c r="J146" s="16">
        <f t="shared" si="18"/>
        <v>153510.66575916414</v>
      </c>
    </row>
    <row r="147" spans="2:10" outlineLevel="1" x14ac:dyDescent="0.2">
      <c r="B147" s="44">
        <v>48335</v>
      </c>
      <c r="C147" s="15">
        <f t="shared" si="16"/>
        <v>100758.73971982262</v>
      </c>
      <c r="D147" s="16">
        <f t="shared" si="14"/>
        <v>419.82808216592758</v>
      </c>
      <c r="E147" s="21">
        <f t="shared" si="19"/>
        <v>1000</v>
      </c>
      <c r="F147" s="163">
        <v>0</v>
      </c>
      <c r="G147" s="16">
        <f t="shared" si="15"/>
        <v>99758.739719822624</v>
      </c>
      <c r="I147" s="21">
        <f t="shared" si="17"/>
        <v>137000</v>
      </c>
      <c r="J147" s="16">
        <f t="shared" si="18"/>
        <v>153930.49384133006</v>
      </c>
    </row>
    <row r="148" spans="2:10" outlineLevel="1" x14ac:dyDescent="0.2">
      <c r="B148" s="44">
        <v>48366</v>
      </c>
      <c r="C148" s="15">
        <f t="shared" si="16"/>
        <v>99758.739719822624</v>
      </c>
      <c r="D148" s="16">
        <f t="shared" si="14"/>
        <v>415.66141549926095</v>
      </c>
      <c r="E148" s="21">
        <f t="shared" si="19"/>
        <v>1000</v>
      </c>
      <c r="F148" s="162">
        <v>0</v>
      </c>
      <c r="G148" s="16">
        <f t="shared" si="15"/>
        <v>98758.739719822624</v>
      </c>
      <c r="I148" s="21">
        <f t="shared" si="17"/>
        <v>138000</v>
      </c>
      <c r="J148" s="16">
        <f t="shared" si="18"/>
        <v>154346.15525682931</v>
      </c>
    </row>
    <row r="149" spans="2:10" outlineLevel="1" x14ac:dyDescent="0.2">
      <c r="B149" s="44">
        <v>48396</v>
      </c>
      <c r="C149" s="15">
        <f t="shared" si="16"/>
        <v>98758.739719822624</v>
      </c>
      <c r="D149" s="16">
        <f t="shared" si="14"/>
        <v>411.49474883259427</v>
      </c>
      <c r="E149" s="21">
        <f t="shared" si="19"/>
        <v>1000</v>
      </c>
      <c r="F149" s="163">
        <v>0</v>
      </c>
      <c r="G149" s="16">
        <f t="shared" si="15"/>
        <v>97758.739719822624</v>
      </c>
      <c r="I149" s="21">
        <f t="shared" si="17"/>
        <v>139000</v>
      </c>
      <c r="J149" s="16">
        <f t="shared" si="18"/>
        <v>154757.65000566191</v>
      </c>
    </row>
    <row r="150" spans="2:10" outlineLevel="1" x14ac:dyDescent="0.2">
      <c r="B150" s="44">
        <v>48427</v>
      </c>
      <c r="C150" s="15">
        <f t="shared" si="16"/>
        <v>97758.739719822624</v>
      </c>
      <c r="D150" s="16">
        <f t="shared" si="14"/>
        <v>407.32808216592758</v>
      </c>
      <c r="E150" s="21">
        <f t="shared" si="19"/>
        <v>1000</v>
      </c>
      <c r="F150" s="162">
        <v>0</v>
      </c>
      <c r="G150" s="16">
        <f t="shared" si="15"/>
        <v>96758.739719822624</v>
      </c>
      <c r="I150" s="21">
        <f t="shared" si="17"/>
        <v>140000</v>
      </c>
      <c r="J150" s="16">
        <f t="shared" si="18"/>
        <v>155164.97808782783</v>
      </c>
    </row>
    <row r="151" spans="2:10" outlineLevel="1" x14ac:dyDescent="0.2">
      <c r="B151" s="44">
        <v>48458</v>
      </c>
      <c r="C151" s="15">
        <f t="shared" si="16"/>
        <v>96758.739719822624</v>
      </c>
      <c r="D151" s="16">
        <f t="shared" si="14"/>
        <v>403.16141549926095</v>
      </c>
      <c r="E151" s="21">
        <f t="shared" si="19"/>
        <v>1000</v>
      </c>
      <c r="F151" s="163">
        <v>0</v>
      </c>
      <c r="G151" s="16">
        <f t="shared" si="15"/>
        <v>95758.739719822624</v>
      </c>
      <c r="I151" s="21">
        <f t="shared" si="17"/>
        <v>141000</v>
      </c>
      <c r="J151" s="16">
        <f t="shared" si="18"/>
        <v>155568.13950332708</v>
      </c>
    </row>
    <row r="152" spans="2:10" outlineLevel="1" x14ac:dyDescent="0.2">
      <c r="B152" s="44">
        <v>48488</v>
      </c>
      <c r="C152" s="15">
        <f t="shared" si="16"/>
        <v>95758.739719822624</v>
      </c>
      <c r="D152" s="16">
        <f t="shared" si="14"/>
        <v>398.99474883259427</v>
      </c>
      <c r="E152" s="21">
        <f t="shared" si="19"/>
        <v>1000</v>
      </c>
      <c r="F152" s="162">
        <v>0</v>
      </c>
      <c r="G152" s="16">
        <f t="shared" si="15"/>
        <v>94758.739719822624</v>
      </c>
      <c r="I152" s="21">
        <f t="shared" si="17"/>
        <v>142000</v>
      </c>
      <c r="J152" s="16">
        <f t="shared" si="18"/>
        <v>155967.13425215968</v>
      </c>
    </row>
    <row r="153" spans="2:10" outlineLevel="1" x14ac:dyDescent="0.2">
      <c r="B153" s="44">
        <v>48519</v>
      </c>
      <c r="C153" s="15">
        <f t="shared" si="16"/>
        <v>94758.739719822624</v>
      </c>
      <c r="D153" s="16">
        <f t="shared" si="14"/>
        <v>394.82808216592758</v>
      </c>
      <c r="E153" s="21">
        <f t="shared" si="19"/>
        <v>1000</v>
      </c>
      <c r="F153" s="163">
        <v>0</v>
      </c>
      <c r="G153" s="16">
        <f t="shared" si="15"/>
        <v>93758.739719822624</v>
      </c>
      <c r="I153" s="21">
        <f t="shared" si="17"/>
        <v>143000</v>
      </c>
      <c r="J153" s="16">
        <f t="shared" si="18"/>
        <v>156361.9623343256</v>
      </c>
    </row>
    <row r="154" spans="2:10" outlineLevel="1" x14ac:dyDescent="0.2">
      <c r="B154" s="44">
        <v>48549</v>
      </c>
      <c r="C154" s="15">
        <f t="shared" si="16"/>
        <v>93758.739719822624</v>
      </c>
      <c r="D154" s="16">
        <f t="shared" si="14"/>
        <v>390.66141549926095</v>
      </c>
      <c r="E154" s="21">
        <f t="shared" si="19"/>
        <v>1000</v>
      </c>
      <c r="F154" s="162">
        <v>0</v>
      </c>
      <c r="G154" s="16">
        <f t="shared" si="15"/>
        <v>92758.739719822624</v>
      </c>
      <c r="I154" s="21">
        <f t="shared" si="17"/>
        <v>144000</v>
      </c>
      <c r="J154" s="16">
        <f t="shared" si="18"/>
        <v>156752.62374982485</v>
      </c>
    </row>
    <row r="155" spans="2:10" outlineLevel="1" x14ac:dyDescent="0.2">
      <c r="B155" s="44">
        <v>48580</v>
      </c>
      <c r="C155" s="15">
        <f t="shared" si="16"/>
        <v>92758.739719822624</v>
      </c>
      <c r="D155" s="16">
        <f t="shared" si="14"/>
        <v>386.49474883259427</v>
      </c>
      <c r="E155" s="21">
        <f t="shared" si="19"/>
        <v>1000</v>
      </c>
      <c r="F155" s="163">
        <v>0</v>
      </c>
      <c r="G155" s="16">
        <f t="shared" si="15"/>
        <v>91758.739719822624</v>
      </c>
      <c r="I155" s="21">
        <f t="shared" si="17"/>
        <v>145000</v>
      </c>
      <c r="J155" s="16">
        <f t="shared" si="18"/>
        <v>157139.11849865745</v>
      </c>
    </row>
    <row r="156" spans="2:10" outlineLevel="1" x14ac:dyDescent="0.2">
      <c r="B156" s="44">
        <v>48611</v>
      </c>
      <c r="C156" s="15">
        <f t="shared" si="16"/>
        <v>91758.739719822624</v>
      </c>
      <c r="D156" s="16">
        <f t="shared" si="14"/>
        <v>382.32808216592758</v>
      </c>
      <c r="E156" s="21">
        <f t="shared" si="19"/>
        <v>1000</v>
      </c>
      <c r="F156" s="162">
        <v>0</v>
      </c>
      <c r="G156" s="16">
        <f t="shared" si="15"/>
        <v>90758.739719822624</v>
      </c>
      <c r="I156" s="21">
        <f t="shared" si="17"/>
        <v>146000</v>
      </c>
      <c r="J156" s="16">
        <f t="shared" si="18"/>
        <v>157521.44658082337</v>
      </c>
    </row>
    <row r="157" spans="2:10" outlineLevel="1" x14ac:dyDescent="0.2">
      <c r="B157" s="44">
        <v>48639</v>
      </c>
      <c r="C157" s="15">
        <f t="shared" si="16"/>
        <v>90758.739719822624</v>
      </c>
      <c r="D157" s="16">
        <f t="shared" si="14"/>
        <v>378.16141549926095</v>
      </c>
      <c r="E157" s="21">
        <f t="shared" si="19"/>
        <v>1000</v>
      </c>
      <c r="F157" s="163">
        <v>0</v>
      </c>
      <c r="G157" s="16">
        <f t="shared" si="15"/>
        <v>89758.739719822624</v>
      </c>
      <c r="I157" s="21">
        <f t="shared" si="17"/>
        <v>147000</v>
      </c>
      <c r="J157" s="16">
        <f t="shared" si="18"/>
        <v>157899.60799632262</v>
      </c>
    </row>
    <row r="158" spans="2:10" outlineLevel="1" x14ac:dyDescent="0.2">
      <c r="B158" s="44">
        <v>48670</v>
      </c>
      <c r="C158" s="15">
        <f t="shared" si="16"/>
        <v>89758.739719822624</v>
      </c>
      <c r="D158" s="16">
        <f t="shared" si="14"/>
        <v>373.99474883259427</v>
      </c>
      <c r="E158" s="21">
        <f t="shared" si="19"/>
        <v>1000</v>
      </c>
      <c r="F158" s="162">
        <v>0</v>
      </c>
      <c r="G158" s="16">
        <f t="shared" si="15"/>
        <v>88758.739719822624</v>
      </c>
      <c r="I158" s="21">
        <f t="shared" si="17"/>
        <v>148000</v>
      </c>
      <c r="J158" s="16">
        <f t="shared" si="18"/>
        <v>158273.60274515522</v>
      </c>
    </row>
    <row r="159" spans="2:10" outlineLevel="1" x14ac:dyDescent="0.2">
      <c r="B159" s="44">
        <v>48700</v>
      </c>
      <c r="C159" s="15">
        <f t="shared" si="16"/>
        <v>88758.739719822624</v>
      </c>
      <c r="D159" s="16">
        <f t="shared" si="14"/>
        <v>369.82808216592758</v>
      </c>
      <c r="E159" s="21">
        <f t="shared" si="19"/>
        <v>1000</v>
      </c>
      <c r="F159" s="163">
        <v>0</v>
      </c>
      <c r="G159" s="16">
        <f t="shared" si="15"/>
        <v>87758.739719822624</v>
      </c>
      <c r="I159" s="21">
        <f t="shared" si="17"/>
        <v>149000</v>
      </c>
      <c r="J159" s="16">
        <f t="shared" si="18"/>
        <v>158643.43082732114</v>
      </c>
    </row>
    <row r="160" spans="2:10" outlineLevel="1" x14ac:dyDescent="0.2">
      <c r="B160" s="44">
        <v>48731</v>
      </c>
      <c r="C160" s="15">
        <f t="shared" si="16"/>
        <v>87758.739719822624</v>
      </c>
      <c r="D160" s="16">
        <f t="shared" si="14"/>
        <v>365.66141549926095</v>
      </c>
      <c r="E160" s="21">
        <f t="shared" si="19"/>
        <v>1000</v>
      </c>
      <c r="F160" s="162">
        <v>0</v>
      </c>
      <c r="G160" s="16">
        <f t="shared" si="15"/>
        <v>86758.739719822624</v>
      </c>
      <c r="I160" s="21">
        <f t="shared" si="17"/>
        <v>150000</v>
      </c>
      <c r="J160" s="16">
        <f t="shared" si="18"/>
        <v>159009.09224282039</v>
      </c>
    </row>
    <row r="161" spans="2:10" outlineLevel="1" x14ac:dyDescent="0.2">
      <c r="B161" s="44">
        <v>48761</v>
      </c>
      <c r="C161" s="15">
        <f t="shared" si="16"/>
        <v>86758.739719822624</v>
      </c>
      <c r="D161" s="16">
        <f t="shared" si="14"/>
        <v>361.49474883259427</v>
      </c>
      <c r="E161" s="21">
        <f t="shared" si="19"/>
        <v>1000</v>
      </c>
      <c r="F161" s="163">
        <v>0</v>
      </c>
      <c r="G161" s="16">
        <f t="shared" si="15"/>
        <v>85758.739719822624</v>
      </c>
      <c r="I161" s="21">
        <f t="shared" si="17"/>
        <v>151000</v>
      </c>
      <c r="J161" s="16">
        <f t="shared" si="18"/>
        <v>159370.58699165299</v>
      </c>
    </row>
    <row r="162" spans="2:10" outlineLevel="1" x14ac:dyDescent="0.2">
      <c r="B162" s="44">
        <v>48792</v>
      </c>
      <c r="C162" s="15">
        <f t="shared" si="16"/>
        <v>85758.739719822624</v>
      </c>
      <c r="D162" s="16">
        <f t="shared" si="14"/>
        <v>357.32808216592758</v>
      </c>
      <c r="E162" s="21">
        <f t="shared" si="19"/>
        <v>1000</v>
      </c>
      <c r="F162" s="162">
        <v>0</v>
      </c>
      <c r="G162" s="16">
        <f t="shared" si="15"/>
        <v>84758.739719822624</v>
      </c>
      <c r="I162" s="21">
        <f t="shared" si="17"/>
        <v>152000</v>
      </c>
      <c r="J162" s="16">
        <f t="shared" si="18"/>
        <v>159727.91507381891</v>
      </c>
    </row>
    <row r="163" spans="2:10" outlineLevel="1" x14ac:dyDescent="0.2">
      <c r="B163" s="44">
        <v>48823</v>
      </c>
      <c r="C163" s="15">
        <f t="shared" si="16"/>
        <v>84758.739719822624</v>
      </c>
      <c r="D163" s="16">
        <f t="shared" si="14"/>
        <v>353.16141549926095</v>
      </c>
      <c r="E163" s="21">
        <f t="shared" si="19"/>
        <v>1000</v>
      </c>
      <c r="F163" s="163">
        <v>0</v>
      </c>
      <c r="G163" s="16">
        <f t="shared" si="15"/>
        <v>83758.739719822624</v>
      </c>
      <c r="I163" s="21">
        <f t="shared" si="17"/>
        <v>153000</v>
      </c>
      <c r="J163" s="16">
        <f t="shared" si="18"/>
        <v>160081.07648931816</v>
      </c>
    </row>
    <row r="164" spans="2:10" outlineLevel="1" x14ac:dyDescent="0.2">
      <c r="B164" s="44">
        <v>48853</v>
      </c>
      <c r="C164" s="15">
        <f t="shared" si="16"/>
        <v>83758.739719822624</v>
      </c>
      <c r="D164" s="16">
        <f t="shared" si="14"/>
        <v>348.99474883259427</v>
      </c>
      <c r="E164" s="21">
        <f t="shared" si="19"/>
        <v>1000</v>
      </c>
      <c r="F164" s="162">
        <v>0</v>
      </c>
      <c r="G164" s="16">
        <f t="shared" si="15"/>
        <v>82758.739719822624</v>
      </c>
      <c r="I164" s="21">
        <f t="shared" si="17"/>
        <v>154000</v>
      </c>
      <c r="J164" s="16">
        <f t="shared" si="18"/>
        <v>160430.07123815076</v>
      </c>
    </row>
    <row r="165" spans="2:10" outlineLevel="1" x14ac:dyDescent="0.2">
      <c r="B165" s="44">
        <v>48884</v>
      </c>
      <c r="C165" s="15">
        <f t="shared" si="16"/>
        <v>82758.739719822624</v>
      </c>
      <c r="D165" s="16">
        <f t="shared" si="14"/>
        <v>344.82808216592758</v>
      </c>
      <c r="E165" s="21">
        <f t="shared" si="19"/>
        <v>1000</v>
      </c>
      <c r="F165" s="163">
        <v>0</v>
      </c>
      <c r="G165" s="16">
        <f t="shared" si="15"/>
        <v>81758.739719822624</v>
      </c>
      <c r="I165" s="21">
        <f t="shared" si="17"/>
        <v>155000</v>
      </c>
      <c r="J165" s="16">
        <f t="shared" si="18"/>
        <v>160774.89932031668</v>
      </c>
    </row>
    <row r="166" spans="2:10" outlineLevel="1" x14ac:dyDescent="0.2">
      <c r="B166" s="44">
        <v>48914</v>
      </c>
      <c r="C166" s="15">
        <f t="shared" si="16"/>
        <v>81758.739719822624</v>
      </c>
      <c r="D166" s="16">
        <f t="shared" si="14"/>
        <v>340.66141549926095</v>
      </c>
      <c r="E166" s="21">
        <f t="shared" si="19"/>
        <v>1000</v>
      </c>
      <c r="F166" s="162">
        <v>0</v>
      </c>
      <c r="G166" s="16">
        <f t="shared" si="15"/>
        <v>80758.739719822624</v>
      </c>
      <c r="I166" s="21">
        <f t="shared" si="17"/>
        <v>156000</v>
      </c>
      <c r="J166" s="16">
        <f t="shared" si="18"/>
        <v>161115.56073581593</v>
      </c>
    </row>
    <row r="167" spans="2:10" outlineLevel="1" x14ac:dyDescent="0.2">
      <c r="B167" s="44">
        <v>48945</v>
      </c>
      <c r="C167" s="15">
        <f t="shared" si="16"/>
        <v>80758.739719822624</v>
      </c>
      <c r="D167" s="16">
        <f t="shared" si="14"/>
        <v>336.49474883259427</v>
      </c>
      <c r="E167" s="21">
        <f t="shared" si="19"/>
        <v>1000</v>
      </c>
      <c r="F167" s="163">
        <v>0</v>
      </c>
      <c r="G167" s="16">
        <f t="shared" si="15"/>
        <v>79758.739719822624</v>
      </c>
      <c r="I167" s="21">
        <f t="shared" si="17"/>
        <v>157000</v>
      </c>
      <c r="J167" s="16">
        <f t="shared" si="18"/>
        <v>161452.05548464853</v>
      </c>
    </row>
    <row r="168" spans="2:10" outlineLevel="1" x14ac:dyDescent="0.2">
      <c r="B168" s="44">
        <v>48976</v>
      </c>
      <c r="C168" s="15">
        <f t="shared" si="16"/>
        <v>79758.739719822624</v>
      </c>
      <c r="D168" s="16">
        <f t="shared" si="14"/>
        <v>332.32808216592758</v>
      </c>
      <c r="E168" s="21">
        <f t="shared" si="19"/>
        <v>1000</v>
      </c>
      <c r="F168" s="162">
        <v>0</v>
      </c>
      <c r="G168" s="16">
        <f t="shared" si="15"/>
        <v>78758.739719822624</v>
      </c>
      <c r="I168" s="21">
        <f t="shared" si="17"/>
        <v>158000</v>
      </c>
      <c r="J168" s="16">
        <f t="shared" si="18"/>
        <v>161784.38356681445</v>
      </c>
    </row>
    <row r="169" spans="2:10" outlineLevel="1" x14ac:dyDescent="0.2">
      <c r="B169" s="44">
        <v>49004</v>
      </c>
      <c r="C169" s="15">
        <f t="shared" si="16"/>
        <v>78758.739719822624</v>
      </c>
      <c r="D169" s="16">
        <f t="shared" si="14"/>
        <v>328.16141549926095</v>
      </c>
      <c r="E169" s="21">
        <f t="shared" si="19"/>
        <v>1000</v>
      </c>
      <c r="F169" s="163">
        <v>0</v>
      </c>
      <c r="G169" s="16">
        <f t="shared" si="15"/>
        <v>77758.739719822624</v>
      </c>
      <c r="I169" s="21">
        <f t="shared" si="17"/>
        <v>159000</v>
      </c>
      <c r="J169" s="16">
        <f t="shared" si="18"/>
        <v>162112.5449823137</v>
      </c>
    </row>
    <row r="170" spans="2:10" outlineLevel="1" x14ac:dyDescent="0.2">
      <c r="B170" s="44">
        <v>49035</v>
      </c>
      <c r="C170" s="15">
        <f t="shared" si="16"/>
        <v>77758.739719822624</v>
      </c>
      <c r="D170" s="16">
        <f t="shared" si="14"/>
        <v>323.99474883259427</v>
      </c>
      <c r="E170" s="21">
        <f t="shared" si="19"/>
        <v>1000</v>
      </c>
      <c r="F170" s="162">
        <v>0</v>
      </c>
      <c r="G170" s="16">
        <f t="shared" si="15"/>
        <v>76758.739719822624</v>
      </c>
      <c r="I170" s="21">
        <f t="shared" si="17"/>
        <v>160000</v>
      </c>
      <c r="J170" s="16">
        <f t="shared" si="18"/>
        <v>162436.5397311463</v>
      </c>
    </row>
    <row r="171" spans="2:10" outlineLevel="1" x14ac:dyDescent="0.2">
      <c r="B171" s="44">
        <v>49065</v>
      </c>
      <c r="C171" s="15">
        <f t="shared" si="16"/>
        <v>76758.739719822624</v>
      </c>
      <c r="D171" s="16">
        <f t="shared" si="14"/>
        <v>319.82808216592758</v>
      </c>
      <c r="E171" s="21">
        <f t="shared" si="19"/>
        <v>1000</v>
      </c>
      <c r="F171" s="163">
        <v>0</v>
      </c>
      <c r="G171" s="16">
        <f t="shared" si="15"/>
        <v>75758.739719822624</v>
      </c>
      <c r="I171" s="21">
        <f t="shared" si="17"/>
        <v>161000</v>
      </c>
      <c r="J171" s="16">
        <f t="shared" si="18"/>
        <v>162756.36781331222</v>
      </c>
    </row>
    <row r="172" spans="2:10" outlineLevel="1" x14ac:dyDescent="0.2">
      <c r="B172" s="44">
        <v>49096</v>
      </c>
      <c r="C172" s="15">
        <f t="shared" si="16"/>
        <v>75758.739719822624</v>
      </c>
      <c r="D172" s="16">
        <f t="shared" si="14"/>
        <v>315.66141549926095</v>
      </c>
      <c r="E172" s="21">
        <f t="shared" si="19"/>
        <v>1000</v>
      </c>
      <c r="F172" s="162">
        <v>0</v>
      </c>
      <c r="G172" s="16">
        <f t="shared" si="15"/>
        <v>74758.739719822624</v>
      </c>
      <c r="I172" s="21">
        <f t="shared" si="17"/>
        <v>162000</v>
      </c>
      <c r="J172" s="16">
        <f t="shared" si="18"/>
        <v>163072.02922881147</v>
      </c>
    </row>
    <row r="173" spans="2:10" outlineLevel="1" x14ac:dyDescent="0.2">
      <c r="B173" s="44">
        <v>49126</v>
      </c>
      <c r="C173" s="15">
        <f t="shared" si="16"/>
        <v>74758.739719822624</v>
      </c>
      <c r="D173" s="16">
        <f t="shared" si="14"/>
        <v>311.49474883259427</v>
      </c>
      <c r="E173" s="21">
        <f t="shared" si="19"/>
        <v>1000</v>
      </c>
      <c r="F173" s="163">
        <v>0</v>
      </c>
      <c r="G173" s="16">
        <f t="shared" si="15"/>
        <v>73758.739719822624</v>
      </c>
      <c r="I173" s="21">
        <f t="shared" si="17"/>
        <v>163000</v>
      </c>
      <c r="J173" s="16">
        <f t="shared" si="18"/>
        <v>163383.52397764407</v>
      </c>
    </row>
    <row r="174" spans="2:10" outlineLevel="1" x14ac:dyDescent="0.2">
      <c r="B174" s="44">
        <v>49157</v>
      </c>
      <c r="C174" s="15">
        <f t="shared" si="16"/>
        <v>73758.739719822624</v>
      </c>
      <c r="D174" s="16">
        <f t="shared" si="14"/>
        <v>307.32808216592758</v>
      </c>
      <c r="E174" s="21">
        <f t="shared" si="19"/>
        <v>1000</v>
      </c>
      <c r="F174" s="162">
        <v>0</v>
      </c>
      <c r="G174" s="16">
        <f t="shared" si="15"/>
        <v>72758.739719822624</v>
      </c>
      <c r="I174" s="21">
        <f t="shared" si="17"/>
        <v>164000</v>
      </c>
      <c r="J174" s="16">
        <f t="shared" si="18"/>
        <v>163690.85205980999</v>
      </c>
    </row>
    <row r="175" spans="2:10" outlineLevel="1" x14ac:dyDescent="0.2">
      <c r="B175" s="44">
        <v>49188</v>
      </c>
      <c r="C175" s="15">
        <f t="shared" si="16"/>
        <v>72758.739719822624</v>
      </c>
      <c r="D175" s="16">
        <f t="shared" si="14"/>
        <v>303.16141549926095</v>
      </c>
      <c r="E175" s="21">
        <f t="shared" si="19"/>
        <v>1000</v>
      </c>
      <c r="F175" s="163">
        <v>0</v>
      </c>
      <c r="G175" s="16">
        <f t="shared" si="15"/>
        <v>71758.739719822624</v>
      </c>
      <c r="I175" s="21">
        <f t="shared" si="17"/>
        <v>165000</v>
      </c>
      <c r="J175" s="16">
        <f t="shared" si="18"/>
        <v>163994.01347530924</v>
      </c>
    </row>
    <row r="176" spans="2:10" outlineLevel="1" x14ac:dyDescent="0.2">
      <c r="B176" s="44">
        <v>49218</v>
      </c>
      <c r="C176" s="15">
        <f t="shared" si="16"/>
        <v>71758.739719822624</v>
      </c>
      <c r="D176" s="16">
        <f t="shared" si="14"/>
        <v>298.99474883259427</v>
      </c>
      <c r="E176" s="21">
        <f t="shared" si="19"/>
        <v>1000</v>
      </c>
      <c r="F176" s="162">
        <v>0</v>
      </c>
      <c r="G176" s="16">
        <f t="shared" si="15"/>
        <v>70758.739719822624</v>
      </c>
      <c r="I176" s="21">
        <f t="shared" si="17"/>
        <v>166000</v>
      </c>
      <c r="J176" s="16">
        <f t="shared" si="18"/>
        <v>164293.00822414184</v>
      </c>
    </row>
    <row r="177" spans="2:10" outlineLevel="1" x14ac:dyDescent="0.2">
      <c r="B177" s="44">
        <v>49249</v>
      </c>
      <c r="C177" s="15">
        <f t="shared" si="16"/>
        <v>70758.739719822624</v>
      </c>
      <c r="D177" s="16">
        <f t="shared" si="14"/>
        <v>294.82808216592758</v>
      </c>
      <c r="E177" s="21">
        <f t="shared" si="19"/>
        <v>1000</v>
      </c>
      <c r="F177" s="163">
        <v>0</v>
      </c>
      <c r="G177" s="16">
        <f t="shared" si="15"/>
        <v>69758.739719822624</v>
      </c>
      <c r="I177" s="21">
        <f t="shared" si="17"/>
        <v>167000</v>
      </c>
      <c r="J177" s="16">
        <f t="shared" si="18"/>
        <v>164587.83630630776</v>
      </c>
    </row>
    <row r="178" spans="2:10" outlineLevel="1" x14ac:dyDescent="0.2">
      <c r="B178" s="44">
        <v>49279</v>
      </c>
      <c r="C178" s="15">
        <f t="shared" si="16"/>
        <v>69758.739719822624</v>
      </c>
      <c r="D178" s="16">
        <f t="shared" si="14"/>
        <v>290.66141549926095</v>
      </c>
      <c r="E178" s="21">
        <f t="shared" si="19"/>
        <v>1000</v>
      </c>
      <c r="F178" s="162">
        <v>0</v>
      </c>
      <c r="G178" s="16">
        <f t="shared" si="15"/>
        <v>68758.739719822624</v>
      </c>
      <c r="I178" s="21">
        <f t="shared" si="17"/>
        <v>168000</v>
      </c>
      <c r="J178" s="16">
        <f t="shared" si="18"/>
        <v>164878.49772180701</v>
      </c>
    </row>
    <row r="179" spans="2:10" outlineLevel="1" x14ac:dyDescent="0.2">
      <c r="B179" s="44">
        <v>49310</v>
      </c>
      <c r="C179" s="15">
        <f t="shared" si="16"/>
        <v>68758.739719822624</v>
      </c>
      <c r="D179" s="16">
        <f t="shared" si="14"/>
        <v>286.49474883259427</v>
      </c>
      <c r="E179" s="21">
        <f t="shared" si="19"/>
        <v>1000</v>
      </c>
      <c r="F179" s="163">
        <v>0</v>
      </c>
      <c r="G179" s="16">
        <f t="shared" si="15"/>
        <v>67758.739719822624</v>
      </c>
      <c r="I179" s="21">
        <f t="shared" si="17"/>
        <v>169000</v>
      </c>
      <c r="J179" s="16">
        <f t="shared" si="18"/>
        <v>165164.99247063961</v>
      </c>
    </row>
    <row r="180" spans="2:10" outlineLevel="1" x14ac:dyDescent="0.2">
      <c r="B180" s="44">
        <v>49341</v>
      </c>
      <c r="C180" s="15">
        <f t="shared" si="16"/>
        <v>67758.739719822624</v>
      </c>
      <c r="D180" s="16">
        <f t="shared" si="14"/>
        <v>282.32808216592758</v>
      </c>
      <c r="E180" s="21">
        <f t="shared" si="19"/>
        <v>1000</v>
      </c>
      <c r="F180" s="162">
        <v>0</v>
      </c>
      <c r="G180" s="16">
        <f t="shared" si="15"/>
        <v>66758.739719822624</v>
      </c>
      <c r="I180" s="21">
        <f t="shared" si="17"/>
        <v>170000</v>
      </c>
      <c r="J180" s="16">
        <f t="shared" si="18"/>
        <v>165447.32055280553</v>
      </c>
    </row>
    <row r="181" spans="2:10" outlineLevel="1" x14ac:dyDescent="0.2">
      <c r="B181" s="44">
        <v>49369</v>
      </c>
      <c r="C181" s="15">
        <f t="shared" si="16"/>
        <v>66758.739719822624</v>
      </c>
      <c r="D181" s="16">
        <f t="shared" si="14"/>
        <v>278.16141549926095</v>
      </c>
      <c r="E181" s="21">
        <f t="shared" si="19"/>
        <v>1000</v>
      </c>
      <c r="F181" s="163">
        <v>0</v>
      </c>
      <c r="G181" s="16">
        <f t="shared" si="15"/>
        <v>65758.739719822624</v>
      </c>
      <c r="I181" s="21">
        <f t="shared" si="17"/>
        <v>171000</v>
      </c>
      <c r="J181" s="16">
        <f t="shared" si="18"/>
        <v>165725.48196830478</v>
      </c>
    </row>
    <row r="182" spans="2:10" outlineLevel="1" x14ac:dyDescent="0.2">
      <c r="B182" s="44">
        <v>49400</v>
      </c>
      <c r="C182" s="15">
        <f t="shared" si="16"/>
        <v>65758.739719822624</v>
      </c>
      <c r="D182" s="16">
        <f t="shared" si="14"/>
        <v>273.99474883259427</v>
      </c>
      <c r="E182" s="21">
        <f t="shared" si="19"/>
        <v>1000</v>
      </c>
      <c r="F182" s="162">
        <v>0</v>
      </c>
      <c r="G182" s="16">
        <f t="shared" si="15"/>
        <v>64758.739719822624</v>
      </c>
      <c r="I182" s="21">
        <f t="shared" si="17"/>
        <v>172000</v>
      </c>
      <c r="J182" s="16">
        <f t="shared" si="18"/>
        <v>165999.47671713738</v>
      </c>
    </row>
    <row r="183" spans="2:10" outlineLevel="1" x14ac:dyDescent="0.2">
      <c r="B183" s="44">
        <v>49430</v>
      </c>
      <c r="C183" s="15">
        <f t="shared" si="16"/>
        <v>64758.739719822624</v>
      </c>
      <c r="D183" s="16">
        <f t="shared" si="14"/>
        <v>269.82808216592758</v>
      </c>
      <c r="E183" s="21">
        <f t="shared" si="19"/>
        <v>1000</v>
      </c>
      <c r="F183" s="163">
        <v>0</v>
      </c>
      <c r="G183" s="16">
        <f t="shared" si="15"/>
        <v>63758.739719822624</v>
      </c>
      <c r="I183" s="21">
        <f t="shared" si="17"/>
        <v>173000</v>
      </c>
      <c r="J183" s="16">
        <f t="shared" si="18"/>
        <v>166269.3047993033</v>
      </c>
    </row>
    <row r="184" spans="2:10" outlineLevel="1" x14ac:dyDescent="0.2">
      <c r="B184" s="44">
        <v>49461</v>
      </c>
      <c r="C184" s="15">
        <f t="shared" si="16"/>
        <v>63758.739719822624</v>
      </c>
      <c r="D184" s="16">
        <f t="shared" si="14"/>
        <v>265.66141549926095</v>
      </c>
      <c r="E184" s="21">
        <f t="shared" si="19"/>
        <v>1000</v>
      </c>
      <c r="F184" s="162">
        <v>0</v>
      </c>
      <c r="G184" s="16">
        <f t="shared" si="15"/>
        <v>62758.739719822624</v>
      </c>
      <c r="I184" s="21">
        <f t="shared" si="17"/>
        <v>174000</v>
      </c>
      <c r="J184" s="16">
        <f t="shared" si="18"/>
        <v>166534.96621480255</v>
      </c>
    </row>
    <row r="185" spans="2:10" outlineLevel="1" x14ac:dyDescent="0.2">
      <c r="B185" s="44">
        <v>49491</v>
      </c>
      <c r="C185" s="15">
        <f t="shared" si="16"/>
        <v>62758.739719822624</v>
      </c>
      <c r="D185" s="16">
        <f t="shared" si="14"/>
        <v>261.49474883259427</v>
      </c>
      <c r="E185" s="21">
        <f t="shared" si="19"/>
        <v>1000</v>
      </c>
      <c r="F185" s="163">
        <v>0</v>
      </c>
      <c r="G185" s="16">
        <f t="shared" si="15"/>
        <v>61758.739719822624</v>
      </c>
      <c r="I185" s="21">
        <f t="shared" si="17"/>
        <v>175000</v>
      </c>
      <c r="J185" s="16">
        <f t="shared" si="18"/>
        <v>166796.46096363515</v>
      </c>
    </row>
    <row r="186" spans="2:10" outlineLevel="1" x14ac:dyDescent="0.2">
      <c r="B186" s="44">
        <v>49522</v>
      </c>
      <c r="C186" s="15">
        <f t="shared" si="16"/>
        <v>61758.739719822624</v>
      </c>
      <c r="D186" s="16">
        <f t="shared" si="14"/>
        <v>257.32808216592758</v>
      </c>
      <c r="E186" s="21">
        <f t="shared" si="19"/>
        <v>1000</v>
      </c>
      <c r="F186" s="162">
        <v>0</v>
      </c>
      <c r="G186" s="16">
        <f t="shared" si="15"/>
        <v>60758.739719822624</v>
      </c>
      <c r="I186" s="21">
        <f t="shared" si="17"/>
        <v>176000</v>
      </c>
      <c r="J186" s="16">
        <f t="shared" si="18"/>
        <v>167053.78904580107</v>
      </c>
    </row>
    <row r="187" spans="2:10" outlineLevel="1" x14ac:dyDescent="0.2">
      <c r="B187" s="44">
        <v>49553</v>
      </c>
      <c r="C187" s="15">
        <f t="shared" si="16"/>
        <v>60758.739719822624</v>
      </c>
      <c r="D187" s="16">
        <f t="shared" si="14"/>
        <v>253.16141549926093</v>
      </c>
      <c r="E187" s="21">
        <f t="shared" si="19"/>
        <v>1000</v>
      </c>
      <c r="F187" s="163">
        <v>0</v>
      </c>
      <c r="G187" s="16">
        <f t="shared" si="15"/>
        <v>59758.739719822624</v>
      </c>
      <c r="I187" s="21">
        <f t="shared" si="17"/>
        <v>177000</v>
      </c>
      <c r="J187" s="16">
        <f t="shared" si="18"/>
        <v>167306.95046130032</v>
      </c>
    </row>
    <row r="188" spans="2:10" outlineLevel="1" x14ac:dyDescent="0.2">
      <c r="B188" s="44">
        <v>49583</v>
      </c>
      <c r="C188" s="15">
        <f t="shared" si="16"/>
        <v>59758.739719822624</v>
      </c>
      <c r="D188" s="16">
        <f t="shared" si="14"/>
        <v>248.99474883259427</v>
      </c>
      <c r="E188" s="21">
        <f t="shared" si="19"/>
        <v>1000</v>
      </c>
      <c r="F188" s="162">
        <v>0</v>
      </c>
      <c r="G188" s="16">
        <f t="shared" si="15"/>
        <v>58758.739719822624</v>
      </c>
      <c r="I188" s="21">
        <f t="shared" si="17"/>
        <v>178000</v>
      </c>
      <c r="J188" s="16">
        <f t="shared" si="18"/>
        <v>167555.94521013292</v>
      </c>
    </row>
    <row r="189" spans="2:10" outlineLevel="1" x14ac:dyDescent="0.2">
      <c r="B189" s="44">
        <v>49614</v>
      </c>
      <c r="C189" s="15">
        <f t="shared" si="16"/>
        <v>58758.739719822624</v>
      </c>
      <c r="D189" s="16">
        <f t="shared" si="14"/>
        <v>244.82808216592761</v>
      </c>
      <c r="E189" s="21">
        <f t="shared" si="19"/>
        <v>1000</v>
      </c>
      <c r="F189" s="163">
        <v>0</v>
      </c>
      <c r="G189" s="16">
        <f t="shared" si="15"/>
        <v>57758.739719822624</v>
      </c>
      <c r="I189" s="21">
        <f t="shared" si="17"/>
        <v>179000</v>
      </c>
      <c r="J189" s="16">
        <f t="shared" si="18"/>
        <v>167800.77329229884</v>
      </c>
    </row>
    <row r="190" spans="2:10" outlineLevel="1" x14ac:dyDescent="0.2">
      <c r="B190" s="44">
        <v>49644</v>
      </c>
      <c r="C190" s="15">
        <f t="shared" si="16"/>
        <v>57758.739719822624</v>
      </c>
      <c r="D190" s="16">
        <f t="shared" si="14"/>
        <v>240.66141549926093</v>
      </c>
      <c r="E190" s="21">
        <f t="shared" si="19"/>
        <v>1000</v>
      </c>
      <c r="F190" s="162">
        <v>0</v>
      </c>
      <c r="G190" s="16">
        <f t="shared" si="15"/>
        <v>56758.739719822624</v>
      </c>
      <c r="I190" s="21">
        <f t="shared" si="17"/>
        <v>180000</v>
      </c>
      <c r="J190" s="16">
        <f t="shared" si="18"/>
        <v>168041.43470779809</v>
      </c>
    </row>
    <row r="191" spans="2:10" outlineLevel="1" x14ac:dyDescent="0.2">
      <c r="B191" s="44">
        <v>49675</v>
      </c>
      <c r="C191" s="15">
        <f t="shared" si="16"/>
        <v>56758.739719822624</v>
      </c>
      <c r="D191" s="16">
        <f t="shared" si="14"/>
        <v>236.49474883259427</v>
      </c>
      <c r="E191" s="21">
        <f t="shared" si="19"/>
        <v>1000</v>
      </c>
      <c r="F191" s="163">
        <v>0</v>
      </c>
      <c r="G191" s="16">
        <f t="shared" si="15"/>
        <v>55758.739719822624</v>
      </c>
      <c r="I191" s="21">
        <f t="shared" si="17"/>
        <v>181000</v>
      </c>
      <c r="J191" s="16">
        <f t="shared" si="18"/>
        <v>168277.92945663069</v>
      </c>
    </row>
    <row r="192" spans="2:10" outlineLevel="1" x14ac:dyDescent="0.2">
      <c r="B192" s="44">
        <v>49706</v>
      </c>
      <c r="C192" s="15">
        <f t="shared" si="16"/>
        <v>55758.739719822624</v>
      </c>
      <c r="D192" s="16">
        <f t="shared" si="14"/>
        <v>232.32808216592761</v>
      </c>
      <c r="E192" s="21">
        <f t="shared" si="19"/>
        <v>1000</v>
      </c>
      <c r="F192" s="162">
        <v>0</v>
      </c>
      <c r="G192" s="16">
        <f t="shared" si="15"/>
        <v>54758.739719822624</v>
      </c>
      <c r="I192" s="21">
        <f t="shared" si="17"/>
        <v>182000</v>
      </c>
      <c r="J192" s="16">
        <f t="shared" si="18"/>
        <v>168510.25753879661</v>
      </c>
    </row>
    <row r="193" spans="2:10" outlineLevel="1" x14ac:dyDescent="0.2">
      <c r="B193" s="44">
        <v>49735</v>
      </c>
      <c r="C193" s="15">
        <f t="shared" si="16"/>
        <v>54758.739719822624</v>
      </c>
      <c r="D193" s="16">
        <f t="shared" si="14"/>
        <v>228.16141549926093</v>
      </c>
      <c r="E193" s="21">
        <f t="shared" si="19"/>
        <v>1000</v>
      </c>
      <c r="F193" s="163">
        <v>0</v>
      </c>
      <c r="G193" s="16">
        <f t="shared" si="15"/>
        <v>53758.739719822624</v>
      </c>
      <c r="I193" s="21">
        <f t="shared" si="17"/>
        <v>183000</v>
      </c>
      <c r="J193" s="16">
        <f t="shared" si="18"/>
        <v>168738.41895429586</v>
      </c>
    </row>
    <row r="194" spans="2:10" outlineLevel="1" x14ac:dyDescent="0.2">
      <c r="B194" s="44">
        <v>49766</v>
      </c>
      <c r="C194" s="15">
        <f t="shared" si="16"/>
        <v>53758.739719822624</v>
      </c>
      <c r="D194" s="16">
        <f t="shared" si="14"/>
        <v>223.99474883259427</v>
      </c>
      <c r="E194" s="21">
        <f t="shared" si="19"/>
        <v>1000</v>
      </c>
      <c r="F194" s="162">
        <v>0</v>
      </c>
      <c r="G194" s="16">
        <f t="shared" si="15"/>
        <v>52758.739719822624</v>
      </c>
      <c r="I194" s="21">
        <f t="shared" si="17"/>
        <v>184000</v>
      </c>
      <c r="J194" s="16">
        <f t="shared" si="18"/>
        <v>168962.41370312846</v>
      </c>
    </row>
    <row r="195" spans="2:10" outlineLevel="1" x14ac:dyDescent="0.2">
      <c r="B195" s="44">
        <v>49796</v>
      </c>
      <c r="C195" s="15">
        <f t="shared" si="16"/>
        <v>52758.739719822624</v>
      </c>
      <c r="D195" s="16">
        <f t="shared" si="14"/>
        <v>219.82808216592761</v>
      </c>
      <c r="E195" s="21">
        <f t="shared" si="19"/>
        <v>1000</v>
      </c>
      <c r="F195" s="163">
        <v>0</v>
      </c>
      <c r="G195" s="16">
        <f t="shared" si="15"/>
        <v>51758.739719822624</v>
      </c>
      <c r="I195" s="21">
        <f t="shared" si="17"/>
        <v>185000</v>
      </c>
      <c r="J195" s="16">
        <f t="shared" si="18"/>
        <v>169182.24178529438</v>
      </c>
    </row>
    <row r="196" spans="2:10" outlineLevel="1" x14ac:dyDescent="0.2">
      <c r="B196" s="44">
        <v>49827</v>
      </c>
      <c r="C196" s="15">
        <f t="shared" si="16"/>
        <v>51758.739719822624</v>
      </c>
      <c r="D196" s="16">
        <f t="shared" si="14"/>
        <v>215.66141549926093</v>
      </c>
      <c r="E196" s="21">
        <f t="shared" si="19"/>
        <v>1000</v>
      </c>
      <c r="F196" s="162">
        <v>0</v>
      </c>
      <c r="G196" s="16">
        <f t="shared" si="15"/>
        <v>50758.739719822624</v>
      </c>
      <c r="I196" s="21">
        <f t="shared" si="17"/>
        <v>186000</v>
      </c>
      <c r="J196" s="16">
        <f t="shared" si="18"/>
        <v>169397.90320079363</v>
      </c>
    </row>
    <row r="197" spans="2:10" outlineLevel="1" x14ac:dyDescent="0.2">
      <c r="B197" s="44">
        <v>49857</v>
      </c>
      <c r="C197" s="15">
        <f t="shared" si="16"/>
        <v>50758.739719822624</v>
      </c>
      <c r="D197" s="16">
        <f t="shared" si="14"/>
        <v>211.49474883259427</v>
      </c>
      <c r="E197" s="21">
        <f t="shared" si="19"/>
        <v>1000</v>
      </c>
      <c r="F197" s="163">
        <v>0</v>
      </c>
      <c r="G197" s="16">
        <f t="shared" si="15"/>
        <v>49758.739719822624</v>
      </c>
      <c r="I197" s="21">
        <f t="shared" si="17"/>
        <v>187000</v>
      </c>
      <c r="J197" s="16">
        <f t="shared" si="18"/>
        <v>169609.39794962623</v>
      </c>
    </row>
    <row r="198" spans="2:10" outlineLevel="1" x14ac:dyDescent="0.2">
      <c r="B198" s="44">
        <v>49888</v>
      </c>
      <c r="C198" s="15">
        <f t="shared" si="16"/>
        <v>49758.739719822624</v>
      </c>
      <c r="D198" s="16">
        <f t="shared" si="14"/>
        <v>207.32808216592761</v>
      </c>
      <c r="E198" s="21">
        <f t="shared" si="19"/>
        <v>1000</v>
      </c>
      <c r="F198" s="162">
        <v>0</v>
      </c>
      <c r="G198" s="16">
        <f t="shared" si="15"/>
        <v>48758.739719822624</v>
      </c>
      <c r="I198" s="21">
        <f t="shared" si="17"/>
        <v>188000</v>
      </c>
      <c r="J198" s="16">
        <f t="shared" si="18"/>
        <v>169816.72603179215</v>
      </c>
    </row>
    <row r="199" spans="2:10" outlineLevel="1" x14ac:dyDescent="0.2">
      <c r="B199" s="44">
        <v>49919</v>
      </c>
      <c r="C199" s="15">
        <f t="shared" si="16"/>
        <v>48758.739719822624</v>
      </c>
      <c r="D199" s="16">
        <f t="shared" ref="D199:D262" si="20">C199*E$6</f>
        <v>203.16141549926093</v>
      </c>
      <c r="E199" s="21">
        <f t="shared" si="19"/>
        <v>1000</v>
      </c>
      <c r="F199" s="163">
        <v>0</v>
      </c>
      <c r="G199" s="16">
        <f t="shared" si="15"/>
        <v>47758.739719822624</v>
      </c>
      <c r="I199" s="21">
        <f t="shared" si="17"/>
        <v>189000</v>
      </c>
      <c r="J199" s="16">
        <f t="shared" si="18"/>
        <v>170019.8874472914</v>
      </c>
    </row>
    <row r="200" spans="2:10" outlineLevel="1" x14ac:dyDescent="0.2">
      <c r="B200" s="44">
        <v>49949</v>
      </c>
      <c r="C200" s="15">
        <f t="shared" si="16"/>
        <v>47758.739719822624</v>
      </c>
      <c r="D200" s="16">
        <f t="shared" si="20"/>
        <v>198.99474883259427</v>
      </c>
      <c r="E200" s="21">
        <f t="shared" si="19"/>
        <v>1000</v>
      </c>
      <c r="F200" s="162">
        <v>0</v>
      </c>
      <c r="G200" s="16">
        <f t="shared" si="15"/>
        <v>46758.739719822624</v>
      </c>
      <c r="I200" s="21">
        <f t="shared" si="17"/>
        <v>190000</v>
      </c>
      <c r="J200" s="16">
        <f t="shared" si="18"/>
        <v>170218.882196124</v>
      </c>
    </row>
    <row r="201" spans="2:10" outlineLevel="1" x14ac:dyDescent="0.2">
      <c r="B201" s="44">
        <v>49980</v>
      </c>
      <c r="C201" s="15">
        <f t="shared" si="16"/>
        <v>46758.739719822624</v>
      </c>
      <c r="D201" s="16">
        <f t="shared" si="20"/>
        <v>194.82808216592761</v>
      </c>
      <c r="E201" s="21">
        <f t="shared" si="19"/>
        <v>1000</v>
      </c>
      <c r="F201" s="163">
        <v>0</v>
      </c>
      <c r="G201" s="16">
        <f t="shared" si="15"/>
        <v>45758.739719822624</v>
      </c>
      <c r="I201" s="21">
        <f t="shared" si="17"/>
        <v>191000</v>
      </c>
      <c r="J201" s="16">
        <f t="shared" si="18"/>
        <v>170413.71027828992</v>
      </c>
    </row>
    <row r="202" spans="2:10" outlineLevel="1" x14ac:dyDescent="0.2">
      <c r="B202" s="44">
        <v>50010</v>
      </c>
      <c r="C202" s="15">
        <f t="shared" si="16"/>
        <v>45758.739719822624</v>
      </c>
      <c r="D202" s="16">
        <f t="shared" si="20"/>
        <v>190.66141549926093</v>
      </c>
      <c r="E202" s="21">
        <f t="shared" si="19"/>
        <v>1000</v>
      </c>
      <c r="F202" s="162">
        <v>0</v>
      </c>
      <c r="G202" s="16">
        <f t="shared" si="15"/>
        <v>44758.739719822624</v>
      </c>
      <c r="I202" s="21">
        <f t="shared" si="17"/>
        <v>192000</v>
      </c>
      <c r="J202" s="16">
        <f t="shared" si="18"/>
        <v>170604.37169378917</v>
      </c>
    </row>
    <row r="203" spans="2:10" outlineLevel="1" x14ac:dyDescent="0.2">
      <c r="B203" s="44">
        <v>50041</v>
      </c>
      <c r="C203" s="15">
        <f t="shared" si="16"/>
        <v>44758.739719822624</v>
      </c>
      <c r="D203" s="16">
        <f t="shared" si="20"/>
        <v>186.49474883259427</v>
      </c>
      <c r="E203" s="21">
        <f t="shared" si="19"/>
        <v>1000</v>
      </c>
      <c r="F203" s="163">
        <v>0</v>
      </c>
      <c r="G203" s="16">
        <f t="shared" ref="G203:G266" si="21">C203-E203-F203</f>
        <v>43758.739719822624</v>
      </c>
      <c r="I203" s="21">
        <f t="shared" si="17"/>
        <v>193000</v>
      </c>
      <c r="J203" s="16">
        <f t="shared" si="18"/>
        <v>170790.86644262177</v>
      </c>
    </row>
    <row r="204" spans="2:10" outlineLevel="1" x14ac:dyDescent="0.2">
      <c r="B204" s="44">
        <v>50072</v>
      </c>
      <c r="C204" s="15">
        <f t="shared" ref="C204:C267" si="22">G203</f>
        <v>43758.739719822624</v>
      </c>
      <c r="D204" s="16">
        <f t="shared" si="20"/>
        <v>182.32808216592761</v>
      </c>
      <c r="E204" s="21">
        <f t="shared" si="19"/>
        <v>1000</v>
      </c>
      <c r="F204" s="162">
        <v>0</v>
      </c>
      <c r="G204" s="16">
        <f t="shared" si="21"/>
        <v>42758.739719822624</v>
      </c>
      <c r="I204" s="21">
        <f t="shared" ref="I204:I267" si="23">I203+E204</f>
        <v>194000</v>
      </c>
      <c r="J204" s="16">
        <f t="shared" ref="J204:J267" si="24">J203+D204</f>
        <v>170973.19452478769</v>
      </c>
    </row>
    <row r="205" spans="2:10" outlineLevel="1" x14ac:dyDescent="0.2">
      <c r="B205" s="44">
        <v>50100</v>
      </c>
      <c r="C205" s="15">
        <f t="shared" si="22"/>
        <v>42758.739719822624</v>
      </c>
      <c r="D205" s="16">
        <f t="shared" si="20"/>
        <v>178.16141549926093</v>
      </c>
      <c r="E205" s="21">
        <f t="shared" ref="E205:E268" si="25">E204</f>
        <v>1000</v>
      </c>
      <c r="F205" s="163">
        <v>0</v>
      </c>
      <c r="G205" s="16">
        <f t="shared" si="21"/>
        <v>41758.739719822624</v>
      </c>
      <c r="I205" s="21">
        <f t="shared" si="23"/>
        <v>195000</v>
      </c>
      <c r="J205" s="16">
        <f t="shared" si="24"/>
        <v>171151.35594028694</v>
      </c>
    </row>
    <row r="206" spans="2:10" outlineLevel="1" x14ac:dyDescent="0.2">
      <c r="B206" s="44">
        <v>50131</v>
      </c>
      <c r="C206" s="15">
        <f t="shared" si="22"/>
        <v>41758.739719822624</v>
      </c>
      <c r="D206" s="16">
        <f t="shared" si="20"/>
        <v>173.99474883259427</v>
      </c>
      <c r="E206" s="21">
        <f t="shared" si="25"/>
        <v>1000</v>
      </c>
      <c r="F206" s="162">
        <v>0</v>
      </c>
      <c r="G206" s="16">
        <f t="shared" si="21"/>
        <v>40758.739719822624</v>
      </c>
      <c r="I206" s="21">
        <f t="shared" si="23"/>
        <v>196000</v>
      </c>
      <c r="J206" s="16">
        <f t="shared" si="24"/>
        <v>171325.35068911954</v>
      </c>
    </row>
    <row r="207" spans="2:10" outlineLevel="1" x14ac:dyDescent="0.2">
      <c r="B207" s="44">
        <v>50161</v>
      </c>
      <c r="C207" s="15">
        <f t="shared" si="22"/>
        <v>40758.739719822624</v>
      </c>
      <c r="D207" s="16">
        <f t="shared" si="20"/>
        <v>169.82808216592761</v>
      </c>
      <c r="E207" s="21">
        <f t="shared" si="25"/>
        <v>1000</v>
      </c>
      <c r="F207" s="163">
        <v>0</v>
      </c>
      <c r="G207" s="16">
        <f t="shared" si="21"/>
        <v>39758.739719822624</v>
      </c>
      <c r="I207" s="21">
        <f t="shared" si="23"/>
        <v>197000</v>
      </c>
      <c r="J207" s="16">
        <f t="shared" si="24"/>
        <v>171495.17877128546</v>
      </c>
    </row>
    <row r="208" spans="2:10" outlineLevel="1" x14ac:dyDescent="0.2">
      <c r="B208" s="44">
        <v>50192</v>
      </c>
      <c r="C208" s="15">
        <f t="shared" si="22"/>
        <v>39758.739719822624</v>
      </c>
      <c r="D208" s="16">
        <f t="shared" si="20"/>
        <v>165.66141549926093</v>
      </c>
      <c r="E208" s="21">
        <f t="shared" si="25"/>
        <v>1000</v>
      </c>
      <c r="F208" s="162">
        <v>0</v>
      </c>
      <c r="G208" s="16">
        <f t="shared" si="21"/>
        <v>38758.739719822624</v>
      </c>
      <c r="I208" s="21">
        <f t="shared" si="23"/>
        <v>198000</v>
      </c>
      <c r="J208" s="16">
        <f t="shared" si="24"/>
        <v>171660.84018678471</v>
      </c>
    </row>
    <row r="209" spans="2:10" outlineLevel="1" x14ac:dyDescent="0.2">
      <c r="B209" s="44">
        <v>50222</v>
      </c>
      <c r="C209" s="15">
        <f t="shared" si="22"/>
        <v>38758.739719822624</v>
      </c>
      <c r="D209" s="16">
        <f t="shared" si="20"/>
        <v>161.49474883259427</v>
      </c>
      <c r="E209" s="21">
        <f t="shared" si="25"/>
        <v>1000</v>
      </c>
      <c r="F209" s="163">
        <v>0</v>
      </c>
      <c r="G209" s="16">
        <f t="shared" si="21"/>
        <v>37758.739719822624</v>
      </c>
      <c r="I209" s="21">
        <f t="shared" si="23"/>
        <v>199000</v>
      </c>
      <c r="J209" s="16">
        <f t="shared" si="24"/>
        <v>171822.33493561731</v>
      </c>
    </row>
    <row r="210" spans="2:10" outlineLevel="1" x14ac:dyDescent="0.2">
      <c r="B210" s="44">
        <v>50253</v>
      </c>
      <c r="C210" s="15">
        <f t="shared" si="22"/>
        <v>37758.739719822624</v>
      </c>
      <c r="D210" s="16">
        <f t="shared" si="20"/>
        <v>157.32808216592761</v>
      </c>
      <c r="E210" s="21">
        <f t="shared" si="25"/>
        <v>1000</v>
      </c>
      <c r="F210" s="162">
        <v>0</v>
      </c>
      <c r="G210" s="16">
        <f t="shared" si="21"/>
        <v>36758.739719822624</v>
      </c>
      <c r="I210" s="21">
        <f t="shared" si="23"/>
        <v>200000</v>
      </c>
      <c r="J210" s="16">
        <f t="shared" si="24"/>
        <v>171979.66301778323</v>
      </c>
    </row>
    <row r="211" spans="2:10" outlineLevel="1" x14ac:dyDescent="0.2">
      <c r="B211" s="44">
        <v>50284</v>
      </c>
      <c r="C211" s="15">
        <f t="shared" si="22"/>
        <v>36758.739719822624</v>
      </c>
      <c r="D211" s="16">
        <f t="shared" si="20"/>
        <v>153.16141549926093</v>
      </c>
      <c r="E211" s="21">
        <f t="shared" si="25"/>
        <v>1000</v>
      </c>
      <c r="F211" s="163">
        <v>0</v>
      </c>
      <c r="G211" s="16">
        <f t="shared" si="21"/>
        <v>35758.739719822624</v>
      </c>
      <c r="I211" s="21">
        <f t="shared" si="23"/>
        <v>201000</v>
      </c>
      <c r="J211" s="16">
        <f t="shared" si="24"/>
        <v>172132.82443328248</v>
      </c>
    </row>
    <row r="212" spans="2:10" outlineLevel="1" x14ac:dyDescent="0.2">
      <c r="B212" s="44">
        <v>50314</v>
      </c>
      <c r="C212" s="15">
        <f t="shared" si="22"/>
        <v>35758.739719822624</v>
      </c>
      <c r="D212" s="16">
        <f t="shared" si="20"/>
        <v>148.99474883259427</v>
      </c>
      <c r="E212" s="21">
        <f t="shared" si="25"/>
        <v>1000</v>
      </c>
      <c r="F212" s="162">
        <v>0</v>
      </c>
      <c r="G212" s="16">
        <f t="shared" si="21"/>
        <v>34758.739719822624</v>
      </c>
      <c r="I212" s="21">
        <f t="shared" si="23"/>
        <v>202000</v>
      </c>
      <c r="J212" s="16">
        <f t="shared" si="24"/>
        <v>172281.81918211508</v>
      </c>
    </row>
    <row r="213" spans="2:10" outlineLevel="1" x14ac:dyDescent="0.2">
      <c r="B213" s="44">
        <v>50345</v>
      </c>
      <c r="C213" s="15">
        <f t="shared" si="22"/>
        <v>34758.739719822624</v>
      </c>
      <c r="D213" s="16">
        <f t="shared" si="20"/>
        <v>144.82808216592761</v>
      </c>
      <c r="E213" s="21">
        <f t="shared" si="25"/>
        <v>1000</v>
      </c>
      <c r="F213" s="163">
        <v>0</v>
      </c>
      <c r="G213" s="16">
        <f t="shared" si="21"/>
        <v>33758.739719822624</v>
      </c>
      <c r="I213" s="21">
        <f t="shared" si="23"/>
        <v>203000</v>
      </c>
      <c r="J213" s="16">
        <f t="shared" si="24"/>
        <v>172426.647264281</v>
      </c>
    </row>
    <row r="214" spans="2:10" outlineLevel="1" x14ac:dyDescent="0.2">
      <c r="B214" s="44">
        <v>50375</v>
      </c>
      <c r="C214" s="15">
        <f t="shared" si="22"/>
        <v>33758.739719822624</v>
      </c>
      <c r="D214" s="16">
        <f t="shared" si="20"/>
        <v>140.66141549926093</v>
      </c>
      <c r="E214" s="21">
        <f t="shared" si="25"/>
        <v>1000</v>
      </c>
      <c r="F214" s="162">
        <v>0</v>
      </c>
      <c r="G214" s="16">
        <f t="shared" si="21"/>
        <v>32758.739719822624</v>
      </c>
      <c r="I214" s="21">
        <f t="shared" si="23"/>
        <v>204000</v>
      </c>
      <c r="J214" s="16">
        <f t="shared" si="24"/>
        <v>172567.30867978025</v>
      </c>
    </row>
    <row r="215" spans="2:10" outlineLevel="1" x14ac:dyDescent="0.2">
      <c r="B215" s="44">
        <v>50406</v>
      </c>
      <c r="C215" s="15">
        <f t="shared" si="22"/>
        <v>32758.739719822624</v>
      </c>
      <c r="D215" s="16">
        <f t="shared" si="20"/>
        <v>136.49474883259427</v>
      </c>
      <c r="E215" s="21">
        <f t="shared" si="25"/>
        <v>1000</v>
      </c>
      <c r="F215" s="163">
        <v>0</v>
      </c>
      <c r="G215" s="16">
        <f t="shared" si="21"/>
        <v>31758.739719822624</v>
      </c>
      <c r="I215" s="21">
        <f t="shared" si="23"/>
        <v>205000</v>
      </c>
      <c r="J215" s="16">
        <f t="shared" si="24"/>
        <v>172703.80342861285</v>
      </c>
    </row>
    <row r="216" spans="2:10" outlineLevel="1" x14ac:dyDescent="0.2">
      <c r="B216" s="44">
        <v>50437</v>
      </c>
      <c r="C216" s="15">
        <f t="shared" si="22"/>
        <v>31758.739719822624</v>
      </c>
      <c r="D216" s="16">
        <f t="shared" si="20"/>
        <v>132.32808216592761</v>
      </c>
      <c r="E216" s="21">
        <f t="shared" si="25"/>
        <v>1000</v>
      </c>
      <c r="F216" s="162">
        <v>0</v>
      </c>
      <c r="G216" s="16">
        <f t="shared" si="21"/>
        <v>30758.739719822624</v>
      </c>
      <c r="I216" s="21">
        <f t="shared" si="23"/>
        <v>206000</v>
      </c>
      <c r="J216" s="16">
        <f t="shared" si="24"/>
        <v>172836.13151077877</v>
      </c>
    </row>
    <row r="217" spans="2:10" outlineLevel="1" x14ac:dyDescent="0.2">
      <c r="B217" s="44">
        <v>50465</v>
      </c>
      <c r="C217" s="15">
        <f t="shared" si="22"/>
        <v>30758.739719822624</v>
      </c>
      <c r="D217" s="16">
        <f t="shared" si="20"/>
        <v>128.16141549926093</v>
      </c>
      <c r="E217" s="21">
        <f t="shared" si="25"/>
        <v>1000</v>
      </c>
      <c r="F217" s="163">
        <v>0</v>
      </c>
      <c r="G217" s="16">
        <f t="shared" si="21"/>
        <v>29758.739719822624</v>
      </c>
      <c r="I217" s="21">
        <f t="shared" si="23"/>
        <v>207000</v>
      </c>
      <c r="J217" s="16">
        <f t="shared" si="24"/>
        <v>172964.29292627802</v>
      </c>
    </row>
    <row r="218" spans="2:10" outlineLevel="1" x14ac:dyDescent="0.2">
      <c r="B218" s="44">
        <v>50496</v>
      </c>
      <c r="C218" s="15">
        <f t="shared" si="22"/>
        <v>29758.739719822624</v>
      </c>
      <c r="D218" s="16">
        <f t="shared" si="20"/>
        <v>123.99474883259427</v>
      </c>
      <c r="E218" s="21">
        <f t="shared" si="25"/>
        <v>1000</v>
      </c>
      <c r="F218" s="162">
        <v>0</v>
      </c>
      <c r="G218" s="16">
        <f t="shared" si="21"/>
        <v>28758.739719822624</v>
      </c>
      <c r="I218" s="21">
        <f t="shared" si="23"/>
        <v>208000</v>
      </c>
      <c r="J218" s="16">
        <f t="shared" si="24"/>
        <v>173088.28767511062</v>
      </c>
    </row>
    <row r="219" spans="2:10" outlineLevel="1" x14ac:dyDescent="0.2">
      <c r="B219" s="44">
        <v>50526</v>
      </c>
      <c r="C219" s="15">
        <f t="shared" si="22"/>
        <v>28758.739719822624</v>
      </c>
      <c r="D219" s="16">
        <f t="shared" si="20"/>
        <v>119.8280821659276</v>
      </c>
      <c r="E219" s="21">
        <f t="shared" si="25"/>
        <v>1000</v>
      </c>
      <c r="F219" s="163">
        <v>0</v>
      </c>
      <c r="G219" s="16">
        <f t="shared" si="21"/>
        <v>27758.739719822624</v>
      </c>
      <c r="I219" s="21">
        <f t="shared" si="23"/>
        <v>209000</v>
      </c>
      <c r="J219" s="16">
        <f t="shared" si="24"/>
        <v>173208.11575727654</v>
      </c>
    </row>
    <row r="220" spans="2:10" outlineLevel="1" x14ac:dyDescent="0.2">
      <c r="B220" s="44">
        <v>50557</v>
      </c>
      <c r="C220" s="15">
        <f t="shared" si="22"/>
        <v>27758.739719822624</v>
      </c>
      <c r="D220" s="16">
        <f t="shared" si="20"/>
        <v>115.66141549926094</v>
      </c>
      <c r="E220" s="21">
        <f t="shared" si="25"/>
        <v>1000</v>
      </c>
      <c r="F220" s="162">
        <v>0</v>
      </c>
      <c r="G220" s="16">
        <f t="shared" si="21"/>
        <v>26758.739719822624</v>
      </c>
      <c r="I220" s="21">
        <f t="shared" si="23"/>
        <v>210000</v>
      </c>
      <c r="J220" s="16">
        <f t="shared" si="24"/>
        <v>173323.77717277579</v>
      </c>
    </row>
    <row r="221" spans="2:10" outlineLevel="1" x14ac:dyDescent="0.2">
      <c r="B221" s="44">
        <v>50587</v>
      </c>
      <c r="C221" s="15">
        <f t="shared" si="22"/>
        <v>26758.739719822624</v>
      </c>
      <c r="D221" s="16">
        <f t="shared" si="20"/>
        <v>111.49474883259427</v>
      </c>
      <c r="E221" s="21">
        <f t="shared" si="25"/>
        <v>1000</v>
      </c>
      <c r="F221" s="163">
        <v>0</v>
      </c>
      <c r="G221" s="16">
        <f t="shared" si="21"/>
        <v>25758.739719822624</v>
      </c>
      <c r="I221" s="21">
        <f t="shared" si="23"/>
        <v>211000</v>
      </c>
      <c r="J221" s="16">
        <f t="shared" si="24"/>
        <v>173435.27192160839</v>
      </c>
    </row>
    <row r="222" spans="2:10" outlineLevel="1" x14ac:dyDescent="0.2">
      <c r="B222" s="44">
        <v>50618</v>
      </c>
      <c r="C222" s="15">
        <f t="shared" si="22"/>
        <v>25758.739719822624</v>
      </c>
      <c r="D222" s="16">
        <f t="shared" si="20"/>
        <v>107.3280821659276</v>
      </c>
      <c r="E222" s="21">
        <f t="shared" si="25"/>
        <v>1000</v>
      </c>
      <c r="F222" s="162">
        <v>0</v>
      </c>
      <c r="G222" s="16">
        <f t="shared" si="21"/>
        <v>24758.739719822624</v>
      </c>
      <c r="I222" s="21">
        <f t="shared" si="23"/>
        <v>212000</v>
      </c>
      <c r="J222" s="16">
        <f t="shared" si="24"/>
        <v>173542.60000377431</v>
      </c>
    </row>
    <row r="223" spans="2:10" outlineLevel="1" x14ac:dyDescent="0.2">
      <c r="B223" s="44">
        <v>50649</v>
      </c>
      <c r="C223" s="15">
        <f t="shared" si="22"/>
        <v>24758.739719822624</v>
      </c>
      <c r="D223" s="16">
        <f t="shared" si="20"/>
        <v>103.16141549926094</v>
      </c>
      <c r="E223" s="21">
        <f t="shared" si="25"/>
        <v>1000</v>
      </c>
      <c r="F223" s="163">
        <v>0</v>
      </c>
      <c r="G223" s="16">
        <f t="shared" si="21"/>
        <v>23758.739719822624</v>
      </c>
      <c r="I223" s="21">
        <f t="shared" si="23"/>
        <v>213000</v>
      </c>
      <c r="J223" s="16">
        <f t="shared" si="24"/>
        <v>173645.76141927356</v>
      </c>
    </row>
    <row r="224" spans="2:10" outlineLevel="1" x14ac:dyDescent="0.2">
      <c r="B224" s="44">
        <v>50679</v>
      </c>
      <c r="C224" s="15">
        <f t="shared" si="22"/>
        <v>23758.739719822624</v>
      </c>
      <c r="D224" s="16">
        <f t="shared" si="20"/>
        <v>98.994748832594269</v>
      </c>
      <c r="E224" s="21">
        <f t="shared" si="25"/>
        <v>1000</v>
      </c>
      <c r="F224" s="162">
        <v>0</v>
      </c>
      <c r="G224" s="16">
        <f t="shared" si="21"/>
        <v>22758.739719822624</v>
      </c>
      <c r="I224" s="21">
        <f t="shared" si="23"/>
        <v>214000</v>
      </c>
      <c r="J224" s="16">
        <f t="shared" si="24"/>
        <v>173744.75616810616</v>
      </c>
    </row>
    <row r="225" spans="2:10" outlineLevel="1" x14ac:dyDescent="0.2">
      <c r="B225" s="44">
        <v>50710</v>
      </c>
      <c r="C225" s="15">
        <f t="shared" si="22"/>
        <v>22758.739719822624</v>
      </c>
      <c r="D225" s="16">
        <f t="shared" si="20"/>
        <v>94.828082165927597</v>
      </c>
      <c r="E225" s="21">
        <f t="shared" si="25"/>
        <v>1000</v>
      </c>
      <c r="F225" s="163">
        <v>0</v>
      </c>
      <c r="G225" s="16">
        <f t="shared" si="21"/>
        <v>21758.739719822624</v>
      </c>
      <c r="I225" s="21">
        <f t="shared" si="23"/>
        <v>215000</v>
      </c>
      <c r="J225" s="16">
        <f t="shared" si="24"/>
        <v>173839.58425027208</v>
      </c>
    </row>
    <row r="226" spans="2:10" outlineLevel="1" x14ac:dyDescent="0.2">
      <c r="B226" s="44">
        <v>50740</v>
      </c>
      <c r="C226" s="15">
        <f t="shared" si="22"/>
        <v>21758.739719822624</v>
      </c>
      <c r="D226" s="16">
        <f t="shared" si="20"/>
        <v>90.66141549926094</v>
      </c>
      <c r="E226" s="21">
        <f t="shared" si="25"/>
        <v>1000</v>
      </c>
      <c r="F226" s="162">
        <v>0</v>
      </c>
      <c r="G226" s="16">
        <f t="shared" si="21"/>
        <v>20758.739719822624</v>
      </c>
      <c r="I226" s="21">
        <f t="shared" si="23"/>
        <v>216000</v>
      </c>
      <c r="J226" s="16">
        <f t="shared" si="24"/>
        <v>173930.24566577133</v>
      </c>
    </row>
    <row r="227" spans="2:10" outlineLevel="1" x14ac:dyDescent="0.2">
      <c r="B227" s="44">
        <v>50771</v>
      </c>
      <c r="C227" s="15">
        <f t="shared" si="22"/>
        <v>20758.739719822624</v>
      </c>
      <c r="D227" s="16">
        <f t="shared" si="20"/>
        <v>86.494748832594269</v>
      </c>
      <c r="E227" s="21">
        <f t="shared" si="25"/>
        <v>1000</v>
      </c>
      <c r="F227" s="163">
        <v>0</v>
      </c>
      <c r="G227" s="16">
        <f t="shared" si="21"/>
        <v>19758.739719822624</v>
      </c>
      <c r="I227" s="21">
        <f t="shared" si="23"/>
        <v>217000</v>
      </c>
      <c r="J227" s="16">
        <f t="shared" si="24"/>
        <v>174016.74041460393</v>
      </c>
    </row>
    <row r="228" spans="2:10" outlineLevel="1" x14ac:dyDescent="0.2">
      <c r="B228" s="44">
        <v>50802</v>
      </c>
      <c r="C228" s="15">
        <f t="shared" si="22"/>
        <v>19758.739719822624</v>
      </c>
      <c r="D228" s="16">
        <f t="shared" si="20"/>
        <v>82.328082165927597</v>
      </c>
      <c r="E228" s="21">
        <f t="shared" si="25"/>
        <v>1000</v>
      </c>
      <c r="F228" s="162">
        <v>0</v>
      </c>
      <c r="G228" s="16">
        <f t="shared" si="21"/>
        <v>18758.739719822624</v>
      </c>
      <c r="I228" s="21">
        <f t="shared" si="23"/>
        <v>218000</v>
      </c>
      <c r="J228" s="16">
        <f t="shared" si="24"/>
        <v>174099.06849676985</v>
      </c>
    </row>
    <row r="229" spans="2:10" outlineLevel="1" x14ac:dyDescent="0.2">
      <c r="B229" s="44">
        <v>50830</v>
      </c>
      <c r="C229" s="15">
        <f t="shared" si="22"/>
        <v>18758.739719822624</v>
      </c>
      <c r="D229" s="16">
        <f t="shared" si="20"/>
        <v>78.16141549926094</v>
      </c>
      <c r="E229" s="21">
        <f t="shared" si="25"/>
        <v>1000</v>
      </c>
      <c r="F229" s="163">
        <v>0</v>
      </c>
      <c r="G229" s="16">
        <f t="shared" si="21"/>
        <v>17758.739719822624</v>
      </c>
      <c r="I229" s="21">
        <f t="shared" si="23"/>
        <v>219000</v>
      </c>
      <c r="J229" s="16">
        <f t="shared" si="24"/>
        <v>174177.2299122691</v>
      </c>
    </row>
    <row r="230" spans="2:10" outlineLevel="1" x14ac:dyDescent="0.2">
      <c r="B230" s="44">
        <v>50861</v>
      </c>
      <c r="C230" s="15">
        <f t="shared" si="22"/>
        <v>17758.739719822624</v>
      </c>
      <c r="D230" s="16">
        <f t="shared" si="20"/>
        <v>73.994748832594269</v>
      </c>
      <c r="E230" s="21">
        <f t="shared" si="25"/>
        <v>1000</v>
      </c>
      <c r="F230" s="162">
        <v>0</v>
      </c>
      <c r="G230" s="16">
        <f t="shared" si="21"/>
        <v>16758.739719822624</v>
      </c>
      <c r="I230" s="21">
        <f t="shared" si="23"/>
        <v>220000</v>
      </c>
      <c r="J230" s="16">
        <f t="shared" si="24"/>
        <v>174251.2246611017</v>
      </c>
    </row>
    <row r="231" spans="2:10" outlineLevel="1" x14ac:dyDescent="0.2">
      <c r="B231" s="44">
        <v>50891</v>
      </c>
      <c r="C231" s="15">
        <f t="shared" si="22"/>
        <v>16758.739719822624</v>
      </c>
      <c r="D231" s="16">
        <f t="shared" si="20"/>
        <v>69.828082165927597</v>
      </c>
      <c r="E231" s="21">
        <f t="shared" si="25"/>
        <v>1000</v>
      </c>
      <c r="F231" s="163">
        <v>0</v>
      </c>
      <c r="G231" s="16">
        <f t="shared" si="21"/>
        <v>15758.739719822624</v>
      </c>
      <c r="I231" s="21">
        <f t="shared" si="23"/>
        <v>221000</v>
      </c>
      <c r="J231" s="16">
        <f t="shared" si="24"/>
        <v>174321.05274326762</v>
      </c>
    </row>
    <row r="232" spans="2:10" outlineLevel="1" x14ac:dyDescent="0.2">
      <c r="B232" s="44">
        <v>50922</v>
      </c>
      <c r="C232" s="15">
        <f t="shared" si="22"/>
        <v>15758.739719822624</v>
      </c>
      <c r="D232" s="16">
        <f t="shared" si="20"/>
        <v>65.66141549926094</v>
      </c>
      <c r="E232" s="21">
        <f t="shared" si="25"/>
        <v>1000</v>
      </c>
      <c r="F232" s="162">
        <v>0</v>
      </c>
      <c r="G232" s="16">
        <f t="shared" si="21"/>
        <v>14758.739719822624</v>
      </c>
      <c r="I232" s="21">
        <f t="shared" si="23"/>
        <v>222000</v>
      </c>
      <c r="J232" s="16">
        <f t="shared" si="24"/>
        <v>174386.71415876687</v>
      </c>
    </row>
    <row r="233" spans="2:10" outlineLevel="1" x14ac:dyDescent="0.2">
      <c r="B233" s="44">
        <v>50952</v>
      </c>
      <c r="C233" s="15">
        <f t="shared" si="22"/>
        <v>14758.739719822624</v>
      </c>
      <c r="D233" s="16">
        <f t="shared" si="20"/>
        <v>61.494748832594269</v>
      </c>
      <c r="E233" s="21">
        <f t="shared" si="25"/>
        <v>1000</v>
      </c>
      <c r="F233" s="163">
        <v>0</v>
      </c>
      <c r="G233" s="16">
        <f t="shared" si="21"/>
        <v>13758.739719822624</v>
      </c>
      <c r="I233" s="21">
        <f t="shared" si="23"/>
        <v>223000</v>
      </c>
      <c r="J233" s="16">
        <f t="shared" si="24"/>
        <v>174448.20890759947</v>
      </c>
    </row>
    <row r="234" spans="2:10" outlineLevel="1" x14ac:dyDescent="0.2">
      <c r="B234" s="44">
        <v>50983</v>
      </c>
      <c r="C234" s="15">
        <f t="shared" si="22"/>
        <v>13758.739719822624</v>
      </c>
      <c r="D234" s="16">
        <f t="shared" si="20"/>
        <v>57.328082165927604</v>
      </c>
      <c r="E234" s="21">
        <f t="shared" si="25"/>
        <v>1000</v>
      </c>
      <c r="F234" s="162">
        <v>0</v>
      </c>
      <c r="G234" s="16">
        <f t="shared" si="21"/>
        <v>12758.739719822624</v>
      </c>
      <c r="I234" s="21">
        <f t="shared" si="23"/>
        <v>224000</v>
      </c>
      <c r="J234" s="16">
        <f t="shared" si="24"/>
        <v>174505.53698976539</v>
      </c>
    </row>
    <row r="235" spans="2:10" outlineLevel="1" x14ac:dyDescent="0.2">
      <c r="B235" s="44">
        <v>51014</v>
      </c>
      <c r="C235" s="15">
        <f t="shared" si="22"/>
        <v>12758.739719822624</v>
      </c>
      <c r="D235" s="16">
        <f t="shared" si="20"/>
        <v>53.161415499260933</v>
      </c>
      <c r="E235" s="21">
        <f t="shared" si="25"/>
        <v>1000</v>
      </c>
      <c r="F235" s="163">
        <v>0</v>
      </c>
      <c r="G235" s="16">
        <f t="shared" si="21"/>
        <v>11758.739719822624</v>
      </c>
      <c r="I235" s="21">
        <f t="shared" si="23"/>
        <v>225000</v>
      </c>
      <c r="J235" s="16">
        <f t="shared" si="24"/>
        <v>174558.69840526464</v>
      </c>
    </row>
    <row r="236" spans="2:10" outlineLevel="1" x14ac:dyDescent="0.2">
      <c r="B236" s="44">
        <v>51044</v>
      </c>
      <c r="C236" s="15">
        <f t="shared" si="22"/>
        <v>11758.739719822624</v>
      </c>
      <c r="D236" s="16">
        <f t="shared" si="20"/>
        <v>48.994748832594269</v>
      </c>
      <c r="E236" s="21">
        <f t="shared" si="25"/>
        <v>1000</v>
      </c>
      <c r="F236" s="162">
        <v>0</v>
      </c>
      <c r="G236" s="16">
        <f t="shared" si="21"/>
        <v>10758.739719822624</v>
      </c>
      <c r="I236" s="21">
        <f t="shared" si="23"/>
        <v>226000</v>
      </c>
      <c r="J236" s="16">
        <f t="shared" si="24"/>
        <v>174607.69315409724</v>
      </c>
    </row>
    <row r="237" spans="2:10" outlineLevel="1" x14ac:dyDescent="0.2">
      <c r="B237" s="44">
        <v>51075</v>
      </c>
      <c r="C237" s="15">
        <f t="shared" si="22"/>
        <v>10758.739719822624</v>
      </c>
      <c r="D237" s="16">
        <f t="shared" si="20"/>
        <v>44.828082165927604</v>
      </c>
      <c r="E237" s="21">
        <f t="shared" si="25"/>
        <v>1000</v>
      </c>
      <c r="F237" s="163">
        <v>0</v>
      </c>
      <c r="G237" s="16">
        <f t="shared" si="21"/>
        <v>9758.7397198226245</v>
      </c>
      <c r="I237" s="21">
        <f t="shared" si="23"/>
        <v>227000</v>
      </c>
      <c r="J237" s="16">
        <f t="shared" si="24"/>
        <v>174652.52123626316</v>
      </c>
    </row>
    <row r="238" spans="2:10" outlineLevel="1" x14ac:dyDescent="0.2">
      <c r="B238" s="44">
        <v>51105</v>
      </c>
      <c r="C238" s="15">
        <f t="shared" si="22"/>
        <v>9758.7397198226245</v>
      </c>
      <c r="D238" s="16">
        <f t="shared" si="20"/>
        <v>40.661415499260933</v>
      </c>
      <c r="E238" s="21">
        <f t="shared" si="25"/>
        <v>1000</v>
      </c>
      <c r="F238" s="162">
        <v>0</v>
      </c>
      <c r="G238" s="16">
        <f t="shared" si="21"/>
        <v>8758.7397198226245</v>
      </c>
      <c r="I238" s="21">
        <f t="shared" si="23"/>
        <v>228000</v>
      </c>
      <c r="J238" s="16">
        <f t="shared" si="24"/>
        <v>174693.18265176241</v>
      </c>
    </row>
    <row r="239" spans="2:10" outlineLevel="1" x14ac:dyDescent="0.2">
      <c r="B239" s="44">
        <v>51136</v>
      </c>
      <c r="C239" s="15">
        <f t="shared" si="22"/>
        <v>8758.7397198226245</v>
      </c>
      <c r="D239" s="16">
        <f t="shared" si="20"/>
        <v>36.494748832594269</v>
      </c>
      <c r="E239" s="21">
        <f t="shared" si="25"/>
        <v>1000</v>
      </c>
      <c r="F239" s="163">
        <v>0</v>
      </c>
      <c r="G239" s="16">
        <f t="shared" si="21"/>
        <v>7758.7397198226245</v>
      </c>
      <c r="I239" s="21">
        <f t="shared" si="23"/>
        <v>229000</v>
      </c>
      <c r="J239" s="16">
        <f t="shared" si="24"/>
        <v>174729.67740059501</v>
      </c>
    </row>
    <row r="240" spans="2:10" outlineLevel="1" x14ac:dyDescent="0.2">
      <c r="B240" s="44">
        <v>51167</v>
      </c>
      <c r="C240" s="15">
        <f t="shared" si="22"/>
        <v>7758.7397198226245</v>
      </c>
      <c r="D240" s="16">
        <f t="shared" si="20"/>
        <v>32.328082165927604</v>
      </c>
      <c r="E240" s="21">
        <f t="shared" si="25"/>
        <v>1000</v>
      </c>
      <c r="F240" s="162">
        <v>0</v>
      </c>
      <c r="G240" s="16">
        <f t="shared" si="21"/>
        <v>6758.7397198226245</v>
      </c>
      <c r="I240" s="21">
        <f t="shared" si="23"/>
        <v>230000</v>
      </c>
      <c r="J240" s="16">
        <f t="shared" si="24"/>
        <v>174762.00548276093</v>
      </c>
    </row>
    <row r="241" spans="2:10" outlineLevel="1" x14ac:dyDescent="0.2">
      <c r="B241" s="44">
        <v>51196</v>
      </c>
      <c r="C241" s="15">
        <f t="shared" si="22"/>
        <v>6758.7397198226245</v>
      </c>
      <c r="D241" s="16">
        <f t="shared" si="20"/>
        <v>28.161415499260936</v>
      </c>
      <c r="E241" s="21">
        <f t="shared" si="25"/>
        <v>1000</v>
      </c>
      <c r="F241" s="163">
        <v>0</v>
      </c>
      <c r="G241" s="16">
        <f t="shared" si="21"/>
        <v>5758.7397198226245</v>
      </c>
      <c r="I241" s="21">
        <f t="shared" si="23"/>
        <v>231000</v>
      </c>
      <c r="J241" s="16">
        <f t="shared" si="24"/>
        <v>174790.16689826018</v>
      </c>
    </row>
    <row r="242" spans="2:10" outlineLevel="1" x14ac:dyDescent="0.2">
      <c r="B242" s="44">
        <v>51227</v>
      </c>
      <c r="C242" s="15">
        <f t="shared" si="22"/>
        <v>5758.7397198226245</v>
      </c>
      <c r="D242" s="16">
        <f t="shared" si="20"/>
        <v>23.994748832594269</v>
      </c>
      <c r="E242" s="21">
        <f t="shared" si="25"/>
        <v>1000</v>
      </c>
      <c r="F242" s="162">
        <v>0</v>
      </c>
      <c r="G242" s="16">
        <f t="shared" si="21"/>
        <v>4758.7397198226245</v>
      </c>
      <c r="I242" s="21">
        <f t="shared" si="23"/>
        <v>232000</v>
      </c>
      <c r="J242" s="16">
        <f t="shared" si="24"/>
        <v>174814.16164709278</v>
      </c>
    </row>
    <row r="243" spans="2:10" outlineLevel="1" x14ac:dyDescent="0.2">
      <c r="B243" s="44">
        <v>51257</v>
      </c>
      <c r="C243" s="15">
        <f t="shared" si="22"/>
        <v>4758.7397198226245</v>
      </c>
      <c r="D243" s="16">
        <f t="shared" si="20"/>
        <v>19.828082165927601</v>
      </c>
      <c r="E243" s="21">
        <f t="shared" si="25"/>
        <v>1000</v>
      </c>
      <c r="F243" s="163">
        <v>0</v>
      </c>
      <c r="G243" s="16">
        <f t="shared" si="21"/>
        <v>3758.7397198226245</v>
      </c>
      <c r="I243" s="21">
        <f t="shared" si="23"/>
        <v>233000</v>
      </c>
      <c r="J243" s="16">
        <f t="shared" si="24"/>
        <v>174833.9897292587</v>
      </c>
    </row>
    <row r="244" spans="2:10" outlineLevel="1" x14ac:dyDescent="0.2">
      <c r="B244" s="44">
        <v>51288</v>
      </c>
      <c r="C244" s="15">
        <f t="shared" si="22"/>
        <v>3758.7397198226245</v>
      </c>
      <c r="D244" s="16">
        <f t="shared" si="20"/>
        <v>15.661415499260935</v>
      </c>
      <c r="E244" s="21">
        <f t="shared" si="25"/>
        <v>1000</v>
      </c>
      <c r="F244" s="162">
        <v>0</v>
      </c>
      <c r="G244" s="16">
        <f t="shared" si="21"/>
        <v>2758.7397198226245</v>
      </c>
      <c r="I244" s="21">
        <f t="shared" si="23"/>
        <v>234000</v>
      </c>
      <c r="J244" s="16">
        <f t="shared" si="24"/>
        <v>174849.65114475795</v>
      </c>
    </row>
    <row r="245" spans="2:10" outlineLevel="1" x14ac:dyDescent="0.2">
      <c r="B245" s="44">
        <v>51318</v>
      </c>
      <c r="C245" s="15">
        <f t="shared" si="22"/>
        <v>2758.7397198226245</v>
      </c>
      <c r="D245" s="16">
        <f t="shared" si="20"/>
        <v>11.494748832594269</v>
      </c>
      <c r="E245" s="21">
        <f t="shared" si="25"/>
        <v>1000</v>
      </c>
      <c r="F245" s="163">
        <v>0</v>
      </c>
      <c r="G245" s="16">
        <f t="shared" si="21"/>
        <v>1758.7397198226245</v>
      </c>
      <c r="I245" s="21">
        <f t="shared" si="23"/>
        <v>235000</v>
      </c>
      <c r="J245" s="16">
        <f t="shared" si="24"/>
        <v>174861.14589359055</v>
      </c>
    </row>
    <row r="246" spans="2:10" outlineLevel="1" x14ac:dyDescent="0.2">
      <c r="B246" s="44">
        <v>51349</v>
      </c>
      <c r="C246" s="15">
        <f t="shared" si="22"/>
        <v>1758.7397198226245</v>
      </c>
      <c r="D246" s="16">
        <f t="shared" si="20"/>
        <v>7.3280821659276016</v>
      </c>
      <c r="E246" s="21">
        <f t="shared" si="25"/>
        <v>1000</v>
      </c>
      <c r="F246" s="162">
        <v>0</v>
      </c>
      <c r="G246" s="16">
        <f t="shared" si="21"/>
        <v>758.73971982262447</v>
      </c>
      <c r="I246" s="21">
        <f t="shared" si="23"/>
        <v>236000</v>
      </c>
      <c r="J246" s="16">
        <f t="shared" si="24"/>
        <v>174868.47397575647</v>
      </c>
    </row>
    <row r="247" spans="2:10" outlineLevel="1" x14ac:dyDescent="0.2">
      <c r="B247" s="44">
        <v>51380</v>
      </c>
      <c r="C247" s="15">
        <f t="shared" si="22"/>
        <v>758.73971982262447</v>
      </c>
      <c r="D247" s="16">
        <f t="shared" si="20"/>
        <v>3.1614154992609351</v>
      </c>
      <c r="E247" s="21">
        <f t="shared" si="25"/>
        <v>1000</v>
      </c>
      <c r="F247" s="163">
        <v>0</v>
      </c>
      <c r="G247" s="16">
        <f t="shared" si="21"/>
        <v>-241.26028017737553</v>
      </c>
      <c r="I247" s="21">
        <f t="shared" si="23"/>
        <v>237000</v>
      </c>
      <c r="J247" s="16">
        <f t="shared" si="24"/>
        <v>174871.63539125572</v>
      </c>
    </row>
    <row r="248" spans="2:10" outlineLevel="1" x14ac:dyDescent="0.2">
      <c r="B248" s="44">
        <v>51410</v>
      </c>
      <c r="C248" s="15">
        <f t="shared" si="22"/>
        <v>-241.26028017737553</v>
      </c>
      <c r="D248" s="16">
        <f t="shared" si="20"/>
        <v>-1.0052511674057314</v>
      </c>
      <c r="E248" s="21">
        <f t="shared" si="25"/>
        <v>1000</v>
      </c>
      <c r="F248" s="162">
        <v>0</v>
      </c>
      <c r="G248" s="16">
        <f t="shared" si="21"/>
        <v>-1241.2602801773755</v>
      </c>
      <c r="I248" s="21">
        <f t="shared" si="23"/>
        <v>238000</v>
      </c>
      <c r="J248" s="16">
        <f t="shared" si="24"/>
        <v>174870.63014008832</v>
      </c>
    </row>
    <row r="249" spans="2:10" outlineLevel="1" x14ac:dyDescent="0.2">
      <c r="B249" s="44">
        <v>51441</v>
      </c>
      <c r="C249" s="15">
        <f t="shared" si="22"/>
        <v>-1241.2602801773755</v>
      </c>
      <c r="D249" s="16">
        <f t="shared" si="20"/>
        <v>-5.1719178340723984</v>
      </c>
      <c r="E249" s="21">
        <f t="shared" si="25"/>
        <v>1000</v>
      </c>
      <c r="F249" s="163">
        <v>0</v>
      </c>
      <c r="G249" s="16">
        <f t="shared" si="21"/>
        <v>-2241.2602801773755</v>
      </c>
      <c r="I249" s="21">
        <f t="shared" si="23"/>
        <v>239000</v>
      </c>
      <c r="J249" s="16">
        <f t="shared" si="24"/>
        <v>174865.45822225424</v>
      </c>
    </row>
    <row r="250" spans="2:10" outlineLevel="1" x14ac:dyDescent="0.2">
      <c r="B250" s="44">
        <v>51471</v>
      </c>
      <c r="C250" s="15">
        <f t="shared" si="22"/>
        <v>-2241.2602801773755</v>
      </c>
      <c r="D250" s="16">
        <f t="shared" si="20"/>
        <v>-9.3385845007390653</v>
      </c>
      <c r="E250" s="21">
        <f t="shared" si="25"/>
        <v>1000</v>
      </c>
      <c r="F250" s="162">
        <v>0</v>
      </c>
      <c r="G250" s="16">
        <f t="shared" si="21"/>
        <v>-3241.2602801773755</v>
      </c>
      <c r="I250" s="21">
        <f t="shared" si="23"/>
        <v>240000</v>
      </c>
      <c r="J250" s="16">
        <f t="shared" si="24"/>
        <v>174856.11963775349</v>
      </c>
    </row>
    <row r="251" spans="2:10" outlineLevel="1" x14ac:dyDescent="0.2">
      <c r="B251" s="44">
        <v>51502</v>
      </c>
      <c r="C251" s="15">
        <f t="shared" si="22"/>
        <v>-3241.2602801773755</v>
      </c>
      <c r="D251" s="16">
        <f t="shared" si="20"/>
        <v>-13.505251167405731</v>
      </c>
      <c r="E251" s="21">
        <f t="shared" si="25"/>
        <v>1000</v>
      </c>
      <c r="F251" s="163">
        <v>0</v>
      </c>
      <c r="G251" s="16">
        <f t="shared" si="21"/>
        <v>-4241.2602801773755</v>
      </c>
      <c r="I251" s="21">
        <f t="shared" si="23"/>
        <v>241000</v>
      </c>
      <c r="J251" s="16">
        <f t="shared" si="24"/>
        <v>174842.61438658609</v>
      </c>
    </row>
    <row r="252" spans="2:10" outlineLevel="1" x14ac:dyDescent="0.2">
      <c r="B252" s="44">
        <v>51533</v>
      </c>
      <c r="C252" s="15">
        <f t="shared" si="22"/>
        <v>-4241.2602801773755</v>
      </c>
      <c r="D252" s="16">
        <f t="shared" si="20"/>
        <v>-17.671917834072399</v>
      </c>
      <c r="E252" s="21">
        <f t="shared" si="25"/>
        <v>1000</v>
      </c>
      <c r="F252" s="162">
        <v>0</v>
      </c>
      <c r="G252" s="16">
        <f t="shared" si="21"/>
        <v>-5241.2602801773755</v>
      </c>
      <c r="I252" s="21">
        <f t="shared" si="23"/>
        <v>242000</v>
      </c>
      <c r="J252" s="16">
        <f t="shared" si="24"/>
        <v>174824.94246875201</v>
      </c>
    </row>
    <row r="253" spans="2:10" outlineLevel="1" x14ac:dyDescent="0.2">
      <c r="B253" s="44">
        <v>51561</v>
      </c>
      <c r="C253" s="15">
        <f t="shared" si="22"/>
        <v>-5241.2602801773755</v>
      </c>
      <c r="D253" s="16">
        <f t="shared" si="20"/>
        <v>-21.838584500739064</v>
      </c>
      <c r="E253" s="21">
        <f t="shared" si="25"/>
        <v>1000</v>
      </c>
      <c r="F253" s="163">
        <v>0</v>
      </c>
      <c r="G253" s="16">
        <f t="shared" si="21"/>
        <v>-6241.2602801773755</v>
      </c>
      <c r="I253" s="21">
        <f t="shared" si="23"/>
        <v>243000</v>
      </c>
      <c r="J253" s="16">
        <f t="shared" si="24"/>
        <v>174803.10388425126</v>
      </c>
    </row>
    <row r="254" spans="2:10" outlineLevel="1" x14ac:dyDescent="0.2">
      <c r="B254" s="44">
        <v>51592</v>
      </c>
      <c r="C254" s="15">
        <f t="shared" si="22"/>
        <v>-6241.2602801773755</v>
      </c>
      <c r="D254" s="16">
        <f t="shared" si="20"/>
        <v>-26.005251167405731</v>
      </c>
      <c r="E254" s="21">
        <f t="shared" si="25"/>
        <v>1000</v>
      </c>
      <c r="F254" s="162">
        <v>0</v>
      </c>
      <c r="G254" s="16">
        <f t="shared" si="21"/>
        <v>-7241.2602801773755</v>
      </c>
      <c r="I254" s="21">
        <f t="shared" si="23"/>
        <v>244000</v>
      </c>
      <c r="J254" s="16">
        <f t="shared" si="24"/>
        <v>174777.09863308386</v>
      </c>
    </row>
    <row r="255" spans="2:10" outlineLevel="1" x14ac:dyDescent="0.2">
      <c r="B255" s="44">
        <v>51622</v>
      </c>
      <c r="C255" s="15">
        <f t="shared" si="22"/>
        <v>-7241.2602801773755</v>
      </c>
      <c r="D255" s="16">
        <f t="shared" si="20"/>
        <v>-30.171917834072399</v>
      </c>
      <c r="E255" s="21">
        <f t="shared" si="25"/>
        <v>1000</v>
      </c>
      <c r="F255" s="163">
        <v>0</v>
      </c>
      <c r="G255" s="16">
        <f t="shared" si="21"/>
        <v>-8241.2602801773755</v>
      </c>
      <c r="I255" s="21">
        <f t="shared" si="23"/>
        <v>245000</v>
      </c>
      <c r="J255" s="16">
        <f t="shared" si="24"/>
        <v>174746.92671524978</v>
      </c>
    </row>
    <row r="256" spans="2:10" outlineLevel="1" x14ac:dyDescent="0.2">
      <c r="B256" s="44">
        <v>51653</v>
      </c>
      <c r="C256" s="15">
        <f t="shared" si="22"/>
        <v>-8241.2602801773755</v>
      </c>
      <c r="D256" s="16">
        <f t="shared" si="20"/>
        <v>-34.338584500739067</v>
      </c>
      <c r="E256" s="21">
        <f t="shared" si="25"/>
        <v>1000</v>
      </c>
      <c r="F256" s="162">
        <v>0</v>
      </c>
      <c r="G256" s="16">
        <f t="shared" si="21"/>
        <v>-9241.2602801773755</v>
      </c>
      <c r="I256" s="21">
        <f t="shared" si="23"/>
        <v>246000</v>
      </c>
      <c r="J256" s="16">
        <f t="shared" si="24"/>
        <v>174712.58813074903</v>
      </c>
    </row>
    <row r="257" spans="2:10" outlineLevel="1" x14ac:dyDescent="0.2">
      <c r="B257" s="44">
        <v>51683</v>
      </c>
      <c r="C257" s="15">
        <f t="shared" si="22"/>
        <v>-9241.2602801773755</v>
      </c>
      <c r="D257" s="16">
        <f t="shared" si="20"/>
        <v>-38.505251167405731</v>
      </c>
      <c r="E257" s="21">
        <f t="shared" si="25"/>
        <v>1000</v>
      </c>
      <c r="F257" s="163">
        <v>0</v>
      </c>
      <c r="G257" s="16">
        <f t="shared" si="21"/>
        <v>-10241.260280177376</v>
      </c>
      <c r="I257" s="21">
        <f t="shared" si="23"/>
        <v>247000</v>
      </c>
      <c r="J257" s="16">
        <f t="shared" si="24"/>
        <v>174674.08287958163</v>
      </c>
    </row>
    <row r="258" spans="2:10" outlineLevel="1" x14ac:dyDescent="0.2">
      <c r="B258" s="44">
        <v>51714</v>
      </c>
      <c r="C258" s="15">
        <f t="shared" si="22"/>
        <v>-10241.260280177376</v>
      </c>
      <c r="D258" s="16">
        <f t="shared" si="20"/>
        <v>-42.671917834072396</v>
      </c>
      <c r="E258" s="21">
        <f t="shared" si="25"/>
        <v>1000</v>
      </c>
      <c r="F258" s="162">
        <v>0</v>
      </c>
      <c r="G258" s="16">
        <f t="shared" si="21"/>
        <v>-11241.260280177376</v>
      </c>
      <c r="I258" s="21">
        <f t="shared" si="23"/>
        <v>248000</v>
      </c>
      <c r="J258" s="16">
        <f t="shared" si="24"/>
        <v>174631.41096174755</v>
      </c>
    </row>
    <row r="259" spans="2:10" outlineLevel="1" x14ac:dyDescent="0.2">
      <c r="B259" s="44">
        <v>51745</v>
      </c>
      <c r="C259" s="15">
        <f t="shared" si="22"/>
        <v>-11241.260280177376</v>
      </c>
      <c r="D259" s="16">
        <f t="shared" si="20"/>
        <v>-46.838584500739067</v>
      </c>
      <c r="E259" s="21">
        <f t="shared" si="25"/>
        <v>1000</v>
      </c>
      <c r="F259" s="163">
        <v>0</v>
      </c>
      <c r="G259" s="16">
        <f t="shared" si="21"/>
        <v>-12241.260280177376</v>
      </c>
      <c r="I259" s="21">
        <f t="shared" si="23"/>
        <v>249000</v>
      </c>
      <c r="J259" s="16">
        <f t="shared" si="24"/>
        <v>174584.5723772468</v>
      </c>
    </row>
    <row r="260" spans="2:10" outlineLevel="1" x14ac:dyDescent="0.2">
      <c r="B260" s="44">
        <v>51775</v>
      </c>
      <c r="C260" s="15">
        <f t="shared" si="22"/>
        <v>-12241.260280177376</v>
      </c>
      <c r="D260" s="16">
        <f t="shared" si="20"/>
        <v>-51.005251167405731</v>
      </c>
      <c r="E260" s="21">
        <f t="shared" si="25"/>
        <v>1000</v>
      </c>
      <c r="F260" s="162">
        <v>0</v>
      </c>
      <c r="G260" s="16">
        <f t="shared" si="21"/>
        <v>-13241.260280177376</v>
      </c>
      <c r="I260" s="21">
        <f t="shared" si="23"/>
        <v>250000</v>
      </c>
      <c r="J260" s="16">
        <f t="shared" si="24"/>
        <v>174533.5671260794</v>
      </c>
    </row>
    <row r="261" spans="2:10" outlineLevel="1" x14ac:dyDescent="0.2">
      <c r="B261" s="44">
        <v>51806</v>
      </c>
      <c r="C261" s="15">
        <f t="shared" si="22"/>
        <v>-13241.260280177376</v>
      </c>
      <c r="D261" s="16">
        <f t="shared" si="20"/>
        <v>-55.171917834072396</v>
      </c>
      <c r="E261" s="21">
        <f t="shared" si="25"/>
        <v>1000</v>
      </c>
      <c r="F261" s="163">
        <v>0</v>
      </c>
      <c r="G261" s="16">
        <f t="shared" si="21"/>
        <v>-14241.260280177376</v>
      </c>
      <c r="I261" s="21">
        <f t="shared" si="23"/>
        <v>251000</v>
      </c>
      <c r="J261" s="16">
        <f t="shared" si="24"/>
        <v>174478.39520824532</v>
      </c>
    </row>
    <row r="262" spans="2:10" outlineLevel="1" x14ac:dyDescent="0.2">
      <c r="B262" s="44">
        <v>51836</v>
      </c>
      <c r="C262" s="15">
        <f t="shared" si="22"/>
        <v>-14241.260280177376</v>
      </c>
      <c r="D262" s="16">
        <f t="shared" si="20"/>
        <v>-59.338584500739067</v>
      </c>
      <c r="E262" s="21">
        <f t="shared" si="25"/>
        <v>1000</v>
      </c>
      <c r="F262" s="162">
        <v>0</v>
      </c>
      <c r="G262" s="16">
        <f t="shared" si="21"/>
        <v>-15241.260280177376</v>
      </c>
      <c r="I262" s="21">
        <f t="shared" si="23"/>
        <v>252000</v>
      </c>
      <c r="J262" s="16">
        <f t="shared" si="24"/>
        <v>174419.05662374457</v>
      </c>
    </row>
    <row r="263" spans="2:10" outlineLevel="1" x14ac:dyDescent="0.2">
      <c r="B263" s="44">
        <v>51867</v>
      </c>
      <c r="C263" s="15">
        <f t="shared" si="22"/>
        <v>-15241.260280177376</v>
      </c>
      <c r="D263" s="16">
        <f t="shared" ref="D263:D326" si="26">C263*E$6</f>
        <v>-63.505251167405731</v>
      </c>
      <c r="E263" s="21">
        <f t="shared" si="25"/>
        <v>1000</v>
      </c>
      <c r="F263" s="163">
        <v>0</v>
      </c>
      <c r="G263" s="16">
        <f t="shared" si="21"/>
        <v>-16241.260280177376</v>
      </c>
      <c r="I263" s="21">
        <f t="shared" si="23"/>
        <v>253000</v>
      </c>
      <c r="J263" s="16">
        <f t="shared" si="24"/>
        <v>174355.55137257717</v>
      </c>
    </row>
    <row r="264" spans="2:10" outlineLevel="1" x14ac:dyDescent="0.2">
      <c r="B264" s="44">
        <v>51898</v>
      </c>
      <c r="C264" s="15">
        <f t="shared" si="22"/>
        <v>-16241.260280177376</v>
      </c>
      <c r="D264" s="16">
        <f t="shared" si="26"/>
        <v>-67.671917834072403</v>
      </c>
      <c r="E264" s="21">
        <f t="shared" si="25"/>
        <v>1000</v>
      </c>
      <c r="F264" s="162">
        <v>0</v>
      </c>
      <c r="G264" s="16">
        <f t="shared" si="21"/>
        <v>-17241.260280177376</v>
      </c>
      <c r="I264" s="21">
        <f t="shared" si="23"/>
        <v>254000</v>
      </c>
      <c r="J264" s="16">
        <f t="shared" si="24"/>
        <v>174287.87945474309</v>
      </c>
    </row>
    <row r="265" spans="2:10" outlineLevel="1" x14ac:dyDescent="0.2">
      <c r="B265" s="44">
        <v>51926</v>
      </c>
      <c r="C265" s="15">
        <f t="shared" si="22"/>
        <v>-17241.260280177376</v>
      </c>
      <c r="D265" s="16">
        <f t="shared" si="26"/>
        <v>-71.83858450073906</v>
      </c>
      <c r="E265" s="21">
        <f t="shared" si="25"/>
        <v>1000</v>
      </c>
      <c r="F265" s="163">
        <v>0</v>
      </c>
      <c r="G265" s="16">
        <f t="shared" si="21"/>
        <v>-18241.260280177376</v>
      </c>
      <c r="I265" s="21">
        <f t="shared" si="23"/>
        <v>255000</v>
      </c>
      <c r="J265" s="16">
        <f t="shared" si="24"/>
        <v>174216.04087024234</v>
      </c>
    </row>
    <row r="266" spans="2:10" outlineLevel="1" x14ac:dyDescent="0.2">
      <c r="B266" s="44">
        <v>51957</v>
      </c>
      <c r="C266" s="15">
        <f t="shared" si="22"/>
        <v>-18241.260280177376</v>
      </c>
      <c r="D266" s="16">
        <f t="shared" si="26"/>
        <v>-76.005251167405731</v>
      </c>
      <c r="E266" s="21">
        <f t="shared" si="25"/>
        <v>1000</v>
      </c>
      <c r="F266" s="162">
        <v>0</v>
      </c>
      <c r="G266" s="16">
        <f t="shared" si="21"/>
        <v>-19241.260280177376</v>
      </c>
      <c r="I266" s="21">
        <f t="shared" si="23"/>
        <v>256000</v>
      </c>
      <c r="J266" s="16">
        <f t="shared" si="24"/>
        <v>174140.03561907494</v>
      </c>
    </row>
    <row r="267" spans="2:10" outlineLevel="1" x14ac:dyDescent="0.2">
      <c r="B267" s="44">
        <v>51987</v>
      </c>
      <c r="C267" s="15">
        <f t="shared" si="22"/>
        <v>-19241.260280177376</v>
      </c>
      <c r="D267" s="16">
        <f t="shared" si="26"/>
        <v>-80.171917834072403</v>
      </c>
      <c r="E267" s="21">
        <f t="shared" si="25"/>
        <v>1000</v>
      </c>
      <c r="F267" s="163">
        <v>0</v>
      </c>
      <c r="G267" s="16">
        <f t="shared" ref="G267:G330" si="27">C267-E267-F267</f>
        <v>-20241.260280177376</v>
      </c>
      <c r="I267" s="21">
        <f t="shared" si="23"/>
        <v>257000</v>
      </c>
      <c r="J267" s="16">
        <f t="shared" si="24"/>
        <v>174059.86370124086</v>
      </c>
    </row>
    <row r="268" spans="2:10" outlineLevel="1" x14ac:dyDescent="0.2">
      <c r="B268" s="44">
        <v>52018</v>
      </c>
      <c r="C268" s="15">
        <f t="shared" ref="C268:C331" si="28">G267</f>
        <v>-20241.260280177376</v>
      </c>
      <c r="D268" s="16">
        <f t="shared" si="26"/>
        <v>-84.33858450073906</v>
      </c>
      <c r="E268" s="21">
        <f t="shared" si="25"/>
        <v>1000</v>
      </c>
      <c r="F268" s="162">
        <v>0</v>
      </c>
      <c r="G268" s="16">
        <f t="shared" si="27"/>
        <v>-21241.260280177376</v>
      </c>
      <c r="I268" s="21">
        <f t="shared" ref="I268:I331" si="29">I267+E268</f>
        <v>258000</v>
      </c>
      <c r="J268" s="16">
        <f t="shared" ref="J268:J331" si="30">J267+D268</f>
        <v>173975.52511674011</v>
      </c>
    </row>
    <row r="269" spans="2:10" outlineLevel="1" x14ac:dyDescent="0.2">
      <c r="B269" s="44">
        <v>52048</v>
      </c>
      <c r="C269" s="15">
        <f t="shared" si="28"/>
        <v>-21241.260280177376</v>
      </c>
      <c r="D269" s="16">
        <f t="shared" si="26"/>
        <v>-88.505251167405731</v>
      </c>
      <c r="E269" s="21">
        <f t="shared" ref="E269:E332" si="31">E268</f>
        <v>1000</v>
      </c>
      <c r="F269" s="163">
        <v>0</v>
      </c>
      <c r="G269" s="16">
        <f t="shared" si="27"/>
        <v>-22241.260280177376</v>
      </c>
      <c r="I269" s="21">
        <f t="shared" si="29"/>
        <v>259000</v>
      </c>
      <c r="J269" s="16">
        <f t="shared" si="30"/>
        <v>173887.01986557271</v>
      </c>
    </row>
    <row r="270" spans="2:10" outlineLevel="1" x14ac:dyDescent="0.2">
      <c r="B270" s="44">
        <v>52079</v>
      </c>
      <c r="C270" s="15">
        <f t="shared" si="28"/>
        <v>-22241.260280177376</v>
      </c>
      <c r="D270" s="16">
        <f t="shared" si="26"/>
        <v>-92.671917834072403</v>
      </c>
      <c r="E270" s="21">
        <f t="shared" si="31"/>
        <v>1000</v>
      </c>
      <c r="F270" s="162">
        <v>0</v>
      </c>
      <c r="G270" s="16">
        <f t="shared" si="27"/>
        <v>-23241.260280177376</v>
      </c>
      <c r="I270" s="21">
        <f t="shared" si="29"/>
        <v>260000</v>
      </c>
      <c r="J270" s="16">
        <f t="shared" si="30"/>
        <v>173794.34794773863</v>
      </c>
    </row>
    <row r="271" spans="2:10" outlineLevel="1" x14ac:dyDescent="0.2">
      <c r="B271" s="44">
        <v>52110</v>
      </c>
      <c r="C271" s="15">
        <f t="shared" si="28"/>
        <v>-23241.260280177376</v>
      </c>
      <c r="D271" s="16">
        <f t="shared" si="26"/>
        <v>-96.83858450073906</v>
      </c>
      <c r="E271" s="21">
        <f t="shared" si="31"/>
        <v>1000</v>
      </c>
      <c r="F271" s="163">
        <v>0</v>
      </c>
      <c r="G271" s="16">
        <f t="shared" si="27"/>
        <v>-24241.260280177376</v>
      </c>
      <c r="I271" s="21">
        <f t="shared" si="29"/>
        <v>261000</v>
      </c>
      <c r="J271" s="16">
        <f t="shared" si="30"/>
        <v>173697.50936323788</v>
      </c>
    </row>
    <row r="272" spans="2:10" outlineLevel="1" x14ac:dyDescent="0.2">
      <c r="B272" s="44">
        <v>52140</v>
      </c>
      <c r="C272" s="15">
        <f t="shared" si="28"/>
        <v>-24241.260280177376</v>
      </c>
      <c r="D272" s="16">
        <f t="shared" si="26"/>
        <v>-101.00525116740573</v>
      </c>
      <c r="E272" s="21">
        <f t="shared" si="31"/>
        <v>1000</v>
      </c>
      <c r="F272" s="162">
        <v>0</v>
      </c>
      <c r="G272" s="16">
        <f t="shared" si="27"/>
        <v>-25241.260280177376</v>
      </c>
      <c r="I272" s="21">
        <f t="shared" si="29"/>
        <v>262000</v>
      </c>
      <c r="J272" s="16">
        <f t="shared" si="30"/>
        <v>173596.50411207048</v>
      </c>
    </row>
    <row r="273" spans="2:10" outlineLevel="1" x14ac:dyDescent="0.2">
      <c r="B273" s="44">
        <v>52171</v>
      </c>
      <c r="C273" s="15">
        <f t="shared" si="28"/>
        <v>-25241.260280177376</v>
      </c>
      <c r="D273" s="16">
        <f t="shared" si="26"/>
        <v>-105.1719178340724</v>
      </c>
      <c r="E273" s="21">
        <f t="shared" si="31"/>
        <v>1000</v>
      </c>
      <c r="F273" s="163">
        <v>0</v>
      </c>
      <c r="G273" s="16">
        <f t="shared" si="27"/>
        <v>-26241.260280177376</v>
      </c>
      <c r="I273" s="21">
        <f t="shared" si="29"/>
        <v>263000</v>
      </c>
      <c r="J273" s="16">
        <f t="shared" si="30"/>
        <v>173491.3321942364</v>
      </c>
    </row>
    <row r="274" spans="2:10" outlineLevel="1" x14ac:dyDescent="0.2">
      <c r="B274" s="44">
        <v>52201</v>
      </c>
      <c r="C274" s="15">
        <f t="shared" si="28"/>
        <v>-26241.260280177376</v>
      </c>
      <c r="D274" s="16">
        <f t="shared" si="26"/>
        <v>-109.33858450073906</v>
      </c>
      <c r="E274" s="21">
        <f t="shared" si="31"/>
        <v>1000</v>
      </c>
      <c r="F274" s="162">
        <v>0</v>
      </c>
      <c r="G274" s="16">
        <f t="shared" si="27"/>
        <v>-27241.260280177376</v>
      </c>
      <c r="I274" s="21">
        <f t="shared" si="29"/>
        <v>264000</v>
      </c>
      <c r="J274" s="16">
        <f t="shared" si="30"/>
        <v>173381.99360973565</v>
      </c>
    </row>
    <row r="275" spans="2:10" outlineLevel="1" x14ac:dyDescent="0.2">
      <c r="B275" s="44">
        <v>52232</v>
      </c>
      <c r="C275" s="15">
        <f t="shared" si="28"/>
        <v>-27241.260280177376</v>
      </c>
      <c r="D275" s="16">
        <f t="shared" si="26"/>
        <v>-113.50525116740573</v>
      </c>
      <c r="E275" s="21">
        <f t="shared" si="31"/>
        <v>1000</v>
      </c>
      <c r="F275" s="163">
        <v>0</v>
      </c>
      <c r="G275" s="16">
        <f t="shared" si="27"/>
        <v>-28241.260280177376</v>
      </c>
      <c r="I275" s="21">
        <f t="shared" si="29"/>
        <v>265000</v>
      </c>
      <c r="J275" s="16">
        <f t="shared" si="30"/>
        <v>173268.48835856825</v>
      </c>
    </row>
    <row r="276" spans="2:10" outlineLevel="1" x14ac:dyDescent="0.2">
      <c r="B276" s="44">
        <v>52263</v>
      </c>
      <c r="C276" s="15">
        <f t="shared" si="28"/>
        <v>-28241.260280177376</v>
      </c>
      <c r="D276" s="16">
        <f t="shared" si="26"/>
        <v>-117.6719178340724</v>
      </c>
      <c r="E276" s="21">
        <f t="shared" si="31"/>
        <v>1000</v>
      </c>
      <c r="F276" s="162">
        <v>0</v>
      </c>
      <c r="G276" s="16">
        <f t="shared" si="27"/>
        <v>-29241.260280177376</v>
      </c>
      <c r="I276" s="21">
        <f t="shared" si="29"/>
        <v>266000</v>
      </c>
      <c r="J276" s="16">
        <f t="shared" si="30"/>
        <v>173150.81644073417</v>
      </c>
    </row>
    <row r="277" spans="2:10" outlineLevel="1" x14ac:dyDescent="0.2">
      <c r="B277" s="44">
        <v>52291</v>
      </c>
      <c r="C277" s="15">
        <f t="shared" si="28"/>
        <v>-29241.260280177376</v>
      </c>
      <c r="D277" s="16">
        <f t="shared" si="26"/>
        <v>-121.83858450073906</v>
      </c>
      <c r="E277" s="21">
        <f t="shared" si="31"/>
        <v>1000</v>
      </c>
      <c r="F277" s="163">
        <v>0</v>
      </c>
      <c r="G277" s="16">
        <f t="shared" si="27"/>
        <v>-30241.260280177376</v>
      </c>
      <c r="I277" s="21">
        <f t="shared" si="29"/>
        <v>267000</v>
      </c>
      <c r="J277" s="16">
        <f t="shared" si="30"/>
        <v>173028.97785623342</v>
      </c>
    </row>
    <row r="278" spans="2:10" outlineLevel="1" x14ac:dyDescent="0.2">
      <c r="B278" s="44">
        <v>52322</v>
      </c>
      <c r="C278" s="15">
        <f t="shared" si="28"/>
        <v>-30241.260280177376</v>
      </c>
      <c r="D278" s="16">
        <f t="shared" si="26"/>
        <v>-126.00525116740573</v>
      </c>
      <c r="E278" s="21">
        <f t="shared" si="31"/>
        <v>1000</v>
      </c>
      <c r="F278" s="162">
        <v>0</v>
      </c>
      <c r="G278" s="16">
        <f t="shared" si="27"/>
        <v>-31241.260280177376</v>
      </c>
      <c r="I278" s="21">
        <f t="shared" si="29"/>
        <v>268000</v>
      </c>
      <c r="J278" s="16">
        <f t="shared" si="30"/>
        <v>172902.97260506602</v>
      </c>
    </row>
    <row r="279" spans="2:10" outlineLevel="1" x14ac:dyDescent="0.2">
      <c r="B279" s="44">
        <v>52352</v>
      </c>
      <c r="C279" s="15">
        <f t="shared" si="28"/>
        <v>-31241.260280177376</v>
      </c>
      <c r="D279" s="16">
        <f t="shared" si="26"/>
        <v>-130.17191783407239</v>
      </c>
      <c r="E279" s="21">
        <f t="shared" si="31"/>
        <v>1000</v>
      </c>
      <c r="F279" s="163">
        <v>0</v>
      </c>
      <c r="G279" s="16">
        <f t="shared" si="27"/>
        <v>-32241.260280177376</v>
      </c>
      <c r="I279" s="21">
        <f t="shared" si="29"/>
        <v>269000</v>
      </c>
      <c r="J279" s="16">
        <f t="shared" si="30"/>
        <v>172772.80068723194</v>
      </c>
    </row>
    <row r="280" spans="2:10" outlineLevel="1" x14ac:dyDescent="0.2">
      <c r="B280" s="44">
        <v>52383</v>
      </c>
      <c r="C280" s="15">
        <f t="shared" si="28"/>
        <v>-32241.260280177376</v>
      </c>
      <c r="D280" s="16">
        <f t="shared" si="26"/>
        <v>-134.33858450073907</v>
      </c>
      <c r="E280" s="21">
        <f t="shared" si="31"/>
        <v>1000</v>
      </c>
      <c r="F280" s="162">
        <v>0</v>
      </c>
      <c r="G280" s="16">
        <f t="shared" si="27"/>
        <v>-33241.260280177376</v>
      </c>
      <c r="I280" s="21">
        <f t="shared" si="29"/>
        <v>270000</v>
      </c>
      <c r="J280" s="16">
        <f t="shared" si="30"/>
        <v>172638.4621027312</v>
      </c>
    </row>
    <row r="281" spans="2:10" outlineLevel="1" x14ac:dyDescent="0.2">
      <c r="B281" s="44">
        <v>52413</v>
      </c>
      <c r="C281" s="15">
        <f t="shared" si="28"/>
        <v>-33241.260280177376</v>
      </c>
      <c r="D281" s="16">
        <f t="shared" si="26"/>
        <v>-138.50525116740573</v>
      </c>
      <c r="E281" s="21">
        <f t="shared" si="31"/>
        <v>1000</v>
      </c>
      <c r="F281" s="163">
        <v>0</v>
      </c>
      <c r="G281" s="16">
        <f t="shared" si="27"/>
        <v>-34241.260280177376</v>
      </c>
      <c r="I281" s="21">
        <f t="shared" si="29"/>
        <v>271000</v>
      </c>
      <c r="J281" s="16">
        <f t="shared" si="30"/>
        <v>172499.95685156379</v>
      </c>
    </row>
    <row r="282" spans="2:10" outlineLevel="1" x14ac:dyDescent="0.2">
      <c r="B282" s="44">
        <v>52444</v>
      </c>
      <c r="C282" s="15">
        <f t="shared" si="28"/>
        <v>-34241.260280177376</v>
      </c>
      <c r="D282" s="16">
        <f t="shared" si="26"/>
        <v>-142.67191783407239</v>
      </c>
      <c r="E282" s="21">
        <f t="shared" si="31"/>
        <v>1000</v>
      </c>
      <c r="F282" s="162">
        <v>0</v>
      </c>
      <c r="G282" s="16">
        <f t="shared" si="27"/>
        <v>-35241.260280177376</v>
      </c>
      <c r="I282" s="21">
        <f t="shared" si="29"/>
        <v>272000</v>
      </c>
      <c r="J282" s="16">
        <f t="shared" si="30"/>
        <v>172357.28493372971</v>
      </c>
    </row>
    <row r="283" spans="2:10" outlineLevel="1" x14ac:dyDescent="0.2">
      <c r="B283" s="44">
        <v>52475</v>
      </c>
      <c r="C283" s="15">
        <f t="shared" si="28"/>
        <v>-35241.260280177376</v>
      </c>
      <c r="D283" s="16">
        <f t="shared" si="26"/>
        <v>-146.83858450073907</v>
      </c>
      <c r="E283" s="21">
        <f t="shared" si="31"/>
        <v>1000</v>
      </c>
      <c r="F283" s="163">
        <v>0</v>
      </c>
      <c r="G283" s="16">
        <f t="shared" si="27"/>
        <v>-36241.260280177376</v>
      </c>
      <c r="I283" s="21">
        <f t="shared" si="29"/>
        <v>273000</v>
      </c>
      <c r="J283" s="16">
        <f t="shared" si="30"/>
        <v>172210.44634922897</v>
      </c>
    </row>
    <row r="284" spans="2:10" outlineLevel="1" x14ac:dyDescent="0.2">
      <c r="B284" s="44">
        <v>52505</v>
      </c>
      <c r="C284" s="15">
        <f t="shared" si="28"/>
        <v>-36241.260280177376</v>
      </c>
      <c r="D284" s="16">
        <f t="shared" si="26"/>
        <v>-151.00525116740573</v>
      </c>
      <c r="E284" s="21">
        <f t="shared" si="31"/>
        <v>1000</v>
      </c>
      <c r="F284" s="162">
        <v>0</v>
      </c>
      <c r="G284" s="16">
        <f t="shared" si="27"/>
        <v>-37241.260280177376</v>
      </c>
      <c r="I284" s="21">
        <f t="shared" si="29"/>
        <v>274000</v>
      </c>
      <c r="J284" s="16">
        <f t="shared" si="30"/>
        <v>172059.44109806156</v>
      </c>
    </row>
    <row r="285" spans="2:10" outlineLevel="1" x14ac:dyDescent="0.2">
      <c r="B285" s="44">
        <v>52536</v>
      </c>
      <c r="C285" s="15">
        <f t="shared" si="28"/>
        <v>-37241.260280177376</v>
      </c>
      <c r="D285" s="16">
        <f t="shared" si="26"/>
        <v>-155.17191783407239</v>
      </c>
      <c r="E285" s="21">
        <f t="shared" si="31"/>
        <v>1000</v>
      </c>
      <c r="F285" s="163">
        <v>0</v>
      </c>
      <c r="G285" s="16">
        <f t="shared" si="27"/>
        <v>-38241.260280177376</v>
      </c>
      <c r="I285" s="21">
        <f t="shared" si="29"/>
        <v>275000</v>
      </c>
      <c r="J285" s="16">
        <f t="shared" si="30"/>
        <v>171904.26918022748</v>
      </c>
    </row>
    <row r="286" spans="2:10" outlineLevel="1" x14ac:dyDescent="0.2">
      <c r="B286" s="44">
        <v>52566</v>
      </c>
      <c r="C286" s="15">
        <f t="shared" si="28"/>
        <v>-38241.260280177376</v>
      </c>
      <c r="D286" s="16">
        <f t="shared" si="26"/>
        <v>-159.33858450073907</v>
      </c>
      <c r="E286" s="21">
        <f t="shared" si="31"/>
        <v>1000</v>
      </c>
      <c r="F286" s="162">
        <v>0</v>
      </c>
      <c r="G286" s="16">
        <f t="shared" si="27"/>
        <v>-39241.260280177376</v>
      </c>
      <c r="I286" s="21">
        <f t="shared" si="29"/>
        <v>276000</v>
      </c>
      <c r="J286" s="16">
        <f t="shared" si="30"/>
        <v>171744.93059572674</v>
      </c>
    </row>
    <row r="287" spans="2:10" outlineLevel="1" x14ac:dyDescent="0.2">
      <c r="B287" s="44">
        <v>52597</v>
      </c>
      <c r="C287" s="15">
        <f t="shared" si="28"/>
        <v>-39241.260280177376</v>
      </c>
      <c r="D287" s="16">
        <f t="shared" si="26"/>
        <v>-163.50525116740573</v>
      </c>
      <c r="E287" s="21">
        <f t="shared" si="31"/>
        <v>1000</v>
      </c>
      <c r="F287" s="163">
        <v>0</v>
      </c>
      <c r="G287" s="16">
        <f t="shared" si="27"/>
        <v>-40241.260280177376</v>
      </c>
      <c r="I287" s="21">
        <f t="shared" si="29"/>
        <v>277000</v>
      </c>
      <c r="J287" s="16">
        <f t="shared" si="30"/>
        <v>171581.42534455933</v>
      </c>
    </row>
    <row r="288" spans="2:10" outlineLevel="1" x14ac:dyDescent="0.2">
      <c r="B288" s="44">
        <v>52628</v>
      </c>
      <c r="C288" s="15">
        <f t="shared" si="28"/>
        <v>-40241.260280177376</v>
      </c>
      <c r="D288" s="16">
        <f t="shared" si="26"/>
        <v>-167.67191783407239</v>
      </c>
      <c r="E288" s="21">
        <f t="shared" si="31"/>
        <v>1000</v>
      </c>
      <c r="F288" s="162">
        <v>0</v>
      </c>
      <c r="G288" s="16">
        <f t="shared" si="27"/>
        <v>-41241.260280177376</v>
      </c>
      <c r="I288" s="21">
        <f t="shared" si="29"/>
        <v>278000</v>
      </c>
      <c r="J288" s="16">
        <f t="shared" si="30"/>
        <v>171413.75342672525</v>
      </c>
    </row>
    <row r="289" spans="2:10" outlineLevel="1" x14ac:dyDescent="0.2">
      <c r="B289" s="44">
        <v>52657</v>
      </c>
      <c r="C289" s="15">
        <f t="shared" si="28"/>
        <v>-41241.260280177376</v>
      </c>
      <c r="D289" s="16">
        <f t="shared" si="26"/>
        <v>-171.83858450073907</v>
      </c>
      <c r="E289" s="21">
        <f t="shared" si="31"/>
        <v>1000</v>
      </c>
      <c r="F289" s="163">
        <v>0</v>
      </c>
      <c r="G289" s="16">
        <f t="shared" si="27"/>
        <v>-42241.260280177376</v>
      </c>
      <c r="I289" s="21">
        <f t="shared" si="29"/>
        <v>279000</v>
      </c>
      <c r="J289" s="16">
        <f t="shared" si="30"/>
        <v>171241.91484222451</v>
      </c>
    </row>
    <row r="290" spans="2:10" outlineLevel="1" x14ac:dyDescent="0.2">
      <c r="B290" s="44">
        <v>52688</v>
      </c>
      <c r="C290" s="15">
        <f t="shared" si="28"/>
        <v>-42241.260280177376</v>
      </c>
      <c r="D290" s="16">
        <f t="shared" si="26"/>
        <v>-176.00525116740573</v>
      </c>
      <c r="E290" s="21">
        <f t="shared" si="31"/>
        <v>1000</v>
      </c>
      <c r="F290" s="162">
        <v>0</v>
      </c>
      <c r="G290" s="16">
        <f t="shared" si="27"/>
        <v>-43241.260280177376</v>
      </c>
      <c r="I290" s="21">
        <f t="shared" si="29"/>
        <v>280000</v>
      </c>
      <c r="J290" s="16">
        <f t="shared" si="30"/>
        <v>171065.9095910571</v>
      </c>
    </row>
    <row r="291" spans="2:10" outlineLevel="1" x14ac:dyDescent="0.2">
      <c r="B291" s="44">
        <v>52718</v>
      </c>
      <c r="C291" s="15">
        <f t="shared" si="28"/>
        <v>-43241.260280177376</v>
      </c>
      <c r="D291" s="16">
        <f t="shared" si="26"/>
        <v>-180.17191783407239</v>
      </c>
      <c r="E291" s="21">
        <f t="shared" si="31"/>
        <v>1000</v>
      </c>
      <c r="F291" s="163">
        <v>0</v>
      </c>
      <c r="G291" s="16">
        <f t="shared" si="27"/>
        <v>-44241.260280177376</v>
      </c>
      <c r="I291" s="21">
        <f t="shared" si="29"/>
        <v>281000</v>
      </c>
      <c r="J291" s="16">
        <f t="shared" si="30"/>
        <v>170885.73767322302</v>
      </c>
    </row>
    <row r="292" spans="2:10" outlineLevel="1" x14ac:dyDescent="0.2">
      <c r="B292" s="44">
        <v>52749</v>
      </c>
      <c r="C292" s="15">
        <f t="shared" si="28"/>
        <v>-44241.260280177376</v>
      </c>
      <c r="D292" s="16">
        <f t="shared" si="26"/>
        <v>-184.33858450073907</v>
      </c>
      <c r="E292" s="21">
        <f t="shared" si="31"/>
        <v>1000</v>
      </c>
      <c r="F292" s="162">
        <v>0</v>
      </c>
      <c r="G292" s="16">
        <f t="shared" si="27"/>
        <v>-45241.260280177376</v>
      </c>
      <c r="I292" s="21">
        <f t="shared" si="29"/>
        <v>282000</v>
      </c>
      <c r="J292" s="16">
        <f t="shared" si="30"/>
        <v>170701.39908872228</v>
      </c>
    </row>
    <row r="293" spans="2:10" outlineLevel="1" x14ac:dyDescent="0.2">
      <c r="B293" s="44">
        <v>52779</v>
      </c>
      <c r="C293" s="15">
        <f t="shared" si="28"/>
        <v>-45241.260280177376</v>
      </c>
      <c r="D293" s="16">
        <f t="shared" si="26"/>
        <v>-188.50525116740573</v>
      </c>
      <c r="E293" s="21">
        <f t="shared" si="31"/>
        <v>1000</v>
      </c>
      <c r="F293" s="163">
        <v>0</v>
      </c>
      <c r="G293" s="16">
        <f t="shared" si="27"/>
        <v>-46241.260280177376</v>
      </c>
      <c r="I293" s="21">
        <f t="shared" si="29"/>
        <v>283000</v>
      </c>
      <c r="J293" s="16">
        <f t="shared" si="30"/>
        <v>170512.89383755488</v>
      </c>
    </row>
    <row r="294" spans="2:10" outlineLevel="1" x14ac:dyDescent="0.2">
      <c r="B294" s="44">
        <v>52810</v>
      </c>
      <c r="C294" s="15">
        <f t="shared" si="28"/>
        <v>-46241.260280177376</v>
      </c>
      <c r="D294" s="16">
        <f t="shared" si="26"/>
        <v>-192.67191783407239</v>
      </c>
      <c r="E294" s="21">
        <f t="shared" si="31"/>
        <v>1000</v>
      </c>
      <c r="F294" s="162">
        <v>0</v>
      </c>
      <c r="G294" s="16">
        <f t="shared" si="27"/>
        <v>-47241.260280177376</v>
      </c>
      <c r="I294" s="21">
        <f t="shared" si="29"/>
        <v>284000</v>
      </c>
      <c r="J294" s="16">
        <f t="shared" si="30"/>
        <v>170320.22191972079</v>
      </c>
    </row>
    <row r="295" spans="2:10" outlineLevel="1" x14ac:dyDescent="0.2">
      <c r="B295" s="44">
        <v>52841</v>
      </c>
      <c r="C295" s="15">
        <f t="shared" si="28"/>
        <v>-47241.260280177376</v>
      </c>
      <c r="D295" s="16">
        <f t="shared" si="26"/>
        <v>-196.83858450073907</v>
      </c>
      <c r="E295" s="21">
        <f t="shared" si="31"/>
        <v>1000</v>
      </c>
      <c r="F295" s="163">
        <v>0</v>
      </c>
      <c r="G295" s="16">
        <f t="shared" si="27"/>
        <v>-48241.260280177376</v>
      </c>
      <c r="I295" s="21">
        <f t="shared" si="29"/>
        <v>285000</v>
      </c>
      <c r="J295" s="16">
        <f t="shared" si="30"/>
        <v>170123.38333522005</v>
      </c>
    </row>
    <row r="296" spans="2:10" outlineLevel="1" x14ac:dyDescent="0.2">
      <c r="B296" s="44">
        <v>52871</v>
      </c>
      <c r="C296" s="15">
        <f t="shared" si="28"/>
        <v>-48241.260280177376</v>
      </c>
      <c r="D296" s="16">
        <f t="shared" si="26"/>
        <v>-201.00525116740573</v>
      </c>
      <c r="E296" s="21">
        <f t="shared" si="31"/>
        <v>1000</v>
      </c>
      <c r="F296" s="162">
        <v>0</v>
      </c>
      <c r="G296" s="16">
        <f t="shared" si="27"/>
        <v>-49241.260280177376</v>
      </c>
      <c r="I296" s="21">
        <f t="shared" si="29"/>
        <v>286000</v>
      </c>
      <c r="J296" s="16">
        <f t="shared" si="30"/>
        <v>169922.37808405265</v>
      </c>
    </row>
    <row r="297" spans="2:10" outlineLevel="1" x14ac:dyDescent="0.2">
      <c r="B297" s="44">
        <v>52902</v>
      </c>
      <c r="C297" s="15">
        <f t="shared" si="28"/>
        <v>-49241.260280177376</v>
      </c>
      <c r="D297" s="16">
        <f t="shared" si="26"/>
        <v>-205.17191783407239</v>
      </c>
      <c r="E297" s="21">
        <f t="shared" si="31"/>
        <v>1000</v>
      </c>
      <c r="F297" s="163">
        <v>0</v>
      </c>
      <c r="G297" s="16">
        <f t="shared" si="27"/>
        <v>-50241.260280177376</v>
      </c>
      <c r="I297" s="21">
        <f t="shared" si="29"/>
        <v>287000</v>
      </c>
      <c r="J297" s="16">
        <f t="shared" si="30"/>
        <v>169717.20616621856</v>
      </c>
    </row>
    <row r="298" spans="2:10" outlineLevel="1" x14ac:dyDescent="0.2">
      <c r="B298" s="44">
        <v>52932</v>
      </c>
      <c r="C298" s="15">
        <f t="shared" si="28"/>
        <v>-50241.260280177376</v>
      </c>
      <c r="D298" s="16">
        <f t="shared" si="26"/>
        <v>-209.33858450073907</v>
      </c>
      <c r="E298" s="21">
        <f t="shared" si="31"/>
        <v>1000</v>
      </c>
      <c r="F298" s="162">
        <v>0</v>
      </c>
      <c r="G298" s="16">
        <f t="shared" si="27"/>
        <v>-51241.260280177376</v>
      </c>
      <c r="I298" s="21">
        <f t="shared" si="29"/>
        <v>288000</v>
      </c>
      <c r="J298" s="16">
        <f t="shared" si="30"/>
        <v>169507.86758171782</v>
      </c>
    </row>
    <row r="299" spans="2:10" outlineLevel="1" x14ac:dyDescent="0.2">
      <c r="B299" s="44">
        <v>52963</v>
      </c>
      <c r="C299" s="15">
        <f t="shared" si="28"/>
        <v>-51241.260280177376</v>
      </c>
      <c r="D299" s="16">
        <f t="shared" si="26"/>
        <v>-213.50525116740573</v>
      </c>
      <c r="E299" s="21">
        <f t="shared" si="31"/>
        <v>1000</v>
      </c>
      <c r="F299" s="163">
        <v>0</v>
      </c>
      <c r="G299" s="16">
        <f t="shared" si="27"/>
        <v>-52241.260280177376</v>
      </c>
      <c r="I299" s="21">
        <f t="shared" si="29"/>
        <v>289000</v>
      </c>
      <c r="J299" s="16">
        <f t="shared" si="30"/>
        <v>169294.36233055042</v>
      </c>
    </row>
    <row r="300" spans="2:10" outlineLevel="1" x14ac:dyDescent="0.2">
      <c r="B300" s="44">
        <v>52994</v>
      </c>
      <c r="C300" s="15">
        <f t="shared" si="28"/>
        <v>-52241.260280177376</v>
      </c>
      <c r="D300" s="16">
        <f t="shared" si="26"/>
        <v>-217.67191783407239</v>
      </c>
      <c r="E300" s="21">
        <f t="shared" si="31"/>
        <v>1000</v>
      </c>
      <c r="F300" s="162">
        <v>0</v>
      </c>
      <c r="G300" s="16">
        <f t="shared" si="27"/>
        <v>-53241.260280177376</v>
      </c>
      <c r="I300" s="21">
        <f t="shared" si="29"/>
        <v>290000</v>
      </c>
      <c r="J300" s="16">
        <f t="shared" si="30"/>
        <v>169076.69041271633</v>
      </c>
    </row>
    <row r="301" spans="2:10" outlineLevel="1" x14ac:dyDescent="0.2">
      <c r="B301" s="44">
        <v>53022</v>
      </c>
      <c r="C301" s="15">
        <f t="shared" si="28"/>
        <v>-53241.260280177376</v>
      </c>
      <c r="D301" s="16">
        <f t="shared" si="26"/>
        <v>-221.83858450073907</v>
      </c>
      <c r="E301" s="21">
        <f t="shared" si="31"/>
        <v>1000</v>
      </c>
      <c r="F301" s="163">
        <v>0</v>
      </c>
      <c r="G301" s="16">
        <f t="shared" si="27"/>
        <v>-54241.260280177376</v>
      </c>
      <c r="I301" s="21">
        <f t="shared" si="29"/>
        <v>291000</v>
      </c>
      <c r="J301" s="16">
        <f t="shared" si="30"/>
        <v>168854.85182821559</v>
      </c>
    </row>
    <row r="302" spans="2:10" outlineLevel="1" x14ac:dyDescent="0.2">
      <c r="B302" s="44">
        <v>53053</v>
      </c>
      <c r="C302" s="15">
        <f t="shared" si="28"/>
        <v>-54241.260280177376</v>
      </c>
      <c r="D302" s="16">
        <f t="shared" si="26"/>
        <v>-226.00525116740573</v>
      </c>
      <c r="E302" s="21">
        <f t="shared" si="31"/>
        <v>1000</v>
      </c>
      <c r="F302" s="162">
        <v>0</v>
      </c>
      <c r="G302" s="16">
        <f t="shared" si="27"/>
        <v>-55241.260280177376</v>
      </c>
      <c r="I302" s="21">
        <f t="shared" si="29"/>
        <v>292000</v>
      </c>
      <c r="J302" s="16">
        <f t="shared" si="30"/>
        <v>168628.84657704819</v>
      </c>
    </row>
    <row r="303" spans="2:10" outlineLevel="1" x14ac:dyDescent="0.2">
      <c r="B303" s="44">
        <v>53083</v>
      </c>
      <c r="C303" s="15">
        <f t="shared" si="28"/>
        <v>-55241.260280177376</v>
      </c>
      <c r="D303" s="16">
        <f t="shared" si="26"/>
        <v>-230.17191783407239</v>
      </c>
      <c r="E303" s="21">
        <f t="shared" si="31"/>
        <v>1000</v>
      </c>
      <c r="F303" s="163">
        <v>0</v>
      </c>
      <c r="G303" s="16">
        <f t="shared" si="27"/>
        <v>-56241.260280177376</v>
      </c>
      <c r="I303" s="21">
        <f t="shared" si="29"/>
        <v>293000</v>
      </c>
      <c r="J303" s="16">
        <f t="shared" si="30"/>
        <v>168398.6746592141</v>
      </c>
    </row>
    <row r="304" spans="2:10" outlineLevel="1" x14ac:dyDescent="0.2">
      <c r="B304" s="44">
        <v>53114</v>
      </c>
      <c r="C304" s="15">
        <f t="shared" si="28"/>
        <v>-56241.260280177376</v>
      </c>
      <c r="D304" s="16">
        <f t="shared" si="26"/>
        <v>-234.33858450073907</v>
      </c>
      <c r="E304" s="21">
        <f t="shared" si="31"/>
        <v>1000</v>
      </c>
      <c r="F304" s="162">
        <v>0</v>
      </c>
      <c r="G304" s="16">
        <f t="shared" si="27"/>
        <v>-57241.260280177376</v>
      </c>
      <c r="I304" s="21">
        <f t="shared" si="29"/>
        <v>294000</v>
      </c>
      <c r="J304" s="16">
        <f t="shared" si="30"/>
        <v>168164.33607471336</v>
      </c>
    </row>
    <row r="305" spans="2:10" outlineLevel="1" x14ac:dyDescent="0.2">
      <c r="B305" s="44">
        <v>53144</v>
      </c>
      <c r="C305" s="15">
        <f t="shared" si="28"/>
        <v>-57241.260280177376</v>
      </c>
      <c r="D305" s="16">
        <f t="shared" si="26"/>
        <v>-238.50525116740573</v>
      </c>
      <c r="E305" s="21">
        <f t="shared" si="31"/>
        <v>1000</v>
      </c>
      <c r="F305" s="163">
        <v>0</v>
      </c>
      <c r="G305" s="16">
        <f t="shared" si="27"/>
        <v>-58241.260280177376</v>
      </c>
      <c r="I305" s="21">
        <f t="shared" si="29"/>
        <v>295000</v>
      </c>
      <c r="J305" s="16">
        <f t="shared" si="30"/>
        <v>167925.83082354596</v>
      </c>
    </row>
    <row r="306" spans="2:10" outlineLevel="1" x14ac:dyDescent="0.2">
      <c r="B306" s="44">
        <v>53175</v>
      </c>
      <c r="C306" s="15">
        <f t="shared" si="28"/>
        <v>-58241.260280177376</v>
      </c>
      <c r="D306" s="16">
        <f t="shared" si="26"/>
        <v>-242.67191783407239</v>
      </c>
      <c r="E306" s="21">
        <f t="shared" si="31"/>
        <v>1000</v>
      </c>
      <c r="F306" s="162">
        <v>0</v>
      </c>
      <c r="G306" s="16">
        <f t="shared" si="27"/>
        <v>-59241.260280177376</v>
      </c>
      <c r="I306" s="21">
        <f t="shared" si="29"/>
        <v>296000</v>
      </c>
      <c r="J306" s="16">
        <f t="shared" si="30"/>
        <v>167683.15890571187</v>
      </c>
    </row>
    <row r="307" spans="2:10" outlineLevel="1" x14ac:dyDescent="0.2">
      <c r="B307" s="44">
        <v>53206</v>
      </c>
      <c r="C307" s="15">
        <f t="shared" si="28"/>
        <v>-59241.260280177376</v>
      </c>
      <c r="D307" s="16">
        <f t="shared" si="26"/>
        <v>-246.83858450073907</v>
      </c>
      <c r="E307" s="21">
        <f t="shared" si="31"/>
        <v>1000</v>
      </c>
      <c r="F307" s="163">
        <v>0</v>
      </c>
      <c r="G307" s="16">
        <f t="shared" si="27"/>
        <v>-60241.260280177376</v>
      </c>
      <c r="I307" s="21">
        <f t="shared" si="29"/>
        <v>297000</v>
      </c>
      <c r="J307" s="16">
        <f t="shared" si="30"/>
        <v>167436.32032121113</v>
      </c>
    </row>
    <row r="308" spans="2:10" outlineLevel="1" x14ac:dyDescent="0.2">
      <c r="B308" s="44">
        <v>53236</v>
      </c>
      <c r="C308" s="15">
        <f t="shared" si="28"/>
        <v>-60241.260280177376</v>
      </c>
      <c r="D308" s="16">
        <f t="shared" si="26"/>
        <v>-251.00525116740573</v>
      </c>
      <c r="E308" s="21">
        <f t="shared" si="31"/>
        <v>1000</v>
      </c>
      <c r="F308" s="162">
        <v>0</v>
      </c>
      <c r="G308" s="16">
        <f t="shared" si="27"/>
        <v>-61241.260280177376</v>
      </c>
      <c r="I308" s="21">
        <f t="shared" si="29"/>
        <v>298000</v>
      </c>
      <c r="J308" s="16">
        <f t="shared" si="30"/>
        <v>167185.31507004373</v>
      </c>
    </row>
    <row r="309" spans="2:10" outlineLevel="1" x14ac:dyDescent="0.2">
      <c r="B309" s="44">
        <v>53267</v>
      </c>
      <c r="C309" s="15">
        <f t="shared" si="28"/>
        <v>-61241.260280177376</v>
      </c>
      <c r="D309" s="16">
        <f t="shared" si="26"/>
        <v>-255.17191783407239</v>
      </c>
      <c r="E309" s="21">
        <f t="shared" si="31"/>
        <v>1000</v>
      </c>
      <c r="F309" s="163">
        <v>0</v>
      </c>
      <c r="G309" s="16">
        <f t="shared" si="27"/>
        <v>-62241.260280177376</v>
      </c>
      <c r="I309" s="21">
        <f t="shared" si="29"/>
        <v>299000</v>
      </c>
      <c r="J309" s="16">
        <f t="shared" si="30"/>
        <v>166930.14315220964</v>
      </c>
    </row>
    <row r="310" spans="2:10" outlineLevel="1" x14ac:dyDescent="0.2">
      <c r="B310" s="44">
        <v>53297</v>
      </c>
      <c r="C310" s="15">
        <f t="shared" si="28"/>
        <v>-62241.260280177376</v>
      </c>
      <c r="D310" s="16">
        <f t="shared" si="26"/>
        <v>-259.33858450073905</v>
      </c>
      <c r="E310" s="21">
        <f t="shared" si="31"/>
        <v>1000</v>
      </c>
      <c r="F310" s="162">
        <v>0</v>
      </c>
      <c r="G310" s="16">
        <f t="shared" si="27"/>
        <v>-63241.260280177376</v>
      </c>
      <c r="I310" s="21">
        <f t="shared" si="29"/>
        <v>300000</v>
      </c>
      <c r="J310" s="16">
        <f t="shared" si="30"/>
        <v>166670.8045677089</v>
      </c>
    </row>
    <row r="311" spans="2:10" outlineLevel="1" x14ac:dyDescent="0.2">
      <c r="B311" s="44">
        <v>53328</v>
      </c>
      <c r="C311" s="15">
        <f t="shared" si="28"/>
        <v>-63241.260280177376</v>
      </c>
      <c r="D311" s="16">
        <f t="shared" si="26"/>
        <v>-263.50525116740573</v>
      </c>
      <c r="E311" s="21">
        <f t="shared" si="31"/>
        <v>1000</v>
      </c>
      <c r="F311" s="163">
        <v>0</v>
      </c>
      <c r="G311" s="16">
        <f t="shared" si="27"/>
        <v>-64241.260280177376</v>
      </c>
      <c r="I311" s="21">
        <f t="shared" si="29"/>
        <v>301000</v>
      </c>
      <c r="J311" s="16">
        <f t="shared" si="30"/>
        <v>166407.2993165415</v>
      </c>
    </row>
    <row r="312" spans="2:10" outlineLevel="1" x14ac:dyDescent="0.2">
      <c r="B312" s="44">
        <v>53359</v>
      </c>
      <c r="C312" s="15">
        <f t="shared" si="28"/>
        <v>-64241.260280177376</v>
      </c>
      <c r="D312" s="16">
        <f t="shared" si="26"/>
        <v>-267.67191783407242</v>
      </c>
      <c r="E312" s="21">
        <f t="shared" si="31"/>
        <v>1000</v>
      </c>
      <c r="F312" s="162">
        <v>0</v>
      </c>
      <c r="G312" s="16">
        <f t="shared" si="27"/>
        <v>-65241.260280177376</v>
      </c>
      <c r="I312" s="21">
        <f t="shared" si="29"/>
        <v>302000</v>
      </c>
      <c r="J312" s="16">
        <f t="shared" si="30"/>
        <v>166139.62739870741</v>
      </c>
    </row>
    <row r="313" spans="2:10" outlineLevel="1" x14ac:dyDescent="0.2">
      <c r="B313" s="44">
        <v>53387</v>
      </c>
      <c r="C313" s="15">
        <f t="shared" si="28"/>
        <v>-65241.260280177376</v>
      </c>
      <c r="D313" s="16">
        <f t="shared" si="26"/>
        <v>-271.83858450073905</v>
      </c>
      <c r="E313" s="21">
        <f t="shared" si="31"/>
        <v>1000</v>
      </c>
      <c r="F313" s="163">
        <v>0</v>
      </c>
      <c r="G313" s="16">
        <f t="shared" si="27"/>
        <v>-66241.260280177376</v>
      </c>
      <c r="I313" s="21">
        <f t="shared" si="29"/>
        <v>303000</v>
      </c>
      <c r="J313" s="16">
        <f t="shared" si="30"/>
        <v>165867.78881420667</v>
      </c>
    </row>
    <row r="314" spans="2:10" outlineLevel="1" x14ac:dyDescent="0.2">
      <c r="B314" s="44">
        <v>53418</v>
      </c>
      <c r="C314" s="15">
        <f t="shared" si="28"/>
        <v>-66241.260280177376</v>
      </c>
      <c r="D314" s="16">
        <f t="shared" si="26"/>
        <v>-276.00525116740573</v>
      </c>
      <c r="E314" s="21">
        <f t="shared" si="31"/>
        <v>1000</v>
      </c>
      <c r="F314" s="162">
        <v>0</v>
      </c>
      <c r="G314" s="16">
        <f t="shared" si="27"/>
        <v>-67241.260280177376</v>
      </c>
      <c r="I314" s="21">
        <f t="shared" si="29"/>
        <v>304000</v>
      </c>
      <c r="J314" s="16">
        <f t="shared" si="30"/>
        <v>165591.78356303927</v>
      </c>
    </row>
    <row r="315" spans="2:10" outlineLevel="1" x14ac:dyDescent="0.2">
      <c r="B315" s="44">
        <v>53448</v>
      </c>
      <c r="C315" s="15">
        <f t="shared" si="28"/>
        <v>-67241.260280177376</v>
      </c>
      <c r="D315" s="16">
        <f t="shared" si="26"/>
        <v>-280.17191783407242</v>
      </c>
      <c r="E315" s="21">
        <f t="shared" si="31"/>
        <v>1000</v>
      </c>
      <c r="F315" s="163">
        <v>0</v>
      </c>
      <c r="G315" s="16">
        <f t="shared" si="27"/>
        <v>-68241.260280177376</v>
      </c>
      <c r="I315" s="21">
        <f t="shared" si="29"/>
        <v>305000</v>
      </c>
      <c r="J315" s="16">
        <f t="shared" si="30"/>
        <v>165311.61164520518</v>
      </c>
    </row>
    <row r="316" spans="2:10" outlineLevel="1" x14ac:dyDescent="0.2">
      <c r="B316" s="44">
        <v>53479</v>
      </c>
      <c r="C316" s="15">
        <f t="shared" si="28"/>
        <v>-68241.260280177376</v>
      </c>
      <c r="D316" s="16">
        <f t="shared" si="26"/>
        <v>-284.33858450073905</v>
      </c>
      <c r="E316" s="21">
        <f t="shared" si="31"/>
        <v>1000</v>
      </c>
      <c r="F316" s="162">
        <v>0</v>
      </c>
      <c r="G316" s="16">
        <f t="shared" si="27"/>
        <v>-69241.260280177376</v>
      </c>
      <c r="I316" s="21">
        <f t="shared" si="29"/>
        <v>306000</v>
      </c>
      <c r="J316" s="16">
        <f t="shared" si="30"/>
        <v>165027.27306070444</v>
      </c>
    </row>
    <row r="317" spans="2:10" outlineLevel="1" x14ac:dyDescent="0.2">
      <c r="B317" s="44">
        <v>53509</v>
      </c>
      <c r="C317" s="15">
        <f t="shared" si="28"/>
        <v>-69241.260280177376</v>
      </c>
      <c r="D317" s="16">
        <f t="shared" si="26"/>
        <v>-288.50525116740573</v>
      </c>
      <c r="E317" s="21">
        <f t="shared" si="31"/>
        <v>1000</v>
      </c>
      <c r="F317" s="163">
        <v>0</v>
      </c>
      <c r="G317" s="16">
        <f t="shared" si="27"/>
        <v>-70241.260280177376</v>
      </c>
      <c r="I317" s="21">
        <f t="shared" si="29"/>
        <v>307000</v>
      </c>
      <c r="J317" s="16">
        <f t="shared" si="30"/>
        <v>164738.76780953704</v>
      </c>
    </row>
    <row r="318" spans="2:10" outlineLevel="1" x14ac:dyDescent="0.2">
      <c r="B318" s="44">
        <v>53540</v>
      </c>
      <c r="C318" s="15">
        <f t="shared" si="28"/>
        <v>-70241.260280177376</v>
      </c>
      <c r="D318" s="16">
        <f t="shared" si="26"/>
        <v>-292.67191783407242</v>
      </c>
      <c r="E318" s="21">
        <f t="shared" si="31"/>
        <v>1000</v>
      </c>
      <c r="F318" s="162">
        <v>0</v>
      </c>
      <c r="G318" s="16">
        <f t="shared" si="27"/>
        <v>-71241.260280177376</v>
      </c>
      <c r="I318" s="21">
        <f t="shared" si="29"/>
        <v>308000</v>
      </c>
      <c r="J318" s="16">
        <f t="shared" si="30"/>
        <v>164446.09589170295</v>
      </c>
    </row>
    <row r="319" spans="2:10" outlineLevel="1" x14ac:dyDescent="0.2">
      <c r="B319" s="44">
        <v>53571</v>
      </c>
      <c r="C319" s="15">
        <f t="shared" si="28"/>
        <v>-71241.260280177376</v>
      </c>
      <c r="D319" s="16">
        <f t="shared" si="26"/>
        <v>-296.83858450073905</v>
      </c>
      <c r="E319" s="21">
        <f t="shared" si="31"/>
        <v>1000</v>
      </c>
      <c r="F319" s="163">
        <v>0</v>
      </c>
      <c r="G319" s="16">
        <f t="shared" si="27"/>
        <v>-72241.260280177376</v>
      </c>
      <c r="I319" s="21">
        <f t="shared" si="29"/>
        <v>309000</v>
      </c>
      <c r="J319" s="16">
        <f t="shared" si="30"/>
        <v>164149.25730720221</v>
      </c>
    </row>
    <row r="320" spans="2:10" outlineLevel="1" x14ac:dyDescent="0.2">
      <c r="B320" s="44">
        <v>53601</v>
      </c>
      <c r="C320" s="15">
        <f t="shared" si="28"/>
        <v>-72241.260280177376</v>
      </c>
      <c r="D320" s="16">
        <f t="shared" si="26"/>
        <v>-301.00525116740573</v>
      </c>
      <c r="E320" s="21">
        <f t="shared" si="31"/>
        <v>1000</v>
      </c>
      <c r="F320" s="162">
        <v>0</v>
      </c>
      <c r="G320" s="16">
        <f t="shared" si="27"/>
        <v>-73241.260280177376</v>
      </c>
      <c r="I320" s="21">
        <f t="shared" si="29"/>
        <v>310000</v>
      </c>
      <c r="J320" s="16">
        <f t="shared" si="30"/>
        <v>163848.25205603481</v>
      </c>
    </row>
    <row r="321" spans="2:10" outlineLevel="1" x14ac:dyDescent="0.2">
      <c r="B321" s="44">
        <v>53632</v>
      </c>
      <c r="C321" s="15">
        <f t="shared" si="28"/>
        <v>-73241.260280177376</v>
      </c>
      <c r="D321" s="16">
        <f t="shared" si="26"/>
        <v>-305.17191783407242</v>
      </c>
      <c r="E321" s="21">
        <f t="shared" si="31"/>
        <v>1000</v>
      </c>
      <c r="F321" s="163">
        <v>0</v>
      </c>
      <c r="G321" s="16">
        <f t="shared" si="27"/>
        <v>-74241.260280177376</v>
      </c>
      <c r="I321" s="21">
        <f t="shared" si="29"/>
        <v>311000</v>
      </c>
      <c r="J321" s="16">
        <f t="shared" si="30"/>
        <v>163543.08013820072</v>
      </c>
    </row>
    <row r="322" spans="2:10" outlineLevel="1" x14ac:dyDescent="0.2">
      <c r="B322" s="44">
        <v>53662</v>
      </c>
      <c r="C322" s="15">
        <f t="shared" si="28"/>
        <v>-74241.260280177376</v>
      </c>
      <c r="D322" s="16">
        <f t="shared" si="26"/>
        <v>-309.33858450073905</v>
      </c>
      <c r="E322" s="21">
        <f t="shared" si="31"/>
        <v>1000</v>
      </c>
      <c r="F322" s="162">
        <v>0</v>
      </c>
      <c r="G322" s="16">
        <f t="shared" si="27"/>
        <v>-75241.260280177376</v>
      </c>
      <c r="I322" s="21">
        <f t="shared" si="29"/>
        <v>312000</v>
      </c>
      <c r="J322" s="16">
        <f t="shared" si="30"/>
        <v>163233.74155369998</v>
      </c>
    </row>
    <row r="323" spans="2:10" outlineLevel="1" x14ac:dyDescent="0.2">
      <c r="B323" s="44">
        <v>53693</v>
      </c>
      <c r="C323" s="15">
        <f t="shared" si="28"/>
        <v>-75241.260280177376</v>
      </c>
      <c r="D323" s="16">
        <f t="shared" si="26"/>
        <v>-313.50525116740573</v>
      </c>
      <c r="E323" s="21">
        <f t="shared" si="31"/>
        <v>1000</v>
      </c>
      <c r="F323" s="163">
        <v>0</v>
      </c>
      <c r="G323" s="16">
        <f t="shared" si="27"/>
        <v>-76241.260280177376</v>
      </c>
      <c r="I323" s="21">
        <f t="shared" si="29"/>
        <v>313000</v>
      </c>
      <c r="J323" s="16">
        <f t="shared" si="30"/>
        <v>162920.23630253258</v>
      </c>
    </row>
    <row r="324" spans="2:10" outlineLevel="1" x14ac:dyDescent="0.2">
      <c r="B324" s="44">
        <v>53724</v>
      </c>
      <c r="C324" s="15">
        <f t="shared" si="28"/>
        <v>-76241.260280177376</v>
      </c>
      <c r="D324" s="16">
        <f t="shared" si="26"/>
        <v>-317.67191783407242</v>
      </c>
      <c r="E324" s="21">
        <f t="shared" si="31"/>
        <v>1000</v>
      </c>
      <c r="F324" s="162">
        <v>0</v>
      </c>
      <c r="G324" s="16">
        <f t="shared" si="27"/>
        <v>-77241.260280177376</v>
      </c>
      <c r="I324" s="21">
        <f t="shared" si="29"/>
        <v>314000</v>
      </c>
      <c r="J324" s="16">
        <f t="shared" si="30"/>
        <v>162602.56438469849</v>
      </c>
    </row>
    <row r="325" spans="2:10" outlineLevel="1" x14ac:dyDescent="0.2">
      <c r="B325" s="44">
        <v>53752</v>
      </c>
      <c r="C325" s="15">
        <f t="shared" si="28"/>
        <v>-77241.260280177376</v>
      </c>
      <c r="D325" s="16">
        <f t="shared" si="26"/>
        <v>-321.83858450073905</v>
      </c>
      <c r="E325" s="21">
        <f t="shared" si="31"/>
        <v>1000</v>
      </c>
      <c r="F325" s="163">
        <v>0</v>
      </c>
      <c r="G325" s="16">
        <f t="shared" si="27"/>
        <v>-78241.260280177376</v>
      </c>
      <c r="I325" s="21">
        <f t="shared" si="29"/>
        <v>315000</v>
      </c>
      <c r="J325" s="16">
        <f t="shared" si="30"/>
        <v>162280.72580019775</v>
      </c>
    </row>
    <row r="326" spans="2:10" outlineLevel="1" x14ac:dyDescent="0.2">
      <c r="B326" s="44">
        <v>53783</v>
      </c>
      <c r="C326" s="15">
        <f t="shared" si="28"/>
        <v>-78241.260280177376</v>
      </c>
      <c r="D326" s="16">
        <f t="shared" si="26"/>
        <v>-326.00525116740573</v>
      </c>
      <c r="E326" s="21">
        <f t="shared" si="31"/>
        <v>1000</v>
      </c>
      <c r="F326" s="162">
        <v>0</v>
      </c>
      <c r="G326" s="16">
        <f t="shared" si="27"/>
        <v>-79241.260280177376</v>
      </c>
      <c r="I326" s="21">
        <f t="shared" si="29"/>
        <v>316000</v>
      </c>
      <c r="J326" s="16">
        <f t="shared" si="30"/>
        <v>161954.72054903035</v>
      </c>
    </row>
    <row r="327" spans="2:10" outlineLevel="1" x14ac:dyDescent="0.2">
      <c r="B327" s="44">
        <v>53813</v>
      </c>
      <c r="C327" s="15">
        <f t="shared" si="28"/>
        <v>-79241.260280177376</v>
      </c>
      <c r="D327" s="16">
        <f t="shared" ref="D327:D370" si="32">C327*E$6</f>
        <v>-330.17191783407242</v>
      </c>
      <c r="E327" s="21">
        <f t="shared" si="31"/>
        <v>1000</v>
      </c>
      <c r="F327" s="163">
        <v>0</v>
      </c>
      <c r="G327" s="16">
        <f t="shared" si="27"/>
        <v>-80241.260280177376</v>
      </c>
      <c r="I327" s="21">
        <f t="shared" si="29"/>
        <v>317000</v>
      </c>
      <c r="J327" s="16">
        <f t="shared" si="30"/>
        <v>161624.54863119626</v>
      </c>
    </row>
    <row r="328" spans="2:10" outlineLevel="1" x14ac:dyDescent="0.2">
      <c r="B328" s="44">
        <v>53844</v>
      </c>
      <c r="C328" s="15">
        <f t="shared" si="28"/>
        <v>-80241.260280177376</v>
      </c>
      <c r="D328" s="16">
        <f t="shared" si="32"/>
        <v>-334.33858450073905</v>
      </c>
      <c r="E328" s="21">
        <f t="shared" si="31"/>
        <v>1000</v>
      </c>
      <c r="F328" s="162">
        <v>0</v>
      </c>
      <c r="G328" s="16">
        <f t="shared" si="27"/>
        <v>-81241.260280177376</v>
      </c>
      <c r="I328" s="21">
        <f t="shared" si="29"/>
        <v>318000</v>
      </c>
      <c r="J328" s="16">
        <f t="shared" si="30"/>
        <v>161290.21004669552</v>
      </c>
    </row>
    <row r="329" spans="2:10" outlineLevel="1" x14ac:dyDescent="0.2">
      <c r="B329" s="44">
        <v>53874</v>
      </c>
      <c r="C329" s="15">
        <f t="shared" si="28"/>
        <v>-81241.260280177376</v>
      </c>
      <c r="D329" s="16">
        <f t="shared" si="32"/>
        <v>-338.50525116740573</v>
      </c>
      <c r="E329" s="21">
        <f t="shared" si="31"/>
        <v>1000</v>
      </c>
      <c r="F329" s="163">
        <v>0</v>
      </c>
      <c r="G329" s="16">
        <f t="shared" si="27"/>
        <v>-82241.260280177376</v>
      </c>
      <c r="I329" s="21">
        <f t="shared" si="29"/>
        <v>319000</v>
      </c>
      <c r="J329" s="16">
        <f t="shared" si="30"/>
        <v>160951.70479552812</v>
      </c>
    </row>
    <row r="330" spans="2:10" outlineLevel="1" x14ac:dyDescent="0.2">
      <c r="B330" s="44">
        <v>53905</v>
      </c>
      <c r="C330" s="15">
        <f t="shared" si="28"/>
        <v>-82241.260280177376</v>
      </c>
      <c r="D330" s="16">
        <f t="shared" si="32"/>
        <v>-342.67191783407242</v>
      </c>
      <c r="E330" s="21">
        <f t="shared" si="31"/>
        <v>1000</v>
      </c>
      <c r="F330" s="162">
        <v>0</v>
      </c>
      <c r="G330" s="16">
        <f t="shared" si="27"/>
        <v>-83241.260280177376</v>
      </c>
      <c r="I330" s="21">
        <f t="shared" si="29"/>
        <v>320000</v>
      </c>
      <c r="J330" s="16">
        <f t="shared" si="30"/>
        <v>160609.03287769403</v>
      </c>
    </row>
    <row r="331" spans="2:10" outlineLevel="1" x14ac:dyDescent="0.2">
      <c r="B331" s="44">
        <v>53936</v>
      </c>
      <c r="C331" s="15">
        <f t="shared" si="28"/>
        <v>-83241.260280177376</v>
      </c>
      <c r="D331" s="16">
        <f t="shared" si="32"/>
        <v>-346.83858450073905</v>
      </c>
      <c r="E331" s="21">
        <f t="shared" si="31"/>
        <v>1000</v>
      </c>
      <c r="F331" s="163">
        <v>0</v>
      </c>
      <c r="G331" s="16">
        <f t="shared" ref="G331:G370" si="33">C331-E331-F331</f>
        <v>-84241.260280177376</v>
      </c>
      <c r="I331" s="21">
        <f t="shared" si="29"/>
        <v>321000</v>
      </c>
      <c r="J331" s="16">
        <f t="shared" si="30"/>
        <v>160262.19429319329</v>
      </c>
    </row>
    <row r="332" spans="2:10" outlineLevel="1" x14ac:dyDescent="0.2">
      <c r="B332" s="44">
        <v>53966</v>
      </c>
      <c r="C332" s="15">
        <f t="shared" ref="C332:C370" si="34">G331</f>
        <v>-84241.260280177376</v>
      </c>
      <c r="D332" s="16">
        <f t="shared" si="32"/>
        <v>-351.00525116740573</v>
      </c>
      <c r="E332" s="21">
        <f t="shared" si="31"/>
        <v>1000</v>
      </c>
      <c r="F332" s="162">
        <v>0</v>
      </c>
      <c r="G332" s="16">
        <f t="shared" si="33"/>
        <v>-85241.260280177376</v>
      </c>
      <c r="I332" s="21">
        <f t="shared" ref="I332:I370" si="35">I331+E332</f>
        <v>322000</v>
      </c>
      <c r="J332" s="16">
        <f t="shared" ref="J332:J370" si="36">J331+D332</f>
        <v>159911.18904202589</v>
      </c>
    </row>
    <row r="333" spans="2:10" outlineLevel="1" x14ac:dyDescent="0.2">
      <c r="B333" s="44">
        <v>53997</v>
      </c>
      <c r="C333" s="15">
        <f t="shared" si="34"/>
        <v>-85241.260280177376</v>
      </c>
      <c r="D333" s="16">
        <f t="shared" si="32"/>
        <v>-355.17191783407242</v>
      </c>
      <c r="E333" s="21">
        <f t="shared" ref="E333:E370" si="37">E332</f>
        <v>1000</v>
      </c>
      <c r="F333" s="163">
        <v>0</v>
      </c>
      <c r="G333" s="16">
        <f t="shared" si="33"/>
        <v>-86241.260280177376</v>
      </c>
      <c r="I333" s="21">
        <f t="shared" si="35"/>
        <v>323000</v>
      </c>
      <c r="J333" s="16">
        <f t="shared" si="36"/>
        <v>159556.0171241918</v>
      </c>
    </row>
    <row r="334" spans="2:10" outlineLevel="1" x14ac:dyDescent="0.2">
      <c r="B334" s="44">
        <v>54027</v>
      </c>
      <c r="C334" s="15">
        <f t="shared" si="34"/>
        <v>-86241.260280177376</v>
      </c>
      <c r="D334" s="16">
        <f t="shared" si="32"/>
        <v>-359.33858450073905</v>
      </c>
      <c r="E334" s="21">
        <f t="shared" si="37"/>
        <v>1000</v>
      </c>
      <c r="F334" s="162">
        <v>0</v>
      </c>
      <c r="G334" s="16">
        <f t="shared" si="33"/>
        <v>-87241.260280177376</v>
      </c>
      <c r="I334" s="21">
        <f t="shared" si="35"/>
        <v>324000</v>
      </c>
      <c r="J334" s="16">
        <f t="shared" si="36"/>
        <v>159196.67853969106</v>
      </c>
    </row>
    <row r="335" spans="2:10" outlineLevel="1" x14ac:dyDescent="0.2">
      <c r="B335" s="44">
        <v>54058</v>
      </c>
      <c r="C335" s="15">
        <f t="shared" si="34"/>
        <v>-87241.260280177376</v>
      </c>
      <c r="D335" s="16">
        <f t="shared" si="32"/>
        <v>-363.50525116740573</v>
      </c>
      <c r="E335" s="21">
        <f t="shared" si="37"/>
        <v>1000</v>
      </c>
      <c r="F335" s="163">
        <v>0</v>
      </c>
      <c r="G335" s="16">
        <f t="shared" si="33"/>
        <v>-88241.260280177376</v>
      </c>
      <c r="I335" s="21">
        <f t="shared" si="35"/>
        <v>325000</v>
      </c>
      <c r="J335" s="16">
        <f t="shared" si="36"/>
        <v>158833.17328852366</v>
      </c>
    </row>
    <row r="336" spans="2:10" outlineLevel="1" x14ac:dyDescent="0.2">
      <c r="B336" s="44">
        <v>54089</v>
      </c>
      <c r="C336" s="15">
        <f t="shared" si="34"/>
        <v>-88241.260280177376</v>
      </c>
      <c r="D336" s="16">
        <f t="shared" si="32"/>
        <v>-367.67191783407242</v>
      </c>
      <c r="E336" s="21">
        <f t="shared" si="37"/>
        <v>1000</v>
      </c>
      <c r="F336" s="162">
        <v>0</v>
      </c>
      <c r="G336" s="16">
        <f t="shared" si="33"/>
        <v>-89241.260280177376</v>
      </c>
      <c r="I336" s="21">
        <f t="shared" si="35"/>
        <v>326000</v>
      </c>
      <c r="J336" s="16">
        <f t="shared" si="36"/>
        <v>158465.50137068957</v>
      </c>
    </row>
    <row r="337" spans="2:10" outlineLevel="1" x14ac:dyDescent="0.2">
      <c r="B337" s="44">
        <v>54118</v>
      </c>
      <c r="C337" s="15">
        <f t="shared" si="34"/>
        <v>-89241.260280177376</v>
      </c>
      <c r="D337" s="16">
        <f t="shared" si="32"/>
        <v>-371.83858450073905</v>
      </c>
      <c r="E337" s="21">
        <f t="shared" si="37"/>
        <v>1000</v>
      </c>
      <c r="F337" s="163">
        <v>0</v>
      </c>
      <c r="G337" s="16">
        <f t="shared" si="33"/>
        <v>-90241.260280177376</v>
      </c>
      <c r="I337" s="21">
        <f t="shared" si="35"/>
        <v>327000</v>
      </c>
      <c r="J337" s="16">
        <f t="shared" si="36"/>
        <v>158093.66278618883</v>
      </c>
    </row>
    <row r="338" spans="2:10" outlineLevel="1" x14ac:dyDescent="0.2">
      <c r="B338" s="44">
        <v>54149</v>
      </c>
      <c r="C338" s="15">
        <f t="shared" si="34"/>
        <v>-90241.260280177376</v>
      </c>
      <c r="D338" s="16">
        <f t="shared" si="32"/>
        <v>-376.00525116740573</v>
      </c>
      <c r="E338" s="21">
        <f t="shared" si="37"/>
        <v>1000</v>
      </c>
      <c r="F338" s="162">
        <v>0</v>
      </c>
      <c r="G338" s="16">
        <f t="shared" si="33"/>
        <v>-91241.260280177376</v>
      </c>
      <c r="I338" s="21">
        <f t="shared" si="35"/>
        <v>328000</v>
      </c>
      <c r="J338" s="16">
        <f t="shared" si="36"/>
        <v>157717.65753502143</v>
      </c>
    </row>
    <row r="339" spans="2:10" outlineLevel="1" x14ac:dyDescent="0.2">
      <c r="B339" s="44">
        <v>54179</v>
      </c>
      <c r="C339" s="15">
        <f t="shared" si="34"/>
        <v>-91241.260280177376</v>
      </c>
      <c r="D339" s="16">
        <f t="shared" si="32"/>
        <v>-380.17191783407242</v>
      </c>
      <c r="E339" s="21">
        <f t="shared" si="37"/>
        <v>1000</v>
      </c>
      <c r="F339" s="163">
        <v>0</v>
      </c>
      <c r="G339" s="16">
        <f t="shared" si="33"/>
        <v>-92241.260280177376</v>
      </c>
      <c r="I339" s="21">
        <f t="shared" si="35"/>
        <v>329000</v>
      </c>
      <c r="J339" s="16">
        <f t="shared" si="36"/>
        <v>157337.48561718734</v>
      </c>
    </row>
    <row r="340" spans="2:10" outlineLevel="1" x14ac:dyDescent="0.2">
      <c r="B340" s="44">
        <v>54210</v>
      </c>
      <c r="C340" s="15">
        <f t="shared" si="34"/>
        <v>-92241.260280177376</v>
      </c>
      <c r="D340" s="16">
        <f t="shared" si="32"/>
        <v>-384.33858450073905</v>
      </c>
      <c r="E340" s="21">
        <f t="shared" si="37"/>
        <v>1000</v>
      </c>
      <c r="F340" s="162">
        <v>0</v>
      </c>
      <c r="G340" s="16">
        <f t="shared" si="33"/>
        <v>-93241.260280177376</v>
      </c>
      <c r="I340" s="21">
        <f t="shared" si="35"/>
        <v>330000</v>
      </c>
      <c r="J340" s="16">
        <f t="shared" si="36"/>
        <v>156953.1470326866</v>
      </c>
    </row>
    <row r="341" spans="2:10" outlineLevel="1" x14ac:dyDescent="0.2">
      <c r="B341" s="44">
        <v>54240</v>
      </c>
      <c r="C341" s="15">
        <f t="shared" si="34"/>
        <v>-93241.260280177376</v>
      </c>
      <c r="D341" s="16">
        <f t="shared" si="32"/>
        <v>-388.50525116740573</v>
      </c>
      <c r="E341" s="21">
        <f t="shared" si="37"/>
        <v>1000</v>
      </c>
      <c r="F341" s="163">
        <v>0</v>
      </c>
      <c r="G341" s="16">
        <f t="shared" si="33"/>
        <v>-94241.260280177376</v>
      </c>
      <c r="I341" s="21">
        <f t="shared" si="35"/>
        <v>331000</v>
      </c>
      <c r="J341" s="16">
        <f t="shared" si="36"/>
        <v>156564.6417815192</v>
      </c>
    </row>
    <row r="342" spans="2:10" outlineLevel="1" x14ac:dyDescent="0.2">
      <c r="B342" s="44">
        <v>54271</v>
      </c>
      <c r="C342" s="15">
        <f t="shared" si="34"/>
        <v>-94241.260280177376</v>
      </c>
      <c r="D342" s="16">
        <f t="shared" si="32"/>
        <v>-392.67191783407242</v>
      </c>
      <c r="E342" s="21">
        <f t="shared" si="37"/>
        <v>1000</v>
      </c>
      <c r="F342" s="162">
        <v>0</v>
      </c>
      <c r="G342" s="16">
        <f t="shared" si="33"/>
        <v>-95241.260280177376</v>
      </c>
      <c r="I342" s="21">
        <f t="shared" si="35"/>
        <v>332000</v>
      </c>
      <c r="J342" s="16">
        <f t="shared" si="36"/>
        <v>156171.96986368511</v>
      </c>
    </row>
    <row r="343" spans="2:10" outlineLevel="1" x14ac:dyDescent="0.2">
      <c r="B343" s="44">
        <v>54302</v>
      </c>
      <c r="C343" s="15">
        <f t="shared" si="34"/>
        <v>-95241.260280177376</v>
      </c>
      <c r="D343" s="16">
        <f t="shared" si="32"/>
        <v>-396.83858450073905</v>
      </c>
      <c r="E343" s="21">
        <f t="shared" si="37"/>
        <v>1000</v>
      </c>
      <c r="F343" s="163">
        <v>0</v>
      </c>
      <c r="G343" s="16">
        <f t="shared" si="33"/>
        <v>-96241.260280177376</v>
      </c>
      <c r="I343" s="21">
        <f t="shared" si="35"/>
        <v>333000</v>
      </c>
      <c r="J343" s="16">
        <f t="shared" si="36"/>
        <v>155775.13127918437</v>
      </c>
    </row>
    <row r="344" spans="2:10" outlineLevel="1" x14ac:dyDescent="0.2">
      <c r="B344" s="44">
        <v>54332</v>
      </c>
      <c r="C344" s="15">
        <f t="shared" si="34"/>
        <v>-96241.260280177376</v>
      </c>
      <c r="D344" s="16">
        <f t="shared" si="32"/>
        <v>-401.00525116740573</v>
      </c>
      <c r="E344" s="21">
        <f t="shared" si="37"/>
        <v>1000</v>
      </c>
      <c r="F344" s="162">
        <v>0</v>
      </c>
      <c r="G344" s="16">
        <f t="shared" si="33"/>
        <v>-97241.260280177376</v>
      </c>
      <c r="I344" s="21">
        <f t="shared" si="35"/>
        <v>334000</v>
      </c>
      <c r="J344" s="16">
        <f t="shared" si="36"/>
        <v>155374.12602801697</v>
      </c>
    </row>
    <row r="345" spans="2:10" outlineLevel="1" x14ac:dyDescent="0.2">
      <c r="B345" s="44">
        <v>54363</v>
      </c>
      <c r="C345" s="15">
        <f t="shared" si="34"/>
        <v>-97241.260280177376</v>
      </c>
      <c r="D345" s="16">
        <f t="shared" si="32"/>
        <v>-405.17191783407242</v>
      </c>
      <c r="E345" s="21">
        <f t="shared" si="37"/>
        <v>1000</v>
      </c>
      <c r="F345" s="163">
        <v>0</v>
      </c>
      <c r="G345" s="16">
        <f t="shared" si="33"/>
        <v>-98241.260280177376</v>
      </c>
      <c r="I345" s="21">
        <f t="shared" si="35"/>
        <v>335000</v>
      </c>
      <c r="J345" s="16">
        <f t="shared" si="36"/>
        <v>154968.95411018288</v>
      </c>
    </row>
    <row r="346" spans="2:10" outlineLevel="1" x14ac:dyDescent="0.2">
      <c r="B346" s="44">
        <v>54393</v>
      </c>
      <c r="C346" s="15">
        <f t="shared" si="34"/>
        <v>-98241.260280177376</v>
      </c>
      <c r="D346" s="16">
        <f t="shared" si="32"/>
        <v>-409.33858450073905</v>
      </c>
      <c r="E346" s="21">
        <f t="shared" si="37"/>
        <v>1000</v>
      </c>
      <c r="F346" s="162">
        <v>0</v>
      </c>
      <c r="G346" s="16">
        <f t="shared" si="33"/>
        <v>-99241.260280177376</v>
      </c>
      <c r="I346" s="21">
        <f t="shared" si="35"/>
        <v>336000</v>
      </c>
      <c r="J346" s="16">
        <f t="shared" si="36"/>
        <v>154559.61552568214</v>
      </c>
    </row>
    <row r="347" spans="2:10" outlineLevel="1" x14ac:dyDescent="0.2">
      <c r="B347" s="44">
        <v>54424</v>
      </c>
      <c r="C347" s="15">
        <f t="shared" si="34"/>
        <v>-99241.260280177376</v>
      </c>
      <c r="D347" s="16">
        <f t="shared" si="32"/>
        <v>-413.50525116740573</v>
      </c>
      <c r="E347" s="21">
        <f t="shared" si="37"/>
        <v>1000</v>
      </c>
      <c r="F347" s="163">
        <v>0</v>
      </c>
      <c r="G347" s="16">
        <f t="shared" si="33"/>
        <v>-100241.26028017738</v>
      </c>
      <c r="I347" s="21">
        <f t="shared" si="35"/>
        <v>337000</v>
      </c>
      <c r="J347" s="16">
        <f t="shared" si="36"/>
        <v>154146.11027451474</v>
      </c>
    </row>
    <row r="348" spans="2:10" outlineLevel="1" x14ac:dyDescent="0.2">
      <c r="B348" s="44">
        <v>54455</v>
      </c>
      <c r="C348" s="15">
        <f t="shared" si="34"/>
        <v>-100241.26028017738</v>
      </c>
      <c r="D348" s="16">
        <f t="shared" si="32"/>
        <v>-417.67191783407242</v>
      </c>
      <c r="E348" s="21">
        <f t="shared" si="37"/>
        <v>1000</v>
      </c>
      <c r="F348" s="162">
        <v>0</v>
      </c>
      <c r="G348" s="16">
        <f t="shared" si="33"/>
        <v>-101241.26028017738</v>
      </c>
      <c r="I348" s="21">
        <f t="shared" si="35"/>
        <v>338000</v>
      </c>
      <c r="J348" s="16">
        <f t="shared" si="36"/>
        <v>153728.43835668065</v>
      </c>
    </row>
    <row r="349" spans="2:10" outlineLevel="1" x14ac:dyDescent="0.2">
      <c r="B349" s="44">
        <v>54483</v>
      </c>
      <c r="C349" s="15">
        <f t="shared" si="34"/>
        <v>-101241.26028017738</v>
      </c>
      <c r="D349" s="16">
        <f t="shared" si="32"/>
        <v>-421.83858450073905</v>
      </c>
      <c r="E349" s="21">
        <f t="shared" si="37"/>
        <v>1000</v>
      </c>
      <c r="F349" s="163">
        <v>0</v>
      </c>
      <c r="G349" s="16">
        <f t="shared" si="33"/>
        <v>-102241.26028017738</v>
      </c>
      <c r="I349" s="21">
        <f t="shared" si="35"/>
        <v>339000</v>
      </c>
      <c r="J349" s="16">
        <f t="shared" si="36"/>
        <v>153306.59977217991</v>
      </c>
    </row>
    <row r="350" spans="2:10" outlineLevel="1" x14ac:dyDescent="0.2">
      <c r="B350" s="44">
        <v>54514</v>
      </c>
      <c r="C350" s="15">
        <f t="shared" si="34"/>
        <v>-102241.26028017738</v>
      </c>
      <c r="D350" s="16">
        <f t="shared" si="32"/>
        <v>-426.00525116740573</v>
      </c>
      <c r="E350" s="21">
        <f t="shared" si="37"/>
        <v>1000</v>
      </c>
      <c r="F350" s="162">
        <v>0</v>
      </c>
      <c r="G350" s="16">
        <f t="shared" si="33"/>
        <v>-103241.26028017738</v>
      </c>
      <c r="I350" s="21">
        <f t="shared" si="35"/>
        <v>340000</v>
      </c>
      <c r="J350" s="16">
        <f t="shared" si="36"/>
        <v>152880.59452101251</v>
      </c>
    </row>
    <row r="351" spans="2:10" outlineLevel="1" x14ac:dyDescent="0.2">
      <c r="B351" s="44">
        <v>54544</v>
      </c>
      <c r="C351" s="15">
        <f t="shared" si="34"/>
        <v>-103241.26028017738</v>
      </c>
      <c r="D351" s="16">
        <f t="shared" si="32"/>
        <v>-430.17191783407242</v>
      </c>
      <c r="E351" s="21">
        <f t="shared" si="37"/>
        <v>1000</v>
      </c>
      <c r="F351" s="163">
        <v>0</v>
      </c>
      <c r="G351" s="16">
        <f t="shared" si="33"/>
        <v>-104241.26028017738</v>
      </c>
      <c r="I351" s="21">
        <f t="shared" si="35"/>
        <v>341000</v>
      </c>
      <c r="J351" s="16">
        <f t="shared" si="36"/>
        <v>152450.42260317842</v>
      </c>
    </row>
    <row r="352" spans="2:10" outlineLevel="1" x14ac:dyDescent="0.2">
      <c r="B352" s="44">
        <v>54575</v>
      </c>
      <c r="C352" s="15">
        <f t="shared" si="34"/>
        <v>-104241.26028017738</v>
      </c>
      <c r="D352" s="16">
        <f t="shared" si="32"/>
        <v>-434.33858450073905</v>
      </c>
      <c r="E352" s="21">
        <f t="shared" si="37"/>
        <v>1000</v>
      </c>
      <c r="F352" s="162">
        <v>0</v>
      </c>
      <c r="G352" s="16">
        <f t="shared" si="33"/>
        <v>-105241.26028017738</v>
      </c>
      <c r="I352" s="21">
        <f t="shared" si="35"/>
        <v>342000</v>
      </c>
      <c r="J352" s="16">
        <f t="shared" si="36"/>
        <v>152016.08401867768</v>
      </c>
    </row>
    <row r="353" spans="2:10" outlineLevel="1" x14ac:dyDescent="0.2">
      <c r="B353" s="44">
        <v>54605</v>
      </c>
      <c r="C353" s="15">
        <f t="shared" si="34"/>
        <v>-105241.26028017738</v>
      </c>
      <c r="D353" s="16">
        <f t="shared" si="32"/>
        <v>-438.50525116740573</v>
      </c>
      <c r="E353" s="21">
        <f t="shared" si="37"/>
        <v>1000</v>
      </c>
      <c r="F353" s="163">
        <v>0</v>
      </c>
      <c r="G353" s="16">
        <f t="shared" si="33"/>
        <v>-106241.26028017738</v>
      </c>
      <c r="I353" s="21">
        <f t="shared" si="35"/>
        <v>343000</v>
      </c>
      <c r="J353" s="16">
        <f t="shared" si="36"/>
        <v>151577.57876751028</v>
      </c>
    </row>
    <row r="354" spans="2:10" outlineLevel="1" x14ac:dyDescent="0.2">
      <c r="B354" s="44">
        <v>54636</v>
      </c>
      <c r="C354" s="15">
        <f t="shared" si="34"/>
        <v>-106241.26028017738</v>
      </c>
      <c r="D354" s="16">
        <f t="shared" si="32"/>
        <v>-442.67191783407242</v>
      </c>
      <c r="E354" s="21">
        <f t="shared" si="37"/>
        <v>1000</v>
      </c>
      <c r="F354" s="162">
        <v>0</v>
      </c>
      <c r="G354" s="16">
        <f t="shared" si="33"/>
        <v>-107241.26028017738</v>
      </c>
      <c r="I354" s="21">
        <f t="shared" si="35"/>
        <v>344000</v>
      </c>
      <c r="J354" s="16">
        <f t="shared" si="36"/>
        <v>151134.90684967619</v>
      </c>
    </row>
    <row r="355" spans="2:10" outlineLevel="1" x14ac:dyDescent="0.2">
      <c r="B355" s="44">
        <v>54667</v>
      </c>
      <c r="C355" s="15">
        <f t="shared" si="34"/>
        <v>-107241.26028017738</v>
      </c>
      <c r="D355" s="16">
        <f t="shared" si="32"/>
        <v>-446.83858450073905</v>
      </c>
      <c r="E355" s="21">
        <f t="shared" si="37"/>
        <v>1000</v>
      </c>
      <c r="F355" s="163">
        <v>0</v>
      </c>
      <c r="G355" s="16">
        <f t="shared" si="33"/>
        <v>-108241.26028017738</v>
      </c>
      <c r="I355" s="21">
        <f t="shared" si="35"/>
        <v>345000</v>
      </c>
      <c r="J355" s="16">
        <f t="shared" si="36"/>
        <v>150688.06826517545</v>
      </c>
    </row>
    <row r="356" spans="2:10" outlineLevel="1" x14ac:dyDescent="0.2">
      <c r="B356" s="44">
        <v>54697</v>
      </c>
      <c r="C356" s="15">
        <f t="shared" si="34"/>
        <v>-108241.26028017738</v>
      </c>
      <c r="D356" s="16">
        <f t="shared" si="32"/>
        <v>-451.00525116740573</v>
      </c>
      <c r="E356" s="21">
        <f t="shared" si="37"/>
        <v>1000</v>
      </c>
      <c r="F356" s="162">
        <v>0</v>
      </c>
      <c r="G356" s="16">
        <f t="shared" si="33"/>
        <v>-109241.26028017738</v>
      </c>
      <c r="I356" s="21">
        <f t="shared" si="35"/>
        <v>346000</v>
      </c>
      <c r="J356" s="16">
        <f t="shared" si="36"/>
        <v>150237.06301400805</v>
      </c>
    </row>
    <row r="357" spans="2:10" outlineLevel="1" x14ac:dyDescent="0.2">
      <c r="B357" s="44">
        <v>54728</v>
      </c>
      <c r="C357" s="15">
        <f t="shared" si="34"/>
        <v>-109241.26028017738</v>
      </c>
      <c r="D357" s="16">
        <f t="shared" si="32"/>
        <v>-455.17191783407242</v>
      </c>
      <c r="E357" s="21">
        <f t="shared" si="37"/>
        <v>1000</v>
      </c>
      <c r="F357" s="163">
        <v>0</v>
      </c>
      <c r="G357" s="16">
        <f t="shared" si="33"/>
        <v>-110241.26028017738</v>
      </c>
      <c r="I357" s="21">
        <f t="shared" si="35"/>
        <v>347000</v>
      </c>
      <c r="J357" s="16">
        <f t="shared" si="36"/>
        <v>149781.89109617396</v>
      </c>
    </row>
    <row r="358" spans="2:10" outlineLevel="1" x14ac:dyDescent="0.2">
      <c r="B358" s="44">
        <v>54758</v>
      </c>
      <c r="C358" s="15">
        <f t="shared" si="34"/>
        <v>-110241.26028017738</v>
      </c>
      <c r="D358" s="16">
        <f t="shared" si="32"/>
        <v>-459.33858450073905</v>
      </c>
      <c r="E358" s="21">
        <f t="shared" si="37"/>
        <v>1000</v>
      </c>
      <c r="F358" s="162">
        <v>0</v>
      </c>
      <c r="G358" s="16">
        <f t="shared" si="33"/>
        <v>-111241.26028017738</v>
      </c>
      <c r="I358" s="21">
        <f t="shared" si="35"/>
        <v>348000</v>
      </c>
      <c r="J358" s="16">
        <f t="shared" si="36"/>
        <v>149322.55251167322</v>
      </c>
    </row>
    <row r="359" spans="2:10" outlineLevel="1" x14ac:dyDescent="0.2">
      <c r="B359" s="44">
        <v>54789</v>
      </c>
      <c r="C359" s="15">
        <f t="shared" si="34"/>
        <v>-111241.26028017738</v>
      </c>
      <c r="D359" s="16">
        <f t="shared" si="32"/>
        <v>-463.50525116740573</v>
      </c>
      <c r="E359" s="21">
        <f t="shared" si="37"/>
        <v>1000</v>
      </c>
      <c r="F359" s="163">
        <v>0</v>
      </c>
      <c r="G359" s="16">
        <f t="shared" si="33"/>
        <v>-112241.26028017738</v>
      </c>
      <c r="I359" s="21">
        <f t="shared" si="35"/>
        <v>349000</v>
      </c>
      <c r="J359" s="16">
        <f t="shared" si="36"/>
        <v>148859.04726050582</v>
      </c>
    </row>
    <row r="360" spans="2:10" outlineLevel="1" x14ac:dyDescent="0.2">
      <c r="B360" s="44">
        <v>54820</v>
      </c>
      <c r="C360" s="15">
        <f t="shared" si="34"/>
        <v>-112241.26028017738</v>
      </c>
      <c r="D360" s="16">
        <f t="shared" si="32"/>
        <v>-467.67191783407242</v>
      </c>
      <c r="E360" s="21">
        <f t="shared" si="37"/>
        <v>1000</v>
      </c>
      <c r="F360" s="162">
        <v>0</v>
      </c>
      <c r="G360" s="16">
        <f t="shared" si="33"/>
        <v>-113241.26028017738</v>
      </c>
      <c r="I360" s="21">
        <f t="shared" si="35"/>
        <v>350000</v>
      </c>
      <c r="J360" s="16">
        <f t="shared" si="36"/>
        <v>148391.37534267173</v>
      </c>
    </row>
    <row r="361" spans="2:10" outlineLevel="1" x14ac:dyDescent="0.2">
      <c r="B361" s="44">
        <v>54848</v>
      </c>
      <c r="C361" s="15">
        <f t="shared" si="34"/>
        <v>-113241.26028017738</v>
      </c>
      <c r="D361" s="16">
        <f t="shared" si="32"/>
        <v>-471.83858450073905</v>
      </c>
      <c r="E361" s="21">
        <f t="shared" si="37"/>
        <v>1000</v>
      </c>
      <c r="F361" s="163">
        <v>0</v>
      </c>
      <c r="G361" s="16">
        <f t="shared" si="33"/>
        <v>-114241.26028017738</v>
      </c>
      <c r="I361" s="21">
        <f t="shared" si="35"/>
        <v>351000</v>
      </c>
      <c r="J361" s="16">
        <f t="shared" si="36"/>
        <v>147919.53675817099</v>
      </c>
    </row>
    <row r="362" spans="2:10" outlineLevel="1" x14ac:dyDescent="0.2">
      <c r="B362" s="44">
        <v>54879</v>
      </c>
      <c r="C362" s="15">
        <f t="shared" si="34"/>
        <v>-114241.26028017738</v>
      </c>
      <c r="D362" s="16">
        <f t="shared" si="32"/>
        <v>-476.00525116740573</v>
      </c>
      <c r="E362" s="21">
        <f t="shared" si="37"/>
        <v>1000</v>
      </c>
      <c r="F362" s="162">
        <v>0</v>
      </c>
      <c r="G362" s="16">
        <f t="shared" si="33"/>
        <v>-115241.26028017738</v>
      </c>
      <c r="I362" s="21">
        <f t="shared" si="35"/>
        <v>352000</v>
      </c>
      <c r="J362" s="16">
        <f t="shared" si="36"/>
        <v>147443.53150700359</v>
      </c>
    </row>
    <row r="363" spans="2:10" outlineLevel="1" x14ac:dyDescent="0.2">
      <c r="B363" s="44">
        <v>54909</v>
      </c>
      <c r="C363" s="15">
        <f t="shared" si="34"/>
        <v>-115241.26028017738</v>
      </c>
      <c r="D363" s="16">
        <f t="shared" si="32"/>
        <v>-480.17191783407242</v>
      </c>
      <c r="E363" s="21">
        <f t="shared" si="37"/>
        <v>1000</v>
      </c>
      <c r="F363" s="163">
        <v>0</v>
      </c>
      <c r="G363" s="16">
        <f t="shared" si="33"/>
        <v>-116241.26028017738</v>
      </c>
      <c r="I363" s="21">
        <f t="shared" si="35"/>
        <v>353000</v>
      </c>
      <c r="J363" s="16">
        <f t="shared" si="36"/>
        <v>146963.3595891695</v>
      </c>
    </row>
    <row r="364" spans="2:10" outlineLevel="1" x14ac:dyDescent="0.2">
      <c r="B364" s="44">
        <v>54940</v>
      </c>
      <c r="C364" s="15">
        <f t="shared" si="34"/>
        <v>-116241.26028017738</v>
      </c>
      <c r="D364" s="16">
        <f t="shared" si="32"/>
        <v>-484.33858450073905</v>
      </c>
      <c r="E364" s="21">
        <f t="shared" si="37"/>
        <v>1000</v>
      </c>
      <c r="F364" s="162">
        <v>0</v>
      </c>
      <c r="G364" s="16">
        <f t="shared" si="33"/>
        <v>-117241.26028017738</v>
      </c>
      <c r="I364" s="21">
        <f t="shared" si="35"/>
        <v>354000</v>
      </c>
      <c r="J364" s="16">
        <f t="shared" si="36"/>
        <v>146479.02100466876</v>
      </c>
    </row>
    <row r="365" spans="2:10" outlineLevel="1" x14ac:dyDescent="0.2">
      <c r="B365" s="44">
        <v>54970</v>
      </c>
      <c r="C365" s="15">
        <f t="shared" si="34"/>
        <v>-117241.26028017738</v>
      </c>
      <c r="D365" s="16">
        <f t="shared" si="32"/>
        <v>-488.50525116740573</v>
      </c>
      <c r="E365" s="21">
        <f t="shared" si="37"/>
        <v>1000</v>
      </c>
      <c r="F365" s="163">
        <v>0</v>
      </c>
      <c r="G365" s="16">
        <f t="shared" si="33"/>
        <v>-118241.26028017738</v>
      </c>
      <c r="I365" s="21">
        <f t="shared" si="35"/>
        <v>355000</v>
      </c>
      <c r="J365" s="16">
        <f t="shared" si="36"/>
        <v>145990.51575350136</v>
      </c>
    </row>
    <row r="366" spans="2:10" outlineLevel="1" x14ac:dyDescent="0.2">
      <c r="B366" s="44">
        <v>55001</v>
      </c>
      <c r="C366" s="15">
        <f t="shared" si="34"/>
        <v>-118241.26028017738</v>
      </c>
      <c r="D366" s="16">
        <f t="shared" si="32"/>
        <v>-492.67191783407242</v>
      </c>
      <c r="E366" s="21">
        <f t="shared" si="37"/>
        <v>1000</v>
      </c>
      <c r="F366" s="162">
        <v>0</v>
      </c>
      <c r="G366" s="16">
        <f t="shared" si="33"/>
        <v>-119241.26028017738</v>
      </c>
      <c r="I366" s="21">
        <f t="shared" si="35"/>
        <v>356000</v>
      </c>
      <c r="J366" s="16">
        <f t="shared" si="36"/>
        <v>145497.84383566727</v>
      </c>
    </row>
    <row r="367" spans="2:10" outlineLevel="1" x14ac:dyDescent="0.2">
      <c r="B367" s="44">
        <v>55032</v>
      </c>
      <c r="C367" s="15">
        <f t="shared" si="34"/>
        <v>-119241.26028017738</v>
      </c>
      <c r="D367" s="16">
        <f t="shared" si="32"/>
        <v>-496.83858450073905</v>
      </c>
      <c r="E367" s="21">
        <f t="shared" si="37"/>
        <v>1000</v>
      </c>
      <c r="F367" s="163">
        <v>0</v>
      </c>
      <c r="G367" s="16">
        <f t="shared" si="33"/>
        <v>-120241.26028017738</v>
      </c>
      <c r="I367" s="21">
        <f t="shared" si="35"/>
        <v>357000</v>
      </c>
      <c r="J367" s="16">
        <f t="shared" si="36"/>
        <v>145001.00525116653</v>
      </c>
    </row>
    <row r="368" spans="2:10" outlineLevel="1" x14ac:dyDescent="0.2">
      <c r="B368" s="44">
        <v>55062</v>
      </c>
      <c r="C368" s="15">
        <f t="shared" si="34"/>
        <v>-120241.26028017738</v>
      </c>
      <c r="D368" s="16">
        <f t="shared" si="32"/>
        <v>-501.00525116740573</v>
      </c>
      <c r="E368" s="21">
        <f t="shared" si="37"/>
        <v>1000</v>
      </c>
      <c r="F368" s="162">
        <v>0</v>
      </c>
      <c r="G368" s="16">
        <f t="shared" si="33"/>
        <v>-121241.26028017738</v>
      </c>
      <c r="I368" s="21">
        <f t="shared" si="35"/>
        <v>358000</v>
      </c>
      <c r="J368" s="16">
        <f t="shared" si="36"/>
        <v>144499.99999999913</v>
      </c>
    </row>
    <row r="369" spans="1:10" outlineLevel="1" x14ac:dyDescent="0.2">
      <c r="B369" s="44">
        <v>55093</v>
      </c>
      <c r="C369" s="15">
        <f t="shared" si="34"/>
        <v>-121241.26028017738</v>
      </c>
      <c r="D369" s="16">
        <f t="shared" si="32"/>
        <v>-505.17191783407242</v>
      </c>
      <c r="E369" s="21">
        <f t="shared" si="37"/>
        <v>1000</v>
      </c>
      <c r="F369" s="163">
        <v>0</v>
      </c>
      <c r="G369" s="16">
        <f t="shared" si="33"/>
        <v>-122241.26028017738</v>
      </c>
      <c r="I369" s="21">
        <f t="shared" si="35"/>
        <v>359000</v>
      </c>
      <c r="J369" s="16">
        <f t="shared" si="36"/>
        <v>143994.82808216504</v>
      </c>
    </row>
    <row r="370" spans="1:10" x14ac:dyDescent="0.2">
      <c r="A370" t="s">
        <v>532</v>
      </c>
      <c r="B370" s="44">
        <v>55123</v>
      </c>
      <c r="C370" s="15">
        <f t="shared" si="34"/>
        <v>-122241.26028017738</v>
      </c>
      <c r="D370" s="16">
        <f t="shared" si="32"/>
        <v>-509.33858450073905</v>
      </c>
      <c r="E370" s="21">
        <f t="shared" si="37"/>
        <v>1000</v>
      </c>
      <c r="F370" s="162">
        <v>0</v>
      </c>
      <c r="G370" s="16">
        <f t="shared" si="33"/>
        <v>-123241.26028017738</v>
      </c>
      <c r="I370" s="21">
        <f t="shared" si="35"/>
        <v>360000</v>
      </c>
      <c r="J370" s="16">
        <f t="shared" si="36"/>
        <v>143485.4894976643</v>
      </c>
    </row>
  </sheetData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370"/>
  <sheetViews>
    <sheetView topLeftCell="B1" zoomScale="115" zoomScaleNormal="115" workbookViewId="0">
      <selection activeCell="I17" sqref="I17"/>
    </sheetView>
  </sheetViews>
  <sheetFormatPr baseColWidth="10" defaultColWidth="8.83203125" defaultRowHeight="15" outlineLevelRow="1" x14ac:dyDescent="0.2"/>
  <cols>
    <col min="1" max="1" width="18.1640625" customWidth="1"/>
    <col min="3" max="3" width="14.6640625" customWidth="1"/>
    <col min="4" max="4" width="10.1640625" customWidth="1"/>
    <col min="5" max="5" width="13.33203125" bestFit="1" customWidth="1"/>
    <col min="6" max="6" width="10.5" bestFit="1" customWidth="1"/>
    <col min="7" max="7" width="13.83203125" customWidth="1"/>
    <col min="8" max="8" width="4.5" customWidth="1"/>
    <col min="9" max="10" width="15.6640625" customWidth="1"/>
    <col min="13" max="13" width="10" bestFit="1" customWidth="1"/>
    <col min="14" max="14" width="11.33203125" customWidth="1"/>
    <col min="15" max="15" width="9.83203125" customWidth="1"/>
    <col min="16" max="16" width="10.5" customWidth="1"/>
    <col min="18" max="18" width="11.33203125" customWidth="1"/>
    <col min="20" max="20" width="10.6640625" customWidth="1"/>
    <col min="21" max="21" width="11" customWidth="1"/>
  </cols>
  <sheetData>
    <row r="1" spans="1:21" x14ac:dyDescent="0.2">
      <c r="A1" s="34" t="s">
        <v>528</v>
      </c>
    </row>
    <row r="3" spans="1:21" x14ac:dyDescent="0.2">
      <c r="A3" t="s">
        <v>519</v>
      </c>
      <c r="E3" s="47">
        <v>500000</v>
      </c>
      <c r="I3" t="s">
        <v>530</v>
      </c>
      <c r="L3" t="s">
        <v>519</v>
      </c>
      <c r="P3" s="47">
        <v>500000</v>
      </c>
    </row>
    <row r="4" spans="1:21" x14ac:dyDescent="0.2">
      <c r="A4" t="s">
        <v>520</v>
      </c>
      <c r="E4" s="12">
        <f>30*12</f>
        <v>360</v>
      </c>
      <c r="F4" t="s">
        <v>527</v>
      </c>
      <c r="I4" t="s">
        <v>531</v>
      </c>
      <c r="L4" t="s">
        <v>632</v>
      </c>
      <c r="P4" s="12">
        <v>30</v>
      </c>
    </row>
    <row r="5" spans="1:21" x14ac:dyDescent="0.2">
      <c r="A5" t="s">
        <v>311</v>
      </c>
      <c r="E5" s="51">
        <v>0.05</v>
      </c>
      <c r="L5" t="s">
        <v>311</v>
      </c>
      <c r="P5" s="223">
        <v>4.8568134808930456E-2</v>
      </c>
    </row>
    <row r="6" spans="1:21" x14ac:dyDescent="0.2">
      <c r="A6" t="s">
        <v>310</v>
      </c>
      <c r="E6" s="6">
        <f>E5/12</f>
        <v>4.1666666666666666E-3</v>
      </c>
      <c r="L6" t="s">
        <v>310</v>
      </c>
      <c r="P6" s="6">
        <f>P5/12</f>
        <v>4.0473445674108714E-3</v>
      </c>
    </row>
    <row r="7" spans="1:21" x14ac:dyDescent="0.2">
      <c r="A7" t="s">
        <v>529</v>
      </c>
      <c r="E7" s="6">
        <f>(1+E5/12)^12-1</f>
        <v>5.116189788173342E-2</v>
      </c>
      <c r="L7" t="s">
        <v>633</v>
      </c>
      <c r="P7" s="6">
        <f>(1+P5/12)^12-1</f>
        <v>4.9664000270709607E-2</v>
      </c>
    </row>
    <row r="8" spans="1:21" x14ac:dyDescent="0.2">
      <c r="A8" t="s">
        <v>137</v>
      </c>
      <c r="E8" s="50">
        <f>-PMT(E5/12,E4,E3)</f>
        <v>2684.1081150606951</v>
      </c>
      <c r="L8" t="s">
        <v>137</v>
      </c>
      <c r="P8" s="50">
        <f>-PMT(P7,P4,P3)</f>
        <v>32401.246409372241</v>
      </c>
    </row>
    <row r="9" spans="1:21" ht="26.25" customHeight="1" x14ac:dyDescent="0.2">
      <c r="D9">
        <f>E3*E9</f>
        <v>2684.1081150606906</v>
      </c>
      <c r="E9" s="164">
        <f>((E6*(1+E6)^E4)/((1+E6)^E4-1))</f>
        <v>5.3682162301213815E-3</v>
      </c>
    </row>
    <row r="10" spans="1:21" ht="48" x14ac:dyDescent="0.2">
      <c r="B10" s="3" t="s">
        <v>136</v>
      </c>
      <c r="C10" s="48" t="s">
        <v>135</v>
      </c>
      <c r="D10" s="48" t="s">
        <v>133</v>
      </c>
      <c r="E10" s="48" t="s">
        <v>134</v>
      </c>
      <c r="F10" s="161" t="s">
        <v>132</v>
      </c>
      <c r="G10" s="48" t="s">
        <v>131</v>
      </c>
      <c r="H10" s="3"/>
      <c r="I10" s="48" t="s">
        <v>130</v>
      </c>
      <c r="J10" s="48" t="s">
        <v>129</v>
      </c>
      <c r="M10" s="3" t="s">
        <v>136</v>
      </c>
      <c r="N10" s="48" t="s">
        <v>135</v>
      </c>
      <c r="O10" s="48" t="s">
        <v>133</v>
      </c>
      <c r="P10" s="48" t="s">
        <v>134</v>
      </c>
      <c r="Q10" s="161" t="s">
        <v>132</v>
      </c>
      <c r="R10" s="48" t="s">
        <v>131</v>
      </c>
      <c r="S10" s="3"/>
      <c r="T10" s="48" t="s">
        <v>130</v>
      </c>
      <c r="U10" s="48" t="s">
        <v>129</v>
      </c>
    </row>
    <row r="11" spans="1:21" x14ac:dyDescent="0.2">
      <c r="B11" s="44">
        <v>44197</v>
      </c>
      <c r="C11" s="160">
        <f>E3</f>
        <v>500000</v>
      </c>
      <c r="D11" s="16">
        <f>C11*E$6</f>
        <v>2083.3333333333335</v>
      </c>
      <c r="E11" s="21">
        <f>E$8-D11</f>
        <v>600.77478172736164</v>
      </c>
      <c r="F11" s="162">
        <v>0</v>
      </c>
      <c r="G11" s="16">
        <f t="shared" ref="G11:G42" si="0">C11-E11-F11</f>
        <v>499399.22521827265</v>
      </c>
      <c r="I11" s="21">
        <f>E11</f>
        <v>600.77478172736164</v>
      </c>
      <c r="J11" s="16">
        <f>D11</f>
        <v>2083.3333333333335</v>
      </c>
      <c r="M11" s="220">
        <v>2021</v>
      </c>
      <c r="N11" s="160">
        <f>E3</f>
        <v>500000</v>
      </c>
      <c r="O11" s="16">
        <f>N11*P$7</f>
        <v>24832.000135354803</v>
      </c>
      <c r="P11" s="21">
        <f>P$8-O11</f>
        <v>7569.2462740174378</v>
      </c>
      <c r="Q11" s="162">
        <v>0</v>
      </c>
      <c r="R11" s="16">
        <f t="shared" ref="R11:R40" si="1">N11-P11-Q11</f>
        <v>492430.75372598256</v>
      </c>
      <c r="T11" s="221">
        <f>P11</f>
        <v>7569.2462740174378</v>
      </c>
      <c r="U11" s="222">
        <f>O11</f>
        <v>24832.000135354803</v>
      </c>
    </row>
    <row r="12" spans="1:21" x14ac:dyDescent="0.2">
      <c r="B12" s="44">
        <v>44228</v>
      </c>
      <c r="C12" s="15">
        <f t="shared" ref="C12:C43" si="2">G11</f>
        <v>499399.22521827265</v>
      </c>
      <c r="D12" s="16">
        <f>C12*E$6</f>
        <v>2080.8301050761361</v>
      </c>
      <c r="E12" s="21">
        <f>E$8-D12</f>
        <v>603.27800998455905</v>
      </c>
      <c r="F12" s="163">
        <v>0</v>
      </c>
      <c r="G12" s="16">
        <f t="shared" si="0"/>
        <v>498795.94720828807</v>
      </c>
      <c r="I12" s="21">
        <f t="shared" ref="I12:I43" si="3">I11+E12</f>
        <v>1204.0527917119207</v>
      </c>
      <c r="J12" s="16">
        <f t="shared" ref="J12:J43" si="4">J11+D12</f>
        <v>4164.1634384094696</v>
      </c>
      <c r="M12" s="220">
        <v>2022</v>
      </c>
      <c r="N12" s="15">
        <f t="shared" ref="N12:N40" si="5">R11</f>
        <v>492430.75372598256</v>
      </c>
      <c r="O12" s="16">
        <f>N12*P$7</f>
        <v>24456.081086352933</v>
      </c>
      <c r="P12" s="21">
        <f>P$8-O12</f>
        <v>7945.1653230193078</v>
      </c>
      <c r="Q12" s="163">
        <v>0</v>
      </c>
      <c r="R12" s="16">
        <f t="shared" si="1"/>
        <v>484485.58840296324</v>
      </c>
      <c r="T12" s="221">
        <f t="shared" ref="T12:T40" si="6">T11+P12</f>
        <v>15514.411597036746</v>
      </c>
      <c r="U12" s="222">
        <f t="shared" ref="U12:U40" si="7">U11+O12</f>
        <v>49288.081221707733</v>
      </c>
    </row>
    <row r="13" spans="1:21" x14ac:dyDescent="0.2">
      <c r="B13" s="44">
        <v>44256</v>
      </c>
      <c r="C13" s="15">
        <f t="shared" si="2"/>
        <v>498795.94720828807</v>
      </c>
      <c r="D13" s="16">
        <f t="shared" ref="D13:D69" si="8">C13*E$6</f>
        <v>2078.3164467012002</v>
      </c>
      <c r="E13" s="21">
        <f t="shared" ref="E13:E42" si="9">E$8-D13</f>
        <v>605.79166835949491</v>
      </c>
      <c r="F13" s="163">
        <v>0</v>
      </c>
      <c r="G13" s="16">
        <f t="shared" si="0"/>
        <v>498190.15553992859</v>
      </c>
      <c r="I13" s="21">
        <f t="shared" si="3"/>
        <v>1809.8444600714156</v>
      </c>
      <c r="J13" s="16">
        <f t="shared" si="4"/>
        <v>6242.4798851106698</v>
      </c>
      <c r="M13" s="220">
        <v>2023</v>
      </c>
      <c r="N13" s="15">
        <f t="shared" si="5"/>
        <v>484485.58840296324</v>
      </c>
      <c r="O13" s="16">
        <f t="shared" ref="O13:O40" si="10">N13*P$7</f>
        <v>24061.49239359967</v>
      </c>
      <c r="P13" s="21">
        <f t="shared" ref="P13:P40" si="11">P$8-O13</f>
        <v>8339.7540157725707</v>
      </c>
      <c r="Q13" s="163">
        <v>0</v>
      </c>
      <c r="R13" s="16">
        <f t="shared" si="1"/>
        <v>476145.8343871907</v>
      </c>
      <c r="T13" s="21">
        <f t="shared" si="6"/>
        <v>23854.165612809316</v>
      </c>
      <c r="U13" s="16">
        <f t="shared" si="7"/>
        <v>73349.573615307396</v>
      </c>
    </row>
    <row r="14" spans="1:21" x14ac:dyDescent="0.2">
      <c r="B14" s="44">
        <v>44287</v>
      </c>
      <c r="C14" s="15">
        <f t="shared" si="2"/>
        <v>498190.15553992859</v>
      </c>
      <c r="D14" s="16">
        <f t="shared" si="8"/>
        <v>2075.7923147497022</v>
      </c>
      <c r="E14" s="21">
        <f t="shared" si="9"/>
        <v>608.31580031099293</v>
      </c>
      <c r="F14" s="163">
        <v>0</v>
      </c>
      <c r="G14" s="16">
        <f t="shared" si="0"/>
        <v>497581.8397396176</v>
      </c>
      <c r="I14" s="21">
        <f t="shared" si="3"/>
        <v>2418.1602603824085</v>
      </c>
      <c r="J14" s="16">
        <f t="shared" si="4"/>
        <v>8318.272199860372</v>
      </c>
      <c r="M14" s="220">
        <v>2024</v>
      </c>
      <c r="N14" s="15">
        <f t="shared" si="5"/>
        <v>476145.8343871907</v>
      </c>
      <c r="O14" s="16">
        <f t="shared" si="10"/>
        <v>23647.306847902692</v>
      </c>
      <c r="P14" s="21">
        <f t="shared" si="11"/>
        <v>8753.9395614695495</v>
      </c>
      <c r="Q14" s="163">
        <v>0</v>
      </c>
      <c r="R14" s="16">
        <f t="shared" si="1"/>
        <v>467391.89482572116</v>
      </c>
      <c r="T14" s="21">
        <f t="shared" si="6"/>
        <v>32608.105174278866</v>
      </c>
      <c r="U14" s="16">
        <f t="shared" si="7"/>
        <v>96996.88046321008</v>
      </c>
    </row>
    <row r="15" spans="1:21" x14ac:dyDescent="0.2">
      <c r="B15" s="44">
        <v>44317</v>
      </c>
      <c r="C15" s="15">
        <f t="shared" si="2"/>
        <v>497581.8397396176</v>
      </c>
      <c r="D15" s="16">
        <f t="shared" si="8"/>
        <v>2073.2576655817402</v>
      </c>
      <c r="E15" s="21">
        <f t="shared" si="9"/>
        <v>610.85044947895494</v>
      </c>
      <c r="F15" s="163">
        <v>0</v>
      </c>
      <c r="G15" s="16">
        <f t="shared" si="0"/>
        <v>496970.98929013865</v>
      </c>
      <c r="I15" s="21">
        <f t="shared" si="3"/>
        <v>3029.0107098613635</v>
      </c>
      <c r="J15" s="16">
        <f t="shared" si="4"/>
        <v>10391.529865442113</v>
      </c>
      <c r="M15" s="220">
        <v>2025</v>
      </c>
      <c r="N15" s="15">
        <f t="shared" si="5"/>
        <v>467391.89482572116</v>
      </c>
      <c r="O15" s="16">
        <f t="shared" si="10"/>
        <v>23212.551191152092</v>
      </c>
      <c r="P15" s="21">
        <f t="shared" si="11"/>
        <v>9188.6952182201494</v>
      </c>
      <c r="Q15" s="163">
        <v>0</v>
      </c>
      <c r="R15" s="16">
        <f t="shared" si="1"/>
        <v>458203.19960750104</v>
      </c>
      <c r="T15" s="21">
        <f t="shared" si="6"/>
        <v>41796.800392499019</v>
      </c>
      <c r="U15" s="16">
        <f t="shared" si="7"/>
        <v>120209.43165436217</v>
      </c>
    </row>
    <row r="16" spans="1:21" x14ac:dyDescent="0.2">
      <c r="B16" s="44">
        <v>44348</v>
      </c>
      <c r="C16" s="15">
        <f t="shared" si="2"/>
        <v>496970.98929013865</v>
      </c>
      <c r="D16" s="16">
        <f t="shared" si="8"/>
        <v>2070.7124553755775</v>
      </c>
      <c r="E16" s="21">
        <f t="shared" si="9"/>
        <v>613.39565968511761</v>
      </c>
      <c r="F16" s="163">
        <v>0</v>
      </c>
      <c r="G16" s="16">
        <f t="shared" si="0"/>
        <v>496357.59363045351</v>
      </c>
      <c r="I16" s="21">
        <f t="shared" si="3"/>
        <v>3642.4063695464811</v>
      </c>
      <c r="J16" s="16">
        <f t="shared" si="4"/>
        <v>12462.242320817692</v>
      </c>
      <c r="M16" s="220">
        <v>2026</v>
      </c>
      <c r="N16" s="15">
        <f t="shared" si="5"/>
        <v>458203.19960750104</v>
      </c>
      <c r="O16" s="16">
        <f t="shared" si="10"/>
        <v>22756.203829346941</v>
      </c>
      <c r="P16" s="21">
        <f t="shared" si="11"/>
        <v>9645.0425800252997</v>
      </c>
      <c r="Q16" s="163">
        <v>0</v>
      </c>
      <c r="R16" s="16">
        <f t="shared" si="1"/>
        <v>448558.15702747577</v>
      </c>
      <c r="T16" s="21">
        <f t="shared" si="6"/>
        <v>51441.842972524319</v>
      </c>
      <c r="U16" s="16">
        <f t="shared" si="7"/>
        <v>142965.63548370911</v>
      </c>
    </row>
    <row r="17" spans="2:21" x14ac:dyDescent="0.2">
      <c r="B17" s="44">
        <v>44378</v>
      </c>
      <c r="C17" s="15">
        <f t="shared" si="2"/>
        <v>496357.59363045351</v>
      </c>
      <c r="D17" s="16">
        <f t="shared" si="8"/>
        <v>2068.1566401268897</v>
      </c>
      <c r="E17" s="21">
        <f t="shared" si="9"/>
        <v>615.95147493380546</v>
      </c>
      <c r="F17" s="163">
        <v>0</v>
      </c>
      <c r="G17" s="16">
        <f t="shared" si="0"/>
        <v>495741.64215551969</v>
      </c>
      <c r="I17" s="21">
        <f t="shared" si="3"/>
        <v>4258.3578444802861</v>
      </c>
      <c r="J17" s="16">
        <f t="shared" si="4"/>
        <v>14530.398960944582</v>
      </c>
      <c r="M17" s="220">
        <v>2027</v>
      </c>
      <c r="N17" s="15">
        <f t="shared" si="5"/>
        <v>448558.15702747577</v>
      </c>
      <c r="O17" s="16">
        <f t="shared" si="10"/>
        <v>22277.19243204156</v>
      </c>
      <c r="P17" s="21">
        <f t="shared" si="11"/>
        <v>10124.053977330681</v>
      </c>
      <c r="Q17" s="163">
        <v>0</v>
      </c>
      <c r="R17" s="16">
        <f t="shared" si="1"/>
        <v>438434.10305014509</v>
      </c>
      <c r="T17" s="21">
        <f t="shared" si="6"/>
        <v>61565.896949855</v>
      </c>
      <c r="U17" s="16">
        <f t="shared" si="7"/>
        <v>165242.82791575068</v>
      </c>
    </row>
    <row r="18" spans="2:21" x14ac:dyDescent="0.2">
      <c r="B18" s="44">
        <v>44409</v>
      </c>
      <c r="C18" s="15">
        <f t="shared" si="2"/>
        <v>495741.64215551969</v>
      </c>
      <c r="D18" s="16">
        <f t="shared" si="8"/>
        <v>2065.5901756479989</v>
      </c>
      <c r="E18" s="21">
        <f t="shared" si="9"/>
        <v>618.51793941269625</v>
      </c>
      <c r="F18" s="163">
        <v>0</v>
      </c>
      <c r="G18" s="16">
        <f t="shared" si="0"/>
        <v>495123.12421610701</v>
      </c>
      <c r="I18" s="21">
        <f t="shared" si="3"/>
        <v>4876.8757838929823</v>
      </c>
      <c r="J18" s="16">
        <f t="shared" si="4"/>
        <v>16595.98913659258</v>
      </c>
      <c r="M18" s="220">
        <v>2028</v>
      </c>
      <c r="N18" s="15">
        <f t="shared" si="5"/>
        <v>438434.10305014509</v>
      </c>
      <c r="O18" s="16">
        <f t="shared" si="10"/>
        <v>21774.391412570731</v>
      </c>
      <c r="P18" s="21">
        <f t="shared" si="11"/>
        <v>10626.85499680151</v>
      </c>
      <c r="Q18" s="163">
        <v>0</v>
      </c>
      <c r="R18" s="16">
        <f t="shared" si="1"/>
        <v>427807.24805334356</v>
      </c>
      <c r="T18" s="21">
        <f t="shared" si="6"/>
        <v>72192.751946656514</v>
      </c>
      <c r="U18" s="16">
        <f t="shared" si="7"/>
        <v>187017.2193283214</v>
      </c>
    </row>
    <row r="19" spans="2:21" x14ac:dyDescent="0.2">
      <c r="B19" s="44">
        <v>44440</v>
      </c>
      <c r="C19" s="15">
        <f t="shared" si="2"/>
        <v>495123.12421610701</v>
      </c>
      <c r="D19" s="16">
        <f t="shared" si="8"/>
        <v>2063.0130175671125</v>
      </c>
      <c r="E19" s="21">
        <f t="shared" si="9"/>
        <v>621.09509749358267</v>
      </c>
      <c r="F19" s="163">
        <v>0</v>
      </c>
      <c r="G19" s="16">
        <f t="shared" si="0"/>
        <v>494502.02911861346</v>
      </c>
      <c r="I19" s="21">
        <f t="shared" si="3"/>
        <v>5497.9708813865655</v>
      </c>
      <c r="J19" s="16">
        <f t="shared" si="4"/>
        <v>18659.002154159691</v>
      </c>
      <c r="M19" s="220">
        <v>2029</v>
      </c>
      <c r="N19" s="15">
        <f t="shared" si="5"/>
        <v>427807.24805334356</v>
      </c>
      <c r="O19" s="16">
        <f t="shared" si="10"/>
        <v>21246.619283132786</v>
      </c>
      <c r="P19" s="21">
        <f t="shared" si="11"/>
        <v>11154.627126239455</v>
      </c>
      <c r="Q19" s="163">
        <v>0</v>
      </c>
      <c r="R19" s="16">
        <f t="shared" si="1"/>
        <v>416652.62092710409</v>
      </c>
      <c r="T19" s="21">
        <f t="shared" si="6"/>
        <v>83347.379072895972</v>
      </c>
      <c r="U19" s="16">
        <f t="shared" si="7"/>
        <v>208263.83861145418</v>
      </c>
    </row>
    <row r="20" spans="2:21" x14ac:dyDescent="0.2">
      <c r="B20" s="44">
        <v>44470</v>
      </c>
      <c r="C20" s="15">
        <f t="shared" si="2"/>
        <v>494502.02911861346</v>
      </c>
      <c r="D20" s="16">
        <f t="shared" si="8"/>
        <v>2060.4251213275561</v>
      </c>
      <c r="E20" s="21">
        <f t="shared" si="9"/>
        <v>623.68299373313903</v>
      </c>
      <c r="F20" s="163">
        <v>0</v>
      </c>
      <c r="G20" s="16">
        <f t="shared" si="0"/>
        <v>493878.34612488031</v>
      </c>
      <c r="I20" s="21">
        <f t="shared" si="3"/>
        <v>6121.653875119704</v>
      </c>
      <c r="J20" s="16">
        <f t="shared" si="4"/>
        <v>20719.427275487247</v>
      </c>
      <c r="M20" s="220">
        <v>2030</v>
      </c>
      <c r="N20" s="15">
        <f t="shared" si="5"/>
        <v>416652.62092710409</v>
      </c>
      <c r="O20" s="16">
        <f t="shared" si="10"/>
        <v>20692.635878515564</v>
      </c>
      <c r="P20" s="21">
        <f t="shared" si="11"/>
        <v>11708.610530856677</v>
      </c>
      <c r="Q20" s="163">
        <v>0</v>
      </c>
      <c r="R20" s="16">
        <f t="shared" si="1"/>
        <v>404944.01039624738</v>
      </c>
      <c r="T20" s="21">
        <f t="shared" si="6"/>
        <v>95055.989603752649</v>
      </c>
      <c r="U20" s="16">
        <f t="shared" si="7"/>
        <v>228956.47448996975</v>
      </c>
    </row>
    <row r="21" spans="2:21" x14ac:dyDescent="0.2">
      <c r="B21" s="44">
        <v>44501</v>
      </c>
      <c r="C21" s="15">
        <f t="shared" si="2"/>
        <v>493878.34612488031</v>
      </c>
      <c r="D21" s="16">
        <f t="shared" si="8"/>
        <v>2057.8264421870012</v>
      </c>
      <c r="E21" s="21">
        <f t="shared" si="9"/>
        <v>626.28167287369388</v>
      </c>
      <c r="F21" s="163">
        <v>0</v>
      </c>
      <c r="G21" s="16">
        <f t="shared" si="0"/>
        <v>493252.0644520066</v>
      </c>
      <c r="I21" s="21">
        <f t="shared" si="3"/>
        <v>6747.9355479933984</v>
      </c>
      <c r="J21" s="16">
        <f t="shared" si="4"/>
        <v>22777.253717674248</v>
      </c>
      <c r="M21" s="220">
        <v>2031</v>
      </c>
      <c r="N21" s="15">
        <f t="shared" si="5"/>
        <v>404944.01039624738</v>
      </c>
      <c r="O21" s="16">
        <f t="shared" si="10"/>
        <v>20111.139441941465</v>
      </c>
      <c r="P21" s="21">
        <f t="shared" si="11"/>
        <v>12290.106967430776</v>
      </c>
      <c r="Q21" s="163">
        <v>0</v>
      </c>
      <c r="R21" s="16">
        <f t="shared" si="1"/>
        <v>392653.90342881659</v>
      </c>
      <c r="T21" s="21">
        <f t="shared" si="6"/>
        <v>107346.09657118343</v>
      </c>
      <c r="U21" s="16">
        <f t="shared" si="7"/>
        <v>249067.61393191121</v>
      </c>
    </row>
    <row r="22" spans="2:21" x14ac:dyDescent="0.2">
      <c r="B22" s="44">
        <v>44531</v>
      </c>
      <c r="C22" s="15">
        <f t="shared" si="2"/>
        <v>493252.0644520066</v>
      </c>
      <c r="D22" s="16">
        <f t="shared" si="8"/>
        <v>2055.2169352166943</v>
      </c>
      <c r="E22" s="21">
        <f t="shared" si="9"/>
        <v>628.89117984400082</v>
      </c>
      <c r="F22" s="163">
        <v>0</v>
      </c>
      <c r="G22" s="16">
        <f t="shared" si="0"/>
        <v>492623.17327216262</v>
      </c>
      <c r="I22" s="221">
        <f t="shared" si="3"/>
        <v>7376.8267278373987</v>
      </c>
      <c r="J22" s="222">
        <f t="shared" si="4"/>
        <v>24832.470652890941</v>
      </c>
      <c r="M22" s="220">
        <v>2032</v>
      </c>
      <c r="N22" s="15">
        <f t="shared" si="5"/>
        <v>392653.90342881659</v>
      </c>
      <c r="O22" s="16">
        <f t="shared" si="10"/>
        <v>19500.76356618393</v>
      </c>
      <c r="P22" s="21">
        <f t="shared" si="11"/>
        <v>12900.482843188311</v>
      </c>
      <c r="Q22" s="163">
        <v>0</v>
      </c>
      <c r="R22" s="16">
        <f t="shared" si="1"/>
        <v>379753.42058562825</v>
      </c>
      <c r="T22" s="21">
        <f t="shared" si="6"/>
        <v>120246.57941437174</v>
      </c>
      <c r="U22" s="16">
        <f t="shared" si="7"/>
        <v>268568.37749809516</v>
      </c>
    </row>
    <row r="23" spans="2:21" x14ac:dyDescent="0.2">
      <c r="B23" s="44">
        <v>44562</v>
      </c>
      <c r="C23" s="15">
        <f t="shared" si="2"/>
        <v>492623.17327216262</v>
      </c>
      <c r="D23" s="16">
        <f t="shared" si="8"/>
        <v>2052.5965553006777</v>
      </c>
      <c r="E23" s="21">
        <f t="shared" si="9"/>
        <v>631.51155976001746</v>
      </c>
      <c r="F23" s="163">
        <v>0</v>
      </c>
      <c r="G23" s="16">
        <f t="shared" si="0"/>
        <v>491991.66171240259</v>
      </c>
      <c r="I23" s="21">
        <f t="shared" si="3"/>
        <v>8008.3382875974166</v>
      </c>
      <c r="J23" s="16">
        <f t="shared" si="4"/>
        <v>26885.06720819162</v>
      </c>
      <c r="M23" s="220">
        <v>2033</v>
      </c>
      <c r="N23" s="15">
        <f t="shared" si="5"/>
        <v>379753.42058562825</v>
      </c>
      <c r="O23" s="16">
        <f t="shared" si="10"/>
        <v>18860.073982767542</v>
      </c>
      <c r="P23" s="21">
        <f t="shared" si="11"/>
        <v>13541.172426604699</v>
      </c>
      <c r="Q23" s="163">
        <v>0</v>
      </c>
      <c r="R23" s="16">
        <f t="shared" si="1"/>
        <v>366212.24815902353</v>
      </c>
      <c r="T23" s="21">
        <f t="shared" si="6"/>
        <v>133787.75184097645</v>
      </c>
      <c r="U23" s="16">
        <f t="shared" si="7"/>
        <v>287428.45148086268</v>
      </c>
    </row>
    <row r="24" spans="2:21" x14ac:dyDescent="0.2">
      <c r="B24" s="44">
        <v>44593</v>
      </c>
      <c r="C24" s="15">
        <f t="shared" si="2"/>
        <v>491991.66171240259</v>
      </c>
      <c r="D24" s="16">
        <f t="shared" si="8"/>
        <v>2049.9652571350107</v>
      </c>
      <c r="E24" s="21">
        <f t="shared" si="9"/>
        <v>634.14285792568444</v>
      </c>
      <c r="F24" s="163">
        <v>0</v>
      </c>
      <c r="G24" s="16">
        <f t="shared" si="0"/>
        <v>491357.51885447692</v>
      </c>
      <c r="I24" s="21">
        <f t="shared" si="3"/>
        <v>8642.4811455231011</v>
      </c>
      <c r="J24" s="16">
        <f t="shared" si="4"/>
        <v>28935.032465326629</v>
      </c>
      <c r="M24" s="220">
        <v>2034</v>
      </c>
      <c r="N24" s="15">
        <f t="shared" si="5"/>
        <v>366212.24815902353</v>
      </c>
      <c r="O24" s="16">
        <f t="shared" si="10"/>
        <v>18187.565191706919</v>
      </c>
      <c r="P24" s="21">
        <f t="shared" si="11"/>
        <v>14213.681217665322</v>
      </c>
      <c r="Q24" s="163">
        <v>0</v>
      </c>
      <c r="R24" s="16">
        <f t="shared" si="1"/>
        <v>351998.56694135821</v>
      </c>
      <c r="T24" s="21">
        <f t="shared" si="6"/>
        <v>148001.43305864176</v>
      </c>
      <c r="U24" s="16">
        <f t="shared" si="7"/>
        <v>305616.01667256962</v>
      </c>
    </row>
    <row r="25" spans="2:21" x14ac:dyDescent="0.2">
      <c r="B25" s="44">
        <v>44621</v>
      </c>
      <c r="C25" s="15">
        <f t="shared" si="2"/>
        <v>491357.51885447692</v>
      </c>
      <c r="D25" s="16">
        <f t="shared" si="8"/>
        <v>2047.3229952269871</v>
      </c>
      <c r="E25" s="21">
        <f t="shared" si="9"/>
        <v>636.78511983370799</v>
      </c>
      <c r="F25" s="163">
        <v>0</v>
      </c>
      <c r="G25" s="16">
        <f t="shared" si="0"/>
        <v>490720.7337346432</v>
      </c>
      <c r="I25" s="21">
        <f t="shared" si="3"/>
        <v>9279.2662653568095</v>
      </c>
      <c r="J25" s="16">
        <f t="shared" si="4"/>
        <v>30982.355460553616</v>
      </c>
      <c r="M25" s="220">
        <v>2035</v>
      </c>
      <c r="N25" s="15">
        <f t="shared" si="5"/>
        <v>351998.56694135821</v>
      </c>
      <c r="O25" s="16">
        <f t="shared" si="10"/>
        <v>17481.656923865008</v>
      </c>
      <c r="P25" s="21">
        <f t="shared" si="11"/>
        <v>14919.589485507233</v>
      </c>
      <c r="Q25" s="163">
        <v>0</v>
      </c>
      <c r="R25" s="16">
        <f t="shared" si="1"/>
        <v>337078.97745585098</v>
      </c>
      <c r="T25" s="21">
        <f t="shared" si="6"/>
        <v>162921.02254414899</v>
      </c>
      <c r="U25" s="16">
        <f t="shared" si="7"/>
        <v>323097.67359643464</v>
      </c>
    </row>
    <row r="26" spans="2:21" x14ac:dyDescent="0.2">
      <c r="B26" s="44">
        <v>44652</v>
      </c>
      <c r="C26" s="15">
        <f t="shared" si="2"/>
        <v>490720.7337346432</v>
      </c>
      <c r="D26" s="16">
        <f t="shared" si="8"/>
        <v>2044.6697238943466</v>
      </c>
      <c r="E26" s="21">
        <f t="shared" si="9"/>
        <v>639.43839116634854</v>
      </c>
      <c r="F26" s="163">
        <v>0</v>
      </c>
      <c r="G26" s="16">
        <f t="shared" si="0"/>
        <v>490081.29534347687</v>
      </c>
      <c r="I26" s="21">
        <f t="shared" si="3"/>
        <v>9918.7046565231576</v>
      </c>
      <c r="J26" s="16">
        <f t="shared" si="4"/>
        <v>33027.025184447964</v>
      </c>
      <c r="M26" s="220">
        <v>2036</v>
      </c>
      <c r="N26" s="15">
        <f t="shared" si="5"/>
        <v>337078.97745585098</v>
      </c>
      <c r="O26" s="16">
        <f t="shared" si="10"/>
        <v>16740.690427617901</v>
      </c>
      <c r="P26" s="21">
        <f t="shared" si="11"/>
        <v>15660.55598175434</v>
      </c>
      <c r="Q26" s="163">
        <v>0</v>
      </c>
      <c r="R26" s="16">
        <f t="shared" si="1"/>
        <v>321418.42147409666</v>
      </c>
      <c r="T26" s="21">
        <f t="shared" si="6"/>
        <v>178581.57852590334</v>
      </c>
      <c r="U26" s="16">
        <f t="shared" si="7"/>
        <v>339838.36402405257</v>
      </c>
    </row>
    <row r="27" spans="2:21" x14ac:dyDescent="0.2">
      <c r="B27" s="44">
        <v>44682</v>
      </c>
      <c r="C27" s="15">
        <f t="shared" si="2"/>
        <v>490081.29534347687</v>
      </c>
      <c r="D27" s="16">
        <f t="shared" si="8"/>
        <v>2042.0053972644869</v>
      </c>
      <c r="E27" s="21">
        <f t="shared" si="9"/>
        <v>642.10271779620825</v>
      </c>
      <c r="F27" s="163">
        <v>0</v>
      </c>
      <c r="G27" s="16">
        <f t="shared" si="0"/>
        <v>489439.19262568065</v>
      </c>
      <c r="I27" s="21">
        <f t="shared" si="3"/>
        <v>10560.807374319365</v>
      </c>
      <c r="J27" s="16">
        <f t="shared" si="4"/>
        <v>35069.030581712454</v>
      </c>
      <c r="M27" s="220">
        <v>2037</v>
      </c>
      <c r="N27" s="15">
        <f t="shared" si="5"/>
        <v>321418.42147409666</v>
      </c>
      <c r="O27" s="16">
        <f t="shared" si="10"/>
        <v>15962.924571100591</v>
      </c>
      <c r="P27" s="21">
        <f t="shared" si="11"/>
        <v>16438.321838271651</v>
      </c>
      <c r="Q27" s="163">
        <v>0</v>
      </c>
      <c r="R27" s="16">
        <f t="shared" si="1"/>
        <v>304980.09963582503</v>
      </c>
      <c r="T27" s="21">
        <f t="shared" si="6"/>
        <v>195019.900364175</v>
      </c>
      <c r="U27" s="16">
        <f t="shared" si="7"/>
        <v>355801.28859515314</v>
      </c>
    </row>
    <row r="28" spans="2:21" x14ac:dyDescent="0.2">
      <c r="B28" s="44">
        <v>44713</v>
      </c>
      <c r="C28" s="15">
        <f t="shared" si="2"/>
        <v>489439.19262568065</v>
      </c>
      <c r="D28" s="16">
        <f t="shared" si="8"/>
        <v>2039.3299692736693</v>
      </c>
      <c r="E28" s="21">
        <f t="shared" si="9"/>
        <v>644.77814578702578</v>
      </c>
      <c r="F28" s="163">
        <v>0</v>
      </c>
      <c r="G28" s="16">
        <f t="shared" si="0"/>
        <v>488794.41447989363</v>
      </c>
      <c r="I28" s="21">
        <f t="shared" si="3"/>
        <v>11205.585520106391</v>
      </c>
      <c r="J28" s="16">
        <f t="shared" si="4"/>
        <v>37108.360550986123</v>
      </c>
      <c r="M28" s="220">
        <v>2038</v>
      </c>
      <c r="N28" s="15">
        <f t="shared" si="5"/>
        <v>304980.09963582503</v>
      </c>
      <c r="O28" s="16">
        <f t="shared" si="10"/>
        <v>15146.531750874658</v>
      </c>
      <c r="P28" s="21">
        <f t="shared" si="11"/>
        <v>17254.714658497585</v>
      </c>
      <c r="Q28" s="163">
        <v>0</v>
      </c>
      <c r="R28" s="16">
        <f t="shared" si="1"/>
        <v>287725.38497732743</v>
      </c>
      <c r="T28" s="21">
        <f t="shared" si="6"/>
        <v>212274.61502267257</v>
      </c>
      <c r="U28" s="16">
        <f t="shared" si="7"/>
        <v>370947.82034602779</v>
      </c>
    </row>
    <row r="29" spans="2:21" x14ac:dyDescent="0.2">
      <c r="B29" s="44">
        <v>44743</v>
      </c>
      <c r="C29" s="15">
        <f t="shared" si="2"/>
        <v>488794.41447989363</v>
      </c>
      <c r="D29" s="16">
        <f t="shared" si="8"/>
        <v>2036.6433936662233</v>
      </c>
      <c r="E29" s="21">
        <f t="shared" si="9"/>
        <v>647.46472139447178</v>
      </c>
      <c r="F29" s="163">
        <v>0</v>
      </c>
      <c r="G29" s="16">
        <f t="shared" si="0"/>
        <v>488146.94975849916</v>
      </c>
      <c r="I29" s="21">
        <f t="shared" si="3"/>
        <v>11853.050241500863</v>
      </c>
      <c r="J29" s="16">
        <f t="shared" si="4"/>
        <v>39145.003944652344</v>
      </c>
      <c r="M29" s="220">
        <v>2039</v>
      </c>
      <c r="N29" s="15">
        <f t="shared" si="5"/>
        <v>287725.38497732743</v>
      </c>
      <c r="O29" s="16">
        <f t="shared" si="10"/>
        <v>14289.593597404015</v>
      </c>
      <c r="P29" s="21">
        <f t="shared" si="11"/>
        <v>18111.652811968226</v>
      </c>
      <c r="Q29" s="163">
        <v>0</v>
      </c>
      <c r="R29" s="16">
        <f t="shared" si="1"/>
        <v>269613.73216535919</v>
      </c>
      <c r="T29" s="21">
        <f t="shared" si="6"/>
        <v>230386.26783464081</v>
      </c>
      <c r="U29" s="16">
        <f t="shared" si="7"/>
        <v>385237.41394343181</v>
      </c>
    </row>
    <row r="30" spans="2:21" x14ac:dyDescent="0.2">
      <c r="B30" s="44">
        <v>44774</v>
      </c>
      <c r="C30" s="15">
        <f t="shared" si="2"/>
        <v>488146.94975849916</v>
      </c>
      <c r="D30" s="16">
        <f t="shared" si="8"/>
        <v>2033.9456239937465</v>
      </c>
      <c r="E30" s="21">
        <f t="shared" si="9"/>
        <v>650.16249106694863</v>
      </c>
      <c r="F30" s="163">
        <v>0</v>
      </c>
      <c r="G30" s="16">
        <f t="shared" si="0"/>
        <v>487496.7872674322</v>
      </c>
      <c r="I30" s="21">
        <f t="shared" si="3"/>
        <v>12503.212732567812</v>
      </c>
      <c r="J30" s="16">
        <f t="shared" si="4"/>
        <v>41178.949568646094</v>
      </c>
      <c r="M30" s="220">
        <v>2040</v>
      </c>
      <c r="N30" s="15">
        <f t="shared" si="5"/>
        <v>269613.73216535919</v>
      </c>
      <c r="O30" s="16">
        <f t="shared" si="10"/>
        <v>13390.096467247427</v>
      </c>
      <c r="P30" s="21">
        <f t="shared" si="11"/>
        <v>19011.149942124815</v>
      </c>
      <c r="Q30" s="163">
        <v>0</v>
      </c>
      <c r="R30" s="16">
        <f t="shared" si="1"/>
        <v>250602.58222323438</v>
      </c>
      <c r="T30" s="21">
        <f t="shared" si="6"/>
        <v>249397.41777676562</v>
      </c>
      <c r="U30" s="16">
        <f t="shared" si="7"/>
        <v>398627.51041067921</v>
      </c>
    </row>
    <row r="31" spans="2:21" x14ac:dyDescent="0.2">
      <c r="B31" s="44">
        <v>44805</v>
      </c>
      <c r="C31" s="15">
        <f t="shared" si="2"/>
        <v>487496.7872674322</v>
      </c>
      <c r="D31" s="16">
        <f t="shared" si="8"/>
        <v>2031.2366136143007</v>
      </c>
      <c r="E31" s="21">
        <f t="shared" si="9"/>
        <v>652.8715014463944</v>
      </c>
      <c r="F31" s="163">
        <v>0</v>
      </c>
      <c r="G31" s="16">
        <f t="shared" si="0"/>
        <v>486843.91576598579</v>
      </c>
      <c r="I31" s="21">
        <f t="shared" si="3"/>
        <v>13156.084234014206</v>
      </c>
      <c r="J31" s="16">
        <f t="shared" si="4"/>
        <v>43210.186182260397</v>
      </c>
      <c r="M31" s="220">
        <v>2041</v>
      </c>
      <c r="N31" s="15">
        <f t="shared" si="5"/>
        <v>250602.58222323438</v>
      </c>
      <c r="O31" s="16">
        <f t="shared" si="10"/>
        <v>12445.926711375239</v>
      </c>
      <c r="P31" s="21">
        <f t="shared" si="11"/>
        <v>19955.319697997002</v>
      </c>
      <c r="Q31" s="163">
        <v>0</v>
      </c>
      <c r="R31" s="16">
        <f t="shared" si="1"/>
        <v>230647.26252523737</v>
      </c>
      <c r="T31" s="21">
        <f t="shared" si="6"/>
        <v>269352.7374747626</v>
      </c>
      <c r="U31" s="16">
        <f t="shared" si="7"/>
        <v>411073.43712205446</v>
      </c>
    </row>
    <row r="32" spans="2:21" x14ac:dyDescent="0.2">
      <c r="B32" s="44">
        <v>44835</v>
      </c>
      <c r="C32" s="15">
        <f t="shared" si="2"/>
        <v>486843.91576598579</v>
      </c>
      <c r="D32" s="16">
        <f t="shared" si="8"/>
        <v>2028.5163156916074</v>
      </c>
      <c r="E32" s="21">
        <f t="shared" si="9"/>
        <v>655.59179936908777</v>
      </c>
      <c r="F32" s="163">
        <v>0</v>
      </c>
      <c r="G32" s="16">
        <f t="shared" si="0"/>
        <v>486188.32396661671</v>
      </c>
      <c r="I32" s="21">
        <f t="shared" si="3"/>
        <v>13811.676033383294</v>
      </c>
      <c r="J32" s="16">
        <f t="shared" si="4"/>
        <v>45238.702497952007</v>
      </c>
      <c r="M32" s="220">
        <v>2042</v>
      </c>
      <c r="N32" s="15">
        <f t="shared" si="5"/>
        <v>230647.26252523737</v>
      </c>
      <c r="O32" s="16">
        <f t="shared" si="10"/>
        <v>11454.865708491818</v>
      </c>
      <c r="P32" s="21">
        <f t="shared" si="11"/>
        <v>20946.380700880422</v>
      </c>
      <c r="Q32" s="163">
        <v>0</v>
      </c>
      <c r="R32" s="16">
        <f t="shared" si="1"/>
        <v>209700.88182435694</v>
      </c>
      <c r="T32" s="21">
        <f t="shared" si="6"/>
        <v>290299.11817564303</v>
      </c>
      <c r="U32" s="16">
        <f t="shared" si="7"/>
        <v>422528.30283054628</v>
      </c>
    </row>
    <row r="33" spans="2:21" x14ac:dyDescent="0.2">
      <c r="B33" s="44">
        <v>44866</v>
      </c>
      <c r="C33" s="15">
        <f t="shared" si="2"/>
        <v>486188.32396661671</v>
      </c>
      <c r="D33" s="16">
        <f t="shared" si="8"/>
        <v>2025.7846831942363</v>
      </c>
      <c r="E33" s="21">
        <f t="shared" si="9"/>
        <v>658.3234318664588</v>
      </c>
      <c r="F33" s="163">
        <v>0</v>
      </c>
      <c r="G33" s="16">
        <f t="shared" si="0"/>
        <v>485530.00053475023</v>
      </c>
      <c r="I33" s="21">
        <f t="shared" si="3"/>
        <v>14469.999465249752</v>
      </c>
      <c r="J33" s="16">
        <f t="shared" si="4"/>
        <v>47264.487181146244</v>
      </c>
      <c r="M33" s="220">
        <v>2043</v>
      </c>
      <c r="N33" s="15">
        <f t="shared" si="5"/>
        <v>209700.88182435694</v>
      </c>
      <c r="O33" s="16">
        <f t="shared" si="10"/>
        <v>10414.584651692907</v>
      </c>
      <c r="P33" s="21">
        <f t="shared" si="11"/>
        <v>21986.661757679336</v>
      </c>
      <c r="Q33" s="163">
        <v>0</v>
      </c>
      <c r="R33" s="16">
        <f t="shared" si="1"/>
        <v>187714.2200666776</v>
      </c>
      <c r="T33" s="21">
        <f t="shared" si="6"/>
        <v>312285.77993332234</v>
      </c>
      <c r="U33" s="16">
        <f t="shared" si="7"/>
        <v>432942.88748223917</v>
      </c>
    </row>
    <row r="34" spans="2:21" x14ac:dyDescent="0.2">
      <c r="B34" s="44">
        <v>44896</v>
      </c>
      <c r="C34" s="15">
        <f t="shared" si="2"/>
        <v>485530.00053475023</v>
      </c>
      <c r="D34" s="16">
        <f t="shared" si="8"/>
        <v>2023.0416688947926</v>
      </c>
      <c r="E34" s="21">
        <f t="shared" si="9"/>
        <v>661.06644616590256</v>
      </c>
      <c r="F34" s="163">
        <v>0</v>
      </c>
      <c r="G34" s="16">
        <f t="shared" si="0"/>
        <v>484868.93408858433</v>
      </c>
      <c r="I34" s="221">
        <f t="shared" si="3"/>
        <v>15131.065911415655</v>
      </c>
      <c r="J34" s="222">
        <f t="shared" si="4"/>
        <v>49287.528850041039</v>
      </c>
      <c r="M34" s="220">
        <v>2044</v>
      </c>
      <c r="N34" s="15">
        <f t="shared" si="5"/>
        <v>187714.2200666776</v>
      </c>
      <c r="O34" s="16">
        <f t="shared" si="10"/>
        <v>9322.6390762075189</v>
      </c>
      <c r="P34" s="21">
        <f t="shared" si="11"/>
        <v>23078.60733316472</v>
      </c>
      <c r="Q34" s="163">
        <v>0</v>
      </c>
      <c r="R34" s="16">
        <f t="shared" si="1"/>
        <v>164635.61273351288</v>
      </c>
      <c r="T34" s="21">
        <f t="shared" si="6"/>
        <v>335364.38726648706</v>
      </c>
      <c r="U34" s="16">
        <f t="shared" si="7"/>
        <v>442265.5265584467</v>
      </c>
    </row>
    <row r="35" spans="2:21" x14ac:dyDescent="0.2">
      <c r="B35" s="44">
        <v>44927</v>
      </c>
      <c r="C35" s="15">
        <f t="shared" si="2"/>
        <v>484868.93408858433</v>
      </c>
      <c r="D35" s="16">
        <f t="shared" si="8"/>
        <v>2020.2872253691014</v>
      </c>
      <c r="E35" s="21">
        <f t="shared" si="9"/>
        <v>663.82088969159372</v>
      </c>
      <c r="F35" s="163">
        <v>0</v>
      </c>
      <c r="G35" s="16">
        <f t="shared" si="0"/>
        <v>484205.11319889274</v>
      </c>
      <c r="I35" s="21">
        <f t="shared" si="3"/>
        <v>15794.886801107248</v>
      </c>
      <c r="J35" s="16">
        <f t="shared" si="4"/>
        <v>51307.816075410141</v>
      </c>
      <c r="M35" s="220">
        <v>2045</v>
      </c>
      <c r="N35" s="15">
        <f t="shared" si="5"/>
        <v>164635.61273351288</v>
      </c>
      <c r="O35" s="16">
        <f t="shared" si="10"/>
        <v>8176.4631153656255</v>
      </c>
      <c r="P35" s="21">
        <f t="shared" si="11"/>
        <v>24224.783294006615</v>
      </c>
      <c r="Q35" s="163">
        <v>0</v>
      </c>
      <c r="R35" s="16">
        <f t="shared" si="1"/>
        <v>140410.82943950628</v>
      </c>
      <c r="T35" s="21">
        <f t="shared" si="6"/>
        <v>359589.17056049366</v>
      </c>
      <c r="U35" s="16">
        <f t="shared" si="7"/>
        <v>450441.98967381235</v>
      </c>
    </row>
    <row r="36" spans="2:21" x14ac:dyDescent="0.2">
      <c r="B36" s="44">
        <v>44958</v>
      </c>
      <c r="C36" s="15">
        <f t="shared" si="2"/>
        <v>484205.11319889274</v>
      </c>
      <c r="D36" s="16">
        <f t="shared" si="8"/>
        <v>2017.5213049953863</v>
      </c>
      <c r="E36" s="21">
        <f t="shared" si="9"/>
        <v>666.58681006530878</v>
      </c>
      <c r="F36" s="163">
        <v>0</v>
      </c>
      <c r="G36" s="16">
        <f t="shared" si="0"/>
        <v>483538.52638882742</v>
      </c>
      <c r="I36" s="21">
        <f t="shared" si="3"/>
        <v>16461.473611172558</v>
      </c>
      <c r="J36" s="16">
        <f t="shared" si="4"/>
        <v>53325.33738040553</v>
      </c>
      <c r="M36" s="220">
        <v>2046</v>
      </c>
      <c r="N36" s="15">
        <f t="shared" si="5"/>
        <v>140410.82943950628</v>
      </c>
      <c r="O36" s="16">
        <f t="shared" si="10"/>
        <v>6973.3634712942003</v>
      </c>
      <c r="P36" s="21">
        <f t="shared" si="11"/>
        <v>25427.882938078041</v>
      </c>
      <c r="Q36" s="163">
        <v>0</v>
      </c>
      <c r="R36" s="16">
        <f t="shared" si="1"/>
        <v>114982.94650142825</v>
      </c>
      <c r="T36" s="21">
        <f t="shared" si="6"/>
        <v>385017.05349857168</v>
      </c>
      <c r="U36" s="16">
        <f t="shared" si="7"/>
        <v>457415.35314510658</v>
      </c>
    </row>
    <row r="37" spans="2:21" x14ac:dyDescent="0.2">
      <c r="B37" s="44">
        <v>44986</v>
      </c>
      <c r="C37" s="15">
        <f t="shared" si="2"/>
        <v>483538.52638882742</v>
      </c>
      <c r="D37" s="16">
        <f t="shared" si="8"/>
        <v>2014.7438599534476</v>
      </c>
      <c r="E37" s="21">
        <f t="shared" si="9"/>
        <v>669.36425510724757</v>
      </c>
      <c r="F37" s="163">
        <v>0</v>
      </c>
      <c r="G37" s="16">
        <f t="shared" si="0"/>
        <v>482869.16213372018</v>
      </c>
      <c r="I37" s="21">
        <f t="shared" si="3"/>
        <v>17130.837866279806</v>
      </c>
      <c r="J37" s="16">
        <f t="shared" si="4"/>
        <v>55340.081240358981</v>
      </c>
      <c r="M37" s="220">
        <v>2047</v>
      </c>
      <c r="N37" s="15">
        <f t="shared" si="5"/>
        <v>114982.94650142825</v>
      </c>
      <c r="O37" s="16">
        <f t="shared" si="10"/>
        <v>5710.5130861739208</v>
      </c>
      <c r="P37" s="21">
        <f t="shared" si="11"/>
        <v>26690.733323198321</v>
      </c>
      <c r="Q37" s="163">
        <v>0</v>
      </c>
      <c r="R37" s="16">
        <f t="shared" si="1"/>
        <v>88292.213178229926</v>
      </c>
      <c r="T37" s="21">
        <f t="shared" si="6"/>
        <v>411707.78682177002</v>
      </c>
      <c r="U37" s="16">
        <f t="shared" si="7"/>
        <v>463125.8662312805</v>
      </c>
    </row>
    <row r="38" spans="2:21" x14ac:dyDescent="0.2">
      <c r="B38" s="44">
        <v>45017</v>
      </c>
      <c r="C38" s="15">
        <f t="shared" si="2"/>
        <v>482869.16213372018</v>
      </c>
      <c r="D38" s="16">
        <f t="shared" si="8"/>
        <v>2011.954842223834</v>
      </c>
      <c r="E38" s="21">
        <f t="shared" si="9"/>
        <v>672.15327283686111</v>
      </c>
      <c r="F38" s="163">
        <v>0</v>
      </c>
      <c r="G38" s="16">
        <f t="shared" si="0"/>
        <v>482197.0088608833</v>
      </c>
      <c r="I38" s="21">
        <f t="shared" si="3"/>
        <v>17802.991139116668</v>
      </c>
      <c r="J38" s="16">
        <f t="shared" si="4"/>
        <v>57352.036082582817</v>
      </c>
      <c r="M38" s="220">
        <v>2048</v>
      </c>
      <c r="N38" s="15">
        <f t="shared" si="5"/>
        <v>88292.213178229926</v>
      </c>
      <c r="O38" s="16">
        <f t="shared" si="10"/>
        <v>4384.9444991851615</v>
      </c>
      <c r="P38" s="21">
        <f t="shared" si="11"/>
        <v>28016.301910187081</v>
      </c>
      <c r="Q38" s="163">
        <v>0</v>
      </c>
      <c r="R38" s="16">
        <f t="shared" si="1"/>
        <v>60275.911268042844</v>
      </c>
      <c r="T38" s="21">
        <f t="shared" si="6"/>
        <v>439724.08873195708</v>
      </c>
      <c r="U38" s="16">
        <f t="shared" si="7"/>
        <v>467510.81073046563</v>
      </c>
    </row>
    <row r="39" spans="2:21" x14ac:dyDescent="0.2">
      <c r="B39" s="44">
        <v>45047</v>
      </c>
      <c r="C39" s="15">
        <f t="shared" si="2"/>
        <v>482197.0088608833</v>
      </c>
      <c r="D39" s="16">
        <f t="shared" si="8"/>
        <v>2009.1542035870136</v>
      </c>
      <c r="E39" s="21">
        <f t="shared" si="9"/>
        <v>674.9539114736815</v>
      </c>
      <c r="F39" s="163">
        <v>0</v>
      </c>
      <c r="G39" s="16">
        <f t="shared" si="0"/>
        <v>481522.05494940962</v>
      </c>
      <c r="I39" s="21">
        <f t="shared" si="3"/>
        <v>18477.945050590348</v>
      </c>
      <c r="J39" s="16">
        <f t="shared" si="4"/>
        <v>59361.190286169833</v>
      </c>
      <c r="M39" s="220">
        <v>2049</v>
      </c>
      <c r="N39" s="15">
        <f t="shared" si="5"/>
        <v>60275.911268042844</v>
      </c>
      <c r="O39" s="16">
        <f t="shared" si="10"/>
        <v>2993.542873533348</v>
      </c>
      <c r="P39" s="21">
        <f t="shared" si="11"/>
        <v>29407.703535838893</v>
      </c>
      <c r="Q39" s="163">
        <v>0</v>
      </c>
      <c r="R39" s="16">
        <f t="shared" si="1"/>
        <v>30868.207732203951</v>
      </c>
      <c r="T39" s="21">
        <f t="shared" si="6"/>
        <v>469131.79226779594</v>
      </c>
      <c r="U39" s="16">
        <f t="shared" si="7"/>
        <v>470504.35360399896</v>
      </c>
    </row>
    <row r="40" spans="2:21" x14ac:dyDescent="0.2">
      <c r="B40" s="44">
        <v>45078</v>
      </c>
      <c r="C40" s="15">
        <f t="shared" si="2"/>
        <v>481522.05494940962</v>
      </c>
      <c r="D40" s="16">
        <f t="shared" si="8"/>
        <v>2006.3418956225401</v>
      </c>
      <c r="E40" s="21">
        <f t="shared" si="9"/>
        <v>677.76621943815508</v>
      </c>
      <c r="F40" s="163">
        <v>0</v>
      </c>
      <c r="G40" s="16">
        <f t="shared" si="0"/>
        <v>480844.28872997145</v>
      </c>
      <c r="I40" s="21">
        <f t="shared" si="3"/>
        <v>19155.711270028503</v>
      </c>
      <c r="J40" s="16">
        <f t="shared" si="4"/>
        <v>61367.532181792376</v>
      </c>
      <c r="M40" s="220">
        <v>2050</v>
      </c>
      <c r="N40" s="15">
        <f t="shared" si="5"/>
        <v>30868.207732203951</v>
      </c>
      <c r="O40" s="16">
        <f t="shared" si="10"/>
        <v>1533.0386771684975</v>
      </c>
      <c r="P40" s="21">
        <f t="shared" si="11"/>
        <v>30868.207732203744</v>
      </c>
      <c r="Q40" s="163">
        <v>0</v>
      </c>
      <c r="R40" s="16">
        <f t="shared" si="1"/>
        <v>2.0736479200422764E-10</v>
      </c>
      <c r="T40" s="21">
        <f t="shared" si="6"/>
        <v>499999.99999999971</v>
      </c>
      <c r="U40" s="16">
        <f t="shared" si="7"/>
        <v>472037.39228116744</v>
      </c>
    </row>
    <row r="41" spans="2:21" hidden="1" outlineLevel="1" x14ac:dyDescent="0.2">
      <c r="B41" s="44">
        <v>45108</v>
      </c>
      <c r="C41" s="15">
        <f t="shared" si="2"/>
        <v>480844.28872997145</v>
      </c>
      <c r="D41" s="16">
        <f t="shared" si="8"/>
        <v>2003.5178697082144</v>
      </c>
      <c r="E41" s="21">
        <f t="shared" si="9"/>
        <v>680.59024535248068</v>
      </c>
      <c r="F41" s="163">
        <v>0</v>
      </c>
      <c r="G41" s="16">
        <f t="shared" si="0"/>
        <v>480163.69848461897</v>
      </c>
      <c r="I41" s="21">
        <f t="shared" si="3"/>
        <v>19836.301515380983</v>
      </c>
      <c r="J41" s="16">
        <f t="shared" si="4"/>
        <v>63371.050051500592</v>
      </c>
      <c r="M41" s="220"/>
      <c r="N41" s="220"/>
      <c r="O41" s="220"/>
      <c r="P41" s="220"/>
      <c r="Q41" s="220"/>
      <c r="R41" s="220"/>
      <c r="S41" s="220"/>
      <c r="T41" s="220"/>
      <c r="U41" s="220"/>
    </row>
    <row r="42" spans="2:21" hidden="1" outlineLevel="1" x14ac:dyDescent="0.2">
      <c r="B42" s="44">
        <v>45139</v>
      </c>
      <c r="C42" s="15">
        <f t="shared" si="2"/>
        <v>480163.69848461897</v>
      </c>
      <c r="D42" s="16">
        <f t="shared" si="8"/>
        <v>2000.6820770192458</v>
      </c>
      <c r="E42" s="21">
        <f t="shared" si="9"/>
        <v>683.42603804144937</v>
      </c>
      <c r="F42" s="163">
        <v>0</v>
      </c>
      <c r="G42" s="16">
        <f t="shared" si="0"/>
        <v>479480.2724465775</v>
      </c>
      <c r="I42" s="21">
        <f t="shared" si="3"/>
        <v>20519.727553422432</v>
      </c>
      <c r="J42" s="16">
        <f t="shared" si="4"/>
        <v>65371.732128519834</v>
      </c>
      <c r="M42" s="220"/>
      <c r="N42" s="220"/>
      <c r="O42" s="220"/>
      <c r="P42" s="220"/>
      <c r="Q42" s="220"/>
      <c r="R42" s="220"/>
      <c r="S42" s="220"/>
      <c r="T42" s="220"/>
      <c r="U42" s="220"/>
    </row>
    <row r="43" spans="2:21" hidden="1" outlineLevel="1" x14ac:dyDescent="0.2">
      <c r="B43" s="44">
        <v>45170</v>
      </c>
      <c r="C43" s="15">
        <f t="shared" si="2"/>
        <v>479480.2724465775</v>
      </c>
      <c r="D43" s="16">
        <f t="shared" si="8"/>
        <v>1997.8344685274062</v>
      </c>
      <c r="E43" s="21">
        <f t="shared" ref="E43:E70" si="12">E$8-D43</f>
        <v>686.27364653328891</v>
      </c>
      <c r="F43" s="163">
        <v>0</v>
      </c>
      <c r="G43" s="16">
        <f t="shared" ref="G43:G70" si="13">C43-E43-F43</f>
        <v>478793.99880004418</v>
      </c>
      <c r="I43" s="21">
        <f t="shared" si="3"/>
        <v>21206.001199955721</v>
      </c>
      <c r="J43" s="16">
        <f t="shared" si="4"/>
        <v>67369.566597047247</v>
      </c>
      <c r="M43" s="220"/>
      <c r="N43" s="220"/>
      <c r="O43" s="220"/>
      <c r="P43" s="220"/>
      <c r="Q43" s="220"/>
      <c r="R43" s="220"/>
      <c r="S43" s="220"/>
      <c r="T43" s="220"/>
      <c r="U43" s="220"/>
    </row>
    <row r="44" spans="2:21" hidden="1" outlineLevel="1" x14ac:dyDescent="0.2">
      <c r="B44" s="44">
        <v>45200</v>
      </c>
      <c r="C44" s="15">
        <f t="shared" ref="C44:C70" si="14">G43</f>
        <v>478793.99880004418</v>
      </c>
      <c r="D44" s="16">
        <f t="shared" si="8"/>
        <v>1994.974995000184</v>
      </c>
      <c r="E44" s="21">
        <f t="shared" si="12"/>
        <v>689.13312006051115</v>
      </c>
      <c r="F44" s="163">
        <v>0</v>
      </c>
      <c r="G44" s="16">
        <f t="shared" si="13"/>
        <v>478104.86567998369</v>
      </c>
      <c r="I44" s="21">
        <f t="shared" ref="I44:I70" si="15">I43+E44</f>
        <v>21895.134320016234</v>
      </c>
      <c r="J44" s="16">
        <f t="shared" ref="J44:J70" si="16">J43+D44</f>
        <v>69364.541592047433</v>
      </c>
      <c r="M44" s="220"/>
      <c r="N44" s="220"/>
      <c r="O44" s="220"/>
      <c r="P44" s="220"/>
      <c r="Q44" s="220"/>
      <c r="R44" s="220"/>
      <c r="S44" s="220"/>
      <c r="T44" s="220"/>
      <c r="U44" s="220"/>
    </row>
    <row r="45" spans="2:21" hidden="1" outlineLevel="1" x14ac:dyDescent="0.2">
      <c r="B45" s="44">
        <v>45231</v>
      </c>
      <c r="C45" s="15">
        <f t="shared" si="14"/>
        <v>478104.86567998369</v>
      </c>
      <c r="D45" s="16">
        <f t="shared" si="8"/>
        <v>1992.103606999932</v>
      </c>
      <c r="E45" s="21">
        <f t="shared" si="12"/>
        <v>692.0045080607631</v>
      </c>
      <c r="F45" s="163">
        <v>0</v>
      </c>
      <c r="G45" s="16">
        <f t="shared" si="13"/>
        <v>477412.86117192294</v>
      </c>
      <c r="I45" s="21">
        <f t="shared" si="15"/>
        <v>22587.138828076997</v>
      </c>
      <c r="J45" s="16">
        <f t="shared" si="16"/>
        <v>71356.645199047372</v>
      </c>
      <c r="M45" s="220"/>
      <c r="N45" s="220"/>
      <c r="O45" s="220"/>
      <c r="P45" s="220"/>
      <c r="Q45" s="220"/>
      <c r="R45" s="220"/>
      <c r="S45" s="220"/>
      <c r="T45" s="220"/>
      <c r="U45" s="220"/>
    </row>
    <row r="46" spans="2:21" hidden="1" outlineLevel="1" x14ac:dyDescent="0.2">
      <c r="B46" s="44">
        <v>45261</v>
      </c>
      <c r="C46" s="15">
        <f t="shared" si="14"/>
        <v>477412.86117192294</v>
      </c>
      <c r="D46" s="16">
        <f t="shared" si="8"/>
        <v>1989.2202548830121</v>
      </c>
      <c r="E46" s="21">
        <f t="shared" si="12"/>
        <v>694.88786017768302</v>
      </c>
      <c r="F46" s="163">
        <v>0</v>
      </c>
      <c r="G46" s="16">
        <f t="shared" si="13"/>
        <v>476717.97331174527</v>
      </c>
      <c r="I46" s="21">
        <f t="shared" si="15"/>
        <v>23282.026688254678</v>
      </c>
      <c r="J46" s="16">
        <f t="shared" si="16"/>
        <v>73345.865453930383</v>
      </c>
      <c r="M46" s="220"/>
      <c r="N46" s="220"/>
      <c r="O46" s="220"/>
      <c r="P46" s="220"/>
      <c r="Q46" s="220"/>
      <c r="R46" s="220"/>
      <c r="S46" s="220"/>
      <c r="T46" s="220"/>
      <c r="U46" s="220"/>
    </row>
    <row r="47" spans="2:21" hidden="1" outlineLevel="1" x14ac:dyDescent="0.2">
      <c r="B47" s="44">
        <v>45292</v>
      </c>
      <c r="C47" s="15">
        <f t="shared" si="14"/>
        <v>476717.97331174527</v>
      </c>
      <c r="D47" s="16">
        <f t="shared" si="8"/>
        <v>1986.3248887989387</v>
      </c>
      <c r="E47" s="21">
        <f t="shared" si="12"/>
        <v>697.78322626175645</v>
      </c>
      <c r="F47" s="163">
        <v>0</v>
      </c>
      <c r="G47" s="16">
        <f t="shared" si="13"/>
        <v>476020.19008548354</v>
      </c>
      <c r="I47" s="21">
        <f t="shared" si="15"/>
        <v>23979.809914516434</v>
      </c>
      <c r="J47" s="16">
        <f t="shared" si="16"/>
        <v>75332.190342729315</v>
      </c>
      <c r="M47" s="220"/>
      <c r="N47" s="220"/>
      <c r="O47" s="220"/>
      <c r="P47" s="220"/>
      <c r="Q47" s="220"/>
      <c r="R47" s="220"/>
      <c r="S47" s="220"/>
      <c r="T47" s="220"/>
      <c r="U47" s="220"/>
    </row>
    <row r="48" spans="2:21" hidden="1" outlineLevel="1" x14ac:dyDescent="0.2">
      <c r="B48" s="44">
        <v>45323</v>
      </c>
      <c r="C48" s="15">
        <f t="shared" si="14"/>
        <v>476020.19008548354</v>
      </c>
      <c r="D48" s="16">
        <f t="shared" si="8"/>
        <v>1983.4174586895147</v>
      </c>
      <c r="E48" s="21">
        <f t="shared" si="12"/>
        <v>700.69065637118047</v>
      </c>
      <c r="F48" s="163">
        <v>0</v>
      </c>
      <c r="G48" s="16">
        <f t="shared" si="13"/>
        <v>475319.49942911236</v>
      </c>
      <c r="I48" s="21">
        <f t="shared" si="15"/>
        <v>24680.500570887616</v>
      </c>
      <c r="J48" s="16">
        <f t="shared" si="16"/>
        <v>77315.607801418824</v>
      </c>
      <c r="M48" s="220"/>
      <c r="N48" s="220"/>
      <c r="O48" s="220"/>
      <c r="P48" s="220"/>
      <c r="Q48" s="220"/>
      <c r="R48" s="220"/>
      <c r="S48" s="220"/>
      <c r="T48" s="220"/>
      <c r="U48" s="220"/>
    </row>
    <row r="49" spans="2:21" hidden="1" outlineLevel="1" x14ac:dyDescent="0.2">
      <c r="B49" s="44">
        <v>45352</v>
      </c>
      <c r="C49" s="15">
        <f t="shared" si="14"/>
        <v>475319.49942911236</v>
      </c>
      <c r="D49" s="16">
        <f t="shared" si="8"/>
        <v>1980.4979142879681</v>
      </c>
      <c r="E49" s="21">
        <f t="shared" si="12"/>
        <v>703.61020077272701</v>
      </c>
      <c r="F49" s="163">
        <v>0</v>
      </c>
      <c r="G49" s="16">
        <f t="shared" si="13"/>
        <v>474615.88922833966</v>
      </c>
      <c r="I49" s="21">
        <f t="shared" si="15"/>
        <v>25384.110771660344</v>
      </c>
      <c r="J49" s="16">
        <f t="shared" si="16"/>
        <v>79296.105715706799</v>
      </c>
      <c r="M49" s="220"/>
      <c r="N49" s="220"/>
      <c r="O49" s="220"/>
      <c r="P49" s="220"/>
      <c r="Q49" s="220"/>
      <c r="R49" s="220"/>
      <c r="S49" s="220"/>
      <c r="T49" s="220"/>
      <c r="U49" s="220"/>
    </row>
    <row r="50" spans="2:21" hidden="1" outlineLevel="1" x14ac:dyDescent="0.2">
      <c r="B50" s="44">
        <v>45383</v>
      </c>
      <c r="C50" s="15">
        <f t="shared" si="14"/>
        <v>474615.88922833966</v>
      </c>
      <c r="D50" s="16">
        <f t="shared" si="8"/>
        <v>1977.5662051180818</v>
      </c>
      <c r="E50" s="21">
        <f t="shared" si="12"/>
        <v>706.5419099426133</v>
      </c>
      <c r="F50" s="163">
        <v>0</v>
      </c>
      <c r="G50" s="16">
        <f t="shared" si="13"/>
        <v>473909.34731839702</v>
      </c>
      <c r="I50" s="21">
        <f t="shared" si="15"/>
        <v>26090.652681602958</v>
      </c>
      <c r="J50" s="16">
        <f t="shared" si="16"/>
        <v>81273.671920824883</v>
      </c>
      <c r="M50" s="220"/>
      <c r="N50" s="220"/>
      <c r="O50" s="220"/>
      <c r="P50" s="220"/>
      <c r="Q50" s="220"/>
      <c r="R50" s="220"/>
      <c r="S50" s="220"/>
      <c r="T50" s="220"/>
      <c r="U50" s="220"/>
    </row>
    <row r="51" spans="2:21" hidden="1" outlineLevel="1" x14ac:dyDescent="0.2">
      <c r="B51" s="44">
        <v>45413</v>
      </c>
      <c r="C51" s="15">
        <f t="shared" si="14"/>
        <v>473909.34731839702</v>
      </c>
      <c r="D51" s="16">
        <f t="shared" si="8"/>
        <v>1974.6222804933209</v>
      </c>
      <c r="E51" s="21">
        <f t="shared" si="12"/>
        <v>709.48583456737424</v>
      </c>
      <c r="F51" s="163">
        <v>0</v>
      </c>
      <c r="G51" s="16">
        <f t="shared" si="13"/>
        <v>473199.86148382962</v>
      </c>
      <c r="I51" s="21">
        <f t="shared" si="15"/>
        <v>26800.138516170333</v>
      </c>
      <c r="J51" s="16">
        <f t="shared" si="16"/>
        <v>83248.294201318204</v>
      </c>
      <c r="M51" s="220"/>
      <c r="N51" s="220"/>
      <c r="O51" s="220"/>
      <c r="P51" s="220"/>
      <c r="Q51" s="220"/>
      <c r="R51" s="220"/>
      <c r="S51" s="220"/>
      <c r="T51" s="220"/>
      <c r="U51" s="220"/>
    </row>
    <row r="52" spans="2:21" hidden="1" outlineLevel="1" x14ac:dyDescent="0.2">
      <c r="B52" s="44">
        <v>45444</v>
      </c>
      <c r="C52" s="15">
        <f t="shared" si="14"/>
        <v>473199.86148382962</v>
      </c>
      <c r="D52" s="16">
        <f t="shared" si="8"/>
        <v>1971.6660895159566</v>
      </c>
      <c r="E52" s="21">
        <f t="shared" si="12"/>
        <v>712.4420255447385</v>
      </c>
      <c r="F52" s="163">
        <v>0</v>
      </c>
      <c r="G52" s="16">
        <f t="shared" si="13"/>
        <v>472487.41945828486</v>
      </c>
      <c r="I52" s="21">
        <f t="shared" si="15"/>
        <v>27512.58054171507</v>
      </c>
      <c r="J52" s="16">
        <f t="shared" si="16"/>
        <v>85219.960290834162</v>
      </c>
      <c r="M52" s="220"/>
      <c r="N52" s="220"/>
      <c r="O52" s="220"/>
      <c r="P52" s="220"/>
      <c r="Q52" s="220"/>
      <c r="R52" s="220"/>
      <c r="S52" s="220"/>
      <c r="T52" s="220"/>
      <c r="U52" s="220"/>
    </row>
    <row r="53" spans="2:21" hidden="1" outlineLevel="1" x14ac:dyDescent="0.2">
      <c r="B53" s="44">
        <v>45474</v>
      </c>
      <c r="C53" s="15">
        <f t="shared" si="14"/>
        <v>472487.41945828486</v>
      </c>
      <c r="D53" s="16">
        <f t="shared" si="8"/>
        <v>1968.6975810761869</v>
      </c>
      <c r="E53" s="21">
        <f t="shared" si="12"/>
        <v>715.41053398450822</v>
      </c>
      <c r="F53" s="163">
        <v>0</v>
      </c>
      <c r="G53" s="16">
        <f t="shared" si="13"/>
        <v>471772.00892430037</v>
      </c>
      <c r="I53" s="21">
        <f t="shared" si="15"/>
        <v>28227.991075699578</v>
      </c>
      <c r="J53" s="16">
        <f t="shared" si="16"/>
        <v>87188.657871910342</v>
      </c>
      <c r="M53" s="220"/>
      <c r="N53" s="220"/>
      <c r="O53" s="220"/>
      <c r="P53" s="220"/>
      <c r="Q53" s="220"/>
      <c r="R53" s="220"/>
      <c r="S53" s="220"/>
      <c r="T53" s="220"/>
      <c r="U53" s="220"/>
    </row>
    <row r="54" spans="2:21" hidden="1" outlineLevel="1" x14ac:dyDescent="0.2">
      <c r="B54" s="44">
        <v>45505</v>
      </c>
      <c r="C54" s="15">
        <f t="shared" si="14"/>
        <v>471772.00892430037</v>
      </c>
      <c r="D54" s="16">
        <f t="shared" si="8"/>
        <v>1965.7167038512516</v>
      </c>
      <c r="E54" s="21">
        <f t="shared" si="12"/>
        <v>718.3914112094435</v>
      </c>
      <c r="F54" s="163">
        <v>0</v>
      </c>
      <c r="G54" s="16">
        <f t="shared" si="13"/>
        <v>471053.61751309095</v>
      </c>
      <c r="I54" s="21">
        <f t="shared" si="15"/>
        <v>28946.38248690902</v>
      </c>
      <c r="J54" s="16">
        <f t="shared" si="16"/>
        <v>89154.374575761598</v>
      </c>
      <c r="M54" s="220"/>
      <c r="N54" s="220"/>
      <c r="O54" s="220"/>
      <c r="P54" s="220"/>
      <c r="Q54" s="220"/>
      <c r="R54" s="220"/>
      <c r="S54" s="220"/>
      <c r="T54" s="220"/>
      <c r="U54" s="220"/>
    </row>
    <row r="55" spans="2:21" hidden="1" outlineLevel="1" x14ac:dyDescent="0.2">
      <c r="B55" s="44">
        <v>45536</v>
      </c>
      <c r="C55" s="15">
        <f t="shared" si="14"/>
        <v>471053.61751309095</v>
      </c>
      <c r="D55" s="16">
        <f t="shared" si="8"/>
        <v>1962.7234063045455</v>
      </c>
      <c r="E55" s="21">
        <f t="shared" si="12"/>
        <v>721.38470875614962</v>
      </c>
      <c r="F55" s="163">
        <v>0</v>
      </c>
      <c r="G55" s="16">
        <f t="shared" si="13"/>
        <v>470332.23280433478</v>
      </c>
      <c r="I55" s="21">
        <f t="shared" si="15"/>
        <v>29667.767195665168</v>
      </c>
      <c r="J55" s="16">
        <f t="shared" si="16"/>
        <v>91117.097982066145</v>
      </c>
      <c r="M55" s="220"/>
      <c r="N55" s="220"/>
      <c r="O55" s="220"/>
      <c r="P55" s="220"/>
      <c r="Q55" s="220"/>
      <c r="R55" s="220"/>
      <c r="S55" s="220"/>
      <c r="T55" s="220"/>
      <c r="U55" s="220"/>
    </row>
    <row r="56" spans="2:21" hidden="1" outlineLevel="1" x14ac:dyDescent="0.2">
      <c r="B56" s="44">
        <v>45566</v>
      </c>
      <c r="C56" s="15">
        <f t="shared" si="14"/>
        <v>470332.23280433478</v>
      </c>
      <c r="D56" s="16">
        <f t="shared" si="8"/>
        <v>1959.7176366847282</v>
      </c>
      <c r="E56" s="21">
        <f t="shared" si="12"/>
        <v>724.39047837596695</v>
      </c>
      <c r="F56" s="163">
        <v>0</v>
      </c>
      <c r="G56" s="16">
        <f t="shared" si="13"/>
        <v>469607.84232595883</v>
      </c>
      <c r="I56" s="21">
        <f t="shared" si="15"/>
        <v>30392.157674041136</v>
      </c>
      <c r="J56" s="16">
        <f t="shared" si="16"/>
        <v>93076.815618750872</v>
      </c>
      <c r="M56" s="220"/>
      <c r="N56" s="220"/>
      <c r="O56" s="220"/>
      <c r="P56" s="220"/>
      <c r="Q56" s="220"/>
      <c r="R56" s="220"/>
      <c r="S56" s="220"/>
      <c r="T56" s="220"/>
      <c r="U56" s="220"/>
    </row>
    <row r="57" spans="2:21" hidden="1" outlineLevel="1" x14ac:dyDescent="0.2">
      <c r="B57" s="44">
        <v>45597</v>
      </c>
      <c r="C57" s="15">
        <f t="shared" si="14"/>
        <v>469607.84232595883</v>
      </c>
      <c r="D57" s="16">
        <f t="shared" si="8"/>
        <v>1956.6993430248285</v>
      </c>
      <c r="E57" s="21">
        <f t="shared" si="12"/>
        <v>727.4087720358666</v>
      </c>
      <c r="F57" s="163">
        <v>0</v>
      </c>
      <c r="G57" s="16">
        <f t="shared" si="13"/>
        <v>468880.43355392298</v>
      </c>
      <c r="I57" s="21">
        <f t="shared" si="15"/>
        <v>31119.566446077002</v>
      </c>
      <c r="J57" s="16">
        <f t="shared" si="16"/>
        <v>95033.514961775698</v>
      </c>
      <c r="M57" s="220"/>
      <c r="N57" s="220"/>
      <c r="O57" s="220"/>
      <c r="P57" s="220"/>
      <c r="Q57" s="220"/>
      <c r="R57" s="220"/>
      <c r="S57" s="220"/>
      <c r="T57" s="220"/>
      <c r="U57" s="220"/>
    </row>
    <row r="58" spans="2:21" hidden="1" outlineLevel="1" x14ac:dyDescent="0.2">
      <c r="B58" s="44">
        <v>45627</v>
      </c>
      <c r="C58" s="15">
        <f t="shared" si="14"/>
        <v>468880.43355392298</v>
      </c>
      <c r="D58" s="16">
        <f t="shared" si="8"/>
        <v>1953.6684731413457</v>
      </c>
      <c r="E58" s="21">
        <f t="shared" si="12"/>
        <v>730.43964191934947</v>
      </c>
      <c r="F58" s="163">
        <v>0</v>
      </c>
      <c r="G58" s="16">
        <f t="shared" si="13"/>
        <v>468149.99391200364</v>
      </c>
      <c r="I58" s="21">
        <f t="shared" si="15"/>
        <v>31850.006087996353</v>
      </c>
      <c r="J58" s="16">
        <f t="shared" si="16"/>
        <v>96987.183434917039</v>
      </c>
      <c r="M58" s="220"/>
      <c r="N58" s="220"/>
      <c r="O58" s="220"/>
      <c r="P58" s="220"/>
      <c r="Q58" s="220"/>
      <c r="R58" s="220"/>
      <c r="S58" s="220"/>
      <c r="T58" s="220"/>
      <c r="U58" s="220"/>
    </row>
    <row r="59" spans="2:21" hidden="1" outlineLevel="1" x14ac:dyDescent="0.2">
      <c r="B59" s="44">
        <v>45658</v>
      </c>
      <c r="C59" s="15">
        <f t="shared" si="14"/>
        <v>468149.99391200364</v>
      </c>
      <c r="D59" s="16">
        <f t="shared" si="8"/>
        <v>1950.6249746333485</v>
      </c>
      <c r="E59" s="21">
        <f t="shared" si="12"/>
        <v>733.4831404273466</v>
      </c>
      <c r="F59" s="163">
        <v>0</v>
      </c>
      <c r="G59" s="16">
        <f t="shared" si="13"/>
        <v>467416.51077157632</v>
      </c>
      <c r="I59" s="21">
        <f t="shared" si="15"/>
        <v>32583.489228423699</v>
      </c>
      <c r="J59" s="16">
        <f t="shared" si="16"/>
        <v>98937.808409550387</v>
      </c>
      <c r="M59" s="220"/>
      <c r="N59" s="220"/>
      <c r="O59" s="220"/>
      <c r="P59" s="220"/>
      <c r="Q59" s="220"/>
      <c r="R59" s="220"/>
      <c r="S59" s="220"/>
      <c r="T59" s="220"/>
      <c r="U59" s="220"/>
    </row>
    <row r="60" spans="2:21" hidden="1" outlineLevel="1" x14ac:dyDescent="0.2">
      <c r="B60" s="44">
        <v>45689</v>
      </c>
      <c r="C60" s="15">
        <f t="shared" si="14"/>
        <v>467416.51077157632</v>
      </c>
      <c r="D60" s="16">
        <f t="shared" si="8"/>
        <v>1947.568794881568</v>
      </c>
      <c r="E60" s="21">
        <f t="shared" si="12"/>
        <v>736.53932017912712</v>
      </c>
      <c r="F60" s="163">
        <v>0</v>
      </c>
      <c r="G60" s="16">
        <f t="shared" si="13"/>
        <v>466679.97145139717</v>
      </c>
      <c r="I60" s="21">
        <f t="shared" si="15"/>
        <v>33320.02854860283</v>
      </c>
      <c r="J60" s="16">
        <f t="shared" si="16"/>
        <v>100885.37720443195</v>
      </c>
      <c r="M60" s="220"/>
      <c r="N60" s="220"/>
      <c r="O60" s="220"/>
      <c r="P60" s="220"/>
      <c r="Q60" s="220"/>
      <c r="R60" s="220"/>
      <c r="S60" s="220"/>
      <c r="T60" s="220"/>
      <c r="U60" s="220"/>
    </row>
    <row r="61" spans="2:21" hidden="1" outlineLevel="1" x14ac:dyDescent="0.2">
      <c r="B61" s="44">
        <v>45717</v>
      </c>
      <c r="C61" s="15">
        <f t="shared" si="14"/>
        <v>466679.97145139717</v>
      </c>
      <c r="D61" s="16">
        <f t="shared" si="8"/>
        <v>1944.4998810474881</v>
      </c>
      <c r="E61" s="21">
        <f t="shared" si="12"/>
        <v>739.60823401320704</v>
      </c>
      <c r="F61" s="163">
        <v>0</v>
      </c>
      <c r="G61" s="16">
        <f t="shared" si="13"/>
        <v>465940.36321738397</v>
      </c>
      <c r="I61" s="21">
        <f t="shared" si="15"/>
        <v>34059.636782616035</v>
      </c>
      <c r="J61" s="16">
        <f t="shared" si="16"/>
        <v>102829.87708547944</v>
      </c>
      <c r="M61" s="220"/>
      <c r="N61" s="220"/>
      <c r="O61" s="220"/>
      <c r="P61" s="220"/>
      <c r="Q61" s="220"/>
      <c r="R61" s="220"/>
      <c r="S61" s="220"/>
      <c r="T61" s="220"/>
      <c r="U61" s="220"/>
    </row>
    <row r="62" spans="2:21" hidden="1" outlineLevel="1" x14ac:dyDescent="0.2">
      <c r="B62" s="44">
        <v>45748</v>
      </c>
      <c r="C62" s="15">
        <f t="shared" si="14"/>
        <v>465940.36321738397</v>
      </c>
      <c r="D62" s="16">
        <f t="shared" si="8"/>
        <v>1941.4181800724332</v>
      </c>
      <c r="E62" s="21">
        <f t="shared" si="12"/>
        <v>742.68993498826194</v>
      </c>
      <c r="F62" s="163">
        <v>0</v>
      </c>
      <c r="G62" s="16">
        <f t="shared" si="13"/>
        <v>465197.6732823957</v>
      </c>
      <c r="I62" s="21">
        <f t="shared" si="15"/>
        <v>34802.326717604294</v>
      </c>
      <c r="J62" s="16">
        <f t="shared" si="16"/>
        <v>104771.29526555187</v>
      </c>
      <c r="M62" s="220"/>
      <c r="N62" s="220"/>
      <c r="O62" s="220"/>
      <c r="P62" s="220"/>
      <c r="Q62" s="220"/>
      <c r="R62" s="220"/>
      <c r="S62" s="220"/>
      <c r="T62" s="220"/>
      <c r="U62" s="220"/>
    </row>
    <row r="63" spans="2:21" hidden="1" outlineLevel="1" x14ac:dyDescent="0.2">
      <c r="B63" s="44">
        <v>45778</v>
      </c>
      <c r="C63" s="15">
        <f t="shared" si="14"/>
        <v>465197.6732823957</v>
      </c>
      <c r="D63" s="16">
        <f t="shared" si="8"/>
        <v>1938.3236386766487</v>
      </c>
      <c r="E63" s="21">
        <f t="shared" si="12"/>
        <v>745.78447638404646</v>
      </c>
      <c r="F63" s="163">
        <v>0</v>
      </c>
      <c r="G63" s="16">
        <f t="shared" si="13"/>
        <v>464451.88880601164</v>
      </c>
      <c r="I63" s="21">
        <f t="shared" si="15"/>
        <v>35548.111193988341</v>
      </c>
      <c r="J63" s="16">
        <f t="shared" si="16"/>
        <v>106709.61890422853</v>
      </c>
      <c r="M63" s="220"/>
      <c r="N63" s="220"/>
      <c r="O63" s="220"/>
      <c r="P63" s="220"/>
      <c r="Q63" s="220"/>
      <c r="R63" s="220"/>
      <c r="S63" s="220"/>
      <c r="T63" s="220"/>
      <c r="U63" s="220"/>
    </row>
    <row r="64" spans="2:21" hidden="1" outlineLevel="1" x14ac:dyDescent="0.2">
      <c r="B64" s="44">
        <v>45809</v>
      </c>
      <c r="C64" s="15">
        <f t="shared" si="14"/>
        <v>464451.88880601164</v>
      </c>
      <c r="D64" s="16">
        <f t="shared" si="8"/>
        <v>1935.2162033583818</v>
      </c>
      <c r="E64" s="21">
        <f t="shared" si="12"/>
        <v>748.89191170231334</v>
      </c>
      <c r="F64" s="163">
        <v>0</v>
      </c>
      <c r="G64" s="16">
        <f t="shared" si="13"/>
        <v>463702.99689430936</v>
      </c>
      <c r="I64" s="21">
        <f t="shared" si="15"/>
        <v>36297.003105690652</v>
      </c>
      <c r="J64" s="16">
        <f t="shared" si="16"/>
        <v>108644.83510758691</v>
      </c>
      <c r="M64" s="220"/>
      <c r="N64" s="220"/>
      <c r="O64" s="220"/>
      <c r="P64" s="220"/>
      <c r="Q64" s="220"/>
      <c r="R64" s="220"/>
      <c r="S64" s="220"/>
      <c r="T64" s="220"/>
      <c r="U64" s="220"/>
    </row>
    <row r="65" spans="1:21" hidden="1" outlineLevel="1" x14ac:dyDescent="0.2">
      <c r="B65" s="44">
        <v>45839</v>
      </c>
      <c r="C65" s="15">
        <f t="shared" si="14"/>
        <v>463702.99689430936</v>
      </c>
      <c r="D65" s="16">
        <f t="shared" si="8"/>
        <v>1932.0958203929556</v>
      </c>
      <c r="E65" s="21">
        <f t="shared" si="12"/>
        <v>752.01229466773952</v>
      </c>
      <c r="F65" s="163">
        <v>0</v>
      </c>
      <c r="G65" s="16">
        <f t="shared" si="13"/>
        <v>462950.98459964164</v>
      </c>
      <c r="I65" s="21">
        <f t="shared" si="15"/>
        <v>37049.015400358388</v>
      </c>
      <c r="J65" s="16">
        <f t="shared" si="16"/>
        <v>110576.93092797988</v>
      </c>
      <c r="M65" s="220"/>
      <c r="N65" s="220"/>
      <c r="O65" s="220"/>
      <c r="P65" s="220"/>
      <c r="Q65" s="220"/>
      <c r="R65" s="220"/>
      <c r="S65" s="220"/>
      <c r="T65" s="220"/>
      <c r="U65" s="220"/>
    </row>
    <row r="66" spans="1:21" hidden="1" outlineLevel="1" x14ac:dyDescent="0.2">
      <c r="B66" s="44">
        <v>45870</v>
      </c>
      <c r="C66" s="15">
        <f t="shared" si="14"/>
        <v>462950.98459964164</v>
      </c>
      <c r="D66" s="16">
        <f t="shared" si="8"/>
        <v>1928.9624358318401</v>
      </c>
      <c r="E66" s="21">
        <f t="shared" si="12"/>
        <v>755.14567922885499</v>
      </c>
      <c r="F66" s="163">
        <v>0</v>
      </c>
      <c r="G66" s="16">
        <f t="shared" si="13"/>
        <v>462195.83892041276</v>
      </c>
      <c r="I66" s="21">
        <f t="shared" si="15"/>
        <v>37804.16107958724</v>
      </c>
      <c r="J66" s="16">
        <f t="shared" si="16"/>
        <v>112505.89336381172</v>
      </c>
      <c r="M66" s="220"/>
      <c r="N66" s="220"/>
      <c r="O66" s="220"/>
      <c r="P66" s="220"/>
      <c r="Q66" s="220"/>
      <c r="R66" s="220"/>
      <c r="S66" s="220"/>
      <c r="T66" s="220"/>
      <c r="U66" s="220"/>
    </row>
    <row r="67" spans="1:21" hidden="1" outlineLevel="1" x14ac:dyDescent="0.2">
      <c r="B67" s="44">
        <v>45901</v>
      </c>
      <c r="C67" s="15">
        <f t="shared" si="14"/>
        <v>462195.83892041276</v>
      </c>
      <c r="D67" s="16">
        <f t="shared" si="8"/>
        <v>1925.8159955017197</v>
      </c>
      <c r="E67" s="21">
        <f t="shared" si="12"/>
        <v>758.2921195589754</v>
      </c>
      <c r="F67" s="163">
        <v>0</v>
      </c>
      <c r="G67" s="16">
        <f t="shared" si="13"/>
        <v>461437.5468008538</v>
      </c>
      <c r="I67" s="21">
        <f t="shared" si="15"/>
        <v>38562.453199146214</v>
      </c>
      <c r="J67" s="16">
        <f t="shared" si="16"/>
        <v>114431.70935931343</v>
      </c>
      <c r="M67" s="220"/>
      <c r="N67" s="220"/>
      <c r="O67" s="220"/>
      <c r="P67" s="220"/>
      <c r="Q67" s="220"/>
      <c r="R67" s="220"/>
      <c r="S67" s="220"/>
      <c r="T67" s="220"/>
      <c r="U67" s="220"/>
    </row>
    <row r="68" spans="1:21" hidden="1" outlineLevel="1" x14ac:dyDescent="0.2">
      <c r="B68" s="44">
        <v>45931</v>
      </c>
      <c r="C68" s="15">
        <f t="shared" si="14"/>
        <v>461437.5468008538</v>
      </c>
      <c r="D68" s="16">
        <f t="shared" si="8"/>
        <v>1922.6564450035576</v>
      </c>
      <c r="E68" s="21">
        <f t="shared" si="12"/>
        <v>761.45167005713756</v>
      </c>
      <c r="F68" s="163">
        <v>0</v>
      </c>
      <c r="G68" s="16">
        <f t="shared" si="13"/>
        <v>460676.09513079666</v>
      </c>
      <c r="I68" s="21">
        <f t="shared" si="15"/>
        <v>39323.904869203354</v>
      </c>
      <c r="J68" s="16">
        <f t="shared" si="16"/>
        <v>116354.36580431699</v>
      </c>
      <c r="M68" s="220"/>
      <c r="N68" s="220"/>
      <c r="O68" s="220"/>
      <c r="P68" s="220"/>
      <c r="Q68" s="220"/>
      <c r="R68" s="220"/>
      <c r="S68" s="220"/>
      <c r="T68" s="220"/>
      <c r="U68" s="220"/>
    </row>
    <row r="69" spans="1:21" hidden="1" outlineLevel="1" x14ac:dyDescent="0.2">
      <c r="B69" s="44">
        <v>45962</v>
      </c>
      <c r="C69" s="15">
        <f t="shared" si="14"/>
        <v>460676.09513079666</v>
      </c>
      <c r="D69" s="16">
        <f t="shared" si="8"/>
        <v>1919.4837297116528</v>
      </c>
      <c r="E69" s="21">
        <f t="shared" si="12"/>
        <v>764.62438534904231</v>
      </c>
      <c r="F69" s="163">
        <v>0</v>
      </c>
      <c r="G69" s="16">
        <f t="shared" si="13"/>
        <v>459911.47074544762</v>
      </c>
      <c r="I69" s="21">
        <f t="shared" si="15"/>
        <v>40088.529254552399</v>
      </c>
      <c r="J69" s="16">
        <f t="shared" si="16"/>
        <v>118273.84953402863</v>
      </c>
      <c r="M69" s="220"/>
      <c r="N69" s="220"/>
      <c r="O69" s="220"/>
      <c r="P69" s="220"/>
      <c r="Q69" s="220"/>
      <c r="R69" s="220"/>
      <c r="S69" s="220"/>
      <c r="T69" s="220"/>
      <c r="U69" s="220"/>
    </row>
    <row r="70" spans="1:21" collapsed="1" x14ac:dyDescent="0.2">
      <c r="A70" t="s">
        <v>128</v>
      </c>
      <c r="B70" s="44">
        <v>45992</v>
      </c>
      <c r="C70" s="15">
        <f t="shared" si="14"/>
        <v>459911.47074544762</v>
      </c>
      <c r="D70" s="16">
        <f>C70*E$6</f>
        <v>1916.2977947726984</v>
      </c>
      <c r="E70" s="21">
        <f t="shared" si="12"/>
        <v>767.81032028799677</v>
      </c>
      <c r="F70" s="162">
        <v>0</v>
      </c>
      <c r="G70" s="16">
        <f t="shared" si="13"/>
        <v>459143.66042515961</v>
      </c>
      <c r="I70" s="21">
        <f t="shared" si="15"/>
        <v>40856.339574840393</v>
      </c>
      <c r="J70" s="16">
        <f t="shared" si="16"/>
        <v>120190.14732880134</v>
      </c>
      <c r="M70" s="220"/>
      <c r="N70" s="220"/>
      <c r="O70" s="220"/>
      <c r="P70" s="220"/>
      <c r="Q70" s="220"/>
      <c r="R70" s="220"/>
      <c r="S70" s="220"/>
      <c r="T70" s="220"/>
      <c r="U70" s="220"/>
    </row>
    <row r="71" spans="1:21" hidden="1" outlineLevel="1" x14ac:dyDescent="0.2">
      <c r="B71" s="44">
        <v>46023</v>
      </c>
      <c r="C71" s="15">
        <f t="shared" ref="C71:C134" si="17">G70</f>
        <v>459143.66042515961</v>
      </c>
      <c r="D71" s="16">
        <f t="shared" ref="D71:D134" si="18">C71*E$6</f>
        <v>1913.0985851048317</v>
      </c>
      <c r="E71" s="21">
        <f t="shared" ref="E71:E134" si="19">E$8-D71</f>
        <v>771.0095299558634</v>
      </c>
      <c r="F71" s="163">
        <v>0</v>
      </c>
      <c r="G71" s="16">
        <f t="shared" ref="G71:G134" si="20">C71-E71-F71</f>
        <v>458372.65089520375</v>
      </c>
      <c r="I71" s="21">
        <f t="shared" ref="I71:I134" si="21">I70+E71</f>
        <v>41627.34910479626</v>
      </c>
      <c r="J71" s="16">
        <f t="shared" ref="J71:J134" si="22">J70+D71</f>
        <v>122103.24591390617</v>
      </c>
    </row>
    <row r="72" spans="1:21" hidden="1" outlineLevel="1" x14ac:dyDescent="0.2">
      <c r="B72" s="44">
        <v>46054</v>
      </c>
      <c r="C72" s="15">
        <f t="shared" si="17"/>
        <v>458372.65089520375</v>
      </c>
      <c r="D72" s="16">
        <f t="shared" si="18"/>
        <v>1909.8860453966822</v>
      </c>
      <c r="E72" s="21">
        <f t="shared" si="19"/>
        <v>774.22206966401291</v>
      </c>
      <c r="F72" s="162">
        <v>0</v>
      </c>
      <c r="G72" s="16">
        <f t="shared" si="20"/>
        <v>457598.42882553977</v>
      </c>
      <c r="I72" s="21">
        <f t="shared" si="21"/>
        <v>42401.571174460274</v>
      </c>
      <c r="J72" s="16">
        <f t="shared" si="22"/>
        <v>124013.13195930285</v>
      </c>
    </row>
    <row r="73" spans="1:21" hidden="1" outlineLevel="1" x14ac:dyDescent="0.2">
      <c r="B73" s="44">
        <v>46082</v>
      </c>
      <c r="C73" s="15">
        <f t="shared" si="17"/>
        <v>457598.42882553977</v>
      </c>
      <c r="D73" s="16">
        <f t="shared" si="18"/>
        <v>1906.6601201064157</v>
      </c>
      <c r="E73" s="21">
        <f t="shared" si="19"/>
        <v>777.44799495427947</v>
      </c>
      <c r="F73" s="163">
        <v>0</v>
      </c>
      <c r="G73" s="16">
        <f t="shared" si="20"/>
        <v>456820.98083058547</v>
      </c>
      <c r="I73" s="21">
        <f t="shared" si="21"/>
        <v>43179.019169414554</v>
      </c>
      <c r="J73" s="16">
        <f t="shared" si="22"/>
        <v>125919.79207940926</v>
      </c>
    </row>
    <row r="74" spans="1:21" hidden="1" outlineLevel="1" x14ac:dyDescent="0.2">
      <c r="B74" s="44">
        <v>46113</v>
      </c>
      <c r="C74" s="15">
        <f t="shared" si="17"/>
        <v>456820.98083058547</v>
      </c>
      <c r="D74" s="16">
        <f t="shared" si="18"/>
        <v>1903.4207534607729</v>
      </c>
      <c r="E74" s="21">
        <f t="shared" si="19"/>
        <v>780.68736159992227</v>
      </c>
      <c r="F74" s="162">
        <v>0</v>
      </c>
      <c r="G74" s="16">
        <f t="shared" si="20"/>
        <v>456040.29346898553</v>
      </c>
      <c r="I74" s="21">
        <f t="shared" si="21"/>
        <v>43959.706531014475</v>
      </c>
      <c r="J74" s="16">
        <f t="shared" si="22"/>
        <v>127823.21283287003</v>
      </c>
    </row>
    <row r="75" spans="1:21" hidden="1" outlineLevel="1" x14ac:dyDescent="0.2">
      <c r="B75" s="44">
        <v>46143</v>
      </c>
      <c r="C75" s="15">
        <f t="shared" si="17"/>
        <v>456040.29346898553</v>
      </c>
      <c r="D75" s="16">
        <f t="shared" si="18"/>
        <v>1900.1678894541064</v>
      </c>
      <c r="E75" s="21">
        <f t="shared" si="19"/>
        <v>783.94022560658868</v>
      </c>
      <c r="F75" s="163">
        <v>0</v>
      </c>
      <c r="G75" s="16">
        <f t="shared" si="20"/>
        <v>455256.35324337892</v>
      </c>
      <c r="I75" s="21">
        <f t="shared" si="21"/>
        <v>44743.646756621063</v>
      </c>
      <c r="J75" s="16">
        <f t="shared" si="22"/>
        <v>129723.38072232415</v>
      </c>
    </row>
    <row r="76" spans="1:21" hidden="1" outlineLevel="1" x14ac:dyDescent="0.2">
      <c r="B76" s="44">
        <v>46174</v>
      </c>
      <c r="C76" s="15">
        <f t="shared" si="17"/>
        <v>455256.35324337892</v>
      </c>
      <c r="D76" s="16">
        <f t="shared" si="18"/>
        <v>1896.901471847412</v>
      </c>
      <c r="E76" s="21">
        <f t="shared" si="19"/>
        <v>787.20664321328309</v>
      </c>
      <c r="F76" s="162">
        <v>0</v>
      </c>
      <c r="G76" s="16">
        <f t="shared" si="20"/>
        <v>454469.14660016564</v>
      </c>
      <c r="I76" s="21">
        <f t="shared" si="21"/>
        <v>45530.853399834348</v>
      </c>
      <c r="J76" s="16">
        <f t="shared" si="22"/>
        <v>131620.28219417157</v>
      </c>
    </row>
    <row r="77" spans="1:21" hidden="1" outlineLevel="1" x14ac:dyDescent="0.2">
      <c r="B77" s="44">
        <v>46204</v>
      </c>
      <c r="C77" s="15">
        <f t="shared" si="17"/>
        <v>454469.14660016564</v>
      </c>
      <c r="D77" s="16">
        <f t="shared" si="18"/>
        <v>1893.6214441673567</v>
      </c>
      <c r="E77" s="21">
        <f t="shared" si="19"/>
        <v>790.48667089333844</v>
      </c>
      <c r="F77" s="163">
        <v>0</v>
      </c>
      <c r="G77" s="16">
        <f t="shared" si="20"/>
        <v>453678.65992927231</v>
      </c>
      <c r="I77" s="21">
        <f t="shared" si="21"/>
        <v>46321.340070727689</v>
      </c>
      <c r="J77" s="16">
        <f t="shared" si="22"/>
        <v>133513.90363833893</v>
      </c>
    </row>
    <row r="78" spans="1:21" hidden="1" outlineLevel="1" x14ac:dyDescent="0.2">
      <c r="B78" s="44">
        <v>46235</v>
      </c>
      <c r="C78" s="15">
        <f t="shared" si="17"/>
        <v>453678.65992927231</v>
      </c>
      <c r="D78" s="16">
        <f t="shared" si="18"/>
        <v>1890.3277497053014</v>
      </c>
      <c r="E78" s="21">
        <f t="shared" si="19"/>
        <v>793.78036535539377</v>
      </c>
      <c r="F78" s="162">
        <v>0</v>
      </c>
      <c r="G78" s="16">
        <f t="shared" si="20"/>
        <v>452884.87956391694</v>
      </c>
      <c r="I78" s="21">
        <f t="shared" si="21"/>
        <v>47115.120436083082</v>
      </c>
      <c r="J78" s="16">
        <f t="shared" si="22"/>
        <v>135404.23138804422</v>
      </c>
    </row>
    <row r="79" spans="1:21" hidden="1" outlineLevel="1" x14ac:dyDescent="0.2">
      <c r="B79" s="44">
        <v>46266</v>
      </c>
      <c r="C79" s="15">
        <f t="shared" si="17"/>
        <v>452884.87956391694</v>
      </c>
      <c r="D79" s="16">
        <f t="shared" si="18"/>
        <v>1887.0203315163205</v>
      </c>
      <c r="E79" s="21">
        <f t="shared" si="19"/>
        <v>797.08778354437459</v>
      </c>
      <c r="F79" s="163">
        <v>0</v>
      </c>
      <c r="G79" s="16">
        <f t="shared" si="20"/>
        <v>452087.79178037256</v>
      </c>
      <c r="I79" s="21">
        <f t="shared" si="21"/>
        <v>47912.208219627457</v>
      </c>
      <c r="J79" s="16">
        <f t="shared" si="22"/>
        <v>137291.25171956053</v>
      </c>
    </row>
    <row r="80" spans="1:21" hidden="1" outlineLevel="1" x14ac:dyDescent="0.2">
      <c r="B80" s="44">
        <v>46296</v>
      </c>
      <c r="C80" s="15">
        <f t="shared" si="17"/>
        <v>452087.79178037256</v>
      </c>
      <c r="D80" s="16">
        <f t="shared" si="18"/>
        <v>1883.6991324182191</v>
      </c>
      <c r="E80" s="21">
        <f t="shared" si="19"/>
        <v>800.40898264247608</v>
      </c>
      <c r="F80" s="162">
        <v>0</v>
      </c>
      <c r="G80" s="16">
        <f t="shared" si="20"/>
        <v>451287.3827977301</v>
      </c>
      <c r="I80" s="21">
        <f t="shared" si="21"/>
        <v>48712.617202269932</v>
      </c>
      <c r="J80" s="16">
        <f t="shared" si="22"/>
        <v>139174.95085197876</v>
      </c>
    </row>
    <row r="81" spans="2:10" hidden="1" outlineLevel="1" x14ac:dyDescent="0.2">
      <c r="B81" s="44">
        <v>46327</v>
      </c>
      <c r="C81" s="15">
        <f t="shared" si="17"/>
        <v>451287.3827977301</v>
      </c>
      <c r="D81" s="16">
        <f t="shared" si="18"/>
        <v>1880.3640949905421</v>
      </c>
      <c r="E81" s="21">
        <f t="shared" si="19"/>
        <v>803.74402007015306</v>
      </c>
      <c r="F81" s="163">
        <v>0</v>
      </c>
      <c r="G81" s="16">
        <f t="shared" si="20"/>
        <v>450483.63877765997</v>
      </c>
      <c r="I81" s="21">
        <f t="shared" si="21"/>
        <v>49516.361222340085</v>
      </c>
      <c r="J81" s="16">
        <f t="shared" si="22"/>
        <v>141055.3149469693</v>
      </c>
    </row>
    <row r="82" spans="2:10" hidden="1" outlineLevel="1" x14ac:dyDescent="0.2">
      <c r="B82" s="44">
        <v>46357</v>
      </c>
      <c r="C82" s="15">
        <f t="shared" si="17"/>
        <v>450483.63877765997</v>
      </c>
      <c r="D82" s="16">
        <f t="shared" si="18"/>
        <v>1877.0151615735831</v>
      </c>
      <c r="E82" s="21">
        <f t="shared" si="19"/>
        <v>807.09295348711203</v>
      </c>
      <c r="F82" s="162">
        <v>0</v>
      </c>
      <c r="G82" s="16">
        <f t="shared" si="20"/>
        <v>449676.54582417285</v>
      </c>
      <c r="I82" s="21">
        <f t="shared" si="21"/>
        <v>50323.454175827195</v>
      </c>
      <c r="J82" s="16">
        <f t="shared" si="22"/>
        <v>142932.3301085429</v>
      </c>
    </row>
    <row r="83" spans="2:10" hidden="1" outlineLevel="1" x14ac:dyDescent="0.2">
      <c r="B83" s="44">
        <v>46388</v>
      </c>
      <c r="C83" s="15">
        <f t="shared" si="17"/>
        <v>449676.54582417285</v>
      </c>
      <c r="D83" s="16">
        <f t="shared" si="18"/>
        <v>1873.6522742673869</v>
      </c>
      <c r="E83" s="21">
        <f t="shared" si="19"/>
        <v>810.4558407933082</v>
      </c>
      <c r="F83" s="163">
        <v>0</v>
      </c>
      <c r="G83" s="16">
        <f t="shared" si="20"/>
        <v>448866.08998337953</v>
      </c>
      <c r="I83" s="21">
        <f t="shared" si="21"/>
        <v>51133.910016620503</v>
      </c>
      <c r="J83" s="16">
        <f t="shared" si="22"/>
        <v>144805.9823828103</v>
      </c>
    </row>
    <row r="84" spans="2:10" hidden="1" outlineLevel="1" x14ac:dyDescent="0.2">
      <c r="B84" s="44">
        <v>46419</v>
      </c>
      <c r="C84" s="15">
        <f t="shared" si="17"/>
        <v>448866.08998337953</v>
      </c>
      <c r="D84" s="16">
        <f t="shared" si="18"/>
        <v>1870.2753749307481</v>
      </c>
      <c r="E84" s="21">
        <f t="shared" si="19"/>
        <v>813.83274012994707</v>
      </c>
      <c r="F84" s="162">
        <v>0</v>
      </c>
      <c r="G84" s="16">
        <f t="shared" si="20"/>
        <v>448052.25724324957</v>
      </c>
      <c r="I84" s="21">
        <f t="shared" si="21"/>
        <v>51947.742756750449</v>
      </c>
      <c r="J84" s="16">
        <f t="shared" si="22"/>
        <v>146676.25775774106</v>
      </c>
    </row>
    <row r="85" spans="2:10" hidden="1" outlineLevel="1" x14ac:dyDescent="0.2">
      <c r="B85" s="44">
        <v>46447</v>
      </c>
      <c r="C85" s="15">
        <f t="shared" si="17"/>
        <v>448052.25724324957</v>
      </c>
      <c r="D85" s="16">
        <f t="shared" si="18"/>
        <v>1866.8844051802064</v>
      </c>
      <c r="E85" s="21">
        <f t="shared" si="19"/>
        <v>817.22370988048874</v>
      </c>
      <c r="F85" s="163">
        <v>0</v>
      </c>
      <c r="G85" s="16">
        <f t="shared" si="20"/>
        <v>447235.03353336907</v>
      </c>
      <c r="I85" s="21">
        <f t="shared" si="21"/>
        <v>52764.96646663094</v>
      </c>
      <c r="J85" s="16">
        <f t="shared" si="22"/>
        <v>148543.14216292126</v>
      </c>
    </row>
    <row r="86" spans="2:10" hidden="1" outlineLevel="1" x14ac:dyDescent="0.2">
      <c r="B86" s="44">
        <v>46478</v>
      </c>
      <c r="C86" s="15">
        <f t="shared" si="17"/>
        <v>447235.03353336907</v>
      </c>
      <c r="D86" s="16">
        <f t="shared" si="18"/>
        <v>1863.4793063890377</v>
      </c>
      <c r="E86" s="21">
        <f t="shared" si="19"/>
        <v>820.62880867165745</v>
      </c>
      <c r="F86" s="162">
        <v>0</v>
      </c>
      <c r="G86" s="16">
        <f t="shared" si="20"/>
        <v>446414.40472469741</v>
      </c>
      <c r="I86" s="21">
        <f t="shared" si="21"/>
        <v>53585.595275302599</v>
      </c>
      <c r="J86" s="16">
        <f t="shared" si="22"/>
        <v>150406.62146931028</v>
      </c>
    </row>
    <row r="87" spans="2:10" hidden="1" outlineLevel="1" x14ac:dyDescent="0.2">
      <c r="B87" s="44">
        <v>46508</v>
      </c>
      <c r="C87" s="15">
        <f t="shared" si="17"/>
        <v>446414.40472469741</v>
      </c>
      <c r="D87" s="16">
        <f t="shared" si="18"/>
        <v>1860.0600196862392</v>
      </c>
      <c r="E87" s="21">
        <f t="shared" si="19"/>
        <v>824.0480953744559</v>
      </c>
      <c r="F87" s="163">
        <v>0</v>
      </c>
      <c r="G87" s="16">
        <f t="shared" si="20"/>
        <v>445590.35662932292</v>
      </c>
      <c r="I87" s="21">
        <f t="shared" si="21"/>
        <v>54409.643370677055</v>
      </c>
      <c r="J87" s="16">
        <f t="shared" si="22"/>
        <v>152266.68148899652</v>
      </c>
    </row>
    <row r="88" spans="2:10" hidden="1" outlineLevel="1" x14ac:dyDescent="0.2">
      <c r="B88" s="44">
        <v>46539</v>
      </c>
      <c r="C88" s="15">
        <f t="shared" si="17"/>
        <v>445590.35662932292</v>
      </c>
      <c r="D88" s="16">
        <f t="shared" si="18"/>
        <v>1856.6264859555122</v>
      </c>
      <c r="E88" s="21">
        <f t="shared" si="19"/>
        <v>827.48162910518295</v>
      </c>
      <c r="F88" s="162">
        <v>0</v>
      </c>
      <c r="G88" s="16">
        <f t="shared" si="20"/>
        <v>444762.87500021775</v>
      </c>
      <c r="I88" s="21">
        <f t="shared" si="21"/>
        <v>55237.124999782238</v>
      </c>
      <c r="J88" s="16">
        <f t="shared" si="22"/>
        <v>154123.30797495204</v>
      </c>
    </row>
    <row r="89" spans="2:10" hidden="1" outlineLevel="1" x14ac:dyDescent="0.2">
      <c r="B89" s="44">
        <v>46569</v>
      </c>
      <c r="C89" s="15">
        <f t="shared" si="17"/>
        <v>444762.87500021775</v>
      </c>
      <c r="D89" s="16">
        <f t="shared" si="18"/>
        <v>1853.1786458342406</v>
      </c>
      <c r="E89" s="21">
        <f t="shared" si="19"/>
        <v>830.92946922645456</v>
      </c>
      <c r="F89" s="163">
        <v>0</v>
      </c>
      <c r="G89" s="16">
        <f t="shared" si="20"/>
        <v>443931.9455309913</v>
      </c>
      <c r="I89" s="21">
        <f t="shared" si="21"/>
        <v>56068.05446900869</v>
      </c>
      <c r="J89" s="16">
        <f t="shared" si="22"/>
        <v>155976.48662078628</v>
      </c>
    </row>
    <row r="90" spans="2:10" hidden="1" outlineLevel="1" x14ac:dyDescent="0.2">
      <c r="B90" s="44">
        <v>46600</v>
      </c>
      <c r="C90" s="15">
        <f t="shared" si="17"/>
        <v>443931.9455309913</v>
      </c>
      <c r="D90" s="16">
        <f t="shared" si="18"/>
        <v>1849.7164397124636</v>
      </c>
      <c r="E90" s="21">
        <f t="shared" si="19"/>
        <v>834.3916753482315</v>
      </c>
      <c r="F90" s="162">
        <v>0</v>
      </c>
      <c r="G90" s="16">
        <f t="shared" si="20"/>
        <v>443097.55385564308</v>
      </c>
      <c r="I90" s="21">
        <f t="shared" si="21"/>
        <v>56902.446144356923</v>
      </c>
      <c r="J90" s="16">
        <f t="shared" si="22"/>
        <v>157826.20306049875</v>
      </c>
    </row>
    <row r="91" spans="2:10" hidden="1" outlineLevel="1" x14ac:dyDescent="0.2">
      <c r="B91" s="44">
        <v>46631</v>
      </c>
      <c r="C91" s="15">
        <f t="shared" si="17"/>
        <v>443097.55385564308</v>
      </c>
      <c r="D91" s="16">
        <f t="shared" si="18"/>
        <v>1846.2398077318462</v>
      </c>
      <c r="E91" s="21">
        <f t="shared" si="19"/>
        <v>837.86830732884891</v>
      </c>
      <c r="F91" s="163">
        <v>0</v>
      </c>
      <c r="G91" s="16">
        <f t="shared" si="20"/>
        <v>442259.68554831424</v>
      </c>
      <c r="I91" s="21">
        <f t="shared" si="21"/>
        <v>57740.314451685772</v>
      </c>
      <c r="J91" s="16">
        <f t="shared" si="22"/>
        <v>159672.4428682306</v>
      </c>
    </row>
    <row r="92" spans="2:10" hidden="1" outlineLevel="1" x14ac:dyDescent="0.2">
      <c r="B92" s="44">
        <v>46661</v>
      </c>
      <c r="C92" s="15">
        <f t="shared" si="17"/>
        <v>442259.68554831424</v>
      </c>
      <c r="D92" s="16">
        <f t="shared" si="18"/>
        <v>1842.7486897846427</v>
      </c>
      <c r="E92" s="21">
        <f t="shared" si="19"/>
        <v>841.35942527605243</v>
      </c>
      <c r="F92" s="162">
        <v>0</v>
      </c>
      <c r="G92" s="16">
        <f t="shared" si="20"/>
        <v>441418.32612303819</v>
      </c>
      <c r="I92" s="21">
        <f t="shared" si="21"/>
        <v>58581.673876961824</v>
      </c>
      <c r="J92" s="16">
        <f t="shared" si="22"/>
        <v>161515.19155801524</v>
      </c>
    </row>
    <row r="93" spans="2:10" hidden="1" outlineLevel="1" x14ac:dyDescent="0.2">
      <c r="B93" s="44">
        <v>46692</v>
      </c>
      <c r="C93" s="15">
        <f t="shared" si="17"/>
        <v>441418.32612303819</v>
      </c>
      <c r="D93" s="16">
        <f t="shared" si="18"/>
        <v>1839.2430255126592</v>
      </c>
      <c r="E93" s="21">
        <f t="shared" si="19"/>
        <v>844.86508954803594</v>
      </c>
      <c r="F93" s="163">
        <v>0</v>
      </c>
      <c r="G93" s="16">
        <f t="shared" si="20"/>
        <v>440573.46103349014</v>
      </c>
      <c r="I93" s="21">
        <f t="shared" si="21"/>
        <v>59426.538966509863</v>
      </c>
      <c r="J93" s="16">
        <f t="shared" si="22"/>
        <v>163354.43458352791</v>
      </c>
    </row>
    <row r="94" spans="2:10" hidden="1" outlineLevel="1" x14ac:dyDescent="0.2">
      <c r="B94" s="44">
        <v>46722</v>
      </c>
      <c r="C94" s="15">
        <f t="shared" si="17"/>
        <v>440573.46103349014</v>
      </c>
      <c r="D94" s="16">
        <f t="shared" si="18"/>
        <v>1835.7227543062088</v>
      </c>
      <c r="E94" s="21">
        <f t="shared" si="19"/>
        <v>848.38536075448633</v>
      </c>
      <c r="F94" s="162">
        <v>0</v>
      </c>
      <c r="G94" s="16">
        <f t="shared" si="20"/>
        <v>439725.07567273563</v>
      </c>
      <c r="I94" s="21">
        <f t="shared" si="21"/>
        <v>60274.924327264351</v>
      </c>
      <c r="J94" s="16">
        <f t="shared" si="22"/>
        <v>165190.15733783413</v>
      </c>
    </row>
    <row r="95" spans="2:10" hidden="1" outlineLevel="1" x14ac:dyDescent="0.2">
      <c r="B95" s="44">
        <v>46753</v>
      </c>
      <c r="C95" s="15">
        <f t="shared" si="17"/>
        <v>439725.07567273563</v>
      </c>
      <c r="D95" s="16">
        <f t="shared" si="18"/>
        <v>1832.187815303065</v>
      </c>
      <c r="E95" s="21">
        <f t="shared" si="19"/>
        <v>851.92029975763012</v>
      </c>
      <c r="F95" s="163">
        <v>0</v>
      </c>
      <c r="G95" s="16">
        <f t="shared" si="20"/>
        <v>438873.15537297801</v>
      </c>
      <c r="I95" s="21">
        <f t="shared" si="21"/>
        <v>61126.844627021979</v>
      </c>
      <c r="J95" s="16">
        <f t="shared" si="22"/>
        <v>167022.3451531372</v>
      </c>
    </row>
    <row r="96" spans="2:10" hidden="1" outlineLevel="1" x14ac:dyDescent="0.2">
      <c r="B96" s="44">
        <v>46784</v>
      </c>
      <c r="C96" s="15">
        <f t="shared" si="17"/>
        <v>438873.15537297801</v>
      </c>
      <c r="D96" s="16">
        <f t="shared" si="18"/>
        <v>1828.6381473874083</v>
      </c>
      <c r="E96" s="21">
        <f t="shared" si="19"/>
        <v>855.46996767328687</v>
      </c>
      <c r="F96" s="162">
        <v>0</v>
      </c>
      <c r="G96" s="16">
        <f t="shared" si="20"/>
        <v>438017.68540530471</v>
      </c>
      <c r="I96" s="21">
        <f t="shared" si="21"/>
        <v>61982.314594695265</v>
      </c>
      <c r="J96" s="16">
        <f t="shared" si="22"/>
        <v>168850.98330052462</v>
      </c>
    </row>
    <row r="97" spans="2:10" hidden="1" outlineLevel="1" x14ac:dyDescent="0.2">
      <c r="B97" s="44">
        <v>46813</v>
      </c>
      <c r="C97" s="15">
        <f t="shared" si="17"/>
        <v>438017.68540530471</v>
      </c>
      <c r="D97" s="16">
        <f t="shared" si="18"/>
        <v>1825.0736891887695</v>
      </c>
      <c r="E97" s="21">
        <f t="shared" si="19"/>
        <v>859.03442587192558</v>
      </c>
      <c r="F97" s="163">
        <v>0</v>
      </c>
      <c r="G97" s="16">
        <f t="shared" si="20"/>
        <v>437158.6509794328</v>
      </c>
      <c r="I97" s="21">
        <f t="shared" si="21"/>
        <v>62841.349020567191</v>
      </c>
      <c r="J97" s="16">
        <f t="shared" si="22"/>
        <v>170676.0569897134</v>
      </c>
    </row>
    <row r="98" spans="2:10" hidden="1" outlineLevel="1" x14ac:dyDescent="0.2">
      <c r="B98" s="44">
        <v>46844</v>
      </c>
      <c r="C98" s="15">
        <f t="shared" si="17"/>
        <v>437158.6509794328</v>
      </c>
      <c r="D98" s="16">
        <f t="shared" si="18"/>
        <v>1821.49437908097</v>
      </c>
      <c r="E98" s="21">
        <f t="shared" si="19"/>
        <v>862.61373597972511</v>
      </c>
      <c r="F98" s="162">
        <v>0</v>
      </c>
      <c r="G98" s="16">
        <f t="shared" si="20"/>
        <v>436296.03724345309</v>
      </c>
      <c r="I98" s="21">
        <f t="shared" si="21"/>
        <v>63703.96275654692</v>
      </c>
      <c r="J98" s="16">
        <f t="shared" si="22"/>
        <v>172497.55136879437</v>
      </c>
    </row>
    <row r="99" spans="2:10" hidden="1" outlineLevel="1" x14ac:dyDescent="0.2">
      <c r="B99" s="44">
        <v>46874</v>
      </c>
      <c r="C99" s="15">
        <f t="shared" si="17"/>
        <v>436296.03724345309</v>
      </c>
      <c r="D99" s="16">
        <f t="shared" si="18"/>
        <v>1817.9001551810545</v>
      </c>
      <c r="E99" s="21">
        <f t="shared" si="19"/>
        <v>866.20795987964061</v>
      </c>
      <c r="F99" s="163">
        <v>0</v>
      </c>
      <c r="G99" s="16">
        <f t="shared" si="20"/>
        <v>435429.82928357343</v>
      </c>
      <c r="I99" s="21">
        <f t="shared" si="21"/>
        <v>64570.170716426561</v>
      </c>
      <c r="J99" s="16">
        <f t="shared" si="22"/>
        <v>174315.45152397544</v>
      </c>
    </row>
    <row r="100" spans="2:10" hidden="1" outlineLevel="1" x14ac:dyDescent="0.2">
      <c r="B100" s="44">
        <v>46905</v>
      </c>
      <c r="C100" s="15">
        <f t="shared" si="17"/>
        <v>435429.82928357343</v>
      </c>
      <c r="D100" s="16">
        <f t="shared" si="18"/>
        <v>1814.2909553482225</v>
      </c>
      <c r="E100" s="21">
        <f t="shared" si="19"/>
        <v>869.81715971247263</v>
      </c>
      <c r="F100" s="162">
        <v>0</v>
      </c>
      <c r="G100" s="16">
        <f t="shared" si="20"/>
        <v>434560.01212386094</v>
      </c>
      <c r="I100" s="21">
        <f t="shared" si="21"/>
        <v>65439.987876139036</v>
      </c>
      <c r="J100" s="16">
        <f t="shared" si="22"/>
        <v>176129.74247932367</v>
      </c>
    </row>
    <row r="101" spans="2:10" hidden="1" outlineLevel="1" x14ac:dyDescent="0.2">
      <c r="B101" s="44">
        <v>46935</v>
      </c>
      <c r="C101" s="15">
        <f t="shared" si="17"/>
        <v>434560.01212386094</v>
      </c>
      <c r="D101" s="16">
        <f t="shared" si="18"/>
        <v>1810.6667171827539</v>
      </c>
      <c r="E101" s="21">
        <f t="shared" si="19"/>
        <v>873.4413978779412</v>
      </c>
      <c r="F101" s="163">
        <v>0</v>
      </c>
      <c r="G101" s="16">
        <f t="shared" si="20"/>
        <v>433686.57072598301</v>
      </c>
      <c r="I101" s="21">
        <f t="shared" si="21"/>
        <v>66313.429274016977</v>
      </c>
      <c r="J101" s="16">
        <f t="shared" si="22"/>
        <v>177940.40919650643</v>
      </c>
    </row>
    <row r="102" spans="2:10" hidden="1" outlineLevel="1" x14ac:dyDescent="0.2">
      <c r="B102" s="44">
        <v>46966</v>
      </c>
      <c r="C102" s="15">
        <f t="shared" si="17"/>
        <v>433686.57072598301</v>
      </c>
      <c r="D102" s="16">
        <f t="shared" si="18"/>
        <v>1807.0273780249292</v>
      </c>
      <c r="E102" s="21">
        <f t="shared" si="19"/>
        <v>877.08073703576588</v>
      </c>
      <c r="F102" s="162">
        <v>0</v>
      </c>
      <c r="G102" s="16">
        <f t="shared" si="20"/>
        <v>432809.48998894723</v>
      </c>
      <c r="I102" s="21">
        <f t="shared" si="21"/>
        <v>67190.510011052742</v>
      </c>
      <c r="J102" s="16">
        <f t="shared" si="22"/>
        <v>179747.43657453137</v>
      </c>
    </row>
    <row r="103" spans="2:10" hidden="1" outlineLevel="1" x14ac:dyDescent="0.2">
      <c r="B103" s="44">
        <v>46997</v>
      </c>
      <c r="C103" s="15">
        <f t="shared" si="17"/>
        <v>432809.48998894723</v>
      </c>
      <c r="D103" s="16">
        <f t="shared" si="18"/>
        <v>1803.3728749539468</v>
      </c>
      <c r="E103" s="21">
        <f t="shared" si="19"/>
        <v>880.73524010674828</v>
      </c>
      <c r="F103" s="163">
        <v>0</v>
      </c>
      <c r="G103" s="16">
        <f t="shared" si="20"/>
        <v>431928.75474884047</v>
      </c>
      <c r="I103" s="21">
        <f t="shared" si="21"/>
        <v>68071.245251159489</v>
      </c>
      <c r="J103" s="16">
        <f t="shared" si="22"/>
        <v>181550.80944948533</v>
      </c>
    </row>
    <row r="104" spans="2:10" hidden="1" outlineLevel="1" x14ac:dyDescent="0.2">
      <c r="B104" s="44">
        <v>47027</v>
      </c>
      <c r="C104" s="15">
        <f t="shared" si="17"/>
        <v>431928.75474884047</v>
      </c>
      <c r="D104" s="16">
        <f t="shared" si="18"/>
        <v>1799.7031447868353</v>
      </c>
      <c r="E104" s="21">
        <f t="shared" si="19"/>
        <v>884.40497027385982</v>
      </c>
      <c r="F104" s="162">
        <v>0</v>
      </c>
      <c r="G104" s="16">
        <f t="shared" si="20"/>
        <v>431044.34977856663</v>
      </c>
      <c r="I104" s="21">
        <f t="shared" si="21"/>
        <v>68955.650221433345</v>
      </c>
      <c r="J104" s="16">
        <f t="shared" si="22"/>
        <v>183350.51259427215</v>
      </c>
    </row>
    <row r="105" spans="2:10" hidden="1" outlineLevel="1" x14ac:dyDescent="0.2">
      <c r="B105" s="44">
        <v>47058</v>
      </c>
      <c r="C105" s="15">
        <f t="shared" si="17"/>
        <v>431044.34977856663</v>
      </c>
      <c r="D105" s="16">
        <f t="shared" si="18"/>
        <v>1796.0181240773609</v>
      </c>
      <c r="E105" s="21">
        <f t="shared" si="19"/>
        <v>888.08999098333425</v>
      </c>
      <c r="F105" s="163">
        <v>0</v>
      </c>
      <c r="G105" s="16">
        <f t="shared" si="20"/>
        <v>430156.25978758332</v>
      </c>
      <c r="I105" s="21">
        <f t="shared" si="21"/>
        <v>69843.740212416684</v>
      </c>
      <c r="J105" s="16">
        <f t="shared" si="22"/>
        <v>185146.5307183495</v>
      </c>
    </row>
    <row r="106" spans="2:10" hidden="1" outlineLevel="1" x14ac:dyDescent="0.2">
      <c r="B106" s="44">
        <v>47088</v>
      </c>
      <c r="C106" s="15">
        <f t="shared" si="17"/>
        <v>430156.25978758332</v>
      </c>
      <c r="D106" s="16">
        <f t="shared" si="18"/>
        <v>1792.3177491149304</v>
      </c>
      <c r="E106" s="21">
        <f t="shared" si="19"/>
        <v>891.79036594576473</v>
      </c>
      <c r="F106" s="162">
        <v>0</v>
      </c>
      <c r="G106" s="16">
        <f t="shared" si="20"/>
        <v>429264.46942163754</v>
      </c>
      <c r="I106" s="21">
        <f t="shared" si="21"/>
        <v>70735.53057836245</v>
      </c>
      <c r="J106" s="16">
        <f t="shared" si="22"/>
        <v>186938.84846746444</v>
      </c>
    </row>
    <row r="107" spans="2:10" hidden="1" outlineLevel="1" x14ac:dyDescent="0.2">
      <c r="B107" s="44">
        <v>47119</v>
      </c>
      <c r="C107" s="15">
        <f t="shared" si="17"/>
        <v>429264.46942163754</v>
      </c>
      <c r="D107" s="16">
        <f t="shared" si="18"/>
        <v>1788.6019559234896</v>
      </c>
      <c r="E107" s="21">
        <f t="shared" si="19"/>
        <v>895.50615913720549</v>
      </c>
      <c r="F107" s="163">
        <v>0</v>
      </c>
      <c r="G107" s="16">
        <f t="shared" si="20"/>
        <v>428368.96326250036</v>
      </c>
      <c r="I107" s="21">
        <f t="shared" si="21"/>
        <v>71631.036737499657</v>
      </c>
      <c r="J107" s="16">
        <f t="shared" si="22"/>
        <v>188727.45042338793</v>
      </c>
    </row>
    <row r="108" spans="2:10" hidden="1" outlineLevel="1" x14ac:dyDescent="0.2">
      <c r="B108" s="44">
        <v>47150</v>
      </c>
      <c r="C108" s="15">
        <f t="shared" si="17"/>
        <v>428368.96326250036</v>
      </c>
      <c r="D108" s="16">
        <f t="shared" si="18"/>
        <v>1784.8706802604181</v>
      </c>
      <c r="E108" s="21">
        <f t="shared" si="19"/>
        <v>899.23743480027701</v>
      </c>
      <c r="F108" s="162">
        <v>0</v>
      </c>
      <c r="G108" s="16">
        <f t="shared" si="20"/>
        <v>427469.72582770011</v>
      </c>
      <c r="I108" s="21">
        <f t="shared" si="21"/>
        <v>72530.274172299934</v>
      </c>
      <c r="J108" s="16">
        <f t="shared" si="22"/>
        <v>190512.32110364834</v>
      </c>
    </row>
    <row r="109" spans="2:10" hidden="1" outlineLevel="1" x14ac:dyDescent="0.2">
      <c r="B109" s="44">
        <v>47178</v>
      </c>
      <c r="C109" s="15">
        <f t="shared" si="17"/>
        <v>427469.72582770011</v>
      </c>
      <c r="D109" s="16">
        <f t="shared" si="18"/>
        <v>1781.1238576154171</v>
      </c>
      <c r="E109" s="21">
        <f t="shared" si="19"/>
        <v>902.98425744527799</v>
      </c>
      <c r="F109" s="163">
        <v>0</v>
      </c>
      <c r="G109" s="16">
        <f t="shared" si="20"/>
        <v>426566.74157025485</v>
      </c>
      <c r="I109" s="21">
        <f t="shared" si="21"/>
        <v>73433.258429745212</v>
      </c>
      <c r="J109" s="16">
        <f t="shared" si="22"/>
        <v>192293.44496126377</v>
      </c>
    </row>
    <row r="110" spans="2:10" hidden="1" outlineLevel="1" x14ac:dyDescent="0.2">
      <c r="B110" s="44">
        <v>47209</v>
      </c>
      <c r="C110" s="15">
        <f t="shared" si="17"/>
        <v>426566.74157025485</v>
      </c>
      <c r="D110" s="16">
        <f t="shared" si="18"/>
        <v>1777.3614232093951</v>
      </c>
      <c r="E110" s="21">
        <f t="shared" si="19"/>
        <v>906.74669185130006</v>
      </c>
      <c r="F110" s="162">
        <v>0</v>
      </c>
      <c r="G110" s="16">
        <f t="shared" si="20"/>
        <v>425659.99487840355</v>
      </c>
      <c r="I110" s="21">
        <f t="shared" si="21"/>
        <v>74340.005121596507</v>
      </c>
      <c r="J110" s="16">
        <f t="shared" si="22"/>
        <v>194070.80638447317</v>
      </c>
    </row>
    <row r="111" spans="2:10" hidden="1" outlineLevel="1" x14ac:dyDescent="0.2">
      <c r="B111" s="44">
        <v>47239</v>
      </c>
      <c r="C111" s="15">
        <f t="shared" si="17"/>
        <v>425659.99487840355</v>
      </c>
      <c r="D111" s="16">
        <f t="shared" si="18"/>
        <v>1773.5833119933482</v>
      </c>
      <c r="E111" s="21">
        <f t="shared" si="19"/>
        <v>910.52480306734697</v>
      </c>
      <c r="F111" s="163">
        <v>0</v>
      </c>
      <c r="G111" s="16">
        <f t="shared" si="20"/>
        <v>424749.47007533623</v>
      </c>
      <c r="I111" s="21">
        <f t="shared" si="21"/>
        <v>75250.529924663861</v>
      </c>
      <c r="J111" s="16">
        <f t="shared" si="22"/>
        <v>195844.3896964665</v>
      </c>
    </row>
    <row r="112" spans="2:10" hidden="1" outlineLevel="1" x14ac:dyDescent="0.2">
      <c r="B112" s="44">
        <v>47270</v>
      </c>
      <c r="C112" s="15">
        <f t="shared" si="17"/>
        <v>424749.47007533623</v>
      </c>
      <c r="D112" s="16">
        <f t="shared" si="18"/>
        <v>1769.7894586472341</v>
      </c>
      <c r="E112" s="21">
        <f t="shared" si="19"/>
        <v>914.31865641346099</v>
      </c>
      <c r="F112" s="162">
        <v>0</v>
      </c>
      <c r="G112" s="16">
        <f t="shared" si="20"/>
        <v>423835.15141892276</v>
      </c>
      <c r="I112" s="21">
        <f t="shared" si="21"/>
        <v>76164.848581077327</v>
      </c>
      <c r="J112" s="16">
        <f t="shared" si="22"/>
        <v>197614.17915511373</v>
      </c>
    </row>
    <row r="113" spans="2:10" hidden="1" outlineLevel="1" x14ac:dyDescent="0.2">
      <c r="B113" s="44">
        <v>47300</v>
      </c>
      <c r="C113" s="15">
        <f t="shared" si="17"/>
        <v>423835.15141892276</v>
      </c>
      <c r="D113" s="16">
        <f t="shared" si="18"/>
        <v>1765.9797975788449</v>
      </c>
      <c r="E113" s="21">
        <f t="shared" si="19"/>
        <v>918.12831748185022</v>
      </c>
      <c r="F113" s="163">
        <v>0</v>
      </c>
      <c r="G113" s="16">
        <f t="shared" si="20"/>
        <v>422917.02310144092</v>
      </c>
      <c r="I113" s="21">
        <f t="shared" si="21"/>
        <v>77082.97689855918</v>
      </c>
      <c r="J113" s="16">
        <f t="shared" si="22"/>
        <v>199380.15895269258</v>
      </c>
    </row>
    <row r="114" spans="2:10" hidden="1" outlineLevel="1" x14ac:dyDescent="0.2">
      <c r="B114" s="44">
        <v>47331</v>
      </c>
      <c r="C114" s="15">
        <f t="shared" si="17"/>
        <v>422917.02310144092</v>
      </c>
      <c r="D114" s="16">
        <f t="shared" si="18"/>
        <v>1762.1542629226706</v>
      </c>
      <c r="E114" s="21">
        <f t="shared" si="19"/>
        <v>921.95385213802456</v>
      </c>
      <c r="F114" s="162">
        <v>0</v>
      </c>
      <c r="G114" s="16">
        <f t="shared" si="20"/>
        <v>421995.06924930291</v>
      </c>
      <c r="I114" s="21">
        <f t="shared" si="21"/>
        <v>78004.930750697211</v>
      </c>
      <c r="J114" s="16">
        <f t="shared" si="22"/>
        <v>201142.31321561526</v>
      </c>
    </row>
    <row r="115" spans="2:10" hidden="1" outlineLevel="1" x14ac:dyDescent="0.2">
      <c r="B115" s="44">
        <v>47362</v>
      </c>
      <c r="C115" s="15">
        <f t="shared" si="17"/>
        <v>421995.06924930291</v>
      </c>
      <c r="D115" s="16">
        <f t="shared" si="18"/>
        <v>1758.3127885387621</v>
      </c>
      <c r="E115" s="21">
        <f t="shared" si="19"/>
        <v>925.79532652193302</v>
      </c>
      <c r="F115" s="163">
        <v>0</v>
      </c>
      <c r="G115" s="16">
        <f t="shared" si="20"/>
        <v>421069.27392278099</v>
      </c>
      <c r="I115" s="21">
        <f t="shared" si="21"/>
        <v>78930.726077219151</v>
      </c>
      <c r="J115" s="16">
        <f t="shared" si="22"/>
        <v>202900.62600415401</v>
      </c>
    </row>
    <row r="116" spans="2:10" hidden="1" outlineLevel="1" x14ac:dyDescent="0.2">
      <c r="B116" s="44">
        <v>47392</v>
      </c>
      <c r="C116" s="15">
        <f t="shared" si="17"/>
        <v>421069.27392278099</v>
      </c>
      <c r="D116" s="16">
        <f t="shared" si="18"/>
        <v>1754.4553080115875</v>
      </c>
      <c r="E116" s="21">
        <f t="shared" si="19"/>
        <v>929.65280704910765</v>
      </c>
      <c r="F116" s="162">
        <v>0</v>
      </c>
      <c r="G116" s="16">
        <f t="shared" si="20"/>
        <v>420139.62111573189</v>
      </c>
      <c r="I116" s="21">
        <f t="shared" si="21"/>
        <v>79860.378884268255</v>
      </c>
      <c r="J116" s="16">
        <f t="shared" si="22"/>
        <v>204655.0813121656</v>
      </c>
    </row>
    <row r="117" spans="2:10" hidden="1" outlineLevel="1" x14ac:dyDescent="0.2">
      <c r="B117" s="44">
        <v>47423</v>
      </c>
      <c r="C117" s="15">
        <f t="shared" si="17"/>
        <v>420139.62111573189</v>
      </c>
      <c r="D117" s="16">
        <f t="shared" si="18"/>
        <v>1750.5817546488829</v>
      </c>
      <c r="E117" s="21">
        <f t="shared" si="19"/>
        <v>933.52636041181222</v>
      </c>
      <c r="F117" s="163">
        <v>0</v>
      </c>
      <c r="G117" s="16">
        <f t="shared" si="20"/>
        <v>419206.09475532005</v>
      </c>
      <c r="I117" s="21">
        <f t="shared" si="21"/>
        <v>80793.905244680063</v>
      </c>
      <c r="J117" s="16">
        <f t="shared" si="22"/>
        <v>206405.66306681448</v>
      </c>
    </row>
    <row r="118" spans="2:10" hidden="1" outlineLevel="1" x14ac:dyDescent="0.2">
      <c r="B118" s="44">
        <v>47453</v>
      </c>
      <c r="C118" s="15">
        <f t="shared" si="17"/>
        <v>419206.09475532005</v>
      </c>
      <c r="D118" s="16">
        <f t="shared" si="18"/>
        <v>1746.6920614805001</v>
      </c>
      <c r="E118" s="21">
        <f t="shared" si="19"/>
        <v>937.41605358019501</v>
      </c>
      <c r="F118" s="162">
        <v>0</v>
      </c>
      <c r="G118" s="16">
        <f t="shared" si="20"/>
        <v>418268.67870173987</v>
      </c>
      <c r="I118" s="21">
        <f t="shared" si="21"/>
        <v>81731.321298260256</v>
      </c>
      <c r="J118" s="16">
        <f t="shared" si="22"/>
        <v>208152.35512829499</v>
      </c>
    </row>
    <row r="119" spans="2:10" hidden="1" outlineLevel="1" x14ac:dyDescent="0.2">
      <c r="B119" s="44">
        <v>47484</v>
      </c>
      <c r="C119" s="15">
        <f t="shared" si="17"/>
        <v>418268.67870173987</v>
      </c>
      <c r="D119" s="16">
        <f t="shared" si="18"/>
        <v>1742.7861612572494</v>
      </c>
      <c r="E119" s="21">
        <f t="shared" si="19"/>
        <v>941.32195380344569</v>
      </c>
      <c r="F119" s="163">
        <v>0</v>
      </c>
      <c r="G119" s="16">
        <f t="shared" si="20"/>
        <v>417327.35674793646</v>
      </c>
      <c r="I119" s="21">
        <f t="shared" si="21"/>
        <v>82672.643252063703</v>
      </c>
      <c r="J119" s="16">
        <f t="shared" si="22"/>
        <v>209895.14128955224</v>
      </c>
    </row>
    <row r="120" spans="2:10" hidden="1" outlineLevel="1" x14ac:dyDescent="0.2">
      <c r="B120" s="44">
        <v>47515</v>
      </c>
      <c r="C120" s="15">
        <f t="shared" si="17"/>
        <v>417327.35674793646</v>
      </c>
      <c r="D120" s="16">
        <f t="shared" si="18"/>
        <v>1738.8639864497352</v>
      </c>
      <c r="E120" s="21">
        <f t="shared" si="19"/>
        <v>945.24412861095993</v>
      </c>
      <c r="F120" s="162">
        <v>0</v>
      </c>
      <c r="G120" s="16">
        <f t="shared" si="20"/>
        <v>416382.11261932552</v>
      </c>
      <c r="I120" s="21">
        <f t="shared" si="21"/>
        <v>83617.887380674656</v>
      </c>
      <c r="J120" s="16">
        <f t="shared" si="22"/>
        <v>211634.00527600196</v>
      </c>
    </row>
    <row r="121" spans="2:10" hidden="1" outlineLevel="1" x14ac:dyDescent="0.2">
      <c r="B121" s="44">
        <v>47543</v>
      </c>
      <c r="C121" s="15">
        <f t="shared" si="17"/>
        <v>416382.11261932552</v>
      </c>
      <c r="D121" s="16">
        <f t="shared" si="18"/>
        <v>1734.9254692471895</v>
      </c>
      <c r="E121" s="21">
        <f t="shared" si="19"/>
        <v>949.18264581350559</v>
      </c>
      <c r="F121" s="163">
        <v>0</v>
      </c>
      <c r="G121" s="16">
        <f t="shared" si="20"/>
        <v>415432.92997351201</v>
      </c>
      <c r="I121" s="21">
        <f t="shared" si="21"/>
        <v>84567.07002648816</v>
      </c>
      <c r="J121" s="16">
        <f t="shared" si="22"/>
        <v>213368.93074524915</v>
      </c>
    </row>
    <row r="122" spans="2:10" hidden="1" outlineLevel="1" x14ac:dyDescent="0.2">
      <c r="B122" s="44">
        <v>47574</v>
      </c>
      <c r="C122" s="15">
        <f t="shared" si="17"/>
        <v>415432.92997351201</v>
      </c>
      <c r="D122" s="16">
        <f t="shared" si="18"/>
        <v>1730.9705415563001</v>
      </c>
      <c r="E122" s="21">
        <f t="shared" si="19"/>
        <v>953.13757350439505</v>
      </c>
      <c r="F122" s="162">
        <v>0</v>
      </c>
      <c r="G122" s="16">
        <f t="shared" si="20"/>
        <v>414479.7924000076</v>
      </c>
      <c r="I122" s="21">
        <f t="shared" si="21"/>
        <v>85520.207599992558</v>
      </c>
      <c r="J122" s="16">
        <f t="shared" si="22"/>
        <v>215099.90128680546</v>
      </c>
    </row>
    <row r="123" spans="2:10" hidden="1" outlineLevel="1" x14ac:dyDescent="0.2">
      <c r="B123" s="44">
        <v>47604</v>
      </c>
      <c r="C123" s="15">
        <f t="shared" si="17"/>
        <v>414479.7924000076</v>
      </c>
      <c r="D123" s="16">
        <f t="shared" si="18"/>
        <v>1726.9991350000316</v>
      </c>
      <c r="E123" s="21">
        <f t="shared" si="19"/>
        <v>957.1089800606635</v>
      </c>
      <c r="F123" s="163">
        <v>0</v>
      </c>
      <c r="G123" s="16">
        <f t="shared" si="20"/>
        <v>413522.68341994693</v>
      </c>
      <c r="I123" s="21">
        <f t="shared" si="21"/>
        <v>86477.316580053215</v>
      </c>
      <c r="J123" s="16">
        <f t="shared" si="22"/>
        <v>216826.90042180548</v>
      </c>
    </row>
    <row r="124" spans="2:10" hidden="1" outlineLevel="1" x14ac:dyDescent="0.2">
      <c r="B124" s="44">
        <v>47635</v>
      </c>
      <c r="C124" s="15">
        <f t="shared" si="17"/>
        <v>413522.68341994693</v>
      </c>
      <c r="D124" s="16">
        <f t="shared" si="18"/>
        <v>1723.0111809164455</v>
      </c>
      <c r="E124" s="21">
        <f t="shared" si="19"/>
        <v>961.09693414424964</v>
      </c>
      <c r="F124" s="162">
        <v>0</v>
      </c>
      <c r="G124" s="16">
        <f t="shared" si="20"/>
        <v>412561.58648580266</v>
      </c>
      <c r="I124" s="21">
        <f t="shared" si="21"/>
        <v>87438.413514197469</v>
      </c>
      <c r="J124" s="16">
        <f t="shared" si="22"/>
        <v>218549.91160272193</v>
      </c>
    </row>
    <row r="125" spans="2:10" hidden="1" outlineLevel="1" x14ac:dyDescent="0.2">
      <c r="B125" s="44">
        <v>47665</v>
      </c>
      <c r="C125" s="15">
        <f t="shared" si="17"/>
        <v>412561.58648580266</v>
      </c>
      <c r="D125" s="16">
        <f t="shared" si="18"/>
        <v>1719.0066103575111</v>
      </c>
      <c r="E125" s="21">
        <f t="shared" si="19"/>
        <v>965.10150470318399</v>
      </c>
      <c r="F125" s="163">
        <v>0</v>
      </c>
      <c r="G125" s="16">
        <f t="shared" si="20"/>
        <v>411596.48498109949</v>
      </c>
      <c r="I125" s="21">
        <f t="shared" si="21"/>
        <v>88403.515018900653</v>
      </c>
      <c r="J125" s="16">
        <f t="shared" si="22"/>
        <v>220268.91821307945</v>
      </c>
    </row>
    <row r="126" spans="2:10" hidden="1" outlineLevel="1" x14ac:dyDescent="0.2">
      <c r="B126" s="44">
        <v>47696</v>
      </c>
      <c r="C126" s="15">
        <f t="shared" si="17"/>
        <v>411596.48498109949</v>
      </c>
      <c r="D126" s="16">
        <f t="shared" si="18"/>
        <v>1714.9853540879146</v>
      </c>
      <c r="E126" s="21">
        <f t="shared" si="19"/>
        <v>969.1227609727805</v>
      </c>
      <c r="F126" s="162">
        <v>0</v>
      </c>
      <c r="G126" s="16">
        <f t="shared" si="20"/>
        <v>410627.36222012673</v>
      </c>
      <c r="I126" s="21">
        <f t="shared" si="21"/>
        <v>89372.637779873432</v>
      </c>
      <c r="J126" s="16">
        <f t="shared" si="22"/>
        <v>221983.90356716738</v>
      </c>
    </row>
    <row r="127" spans="2:10" hidden="1" outlineLevel="1" x14ac:dyDescent="0.2">
      <c r="B127" s="44">
        <v>47727</v>
      </c>
      <c r="C127" s="15">
        <f t="shared" si="17"/>
        <v>410627.36222012673</v>
      </c>
      <c r="D127" s="16">
        <f t="shared" si="18"/>
        <v>1710.9473425838614</v>
      </c>
      <c r="E127" s="21">
        <f t="shared" si="19"/>
        <v>973.1607724768337</v>
      </c>
      <c r="F127" s="163">
        <v>0</v>
      </c>
      <c r="G127" s="16">
        <f t="shared" si="20"/>
        <v>409654.20144764992</v>
      </c>
      <c r="I127" s="21">
        <f t="shared" si="21"/>
        <v>90345.798552350272</v>
      </c>
      <c r="J127" s="16">
        <f t="shared" si="22"/>
        <v>223694.85090975123</v>
      </c>
    </row>
    <row r="128" spans="2:10" hidden="1" outlineLevel="1" x14ac:dyDescent="0.2">
      <c r="B128" s="44">
        <v>47757</v>
      </c>
      <c r="C128" s="15">
        <f t="shared" si="17"/>
        <v>409654.20144764992</v>
      </c>
      <c r="D128" s="16">
        <f t="shared" si="18"/>
        <v>1706.8925060318745</v>
      </c>
      <c r="E128" s="21">
        <f t="shared" si="19"/>
        <v>977.21560902882061</v>
      </c>
      <c r="F128" s="162">
        <v>0</v>
      </c>
      <c r="G128" s="16">
        <f t="shared" si="20"/>
        <v>408676.9858386211</v>
      </c>
      <c r="I128" s="21">
        <f t="shared" si="21"/>
        <v>91323.014161379091</v>
      </c>
      <c r="J128" s="16">
        <f t="shared" si="22"/>
        <v>225401.7434157831</v>
      </c>
    </row>
    <row r="129" spans="2:10" hidden="1" outlineLevel="1" x14ac:dyDescent="0.2">
      <c r="B129" s="44">
        <v>47788</v>
      </c>
      <c r="C129" s="15">
        <f t="shared" si="17"/>
        <v>408676.9858386211</v>
      </c>
      <c r="D129" s="16">
        <f t="shared" si="18"/>
        <v>1702.820774327588</v>
      </c>
      <c r="E129" s="21">
        <f t="shared" si="19"/>
        <v>981.28734073310716</v>
      </c>
      <c r="F129" s="163">
        <v>0</v>
      </c>
      <c r="G129" s="16">
        <f t="shared" si="20"/>
        <v>407695.69849788799</v>
      </c>
      <c r="I129" s="21">
        <f t="shared" si="21"/>
        <v>92304.301502112197</v>
      </c>
      <c r="J129" s="16">
        <f t="shared" si="22"/>
        <v>227104.56419011069</v>
      </c>
    </row>
    <row r="130" spans="2:10" hidden="1" outlineLevel="1" x14ac:dyDescent="0.2">
      <c r="B130" s="44">
        <v>47818</v>
      </c>
      <c r="C130" s="15">
        <f t="shared" si="17"/>
        <v>407695.69849788799</v>
      </c>
      <c r="D130" s="16">
        <f t="shared" si="18"/>
        <v>1698.7320770745332</v>
      </c>
      <c r="E130" s="21">
        <f t="shared" si="19"/>
        <v>985.37603798616192</v>
      </c>
      <c r="F130" s="162">
        <v>0</v>
      </c>
      <c r="G130" s="16">
        <f t="shared" si="20"/>
        <v>406710.32245990186</v>
      </c>
      <c r="I130" s="21">
        <f t="shared" si="21"/>
        <v>93289.677540098361</v>
      </c>
      <c r="J130" s="16">
        <f t="shared" si="22"/>
        <v>228803.29626718521</v>
      </c>
    </row>
    <row r="131" spans="2:10" hidden="1" outlineLevel="1" x14ac:dyDescent="0.2">
      <c r="B131" s="44">
        <v>47849</v>
      </c>
      <c r="C131" s="15">
        <f t="shared" si="17"/>
        <v>406710.32245990186</v>
      </c>
      <c r="D131" s="16">
        <f t="shared" si="18"/>
        <v>1694.6263435829244</v>
      </c>
      <c r="E131" s="21">
        <f t="shared" si="19"/>
        <v>989.48177147777074</v>
      </c>
      <c r="F131" s="163">
        <v>0</v>
      </c>
      <c r="G131" s="16">
        <f t="shared" si="20"/>
        <v>405720.84068842407</v>
      </c>
      <c r="I131" s="21">
        <f t="shared" si="21"/>
        <v>94279.159311576135</v>
      </c>
      <c r="J131" s="16">
        <f t="shared" si="22"/>
        <v>230497.92261076815</v>
      </c>
    </row>
    <row r="132" spans="2:10" hidden="1" outlineLevel="1" x14ac:dyDescent="0.2">
      <c r="B132" s="44">
        <v>47880</v>
      </c>
      <c r="C132" s="15">
        <f t="shared" si="17"/>
        <v>405720.84068842407</v>
      </c>
      <c r="D132" s="16">
        <f t="shared" si="18"/>
        <v>1690.5035028684335</v>
      </c>
      <c r="E132" s="21">
        <f t="shared" si="19"/>
        <v>993.60461219226158</v>
      </c>
      <c r="F132" s="162">
        <v>0</v>
      </c>
      <c r="G132" s="16">
        <f t="shared" si="20"/>
        <v>404727.23607623181</v>
      </c>
      <c r="I132" s="21">
        <f t="shared" si="21"/>
        <v>95272.763923768391</v>
      </c>
      <c r="J132" s="16">
        <f t="shared" si="22"/>
        <v>232188.42611363658</v>
      </c>
    </row>
    <row r="133" spans="2:10" hidden="1" outlineLevel="1" x14ac:dyDescent="0.2">
      <c r="B133" s="44">
        <v>47908</v>
      </c>
      <c r="C133" s="15">
        <f t="shared" si="17"/>
        <v>404727.23607623181</v>
      </c>
      <c r="D133" s="16">
        <f t="shared" si="18"/>
        <v>1686.3634836509659</v>
      </c>
      <c r="E133" s="21">
        <f t="shared" si="19"/>
        <v>997.74463140972921</v>
      </c>
      <c r="F133" s="163">
        <v>0</v>
      </c>
      <c r="G133" s="16">
        <f t="shared" si="20"/>
        <v>403729.49144482211</v>
      </c>
      <c r="I133" s="21">
        <f t="shared" si="21"/>
        <v>96270.508555178123</v>
      </c>
      <c r="J133" s="16">
        <f t="shared" si="22"/>
        <v>233874.78959728754</v>
      </c>
    </row>
    <row r="134" spans="2:10" hidden="1" outlineLevel="1" x14ac:dyDescent="0.2">
      <c r="B134" s="44">
        <v>47939</v>
      </c>
      <c r="C134" s="15">
        <f t="shared" si="17"/>
        <v>403729.49144482211</v>
      </c>
      <c r="D134" s="16">
        <f t="shared" si="18"/>
        <v>1682.2062143534254</v>
      </c>
      <c r="E134" s="21">
        <f t="shared" si="19"/>
        <v>1001.9019007072698</v>
      </c>
      <c r="F134" s="162">
        <v>0</v>
      </c>
      <c r="G134" s="16">
        <f t="shared" si="20"/>
        <v>402727.58954411483</v>
      </c>
      <c r="I134" s="21">
        <f t="shared" si="21"/>
        <v>97272.410455885387</v>
      </c>
      <c r="J134" s="16">
        <f t="shared" si="22"/>
        <v>235556.99581164095</v>
      </c>
    </row>
    <row r="135" spans="2:10" hidden="1" outlineLevel="1" x14ac:dyDescent="0.2">
      <c r="B135" s="44">
        <v>47969</v>
      </c>
      <c r="C135" s="15">
        <f t="shared" ref="C135:C198" si="23">G134</f>
        <v>402727.58954411483</v>
      </c>
      <c r="D135" s="16">
        <f t="shared" ref="D135:D198" si="24">C135*E$6</f>
        <v>1678.0316231004783</v>
      </c>
      <c r="E135" s="21">
        <f t="shared" ref="E135:E198" si="25">E$8-D135</f>
        <v>1006.0764919602168</v>
      </c>
      <c r="F135" s="163">
        <v>0</v>
      </c>
      <c r="G135" s="16">
        <f t="shared" ref="G135:G198" si="26">C135-E135-F135</f>
        <v>401721.51305215462</v>
      </c>
      <c r="I135" s="21">
        <f t="shared" ref="I135:I198" si="27">I134+E135</f>
        <v>98278.486947845609</v>
      </c>
      <c r="J135" s="16">
        <f t="shared" ref="J135:J198" si="28">J134+D135</f>
        <v>237235.02743474144</v>
      </c>
    </row>
    <row r="136" spans="2:10" hidden="1" outlineLevel="1" x14ac:dyDescent="0.2">
      <c r="B136" s="44">
        <v>48000</v>
      </c>
      <c r="C136" s="15">
        <f t="shared" si="23"/>
        <v>401721.51305215462</v>
      </c>
      <c r="D136" s="16">
        <f t="shared" si="24"/>
        <v>1673.839637717311</v>
      </c>
      <c r="E136" s="21">
        <f t="shared" si="25"/>
        <v>1010.2684773433841</v>
      </c>
      <c r="F136" s="162">
        <v>0</v>
      </c>
      <c r="G136" s="16">
        <f t="shared" si="26"/>
        <v>400711.24457481125</v>
      </c>
      <c r="I136" s="21">
        <f t="shared" si="27"/>
        <v>99288.755425188996</v>
      </c>
      <c r="J136" s="16">
        <f t="shared" si="28"/>
        <v>238908.86707245876</v>
      </c>
    </row>
    <row r="137" spans="2:10" hidden="1" outlineLevel="1" x14ac:dyDescent="0.2">
      <c r="B137" s="44">
        <v>48030</v>
      </c>
      <c r="C137" s="15">
        <f t="shared" si="23"/>
        <v>400711.24457481125</v>
      </c>
      <c r="D137" s="16">
        <f t="shared" si="24"/>
        <v>1669.6301857283802</v>
      </c>
      <c r="E137" s="21">
        <f t="shared" si="25"/>
        <v>1014.4779293323149</v>
      </c>
      <c r="F137" s="163">
        <v>0</v>
      </c>
      <c r="G137" s="16">
        <f t="shared" si="26"/>
        <v>399696.76664547896</v>
      </c>
      <c r="I137" s="21">
        <f t="shared" si="27"/>
        <v>100303.2333545213</v>
      </c>
      <c r="J137" s="16">
        <f t="shared" si="28"/>
        <v>240578.49725818713</v>
      </c>
    </row>
    <row r="138" spans="2:10" hidden="1" outlineLevel="1" x14ac:dyDescent="0.2">
      <c r="B138" s="44">
        <v>48061</v>
      </c>
      <c r="C138" s="15">
        <f t="shared" si="23"/>
        <v>399696.76664547896</v>
      </c>
      <c r="D138" s="16">
        <f t="shared" si="24"/>
        <v>1665.4031943561622</v>
      </c>
      <c r="E138" s="21">
        <f t="shared" si="25"/>
        <v>1018.7049207045329</v>
      </c>
      <c r="F138" s="162">
        <v>0</v>
      </c>
      <c r="G138" s="16">
        <f t="shared" si="26"/>
        <v>398678.06172477442</v>
      </c>
      <c r="I138" s="21">
        <f t="shared" si="27"/>
        <v>101321.93827522584</v>
      </c>
      <c r="J138" s="16">
        <f t="shared" si="28"/>
        <v>242243.90045254328</v>
      </c>
    </row>
    <row r="139" spans="2:10" hidden="1" outlineLevel="1" x14ac:dyDescent="0.2">
      <c r="B139" s="44">
        <v>48092</v>
      </c>
      <c r="C139" s="15">
        <f t="shared" si="23"/>
        <v>398678.06172477442</v>
      </c>
      <c r="D139" s="16">
        <f t="shared" si="24"/>
        <v>1661.1585905198933</v>
      </c>
      <c r="E139" s="21">
        <f t="shared" si="25"/>
        <v>1022.9495245408018</v>
      </c>
      <c r="F139" s="163">
        <v>0</v>
      </c>
      <c r="G139" s="16">
        <f t="shared" si="26"/>
        <v>397655.11220023362</v>
      </c>
      <c r="I139" s="21">
        <f t="shared" si="27"/>
        <v>102344.88779976664</v>
      </c>
      <c r="J139" s="16">
        <f t="shared" si="28"/>
        <v>243905.05904306317</v>
      </c>
    </row>
    <row r="140" spans="2:10" hidden="1" outlineLevel="1" x14ac:dyDescent="0.2">
      <c r="B140" s="44">
        <v>48122</v>
      </c>
      <c r="C140" s="15">
        <f t="shared" si="23"/>
        <v>397655.11220023362</v>
      </c>
      <c r="D140" s="16">
        <f t="shared" si="24"/>
        <v>1656.8963008343067</v>
      </c>
      <c r="E140" s="21">
        <f t="shared" si="25"/>
        <v>1027.2118142263885</v>
      </c>
      <c r="F140" s="162">
        <v>0</v>
      </c>
      <c r="G140" s="16">
        <f t="shared" si="26"/>
        <v>396627.90038600721</v>
      </c>
      <c r="I140" s="21">
        <f t="shared" si="27"/>
        <v>103372.09961399304</v>
      </c>
      <c r="J140" s="16">
        <f t="shared" si="28"/>
        <v>245561.95534389748</v>
      </c>
    </row>
    <row r="141" spans="2:10" hidden="1" outlineLevel="1" x14ac:dyDescent="0.2">
      <c r="B141" s="44">
        <v>48153</v>
      </c>
      <c r="C141" s="15">
        <f t="shared" si="23"/>
        <v>396627.90038600721</v>
      </c>
      <c r="D141" s="16">
        <f t="shared" si="24"/>
        <v>1652.6162516083634</v>
      </c>
      <c r="E141" s="21">
        <f t="shared" si="25"/>
        <v>1031.4918634523317</v>
      </c>
      <c r="F141" s="163">
        <v>0</v>
      </c>
      <c r="G141" s="16">
        <f t="shared" si="26"/>
        <v>395596.40852255491</v>
      </c>
      <c r="I141" s="21">
        <f t="shared" si="27"/>
        <v>104403.59147744537</v>
      </c>
      <c r="J141" s="16">
        <f t="shared" si="28"/>
        <v>247214.57159550584</v>
      </c>
    </row>
    <row r="142" spans="2:10" hidden="1" outlineLevel="1" x14ac:dyDescent="0.2">
      <c r="B142" s="44">
        <v>48183</v>
      </c>
      <c r="C142" s="15">
        <f t="shared" si="23"/>
        <v>395596.40852255491</v>
      </c>
      <c r="D142" s="16">
        <f t="shared" si="24"/>
        <v>1648.3183688439788</v>
      </c>
      <c r="E142" s="21">
        <f t="shared" si="25"/>
        <v>1035.7897462167164</v>
      </c>
      <c r="F142" s="162">
        <v>0</v>
      </c>
      <c r="G142" s="16">
        <f t="shared" si="26"/>
        <v>394560.61877633817</v>
      </c>
      <c r="I142" s="21">
        <f t="shared" si="27"/>
        <v>105439.38122366209</v>
      </c>
      <c r="J142" s="16">
        <f t="shared" si="28"/>
        <v>248862.88996434983</v>
      </c>
    </row>
    <row r="143" spans="2:10" hidden="1" outlineLevel="1" x14ac:dyDescent="0.2">
      <c r="B143" s="44">
        <v>48214</v>
      </c>
      <c r="C143" s="15">
        <f t="shared" si="23"/>
        <v>394560.61877633817</v>
      </c>
      <c r="D143" s="16">
        <f t="shared" si="24"/>
        <v>1644.0025782347423</v>
      </c>
      <c r="E143" s="21">
        <f t="shared" si="25"/>
        <v>1040.1055368259529</v>
      </c>
      <c r="F143" s="163">
        <v>0</v>
      </c>
      <c r="G143" s="16">
        <f t="shared" si="26"/>
        <v>393520.51323951222</v>
      </c>
      <c r="I143" s="21">
        <f t="shared" si="27"/>
        <v>106479.48676048804</v>
      </c>
      <c r="J143" s="16">
        <f t="shared" si="28"/>
        <v>250506.89254258457</v>
      </c>
    </row>
    <row r="144" spans="2:10" hidden="1" outlineLevel="1" x14ac:dyDescent="0.2">
      <c r="B144" s="44">
        <v>48245</v>
      </c>
      <c r="C144" s="15">
        <f t="shared" si="23"/>
        <v>393520.51323951222</v>
      </c>
      <c r="D144" s="16">
        <f t="shared" si="24"/>
        <v>1639.6688051646343</v>
      </c>
      <c r="E144" s="21">
        <f t="shared" si="25"/>
        <v>1044.4393098960609</v>
      </c>
      <c r="F144" s="162">
        <v>0</v>
      </c>
      <c r="G144" s="16">
        <f t="shared" si="26"/>
        <v>392476.07392961613</v>
      </c>
      <c r="I144" s="21">
        <f t="shared" si="27"/>
        <v>107523.9260703841</v>
      </c>
      <c r="J144" s="16">
        <f t="shared" si="28"/>
        <v>252146.5613477492</v>
      </c>
    </row>
    <row r="145" spans="2:10" hidden="1" outlineLevel="1" x14ac:dyDescent="0.2">
      <c r="B145" s="44">
        <v>48274</v>
      </c>
      <c r="C145" s="15">
        <f t="shared" si="23"/>
        <v>392476.07392961613</v>
      </c>
      <c r="D145" s="16">
        <f t="shared" si="24"/>
        <v>1635.3169747067338</v>
      </c>
      <c r="E145" s="21">
        <f t="shared" si="25"/>
        <v>1048.7911403539613</v>
      </c>
      <c r="F145" s="163">
        <v>0</v>
      </c>
      <c r="G145" s="16">
        <f t="shared" si="26"/>
        <v>391427.28278926219</v>
      </c>
      <c r="I145" s="21">
        <f t="shared" si="27"/>
        <v>108572.71721073806</v>
      </c>
      <c r="J145" s="16">
        <f t="shared" si="28"/>
        <v>253781.87832245594</v>
      </c>
    </row>
    <row r="146" spans="2:10" hidden="1" outlineLevel="1" x14ac:dyDescent="0.2">
      <c r="B146" s="44">
        <v>48305</v>
      </c>
      <c r="C146" s="15">
        <f t="shared" si="23"/>
        <v>391427.28278926219</v>
      </c>
      <c r="D146" s="16">
        <f t="shared" si="24"/>
        <v>1630.9470116219259</v>
      </c>
      <c r="E146" s="21">
        <f t="shared" si="25"/>
        <v>1053.1611034387693</v>
      </c>
      <c r="F146" s="162">
        <v>0</v>
      </c>
      <c r="G146" s="16">
        <f t="shared" si="26"/>
        <v>390374.12168582343</v>
      </c>
      <c r="I146" s="21">
        <f t="shared" si="27"/>
        <v>109625.87831417684</v>
      </c>
      <c r="J146" s="16">
        <f t="shared" si="28"/>
        <v>255412.82533407788</v>
      </c>
    </row>
    <row r="147" spans="2:10" hidden="1" outlineLevel="1" x14ac:dyDescent="0.2">
      <c r="B147" s="44">
        <v>48335</v>
      </c>
      <c r="C147" s="15">
        <f t="shared" si="23"/>
        <v>390374.12168582343</v>
      </c>
      <c r="D147" s="16">
        <f t="shared" si="24"/>
        <v>1626.5588403575975</v>
      </c>
      <c r="E147" s="21">
        <f t="shared" si="25"/>
        <v>1057.5492747030976</v>
      </c>
      <c r="F147" s="163">
        <v>0</v>
      </c>
      <c r="G147" s="16">
        <f t="shared" si="26"/>
        <v>389316.57241112035</v>
      </c>
      <c r="I147" s="21">
        <f t="shared" si="27"/>
        <v>110683.42758887993</v>
      </c>
      <c r="J147" s="16">
        <f t="shared" si="28"/>
        <v>257039.38417443549</v>
      </c>
    </row>
    <row r="148" spans="2:10" hidden="1" outlineLevel="1" x14ac:dyDescent="0.2">
      <c r="B148" s="44">
        <v>48366</v>
      </c>
      <c r="C148" s="15">
        <f t="shared" si="23"/>
        <v>389316.57241112035</v>
      </c>
      <c r="D148" s="16">
        <f t="shared" si="24"/>
        <v>1622.1523850463348</v>
      </c>
      <c r="E148" s="21">
        <f t="shared" si="25"/>
        <v>1061.9557300143604</v>
      </c>
      <c r="F148" s="162">
        <v>0</v>
      </c>
      <c r="G148" s="16">
        <f t="shared" si="26"/>
        <v>388254.61668110598</v>
      </c>
      <c r="I148" s="21">
        <f t="shared" si="27"/>
        <v>111745.3833188943</v>
      </c>
      <c r="J148" s="16">
        <f t="shared" si="28"/>
        <v>258661.53655948181</v>
      </c>
    </row>
    <row r="149" spans="2:10" hidden="1" outlineLevel="1" x14ac:dyDescent="0.2">
      <c r="B149" s="44">
        <v>48396</v>
      </c>
      <c r="C149" s="15">
        <f t="shared" si="23"/>
        <v>388254.61668110598</v>
      </c>
      <c r="D149" s="16">
        <f t="shared" si="24"/>
        <v>1617.7275695046083</v>
      </c>
      <c r="E149" s="21">
        <f t="shared" si="25"/>
        <v>1066.3805455560869</v>
      </c>
      <c r="F149" s="163">
        <v>0</v>
      </c>
      <c r="G149" s="16">
        <f t="shared" si="26"/>
        <v>387188.2361355499</v>
      </c>
      <c r="I149" s="21">
        <f t="shared" si="27"/>
        <v>112811.76386445039</v>
      </c>
      <c r="J149" s="16">
        <f t="shared" si="28"/>
        <v>260279.26412898643</v>
      </c>
    </row>
    <row r="150" spans="2:10" hidden="1" outlineLevel="1" x14ac:dyDescent="0.2">
      <c r="B150" s="44">
        <v>48427</v>
      </c>
      <c r="C150" s="15">
        <f t="shared" si="23"/>
        <v>387188.2361355499</v>
      </c>
      <c r="D150" s="16">
        <f t="shared" si="24"/>
        <v>1613.2843172314579</v>
      </c>
      <c r="E150" s="21">
        <f t="shared" si="25"/>
        <v>1070.8237978292373</v>
      </c>
      <c r="F150" s="162">
        <v>0</v>
      </c>
      <c r="G150" s="16">
        <f t="shared" si="26"/>
        <v>386117.41233772069</v>
      </c>
      <c r="I150" s="21">
        <f t="shared" si="27"/>
        <v>113882.58766227962</v>
      </c>
      <c r="J150" s="16">
        <f t="shared" si="28"/>
        <v>261892.54844621787</v>
      </c>
    </row>
    <row r="151" spans="2:10" hidden="1" outlineLevel="1" x14ac:dyDescent="0.2">
      <c r="B151" s="44">
        <v>48458</v>
      </c>
      <c r="C151" s="15">
        <f t="shared" si="23"/>
        <v>386117.41233772069</v>
      </c>
      <c r="D151" s="16">
        <f t="shared" si="24"/>
        <v>1608.8225514071696</v>
      </c>
      <c r="E151" s="21">
        <f t="shared" si="25"/>
        <v>1075.2855636535255</v>
      </c>
      <c r="F151" s="163">
        <v>0</v>
      </c>
      <c r="G151" s="16">
        <f t="shared" si="26"/>
        <v>385042.12677406718</v>
      </c>
      <c r="I151" s="21">
        <f t="shared" si="27"/>
        <v>114957.87322593314</v>
      </c>
      <c r="J151" s="16">
        <f t="shared" si="28"/>
        <v>263501.37099762505</v>
      </c>
    </row>
    <row r="152" spans="2:10" hidden="1" outlineLevel="1" x14ac:dyDescent="0.2">
      <c r="B152" s="44">
        <v>48488</v>
      </c>
      <c r="C152" s="15">
        <f t="shared" si="23"/>
        <v>385042.12677406718</v>
      </c>
      <c r="D152" s="16">
        <f t="shared" si="24"/>
        <v>1604.3421948919465</v>
      </c>
      <c r="E152" s="21">
        <f t="shared" si="25"/>
        <v>1079.7659201687486</v>
      </c>
      <c r="F152" s="162">
        <v>0</v>
      </c>
      <c r="G152" s="16">
        <f t="shared" si="26"/>
        <v>383962.36085389846</v>
      </c>
      <c r="I152" s="21">
        <f t="shared" si="27"/>
        <v>116037.63914610189</v>
      </c>
      <c r="J152" s="16">
        <f t="shared" si="28"/>
        <v>265105.713192517</v>
      </c>
    </row>
    <row r="153" spans="2:10" hidden="1" outlineLevel="1" x14ac:dyDescent="0.2">
      <c r="B153" s="44">
        <v>48519</v>
      </c>
      <c r="C153" s="15">
        <f t="shared" si="23"/>
        <v>383962.36085389846</v>
      </c>
      <c r="D153" s="16">
        <f t="shared" si="24"/>
        <v>1599.8431702245769</v>
      </c>
      <c r="E153" s="21">
        <f t="shared" si="25"/>
        <v>1084.2649448361183</v>
      </c>
      <c r="F153" s="163">
        <v>0</v>
      </c>
      <c r="G153" s="16">
        <f t="shared" si="26"/>
        <v>382878.09590906237</v>
      </c>
      <c r="I153" s="21">
        <f t="shared" si="27"/>
        <v>117121.90409093801</v>
      </c>
      <c r="J153" s="16">
        <f t="shared" si="28"/>
        <v>266705.55636274157</v>
      </c>
    </row>
    <row r="154" spans="2:10" hidden="1" outlineLevel="1" x14ac:dyDescent="0.2">
      <c r="B154" s="44">
        <v>48549</v>
      </c>
      <c r="C154" s="15">
        <f t="shared" si="23"/>
        <v>382878.09590906237</v>
      </c>
      <c r="D154" s="16">
        <f t="shared" si="24"/>
        <v>1595.3253996210931</v>
      </c>
      <c r="E154" s="21">
        <f t="shared" si="25"/>
        <v>1088.782715439602</v>
      </c>
      <c r="F154" s="162">
        <v>0</v>
      </c>
      <c r="G154" s="16">
        <f t="shared" si="26"/>
        <v>381789.31319362274</v>
      </c>
      <c r="I154" s="21">
        <f t="shared" si="27"/>
        <v>118210.68680637762</v>
      </c>
      <c r="J154" s="16">
        <f t="shared" si="28"/>
        <v>268300.88176236267</v>
      </c>
    </row>
    <row r="155" spans="2:10" hidden="1" outlineLevel="1" x14ac:dyDescent="0.2">
      <c r="B155" s="44">
        <v>48580</v>
      </c>
      <c r="C155" s="15">
        <f t="shared" si="23"/>
        <v>381789.31319362274</v>
      </c>
      <c r="D155" s="16">
        <f t="shared" si="24"/>
        <v>1590.7888049734281</v>
      </c>
      <c r="E155" s="21">
        <f t="shared" si="25"/>
        <v>1093.319310087267</v>
      </c>
      <c r="F155" s="163">
        <v>0</v>
      </c>
      <c r="G155" s="16">
        <f t="shared" si="26"/>
        <v>380695.9938835355</v>
      </c>
      <c r="I155" s="21">
        <f t="shared" si="27"/>
        <v>119304.00611646489</v>
      </c>
      <c r="J155" s="16">
        <f t="shared" si="28"/>
        <v>269891.67056733608</v>
      </c>
    </row>
    <row r="156" spans="2:10" hidden="1" outlineLevel="1" x14ac:dyDescent="0.2">
      <c r="B156" s="44">
        <v>48611</v>
      </c>
      <c r="C156" s="15">
        <f t="shared" si="23"/>
        <v>380695.9938835355</v>
      </c>
      <c r="D156" s="16">
        <f t="shared" si="24"/>
        <v>1586.2333078480647</v>
      </c>
      <c r="E156" s="21">
        <f t="shared" si="25"/>
        <v>1097.8748072126305</v>
      </c>
      <c r="F156" s="162">
        <v>0</v>
      </c>
      <c r="G156" s="16">
        <f t="shared" si="26"/>
        <v>379598.11907632288</v>
      </c>
      <c r="I156" s="21">
        <f t="shared" si="27"/>
        <v>120401.88092367753</v>
      </c>
      <c r="J156" s="16">
        <f t="shared" si="28"/>
        <v>271477.90387518413</v>
      </c>
    </row>
    <row r="157" spans="2:10" hidden="1" outlineLevel="1" x14ac:dyDescent="0.2">
      <c r="B157" s="44">
        <v>48639</v>
      </c>
      <c r="C157" s="15">
        <f t="shared" si="23"/>
        <v>379598.11907632288</v>
      </c>
      <c r="D157" s="16">
        <f t="shared" si="24"/>
        <v>1581.6588294846786</v>
      </c>
      <c r="E157" s="21">
        <f t="shared" si="25"/>
        <v>1102.4492855760166</v>
      </c>
      <c r="F157" s="163">
        <v>0</v>
      </c>
      <c r="G157" s="16">
        <f t="shared" si="26"/>
        <v>378495.66979074688</v>
      </c>
      <c r="I157" s="21">
        <f t="shared" si="27"/>
        <v>121504.33020925355</v>
      </c>
      <c r="J157" s="16">
        <f t="shared" si="28"/>
        <v>273059.56270466879</v>
      </c>
    </row>
    <row r="158" spans="2:10" hidden="1" outlineLevel="1" x14ac:dyDescent="0.2">
      <c r="B158" s="44">
        <v>48670</v>
      </c>
      <c r="C158" s="15">
        <f t="shared" si="23"/>
        <v>378495.66979074688</v>
      </c>
      <c r="D158" s="16">
        <f t="shared" si="24"/>
        <v>1577.0652907947785</v>
      </c>
      <c r="E158" s="21">
        <f t="shared" si="25"/>
        <v>1107.0428242659166</v>
      </c>
      <c r="F158" s="162">
        <v>0</v>
      </c>
      <c r="G158" s="16">
        <f t="shared" si="26"/>
        <v>377388.62696648098</v>
      </c>
      <c r="I158" s="21">
        <f t="shared" si="27"/>
        <v>122611.37303351946</v>
      </c>
      <c r="J158" s="16">
        <f t="shared" si="28"/>
        <v>274636.62799546355</v>
      </c>
    </row>
    <row r="159" spans="2:10" hidden="1" outlineLevel="1" x14ac:dyDescent="0.2">
      <c r="B159" s="44">
        <v>48700</v>
      </c>
      <c r="C159" s="15">
        <f t="shared" si="23"/>
        <v>377388.62696648098</v>
      </c>
      <c r="D159" s="16">
        <f t="shared" si="24"/>
        <v>1572.4526123603373</v>
      </c>
      <c r="E159" s="21">
        <f t="shared" si="25"/>
        <v>1111.6555027003578</v>
      </c>
      <c r="F159" s="163">
        <v>0</v>
      </c>
      <c r="G159" s="16">
        <f t="shared" si="26"/>
        <v>376276.97146378062</v>
      </c>
      <c r="I159" s="21">
        <f t="shared" si="27"/>
        <v>123723.02853621982</v>
      </c>
      <c r="J159" s="16">
        <f t="shared" si="28"/>
        <v>276209.08060782391</v>
      </c>
    </row>
    <row r="160" spans="2:10" hidden="1" outlineLevel="1" x14ac:dyDescent="0.2">
      <c r="B160" s="44">
        <v>48731</v>
      </c>
      <c r="C160" s="15">
        <f t="shared" si="23"/>
        <v>376276.97146378062</v>
      </c>
      <c r="D160" s="16">
        <f t="shared" si="24"/>
        <v>1567.8207144324192</v>
      </c>
      <c r="E160" s="21">
        <f t="shared" si="25"/>
        <v>1116.2874006282759</v>
      </c>
      <c r="F160" s="162">
        <v>0</v>
      </c>
      <c r="G160" s="16">
        <f t="shared" si="26"/>
        <v>375160.68406315235</v>
      </c>
      <c r="I160" s="21">
        <f t="shared" si="27"/>
        <v>124839.3159368481</v>
      </c>
      <c r="J160" s="16">
        <f t="shared" si="28"/>
        <v>277776.90132225631</v>
      </c>
    </row>
    <row r="161" spans="2:10" hidden="1" outlineLevel="1" x14ac:dyDescent="0.2">
      <c r="B161" s="44">
        <v>48761</v>
      </c>
      <c r="C161" s="15">
        <f t="shared" si="23"/>
        <v>375160.68406315235</v>
      </c>
      <c r="D161" s="16">
        <f t="shared" si="24"/>
        <v>1563.1695169298014</v>
      </c>
      <c r="E161" s="21">
        <f t="shared" si="25"/>
        <v>1120.9385981308938</v>
      </c>
      <c r="F161" s="163">
        <v>0</v>
      </c>
      <c r="G161" s="16">
        <f t="shared" si="26"/>
        <v>374039.74546502146</v>
      </c>
      <c r="I161" s="21">
        <f t="shared" si="27"/>
        <v>125960.25453497899</v>
      </c>
      <c r="J161" s="16">
        <f t="shared" si="28"/>
        <v>279340.07083918608</v>
      </c>
    </row>
    <row r="162" spans="2:10" hidden="1" outlineLevel="1" x14ac:dyDescent="0.2">
      <c r="B162" s="44">
        <v>48792</v>
      </c>
      <c r="C162" s="15">
        <f t="shared" si="23"/>
        <v>374039.74546502146</v>
      </c>
      <c r="D162" s="16">
        <f t="shared" si="24"/>
        <v>1558.4989394375893</v>
      </c>
      <c r="E162" s="21">
        <f t="shared" si="25"/>
        <v>1125.6091756231058</v>
      </c>
      <c r="F162" s="162">
        <v>0</v>
      </c>
      <c r="G162" s="16">
        <f t="shared" si="26"/>
        <v>372914.13628939836</v>
      </c>
      <c r="I162" s="21">
        <f t="shared" si="27"/>
        <v>127085.86371060209</v>
      </c>
      <c r="J162" s="16">
        <f t="shared" si="28"/>
        <v>280898.5697786237</v>
      </c>
    </row>
    <row r="163" spans="2:10" hidden="1" outlineLevel="1" x14ac:dyDescent="0.2">
      <c r="B163" s="44">
        <v>48823</v>
      </c>
      <c r="C163" s="15">
        <f t="shared" si="23"/>
        <v>372914.13628939836</v>
      </c>
      <c r="D163" s="16">
        <f t="shared" si="24"/>
        <v>1553.8089012058265</v>
      </c>
      <c r="E163" s="21">
        <f t="shared" si="25"/>
        <v>1130.2992138548686</v>
      </c>
      <c r="F163" s="163">
        <v>0</v>
      </c>
      <c r="G163" s="16">
        <f t="shared" si="26"/>
        <v>371783.83707554347</v>
      </c>
      <c r="I163" s="21">
        <f t="shared" si="27"/>
        <v>128216.16292445696</v>
      </c>
      <c r="J163" s="16">
        <f t="shared" si="28"/>
        <v>282452.37867982953</v>
      </c>
    </row>
    <row r="164" spans="2:10" hidden="1" outlineLevel="1" x14ac:dyDescent="0.2">
      <c r="B164" s="44">
        <v>48853</v>
      </c>
      <c r="C164" s="15">
        <f t="shared" si="23"/>
        <v>371783.83707554347</v>
      </c>
      <c r="D164" s="16">
        <f t="shared" si="24"/>
        <v>1549.0993211480977</v>
      </c>
      <c r="E164" s="21">
        <f t="shared" si="25"/>
        <v>1135.0087939125974</v>
      </c>
      <c r="F164" s="162">
        <v>0</v>
      </c>
      <c r="G164" s="16">
        <f t="shared" si="26"/>
        <v>370648.82828163088</v>
      </c>
      <c r="I164" s="21">
        <f t="shared" si="27"/>
        <v>129351.17171836956</v>
      </c>
      <c r="J164" s="16">
        <f t="shared" si="28"/>
        <v>284001.47800097766</v>
      </c>
    </row>
    <row r="165" spans="2:10" hidden="1" outlineLevel="1" x14ac:dyDescent="0.2">
      <c r="B165" s="44">
        <v>48884</v>
      </c>
      <c r="C165" s="15">
        <f t="shared" si="23"/>
        <v>370648.82828163088</v>
      </c>
      <c r="D165" s="16">
        <f t="shared" si="24"/>
        <v>1544.3701178401286</v>
      </c>
      <c r="E165" s="21">
        <f t="shared" si="25"/>
        <v>1139.7379972205665</v>
      </c>
      <c r="F165" s="163">
        <v>0</v>
      </c>
      <c r="G165" s="16">
        <f t="shared" si="26"/>
        <v>369509.09028441034</v>
      </c>
      <c r="I165" s="21">
        <f t="shared" si="27"/>
        <v>130490.90971559013</v>
      </c>
      <c r="J165" s="16">
        <f t="shared" si="28"/>
        <v>285545.84811881778</v>
      </c>
    </row>
    <row r="166" spans="2:10" hidden="1" outlineLevel="1" x14ac:dyDescent="0.2">
      <c r="B166" s="44">
        <v>48914</v>
      </c>
      <c r="C166" s="15">
        <f t="shared" si="23"/>
        <v>369509.09028441034</v>
      </c>
      <c r="D166" s="16">
        <f t="shared" si="24"/>
        <v>1539.6212095183764</v>
      </c>
      <c r="E166" s="21">
        <f t="shared" si="25"/>
        <v>1144.4869055423187</v>
      </c>
      <c r="F166" s="162">
        <v>0</v>
      </c>
      <c r="G166" s="16">
        <f t="shared" si="26"/>
        <v>368364.60337886802</v>
      </c>
      <c r="I166" s="21">
        <f t="shared" si="27"/>
        <v>131635.39662113244</v>
      </c>
      <c r="J166" s="16">
        <f t="shared" si="28"/>
        <v>287085.46932833618</v>
      </c>
    </row>
    <row r="167" spans="2:10" hidden="1" outlineLevel="1" x14ac:dyDescent="0.2">
      <c r="B167" s="44">
        <v>48945</v>
      </c>
      <c r="C167" s="15">
        <f t="shared" si="23"/>
        <v>368364.60337886802</v>
      </c>
      <c r="D167" s="16">
        <f t="shared" si="24"/>
        <v>1534.8525140786167</v>
      </c>
      <c r="E167" s="21">
        <f t="shared" si="25"/>
        <v>1149.2556009820785</v>
      </c>
      <c r="F167" s="163">
        <v>0</v>
      </c>
      <c r="G167" s="16">
        <f t="shared" si="26"/>
        <v>367215.34777788597</v>
      </c>
      <c r="I167" s="21">
        <f t="shared" si="27"/>
        <v>132784.65222211453</v>
      </c>
      <c r="J167" s="16">
        <f t="shared" si="28"/>
        <v>288620.32184241479</v>
      </c>
    </row>
    <row r="168" spans="2:10" hidden="1" outlineLevel="1" x14ac:dyDescent="0.2">
      <c r="B168" s="44">
        <v>48976</v>
      </c>
      <c r="C168" s="15">
        <f t="shared" si="23"/>
        <v>367215.34777788597</v>
      </c>
      <c r="D168" s="16">
        <f t="shared" si="24"/>
        <v>1530.0639490745248</v>
      </c>
      <c r="E168" s="21">
        <f t="shared" si="25"/>
        <v>1154.0441659861704</v>
      </c>
      <c r="F168" s="162">
        <v>0</v>
      </c>
      <c r="G168" s="16">
        <f t="shared" si="26"/>
        <v>366061.30361189978</v>
      </c>
      <c r="I168" s="21">
        <f t="shared" si="27"/>
        <v>133938.69638810071</v>
      </c>
      <c r="J168" s="16">
        <f t="shared" si="28"/>
        <v>290150.38579148933</v>
      </c>
    </row>
    <row r="169" spans="2:10" hidden="1" outlineLevel="1" x14ac:dyDescent="0.2">
      <c r="B169" s="44">
        <v>49004</v>
      </c>
      <c r="C169" s="15">
        <f t="shared" si="23"/>
        <v>366061.30361189978</v>
      </c>
      <c r="D169" s="16">
        <f t="shared" si="24"/>
        <v>1525.2554317162492</v>
      </c>
      <c r="E169" s="21">
        <f t="shared" si="25"/>
        <v>1158.8526833444459</v>
      </c>
      <c r="F169" s="163">
        <v>0</v>
      </c>
      <c r="G169" s="16">
        <f t="shared" si="26"/>
        <v>364902.45092855534</v>
      </c>
      <c r="I169" s="21">
        <f t="shared" si="27"/>
        <v>135097.54907144516</v>
      </c>
      <c r="J169" s="16">
        <f t="shared" si="28"/>
        <v>291675.6412232056</v>
      </c>
    </row>
    <row r="170" spans="2:10" hidden="1" outlineLevel="1" x14ac:dyDescent="0.2">
      <c r="B170" s="44">
        <v>49035</v>
      </c>
      <c r="C170" s="15">
        <f t="shared" si="23"/>
        <v>364902.45092855534</v>
      </c>
      <c r="D170" s="16">
        <f t="shared" si="24"/>
        <v>1520.4268788689806</v>
      </c>
      <c r="E170" s="21">
        <f t="shared" si="25"/>
        <v>1163.6812361917146</v>
      </c>
      <c r="F170" s="162">
        <v>0</v>
      </c>
      <c r="G170" s="16">
        <f t="shared" si="26"/>
        <v>363738.76969236362</v>
      </c>
      <c r="I170" s="21">
        <f t="shared" si="27"/>
        <v>136261.23030763687</v>
      </c>
      <c r="J170" s="16">
        <f t="shared" si="28"/>
        <v>293196.06810207455</v>
      </c>
    </row>
    <row r="171" spans="2:10" hidden="1" outlineLevel="1" x14ac:dyDescent="0.2">
      <c r="B171" s="44">
        <v>49065</v>
      </c>
      <c r="C171" s="15">
        <f t="shared" si="23"/>
        <v>363738.76969236362</v>
      </c>
      <c r="D171" s="16">
        <f t="shared" si="24"/>
        <v>1515.5782070515152</v>
      </c>
      <c r="E171" s="21">
        <f t="shared" si="25"/>
        <v>1168.52990800918</v>
      </c>
      <c r="F171" s="163">
        <v>0</v>
      </c>
      <c r="G171" s="16">
        <f t="shared" si="26"/>
        <v>362570.23978435446</v>
      </c>
      <c r="I171" s="21">
        <f t="shared" si="27"/>
        <v>137429.76021564606</v>
      </c>
      <c r="J171" s="16">
        <f t="shared" si="28"/>
        <v>294711.64630912605</v>
      </c>
    </row>
    <row r="172" spans="2:10" hidden="1" outlineLevel="1" x14ac:dyDescent="0.2">
      <c r="B172" s="44">
        <v>49096</v>
      </c>
      <c r="C172" s="15">
        <f t="shared" si="23"/>
        <v>362570.23978435446</v>
      </c>
      <c r="D172" s="16">
        <f t="shared" si="24"/>
        <v>1510.7093324348102</v>
      </c>
      <c r="E172" s="21">
        <f t="shared" si="25"/>
        <v>1173.3987826258849</v>
      </c>
      <c r="F172" s="162">
        <v>0</v>
      </c>
      <c r="G172" s="16">
        <f t="shared" si="26"/>
        <v>361396.84100172855</v>
      </c>
      <c r="I172" s="21">
        <f t="shared" si="27"/>
        <v>138603.15899827195</v>
      </c>
      <c r="J172" s="16">
        <f t="shared" si="28"/>
        <v>296222.35564156086</v>
      </c>
    </row>
    <row r="173" spans="2:10" hidden="1" outlineLevel="1" x14ac:dyDescent="0.2">
      <c r="B173" s="44">
        <v>49126</v>
      </c>
      <c r="C173" s="15">
        <f t="shared" si="23"/>
        <v>361396.84100172855</v>
      </c>
      <c r="D173" s="16">
        <f t="shared" si="24"/>
        <v>1505.8201708405356</v>
      </c>
      <c r="E173" s="21">
        <f t="shared" si="25"/>
        <v>1178.2879442201595</v>
      </c>
      <c r="F173" s="163">
        <v>0</v>
      </c>
      <c r="G173" s="16">
        <f t="shared" si="26"/>
        <v>360218.55305750837</v>
      </c>
      <c r="I173" s="21">
        <f t="shared" si="27"/>
        <v>139781.4469424921</v>
      </c>
      <c r="J173" s="16">
        <f t="shared" si="28"/>
        <v>297728.1758124014</v>
      </c>
    </row>
    <row r="174" spans="2:10" hidden="1" outlineLevel="1" x14ac:dyDescent="0.2">
      <c r="B174" s="44">
        <v>49157</v>
      </c>
      <c r="C174" s="15">
        <f t="shared" si="23"/>
        <v>360218.55305750837</v>
      </c>
      <c r="D174" s="16">
        <f t="shared" si="24"/>
        <v>1500.9106377396181</v>
      </c>
      <c r="E174" s="21">
        <f t="shared" si="25"/>
        <v>1183.197477321077</v>
      </c>
      <c r="F174" s="162">
        <v>0</v>
      </c>
      <c r="G174" s="16">
        <f t="shared" si="26"/>
        <v>359035.35558018729</v>
      </c>
      <c r="I174" s="21">
        <f t="shared" si="27"/>
        <v>140964.64441981318</v>
      </c>
      <c r="J174" s="16">
        <f t="shared" si="28"/>
        <v>299229.08645014104</v>
      </c>
    </row>
    <row r="175" spans="2:10" hidden="1" outlineLevel="1" x14ac:dyDescent="0.2">
      <c r="B175" s="44">
        <v>49188</v>
      </c>
      <c r="C175" s="15">
        <f t="shared" si="23"/>
        <v>359035.35558018729</v>
      </c>
      <c r="D175" s="16">
        <f t="shared" si="24"/>
        <v>1495.9806482507804</v>
      </c>
      <c r="E175" s="21">
        <f t="shared" si="25"/>
        <v>1188.1274668099147</v>
      </c>
      <c r="F175" s="163">
        <v>0</v>
      </c>
      <c r="G175" s="16">
        <f t="shared" si="26"/>
        <v>357847.22811337735</v>
      </c>
      <c r="I175" s="21">
        <f t="shared" si="27"/>
        <v>142152.77188662309</v>
      </c>
      <c r="J175" s="16">
        <f t="shared" si="28"/>
        <v>300725.06709839182</v>
      </c>
    </row>
    <row r="176" spans="2:10" hidden="1" outlineLevel="1" x14ac:dyDescent="0.2">
      <c r="B176" s="44">
        <v>49218</v>
      </c>
      <c r="C176" s="15">
        <f t="shared" si="23"/>
        <v>357847.22811337735</v>
      </c>
      <c r="D176" s="16">
        <f t="shared" si="24"/>
        <v>1491.0301171390722</v>
      </c>
      <c r="E176" s="21">
        <f t="shared" si="25"/>
        <v>1193.0779979216229</v>
      </c>
      <c r="F176" s="162">
        <v>0</v>
      </c>
      <c r="G176" s="16">
        <f t="shared" si="26"/>
        <v>356654.15011545573</v>
      </c>
      <c r="I176" s="21">
        <f t="shared" si="27"/>
        <v>143345.8498845447</v>
      </c>
      <c r="J176" s="16">
        <f t="shared" si="28"/>
        <v>302216.09721553087</v>
      </c>
    </row>
    <row r="177" spans="2:10" hidden="1" outlineLevel="1" x14ac:dyDescent="0.2">
      <c r="B177" s="44">
        <v>49249</v>
      </c>
      <c r="C177" s="15">
        <f t="shared" si="23"/>
        <v>356654.15011545573</v>
      </c>
      <c r="D177" s="16">
        <f t="shared" si="24"/>
        <v>1486.0589588143989</v>
      </c>
      <c r="E177" s="21">
        <f t="shared" si="25"/>
        <v>1198.0491562462962</v>
      </c>
      <c r="F177" s="163">
        <v>0</v>
      </c>
      <c r="G177" s="16">
        <f t="shared" si="26"/>
        <v>355456.10095920943</v>
      </c>
      <c r="I177" s="21">
        <f t="shared" si="27"/>
        <v>144543.899040791</v>
      </c>
      <c r="J177" s="16">
        <f t="shared" si="28"/>
        <v>303702.15617434529</v>
      </c>
    </row>
    <row r="178" spans="2:10" hidden="1" outlineLevel="1" x14ac:dyDescent="0.2">
      <c r="B178" s="44">
        <v>49279</v>
      </c>
      <c r="C178" s="15">
        <f t="shared" si="23"/>
        <v>355456.10095920943</v>
      </c>
      <c r="D178" s="16">
        <f t="shared" si="24"/>
        <v>1481.0670873300394</v>
      </c>
      <c r="E178" s="21">
        <f t="shared" si="25"/>
        <v>1203.0410277306557</v>
      </c>
      <c r="F178" s="162">
        <v>0</v>
      </c>
      <c r="G178" s="16">
        <f t="shared" si="26"/>
        <v>354253.05993147875</v>
      </c>
      <c r="I178" s="21">
        <f t="shared" si="27"/>
        <v>145746.94006852165</v>
      </c>
      <c r="J178" s="16">
        <f t="shared" si="28"/>
        <v>305183.22326167533</v>
      </c>
    </row>
    <row r="179" spans="2:10" hidden="1" outlineLevel="1" x14ac:dyDescent="0.2">
      <c r="B179" s="44">
        <v>49310</v>
      </c>
      <c r="C179" s="15">
        <f t="shared" si="23"/>
        <v>354253.05993147875</v>
      </c>
      <c r="D179" s="16">
        <f t="shared" si="24"/>
        <v>1476.0544163811614</v>
      </c>
      <c r="E179" s="21">
        <f t="shared" si="25"/>
        <v>1208.0536986795337</v>
      </c>
      <c r="F179" s="163">
        <v>0</v>
      </c>
      <c r="G179" s="16">
        <f t="shared" si="26"/>
        <v>353045.00623279921</v>
      </c>
      <c r="I179" s="21">
        <f t="shared" si="27"/>
        <v>146954.99376720117</v>
      </c>
      <c r="J179" s="16">
        <f t="shared" si="28"/>
        <v>306659.2776780565</v>
      </c>
    </row>
    <row r="180" spans="2:10" hidden="1" outlineLevel="1" x14ac:dyDescent="0.2">
      <c r="B180" s="44">
        <v>49341</v>
      </c>
      <c r="C180" s="15">
        <f t="shared" si="23"/>
        <v>353045.00623279921</v>
      </c>
      <c r="D180" s="16">
        <f t="shared" si="24"/>
        <v>1471.0208593033301</v>
      </c>
      <c r="E180" s="21">
        <f t="shared" si="25"/>
        <v>1213.087255757365</v>
      </c>
      <c r="F180" s="162">
        <v>0</v>
      </c>
      <c r="G180" s="16">
        <f t="shared" si="26"/>
        <v>351831.91897704185</v>
      </c>
      <c r="I180" s="21">
        <f t="shared" si="27"/>
        <v>148168.08102295853</v>
      </c>
      <c r="J180" s="16">
        <f t="shared" si="28"/>
        <v>308130.29853735981</v>
      </c>
    </row>
    <row r="181" spans="2:10" hidden="1" outlineLevel="1" x14ac:dyDescent="0.2">
      <c r="B181" s="44">
        <v>49369</v>
      </c>
      <c r="C181" s="15">
        <f t="shared" si="23"/>
        <v>351831.91897704185</v>
      </c>
      <c r="D181" s="16">
        <f t="shared" si="24"/>
        <v>1465.9663290710077</v>
      </c>
      <c r="E181" s="21">
        <f t="shared" si="25"/>
        <v>1218.1417859896874</v>
      </c>
      <c r="F181" s="163">
        <v>0</v>
      </c>
      <c r="G181" s="16">
        <f t="shared" si="26"/>
        <v>350613.77719105216</v>
      </c>
      <c r="I181" s="21">
        <f t="shared" si="27"/>
        <v>149386.22280894822</v>
      </c>
      <c r="J181" s="16">
        <f t="shared" si="28"/>
        <v>309596.26486643084</v>
      </c>
    </row>
    <row r="182" spans="2:10" hidden="1" outlineLevel="1" x14ac:dyDescent="0.2">
      <c r="B182" s="44">
        <v>49400</v>
      </c>
      <c r="C182" s="15">
        <f t="shared" si="23"/>
        <v>350613.77719105216</v>
      </c>
      <c r="D182" s="16">
        <f t="shared" si="24"/>
        <v>1460.8907382960506</v>
      </c>
      <c r="E182" s="21">
        <f t="shared" si="25"/>
        <v>1223.2173767646445</v>
      </c>
      <c r="F182" s="162">
        <v>0</v>
      </c>
      <c r="G182" s="16">
        <f t="shared" si="26"/>
        <v>349390.55981428752</v>
      </c>
      <c r="I182" s="21">
        <f t="shared" si="27"/>
        <v>150609.44018571285</v>
      </c>
      <c r="J182" s="16">
        <f t="shared" si="28"/>
        <v>311057.15560472687</v>
      </c>
    </row>
    <row r="183" spans="2:10" hidden="1" outlineLevel="1" x14ac:dyDescent="0.2">
      <c r="B183" s="44">
        <v>49430</v>
      </c>
      <c r="C183" s="15">
        <f t="shared" si="23"/>
        <v>349390.55981428752</v>
      </c>
      <c r="D183" s="16">
        <f t="shared" si="24"/>
        <v>1455.7939992261979</v>
      </c>
      <c r="E183" s="21">
        <f t="shared" si="25"/>
        <v>1228.3141158344972</v>
      </c>
      <c r="F183" s="163">
        <v>0</v>
      </c>
      <c r="G183" s="16">
        <f t="shared" si="26"/>
        <v>348162.24569845304</v>
      </c>
      <c r="I183" s="21">
        <f t="shared" si="27"/>
        <v>151837.75430154736</v>
      </c>
      <c r="J183" s="16">
        <f t="shared" si="28"/>
        <v>312512.94960395305</v>
      </c>
    </row>
    <row r="184" spans="2:10" hidden="1" outlineLevel="1" x14ac:dyDescent="0.2">
      <c r="B184" s="44">
        <v>49461</v>
      </c>
      <c r="C184" s="15">
        <f t="shared" si="23"/>
        <v>348162.24569845304</v>
      </c>
      <c r="D184" s="16">
        <f t="shared" si="24"/>
        <v>1450.6760237435544</v>
      </c>
      <c r="E184" s="21">
        <f t="shared" si="25"/>
        <v>1233.4320913171407</v>
      </c>
      <c r="F184" s="162">
        <v>0</v>
      </c>
      <c r="G184" s="16">
        <f t="shared" si="26"/>
        <v>346928.8136071359</v>
      </c>
      <c r="I184" s="21">
        <f t="shared" si="27"/>
        <v>153071.1863928645</v>
      </c>
      <c r="J184" s="16">
        <f t="shared" si="28"/>
        <v>313963.62562769663</v>
      </c>
    </row>
    <row r="185" spans="2:10" hidden="1" outlineLevel="1" x14ac:dyDescent="0.2">
      <c r="B185" s="44">
        <v>49491</v>
      </c>
      <c r="C185" s="15">
        <f t="shared" si="23"/>
        <v>346928.8136071359</v>
      </c>
      <c r="D185" s="16">
        <f t="shared" si="24"/>
        <v>1445.5367233630664</v>
      </c>
      <c r="E185" s="21">
        <f t="shared" si="25"/>
        <v>1238.5713916976288</v>
      </c>
      <c r="F185" s="163">
        <v>0</v>
      </c>
      <c r="G185" s="16">
        <f t="shared" si="26"/>
        <v>345690.24221543828</v>
      </c>
      <c r="I185" s="21">
        <f t="shared" si="27"/>
        <v>154309.75778456213</v>
      </c>
      <c r="J185" s="16">
        <f t="shared" si="28"/>
        <v>315409.16235105967</v>
      </c>
    </row>
    <row r="186" spans="2:10" hidden="1" outlineLevel="1" x14ac:dyDescent="0.2">
      <c r="B186" s="44">
        <v>49522</v>
      </c>
      <c r="C186" s="15">
        <f t="shared" si="23"/>
        <v>345690.24221543828</v>
      </c>
      <c r="D186" s="16">
        <f t="shared" si="24"/>
        <v>1440.3760092309928</v>
      </c>
      <c r="E186" s="21">
        <f t="shared" si="25"/>
        <v>1243.7321058297023</v>
      </c>
      <c r="F186" s="162">
        <v>0</v>
      </c>
      <c r="G186" s="16">
        <f t="shared" si="26"/>
        <v>344446.51010960859</v>
      </c>
      <c r="I186" s="21">
        <f t="shared" si="27"/>
        <v>155553.48989039182</v>
      </c>
      <c r="J186" s="16">
        <f t="shared" si="28"/>
        <v>316849.53836029064</v>
      </c>
    </row>
    <row r="187" spans="2:10" hidden="1" outlineLevel="1" x14ac:dyDescent="0.2">
      <c r="B187" s="44">
        <v>49553</v>
      </c>
      <c r="C187" s="15">
        <f t="shared" si="23"/>
        <v>344446.51010960859</v>
      </c>
      <c r="D187" s="16">
        <f t="shared" si="24"/>
        <v>1435.1937921233691</v>
      </c>
      <c r="E187" s="21">
        <f t="shared" si="25"/>
        <v>1248.914322937326</v>
      </c>
      <c r="F187" s="163">
        <v>0</v>
      </c>
      <c r="G187" s="16">
        <f t="shared" si="26"/>
        <v>343197.59578667127</v>
      </c>
      <c r="I187" s="21">
        <f t="shared" si="27"/>
        <v>156802.40421332914</v>
      </c>
      <c r="J187" s="16">
        <f t="shared" si="28"/>
        <v>318284.73215241398</v>
      </c>
    </row>
    <row r="188" spans="2:10" hidden="1" outlineLevel="1" x14ac:dyDescent="0.2">
      <c r="B188" s="44">
        <v>49583</v>
      </c>
      <c r="C188" s="15">
        <f t="shared" si="23"/>
        <v>343197.59578667127</v>
      </c>
      <c r="D188" s="16">
        <f t="shared" si="24"/>
        <v>1429.9899824444635</v>
      </c>
      <c r="E188" s="21">
        <f t="shared" si="25"/>
        <v>1254.1181326162316</v>
      </c>
      <c r="F188" s="162">
        <v>0</v>
      </c>
      <c r="G188" s="16">
        <f t="shared" si="26"/>
        <v>341943.47765405505</v>
      </c>
      <c r="I188" s="21">
        <f t="shared" si="27"/>
        <v>158056.52234594536</v>
      </c>
      <c r="J188" s="16">
        <f t="shared" si="28"/>
        <v>319714.72213485843</v>
      </c>
    </row>
    <row r="189" spans="2:10" hidden="1" outlineLevel="1" x14ac:dyDescent="0.2">
      <c r="B189" s="44">
        <v>49614</v>
      </c>
      <c r="C189" s="15">
        <f t="shared" si="23"/>
        <v>341943.47765405505</v>
      </c>
      <c r="D189" s="16">
        <f t="shared" si="24"/>
        <v>1424.7644902252293</v>
      </c>
      <c r="E189" s="21">
        <f t="shared" si="25"/>
        <v>1259.3436248354658</v>
      </c>
      <c r="F189" s="163">
        <v>0</v>
      </c>
      <c r="G189" s="16">
        <f t="shared" si="26"/>
        <v>340684.13402921957</v>
      </c>
      <c r="I189" s="21">
        <f t="shared" si="27"/>
        <v>159315.86597078081</v>
      </c>
      <c r="J189" s="16">
        <f t="shared" si="28"/>
        <v>321139.48662508366</v>
      </c>
    </row>
    <row r="190" spans="2:10" hidden="1" outlineLevel="1" x14ac:dyDescent="0.2">
      <c r="B190" s="44">
        <v>49644</v>
      </c>
      <c r="C190" s="15">
        <f t="shared" si="23"/>
        <v>340684.13402921957</v>
      </c>
      <c r="D190" s="16">
        <f t="shared" si="24"/>
        <v>1419.5172251217482</v>
      </c>
      <c r="E190" s="21">
        <f t="shared" si="25"/>
        <v>1264.5908899389469</v>
      </c>
      <c r="F190" s="162">
        <v>0</v>
      </c>
      <c r="G190" s="16">
        <f t="shared" si="26"/>
        <v>339419.54313928063</v>
      </c>
      <c r="I190" s="21">
        <f t="shared" si="27"/>
        <v>160580.45686071977</v>
      </c>
      <c r="J190" s="16">
        <f t="shared" si="28"/>
        <v>322559.00385020539</v>
      </c>
    </row>
    <row r="191" spans="2:10" hidden="1" outlineLevel="1" x14ac:dyDescent="0.2">
      <c r="B191" s="44">
        <v>49675</v>
      </c>
      <c r="C191" s="15">
        <f t="shared" si="23"/>
        <v>339419.54313928063</v>
      </c>
      <c r="D191" s="16">
        <f t="shared" si="24"/>
        <v>1414.2480964136694</v>
      </c>
      <c r="E191" s="21">
        <f t="shared" si="25"/>
        <v>1269.8600186470258</v>
      </c>
      <c r="F191" s="163">
        <v>0</v>
      </c>
      <c r="G191" s="16">
        <f t="shared" si="26"/>
        <v>338149.68312063359</v>
      </c>
      <c r="I191" s="21">
        <f t="shared" si="27"/>
        <v>161850.31687936679</v>
      </c>
      <c r="J191" s="16">
        <f t="shared" si="28"/>
        <v>323973.25194661907</v>
      </c>
    </row>
    <row r="192" spans="2:10" hidden="1" outlineLevel="1" x14ac:dyDescent="0.2">
      <c r="B192" s="44">
        <v>49706</v>
      </c>
      <c r="C192" s="15">
        <f t="shared" si="23"/>
        <v>338149.68312063359</v>
      </c>
      <c r="D192" s="16">
        <f t="shared" si="24"/>
        <v>1408.95701300264</v>
      </c>
      <c r="E192" s="21">
        <f t="shared" si="25"/>
        <v>1275.1511020580551</v>
      </c>
      <c r="F192" s="162">
        <v>0</v>
      </c>
      <c r="G192" s="16">
        <f t="shared" si="26"/>
        <v>336874.53201857553</v>
      </c>
      <c r="I192" s="21">
        <f t="shared" si="27"/>
        <v>163125.46798142485</v>
      </c>
      <c r="J192" s="16">
        <f t="shared" si="28"/>
        <v>325382.20895962173</v>
      </c>
    </row>
    <row r="193" spans="2:10" hidden="1" outlineLevel="1" x14ac:dyDescent="0.2">
      <c r="B193" s="44">
        <v>49735</v>
      </c>
      <c r="C193" s="15">
        <f t="shared" si="23"/>
        <v>336874.53201857553</v>
      </c>
      <c r="D193" s="16">
        <f t="shared" si="24"/>
        <v>1403.6438834107314</v>
      </c>
      <c r="E193" s="21">
        <f t="shared" si="25"/>
        <v>1280.4642316499637</v>
      </c>
      <c r="F193" s="163">
        <v>0</v>
      </c>
      <c r="G193" s="16">
        <f t="shared" si="26"/>
        <v>335594.06778692559</v>
      </c>
      <c r="I193" s="21">
        <f t="shared" si="27"/>
        <v>164405.93221307482</v>
      </c>
      <c r="J193" s="16">
        <f t="shared" si="28"/>
        <v>326785.85284303245</v>
      </c>
    </row>
    <row r="194" spans="2:10" hidden="1" outlineLevel="1" x14ac:dyDescent="0.2">
      <c r="B194" s="44">
        <v>49766</v>
      </c>
      <c r="C194" s="15">
        <f t="shared" si="23"/>
        <v>335594.06778692559</v>
      </c>
      <c r="D194" s="16">
        <f t="shared" si="24"/>
        <v>1398.3086157788566</v>
      </c>
      <c r="E194" s="21">
        <f t="shared" si="25"/>
        <v>1285.7994992818385</v>
      </c>
      <c r="F194" s="162">
        <v>0</v>
      </c>
      <c r="G194" s="16">
        <f t="shared" si="26"/>
        <v>334308.26828764373</v>
      </c>
      <c r="I194" s="21">
        <f t="shared" si="27"/>
        <v>165691.73171235665</v>
      </c>
      <c r="J194" s="16">
        <f t="shared" si="28"/>
        <v>328184.16145881132</v>
      </c>
    </row>
    <row r="195" spans="2:10" hidden="1" outlineLevel="1" x14ac:dyDescent="0.2">
      <c r="B195" s="44">
        <v>49796</v>
      </c>
      <c r="C195" s="15">
        <f t="shared" si="23"/>
        <v>334308.26828764373</v>
      </c>
      <c r="D195" s="16">
        <f t="shared" si="24"/>
        <v>1392.9511178651821</v>
      </c>
      <c r="E195" s="21">
        <f t="shared" si="25"/>
        <v>1291.156997195513</v>
      </c>
      <c r="F195" s="163">
        <v>0</v>
      </c>
      <c r="G195" s="16">
        <f t="shared" si="26"/>
        <v>333017.11129044823</v>
      </c>
      <c r="I195" s="21">
        <f t="shared" si="27"/>
        <v>166982.88870955215</v>
      </c>
      <c r="J195" s="16">
        <f t="shared" si="28"/>
        <v>329577.11257667647</v>
      </c>
    </row>
    <row r="196" spans="2:10" hidden="1" outlineLevel="1" x14ac:dyDescent="0.2">
      <c r="B196" s="44">
        <v>49827</v>
      </c>
      <c r="C196" s="15">
        <f t="shared" si="23"/>
        <v>333017.11129044823</v>
      </c>
      <c r="D196" s="16">
        <f t="shared" si="24"/>
        <v>1387.5712970435343</v>
      </c>
      <c r="E196" s="21">
        <f t="shared" si="25"/>
        <v>1296.5368180171608</v>
      </c>
      <c r="F196" s="162">
        <v>0</v>
      </c>
      <c r="G196" s="16">
        <f t="shared" si="26"/>
        <v>331720.57447243109</v>
      </c>
      <c r="I196" s="21">
        <f t="shared" si="27"/>
        <v>168279.42552756931</v>
      </c>
      <c r="J196" s="16">
        <f t="shared" si="28"/>
        <v>330964.68387372</v>
      </c>
    </row>
    <row r="197" spans="2:10" hidden="1" outlineLevel="1" x14ac:dyDescent="0.2">
      <c r="B197" s="44">
        <v>49857</v>
      </c>
      <c r="C197" s="15">
        <f t="shared" si="23"/>
        <v>331720.57447243109</v>
      </c>
      <c r="D197" s="16">
        <f t="shared" si="24"/>
        <v>1382.1690603017962</v>
      </c>
      <c r="E197" s="21">
        <f t="shared" si="25"/>
        <v>1301.9390547588989</v>
      </c>
      <c r="F197" s="163">
        <v>0</v>
      </c>
      <c r="G197" s="16">
        <f t="shared" si="26"/>
        <v>330418.63541767222</v>
      </c>
      <c r="I197" s="21">
        <f t="shared" si="27"/>
        <v>169581.36458232821</v>
      </c>
      <c r="J197" s="16">
        <f t="shared" si="28"/>
        <v>332346.85293402179</v>
      </c>
    </row>
    <row r="198" spans="2:10" hidden="1" outlineLevel="1" x14ac:dyDescent="0.2">
      <c r="B198" s="44">
        <v>49888</v>
      </c>
      <c r="C198" s="15">
        <f t="shared" si="23"/>
        <v>330418.63541767222</v>
      </c>
      <c r="D198" s="16">
        <f t="shared" si="24"/>
        <v>1376.7443142403008</v>
      </c>
      <c r="E198" s="21">
        <f t="shared" si="25"/>
        <v>1307.3638008203943</v>
      </c>
      <c r="F198" s="162">
        <v>0</v>
      </c>
      <c r="G198" s="16">
        <f t="shared" si="26"/>
        <v>329111.27161685185</v>
      </c>
      <c r="I198" s="21">
        <f t="shared" si="27"/>
        <v>170888.72838314861</v>
      </c>
      <c r="J198" s="16">
        <f t="shared" si="28"/>
        <v>333723.59724826209</v>
      </c>
    </row>
    <row r="199" spans="2:10" hidden="1" outlineLevel="1" x14ac:dyDescent="0.2">
      <c r="B199" s="44">
        <v>49919</v>
      </c>
      <c r="C199" s="15">
        <f t="shared" ref="C199:C262" si="29">G198</f>
        <v>329111.27161685185</v>
      </c>
      <c r="D199" s="16">
        <f t="shared" ref="D199:D262" si="30">C199*E$6</f>
        <v>1371.2969650702159</v>
      </c>
      <c r="E199" s="21">
        <f t="shared" ref="E199:E262" si="31">E$8-D199</f>
        <v>1312.8111499904792</v>
      </c>
      <c r="F199" s="163">
        <v>0</v>
      </c>
      <c r="G199" s="16">
        <f t="shared" ref="G199:G262" si="32">C199-E199-F199</f>
        <v>327798.46046686138</v>
      </c>
      <c r="I199" s="21">
        <f t="shared" ref="I199:I262" si="33">I198+E199</f>
        <v>172201.53953313909</v>
      </c>
      <c r="J199" s="16">
        <f t="shared" ref="J199:J262" si="34">J198+D199</f>
        <v>335094.89421333233</v>
      </c>
    </row>
    <row r="200" spans="2:10" hidden="1" outlineLevel="1" x14ac:dyDescent="0.2">
      <c r="B200" s="44">
        <v>49949</v>
      </c>
      <c r="C200" s="15">
        <f t="shared" si="29"/>
        <v>327798.46046686138</v>
      </c>
      <c r="D200" s="16">
        <f t="shared" si="30"/>
        <v>1365.8269186119223</v>
      </c>
      <c r="E200" s="21">
        <f t="shared" si="31"/>
        <v>1318.2811964487728</v>
      </c>
      <c r="F200" s="162">
        <v>0</v>
      </c>
      <c r="G200" s="16">
        <f t="shared" si="32"/>
        <v>326480.1792704126</v>
      </c>
      <c r="I200" s="21">
        <f t="shared" si="33"/>
        <v>173519.82072958787</v>
      </c>
      <c r="J200" s="16">
        <f t="shared" si="34"/>
        <v>336460.72113194427</v>
      </c>
    </row>
    <row r="201" spans="2:10" hidden="1" outlineLevel="1" x14ac:dyDescent="0.2">
      <c r="B201" s="44">
        <v>49980</v>
      </c>
      <c r="C201" s="15">
        <f t="shared" si="29"/>
        <v>326480.1792704126</v>
      </c>
      <c r="D201" s="16">
        <f t="shared" si="30"/>
        <v>1360.3340802933858</v>
      </c>
      <c r="E201" s="21">
        <f t="shared" si="31"/>
        <v>1323.7740347673093</v>
      </c>
      <c r="F201" s="163">
        <v>0</v>
      </c>
      <c r="G201" s="16">
        <f t="shared" si="32"/>
        <v>325156.4052356453</v>
      </c>
      <c r="I201" s="21">
        <f t="shared" si="33"/>
        <v>174843.59476435516</v>
      </c>
      <c r="J201" s="16">
        <f t="shared" si="34"/>
        <v>337821.05521223764</v>
      </c>
    </row>
    <row r="202" spans="2:10" hidden="1" outlineLevel="1" x14ac:dyDescent="0.2">
      <c r="B202" s="44">
        <v>50010</v>
      </c>
      <c r="C202" s="15">
        <f t="shared" si="29"/>
        <v>325156.4052356453</v>
      </c>
      <c r="D202" s="16">
        <f t="shared" si="30"/>
        <v>1354.8183551485222</v>
      </c>
      <c r="E202" s="21">
        <f t="shared" si="31"/>
        <v>1329.2897599121729</v>
      </c>
      <c r="F202" s="162">
        <v>0</v>
      </c>
      <c r="G202" s="16">
        <f t="shared" si="32"/>
        <v>323827.11547573312</v>
      </c>
      <c r="I202" s="21">
        <f t="shared" si="33"/>
        <v>176172.88452426734</v>
      </c>
      <c r="J202" s="16">
        <f t="shared" si="34"/>
        <v>339175.87356738618</v>
      </c>
    </row>
    <row r="203" spans="2:10" hidden="1" outlineLevel="1" x14ac:dyDescent="0.2">
      <c r="B203" s="44">
        <v>50041</v>
      </c>
      <c r="C203" s="15">
        <f t="shared" si="29"/>
        <v>323827.11547573312</v>
      </c>
      <c r="D203" s="16">
        <f t="shared" si="30"/>
        <v>1349.2796478155547</v>
      </c>
      <c r="E203" s="21">
        <f t="shared" si="31"/>
        <v>1334.8284672451405</v>
      </c>
      <c r="F203" s="163">
        <v>0</v>
      </c>
      <c r="G203" s="16">
        <f t="shared" si="32"/>
        <v>322492.28700848797</v>
      </c>
      <c r="I203" s="21">
        <f t="shared" si="33"/>
        <v>177507.71299151247</v>
      </c>
      <c r="J203" s="16">
        <f t="shared" si="34"/>
        <v>340525.15321520175</v>
      </c>
    </row>
    <row r="204" spans="2:10" hidden="1" outlineLevel="1" x14ac:dyDescent="0.2">
      <c r="B204" s="44">
        <v>50072</v>
      </c>
      <c r="C204" s="15">
        <f t="shared" si="29"/>
        <v>322492.28700848797</v>
      </c>
      <c r="D204" s="16">
        <f t="shared" si="30"/>
        <v>1343.7178625353665</v>
      </c>
      <c r="E204" s="21">
        <f t="shared" si="31"/>
        <v>1340.3902525253286</v>
      </c>
      <c r="F204" s="162">
        <v>0</v>
      </c>
      <c r="G204" s="16">
        <f t="shared" si="32"/>
        <v>321151.89675596263</v>
      </c>
      <c r="I204" s="21">
        <f t="shared" si="33"/>
        <v>178848.1032440378</v>
      </c>
      <c r="J204" s="16">
        <f t="shared" si="34"/>
        <v>341868.87107773713</v>
      </c>
    </row>
    <row r="205" spans="2:10" hidden="1" outlineLevel="1" x14ac:dyDescent="0.2">
      <c r="B205" s="44">
        <v>50100</v>
      </c>
      <c r="C205" s="15">
        <f t="shared" si="29"/>
        <v>321151.89675596263</v>
      </c>
      <c r="D205" s="16">
        <f t="shared" si="30"/>
        <v>1338.1329031498442</v>
      </c>
      <c r="E205" s="21">
        <f t="shared" si="31"/>
        <v>1345.9752119108509</v>
      </c>
      <c r="F205" s="163">
        <v>0</v>
      </c>
      <c r="G205" s="16">
        <f t="shared" si="32"/>
        <v>319805.92154405179</v>
      </c>
      <c r="I205" s="21">
        <f t="shared" si="33"/>
        <v>180194.07845594865</v>
      </c>
      <c r="J205" s="16">
        <f t="shared" si="34"/>
        <v>343207.00398088695</v>
      </c>
    </row>
    <row r="206" spans="2:10" hidden="1" outlineLevel="1" x14ac:dyDescent="0.2">
      <c r="B206" s="44">
        <v>50131</v>
      </c>
      <c r="C206" s="15">
        <f t="shared" si="29"/>
        <v>319805.92154405179</v>
      </c>
      <c r="D206" s="16">
        <f t="shared" si="30"/>
        <v>1332.5246731002158</v>
      </c>
      <c r="E206" s="21">
        <f t="shared" si="31"/>
        <v>1351.5834419604794</v>
      </c>
      <c r="F206" s="162">
        <v>0</v>
      </c>
      <c r="G206" s="16">
        <f t="shared" si="32"/>
        <v>318454.33810209134</v>
      </c>
      <c r="I206" s="21">
        <f t="shared" si="33"/>
        <v>181545.66189790913</v>
      </c>
      <c r="J206" s="16">
        <f t="shared" si="34"/>
        <v>344539.52865398716</v>
      </c>
    </row>
    <row r="207" spans="2:10" hidden="1" outlineLevel="1" x14ac:dyDescent="0.2">
      <c r="B207" s="44">
        <v>50161</v>
      </c>
      <c r="C207" s="15">
        <f t="shared" si="29"/>
        <v>318454.33810209134</v>
      </c>
      <c r="D207" s="16">
        <f t="shared" si="30"/>
        <v>1326.8930754253806</v>
      </c>
      <c r="E207" s="21">
        <f t="shared" si="31"/>
        <v>1357.2150396353145</v>
      </c>
      <c r="F207" s="163">
        <v>0</v>
      </c>
      <c r="G207" s="16">
        <f t="shared" si="32"/>
        <v>317097.12306245603</v>
      </c>
      <c r="I207" s="21">
        <f t="shared" si="33"/>
        <v>182902.87693754444</v>
      </c>
      <c r="J207" s="16">
        <f t="shared" si="34"/>
        <v>345866.42172941251</v>
      </c>
    </row>
    <row r="208" spans="2:10" hidden="1" outlineLevel="1" x14ac:dyDescent="0.2">
      <c r="B208" s="44">
        <v>50192</v>
      </c>
      <c r="C208" s="15">
        <f t="shared" si="29"/>
        <v>317097.12306245603</v>
      </c>
      <c r="D208" s="16">
        <f t="shared" si="30"/>
        <v>1321.2380127602335</v>
      </c>
      <c r="E208" s="21">
        <f t="shared" si="31"/>
        <v>1362.8701023004617</v>
      </c>
      <c r="F208" s="162">
        <v>0</v>
      </c>
      <c r="G208" s="16">
        <f t="shared" si="32"/>
        <v>315734.25296015554</v>
      </c>
      <c r="I208" s="21">
        <f t="shared" si="33"/>
        <v>184265.74703984489</v>
      </c>
      <c r="J208" s="16">
        <f t="shared" si="34"/>
        <v>347187.65974217275</v>
      </c>
    </row>
    <row r="209" spans="2:10" hidden="1" outlineLevel="1" x14ac:dyDescent="0.2">
      <c r="B209" s="44">
        <v>50222</v>
      </c>
      <c r="C209" s="15">
        <f t="shared" si="29"/>
        <v>315734.25296015554</v>
      </c>
      <c r="D209" s="16">
        <f t="shared" si="30"/>
        <v>1315.5593873339815</v>
      </c>
      <c r="E209" s="21">
        <f t="shared" si="31"/>
        <v>1368.5487277267137</v>
      </c>
      <c r="F209" s="163">
        <v>0</v>
      </c>
      <c r="G209" s="16">
        <f t="shared" si="32"/>
        <v>314365.7042324288</v>
      </c>
      <c r="I209" s="21">
        <f t="shared" si="33"/>
        <v>185634.2957675716</v>
      </c>
      <c r="J209" s="16">
        <f t="shared" si="34"/>
        <v>348503.21912950673</v>
      </c>
    </row>
    <row r="210" spans="2:10" hidden="1" outlineLevel="1" x14ac:dyDescent="0.2">
      <c r="B210" s="44">
        <v>50253</v>
      </c>
      <c r="C210" s="15">
        <f t="shared" si="29"/>
        <v>314365.7042324288</v>
      </c>
      <c r="D210" s="16">
        <f t="shared" si="30"/>
        <v>1309.8571009684533</v>
      </c>
      <c r="E210" s="21">
        <f t="shared" si="31"/>
        <v>1374.2510140922418</v>
      </c>
      <c r="F210" s="162">
        <v>0</v>
      </c>
      <c r="G210" s="16">
        <f t="shared" si="32"/>
        <v>312991.45321833657</v>
      </c>
      <c r="I210" s="21">
        <f t="shared" si="33"/>
        <v>187008.54678166384</v>
      </c>
      <c r="J210" s="16">
        <f t="shared" si="34"/>
        <v>349813.07623047521</v>
      </c>
    </row>
    <row r="211" spans="2:10" hidden="1" outlineLevel="1" x14ac:dyDescent="0.2">
      <c r="B211" s="44">
        <v>50284</v>
      </c>
      <c r="C211" s="15">
        <f t="shared" si="29"/>
        <v>312991.45321833657</v>
      </c>
      <c r="D211" s="16">
        <f t="shared" si="30"/>
        <v>1304.1310550764024</v>
      </c>
      <c r="E211" s="21">
        <f t="shared" si="31"/>
        <v>1379.9770599842927</v>
      </c>
      <c r="F211" s="163">
        <v>0</v>
      </c>
      <c r="G211" s="16">
        <f t="shared" si="32"/>
        <v>311611.47615835228</v>
      </c>
      <c r="I211" s="21">
        <f t="shared" si="33"/>
        <v>188388.52384164813</v>
      </c>
      <c r="J211" s="16">
        <f t="shared" si="34"/>
        <v>351117.20728555159</v>
      </c>
    </row>
    <row r="212" spans="2:10" hidden="1" outlineLevel="1" x14ac:dyDescent="0.2">
      <c r="B212" s="44">
        <v>50314</v>
      </c>
      <c r="C212" s="15">
        <f t="shared" si="29"/>
        <v>311611.47615835228</v>
      </c>
      <c r="D212" s="16">
        <f t="shared" si="30"/>
        <v>1298.3811506598011</v>
      </c>
      <c r="E212" s="21">
        <f t="shared" si="31"/>
        <v>1385.7269644008941</v>
      </c>
      <c r="F212" s="162">
        <v>0</v>
      </c>
      <c r="G212" s="16">
        <f t="shared" si="32"/>
        <v>310225.74919395137</v>
      </c>
      <c r="I212" s="21">
        <f t="shared" si="33"/>
        <v>189774.25080604904</v>
      </c>
      <c r="J212" s="16">
        <f t="shared" si="34"/>
        <v>352415.5884362114</v>
      </c>
    </row>
    <row r="213" spans="2:10" hidden="1" outlineLevel="1" x14ac:dyDescent="0.2">
      <c r="B213" s="44">
        <v>50345</v>
      </c>
      <c r="C213" s="15">
        <f t="shared" si="29"/>
        <v>310225.74919395137</v>
      </c>
      <c r="D213" s="16">
        <f t="shared" si="30"/>
        <v>1292.6072883081306</v>
      </c>
      <c r="E213" s="21">
        <f t="shared" si="31"/>
        <v>1391.5008267525645</v>
      </c>
      <c r="F213" s="163">
        <v>0</v>
      </c>
      <c r="G213" s="16">
        <f t="shared" si="32"/>
        <v>308834.2483671988</v>
      </c>
      <c r="I213" s="21">
        <f t="shared" si="33"/>
        <v>191165.75163280161</v>
      </c>
      <c r="J213" s="16">
        <f t="shared" si="34"/>
        <v>353708.19572451955</v>
      </c>
    </row>
    <row r="214" spans="2:10" hidden="1" outlineLevel="1" x14ac:dyDescent="0.2">
      <c r="B214" s="44">
        <v>50375</v>
      </c>
      <c r="C214" s="15">
        <f t="shared" si="29"/>
        <v>308834.2483671988</v>
      </c>
      <c r="D214" s="16">
        <f t="shared" si="30"/>
        <v>1286.8093681966616</v>
      </c>
      <c r="E214" s="21">
        <f t="shared" si="31"/>
        <v>1397.2987468640335</v>
      </c>
      <c r="F214" s="162">
        <v>0</v>
      </c>
      <c r="G214" s="16">
        <f t="shared" si="32"/>
        <v>307436.94962033478</v>
      </c>
      <c r="I214" s="21">
        <f t="shared" si="33"/>
        <v>192563.05037966563</v>
      </c>
      <c r="J214" s="16">
        <f t="shared" si="34"/>
        <v>354995.00509271619</v>
      </c>
    </row>
    <row r="215" spans="2:10" hidden="1" outlineLevel="1" x14ac:dyDescent="0.2">
      <c r="B215" s="44">
        <v>50406</v>
      </c>
      <c r="C215" s="15">
        <f t="shared" si="29"/>
        <v>307436.94962033478</v>
      </c>
      <c r="D215" s="16">
        <f t="shared" si="30"/>
        <v>1280.9872900847283</v>
      </c>
      <c r="E215" s="21">
        <f t="shared" si="31"/>
        <v>1403.1208249759668</v>
      </c>
      <c r="F215" s="163">
        <v>0</v>
      </c>
      <c r="G215" s="16">
        <f t="shared" si="32"/>
        <v>306033.82879535883</v>
      </c>
      <c r="I215" s="21">
        <f t="shared" si="33"/>
        <v>193966.17120464161</v>
      </c>
      <c r="J215" s="16">
        <f t="shared" si="34"/>
        <v>356275.99238280091</v>
      </c>
    </row>
    <row r="216" spans="2:10" hidden="1" outlineLevel="1" x14ac:dyDescent="0.2">
      <c r="B216" s="44">
        <v>50437</v>
      </c>
      <c r="C216" s="15">
        <f t="shared" si="29"/>
        <v>306033.82879535883</v>
      </c>
      <c r="D216" s="16">
        <f t="shared" si="30"/>
        <v>1275.1409533139952</v>
      </c>
      <c r="E216" s="21">
        <f t="shared" si="31"/>
        <v>1408.9671617467</v>
      </c>
      <c r="F216" s="162">
        <v>0</v>
      </c>
      <c r="G216" s="16">
        <f t="shared" si="32"/>
        <v>304624.86163361213</v>
      </c>
      <c r="I216" s="21">
        <f t="shared" si="33"/>
        <v>195375.1383663883</v>
      </c>
      <c r="J216" s="16">
        <f t="shared" si="34"/>
        <v>357551.13333611487</v>
      </c>
    </row>
    <row r="217" spans="2:10" hidden="1" outlineLevel="1" x14ac:dyDescent="0.2">
      <c r="B217" s="44">
        <v>50465</v>
      </c>
      <c r="C217" s="15">
        <f t="shared" si="29"/>
        <v>304624.86163361213</v>
      </c>
      <c r="D217" s="16">
        <f t="shared" si="30"/>
        <v>1269.2702568067173</v>
      </c>
      <c r="E217" s="21">
        <f t="shared" si="31"/>
        <v>1414.8378582539779</v>
      </c>
      <c r="F217" s="163">
        <v>0</v>
      </c>
      <c r="G217" s="16">
        <f t="shared" si="32"/>
        <v>303210.02377535816</v>
      </c>
      <c r="I217" s="21">
        <f t="shared" si="33"/>
        <v>196789.97622464228</v>
      </c>
      <c r="J217" s="16">
        <f t="shared" si="34"/>
        <v>358820.40359292156</v>
      </c>
    </row>
    <row r="218" spans="2:10" hidden="1" outlineLevel="1" x14ac:dyDescent="0.2">
      <c r="B218" s="44">
        <v>50496</v>
      </c>
      <c r="C218" s="15">
        <f t="shared" si="29"/>
        <v>303210.02377535816</v>
      </c>
      <c r="D218" s="16">
        <f t="shared" si="30"/>
        <v>1263.3750990639924</v>
      </c>
      <c r="E218" s="21">
        <f t="shared" si="31"/>
        <v>1420.7330159967028</v>
      </c>
      <c r="F218" s="162">
        <v>0</v>
      </c>
      <c r="G218" s="16">
        <f t="shared" si="32"/>
        <v>301789.29075936147</v>
      </c>
      <c r="I218" s="21">
        <f t="shared" si="33"/>
        <v>198210.70924063897</v>
      </c>
      <c r="J218" s="16">
        <f t="shared" si="34"/>
        <v>360083.77869198553</v>
      </c>
    </row>
    <row r="219" spans="2:10" hidden="1" outlineLevel="1" x14ac:dyDescent="0.2">
      <c r="B219" s="44">
        <v>50526</v>
      </c>
      <c r="C219" s="15">
        <f t="shared" si="29"/>
        <v>301789.29075936147</v>
      </c>
      <c r="D219" s="16">
        <f t="shared" si="30"/>
        <v>1257.4553781640061</v>
      </c>
      <c r="E219" s="21">
        <f t="shared" si="31"/>
        <v>1426.652736896689</v>
      </c>
      <c r="F219" s="163">
        <v>0</v>
      </c>
      <c r="G219" s="16">
        <f t="shared" si="32"/>
        <v>300362.63802246476</v>
      </c>
      <c r="I219" s="21">
        <f t="shared" si="33"/>
        <v>199637.36197753565</v>
      </c>
      <c r="J219" s="16">
        <f t="shared" si="34"/>
        <v>361341.23407014954</v>
      </c>
    </row>
    <row r="220" spans="2:10" hidden="1" outlineLevel="1" x14ac:dyDescent="0.2">
      <c r="B220" s="44">
        <v>50557</v>
      </c>
      <c r="C220" s="15">
        <f t="shared" si="29"/>
        <v>300362.63802246476</v>
      </c>
      <c r="D220" s="16">
        <f t="shared" si="30"/>
        <v>1251.5109917602699</v>
      </c>
      <c r="E220" s="21">
        <f t="shared" si="31"/>
        <v>1432.5971233004252</v>
      </c>
      <c r="F220" s="162">
        <v>0</v>
      </c>
      <c r="G220" s="16">
        <f t="shared" si="32"/>
        <v>298930.04089916433</v>
      </c>
      <c r="I220" s="21">
        <f t="shared" si="33"/>
        <v>201069.95910083607</v>
      </c>
      <c r="J220" s="16">
        <f t="shared" si="34"/>
        <v>362592.74506190984</v>
      </c>
    </row>
    <row r="221" spans="2:10" hidden="1" outlineLevel="1" x14ac:dyDescent="0.2">
      <c r="B221" s="44">
        <v>50587</v>
      </c>
      <c r="C221" s="15">
        <f t="shared" si="29"/>
        <v>298930.04089916433</v>
      </c>
      <c r="D221" s="16">
        <f t="shared" si="30"/>
        <v>1245.5418370798513</v>
      </c>
      <c r="E221" s="21">
        <f t="shared" si="31"/>
        <v>1438.5662779808438</v>
      </c>
      <c r="F221" s="163">
        <v>0</v>
      </c>
      <c r="G221" s="16">
        <f t="shared" si="32"/>
        <v>297491.47462118347</v>
      </c>
      <c r="I221" s="21">
        <f t="shared" si="33"/>
        <v>202508.52537881691</v>
      </c>
      <c r="J221" s="16">
        <f t="shared" si="34"/>
        <v>363838.2868989897</v>
      </c>
    </row>
    <row r="222" spans="2:10" hidden="1" outlineLevel="1" x14ac:dyDescent="0.2">
      <c r="B222" s="44">
        <v>50618</v>
      </c>
      <c r="C222" s="15">
        <f t="shared" si="29"/>
        <v>297491.47462118347</v>
      </c>
      <c r="D222" s="16">
        <f t="shared" si="30"/>
        <v>1239.5478109215978</v>
      </c>
      <c r="E222" s="21">
        <f t="shared" si="31"/>
        <v>1444.5603041390973</v>
      </c>
      <c r="F222" s="162">
        <v>0</v>
      </c>
      <c r="G222" s="16">
        <f t="shared" si="32"/>
        <v>296046.91431704437</v>
      </c>
      <c r="I222" s="21">
        <f t="shared" si="33"/>
        <v>203953.08568295601</v>
      </c>
      <c r="J222" s="16">
        <f t="shared" si="34"/>
        <v>365077.83470991132</v>
      </c>
    </row>
    <row r="223" spans="2:10" hidden="1" outlineLevel="1" x14ac:dyDescent="0.2">
      <c r="B223" s="44">
        <v>50649</v>
      </c>
      <c r="C223" s="15">
        <f t="shared" si="29"/>
        <v>296046.91431704437</v>
      </c>
      <c r="D223" s="16">
        <f t="shared" si="30"/>
        <v>1233.5288096543516</v>
      </c>
      <c r="E223" s="21">
        <f t="shared" si="31"/>
        <v>1450.5793054063436</v>
      </c>
      <c r="F223" s="163">
        <v>0</v>
      </c>
      <c r="G223" s="16">
        <f t="shared" si="32"/>
        <v>294596.335011638</v>
      </c>
      <c r="I223" s="21">
        <f t="shared" si="33"/>
        <v>205403.66498836235</v>
      </c>
      <c r="J223" s="16">
        <f t="shared" si="34"/>
        <v>366311.36351956567</v>
      </c>
    </row>
    <row r="224" spans="2:10" hidden="1" outlineLevel="1" x14ac:dyDescent="0.2">
      <c r="B224" s="44">
        <v>50679</v>
      </c>
      <c r="C224" s="15">
        <f t="shared" si="29"/>
        <v>294596.335011638</v>
      </c>
      <c r="D224" s="16">
        <f t="shared" si="30"/>
        <v>1227.4847292151583</v>
      </c>
      <c r="E224" s="21">
        <f t="shared" si="31"/>
        <v>1456.6233858455369</v>
      </c>
      <c r="F224" s="162">
        <v>0</v>
      </c>
      <c r="G224" s="16">
        <f t="shared" si="32"/>
        <v>293139.71162579249</v>
      </c>
      <c r="I224" s="21">
        <f t="shared" si="33"/>
        <v>206860.28837420788</v>
      </c>
      <c r="J224" s="16">
        <f t="shared" si="34"/>
        <v>367538.84824878082</v>
      </c>
    </row>
    <row r="225" spans="2:10" hidden="1" outlineLevel="1" x14ac:dyDescent="0.2">
      <c r="B225" s="44">
        <v>50710</v>
      </c>
      <c r="C225" s="15">
        <f t="shared" si="29"/>
        <v>293139.71162579249</v>
      </c>
      <c r="D225" s="16">
        <f t="shared" si="30"/>
        <v>1221.4154651074687</v>
      </c>
      <c r="E225" s="21">
        <f t="shared" si="31"/>
        <v>1462.6926499532265</v>
      </c>
      <c r="F225" s="163">
        <v>0</v>
      </c>
      <c r="G225" s="16">
        <f t="shared" si="32"/>
        <v>291677.01897583925</v>
      </c>
      <c r="I225" s="21">
        <f t="shared" si="33"/>
        <v>208322.9810241611</v>
      </c>
      <c r="J225" s="16">
        <f t="shared" si="34"/>
        <v>368760.2637138883</v>
      </c>
    </row>
    <row r="226" spans="2:10" hidden="1" outlineLevel="1" x14ac:dyDescent="0.2">
      <c r="B226" s="44">
        <v>50740</v>
      </c>
      <c r="C226" s="15">
        <f t="shared" si="29"/>
        <v>291677.01897583925</v>
      </c>
      <c r="D226" s="16">
        <f t="shared" si="30"/>
        <v>1215.3209123993302</v>
      </c>
      <c r="E226" s="21">
        <f t="shared" si="31"/>
        <v>1468.787202661365</v>
      </c>
      <c r="F226" s="162">
        <v>0</v>
      </c>
      <c r="G226" s="16">
        <f t="shared" si="32"/>
        <v>290208.23177317786</v>
      </c>
      <c r="I226" s="21">
        <f t="shared" si="33"/>
        <v>209791.76822682246</v>
      </c>
      <c r="J226" s="16">
        <f t="shared" si="34"/>
        <v>369975.58462628763</v>
      </c>
    </row>
    <row r="227" spans="2:10" hidden="1" outlineLevel="1" x14ac:dyDescent="0.2">
      <c r="B227" s="44">
        <v>50771</v>
      </c>
      <c r="C227" s="15">
        <f t="shared" si="29"/>
        <v>290208.23177317786</v>
      </c>
      <c r="D227" s="16">
        <f t="shared" si="30"/>
        <v>1209.2009657215744</v>
      </c>
      <c r="E227" s="21">
        <f t="shared" si="31"/>
        <v>1474.9071493391207</v>
      </c>
      <c r="F227" s="163">
        <v>0</v>
      </c>
      <c r="G227" s="16">
        <f t="shared" si="32"/>
        <v>288733.32462383877</v>
      </c>
      <c r="I227" s="21">
        <f t="shared" si="33"/>
        <v>211266.67537616158</v>
      </c>
      <c r="J227" s="16">
        <f t="shared" si="34"/>
        <v>371184.7855920092</v>
      </c>
    </row>
    <row r="228" spans="2:10" hidden="1" outlineLevel="1" x14ac:dyDescent="0.2">
      <c r="B228" s="44">
        <v>50802</v>
      </c>
      <c r="C228" s="15">
        <f t="shared" si="29"/>
        <v>288733.32462383877</v>
      </c>
      <c r="D228" s="16">
        <f t="shared" si="30"/>
        <v>1203.0555192659949</v>
      </c>
      <c r="E228" s="21">
        <f t="shared" si="31"/>
        <v>1481.0525957947002</v>
      </c>
      <c r="F228" s="162">
        <v>0</v>
      </c>
      <c r="G228" s="16">
        <f t="shared" si="32"/>
        <v>287252.27202804404</v>
      </c>
      <c r="I228" s="21">
        <f t="shared" si="33"/>
        <v>212747.72797195628</v>
      </c>
      <c r="J228" s="16">
        <f t="shared" si="34"/>
        <v>372387.84111127519</v>
      </c>
    </row>
    <row r="229" spans="2:10" hidden="1" outlineLevel="1" x14ac:dyDescent="0.2">
      <c r="B229" s="44">
        <v>50830</v>
      </c>
      <c r="C229" s="15">
        <f t="shared" si="29"/>
        <v>287252.27202804404</v>
      </c>
      <c r="D229" s="16">
        <f t="shared" si="30"/>
        <v>1196.8844667835169</v>
      </c>
      <c r="E229" s="21">
        <f t="shared" si="31"/>
        <v>1487.2236482771782</v>
      </c>
      <c r="F229" s="163">
        <v>0</v>
      </c>
      <c r="G229" s="16">
        <f t="shared" si="32"/>
        <v>285765.04837976687</v>
      </c>
      <c r="I229" s="21">
        <f t="shared" si="33"/>
        <v>214234.95162023345</v>
      </c>
      <c r="J229" s="16">
        <f t="shared" si="34"/>
        <v>373584.72557805869</v>
      </c>
    </row>
    <row r="230" spans="2:10" hidden="1" outlineLevel="1" x14ac:dyDescent="0.2">
      <c r="B230" s="44">
        <v>50861</v>
      </c>
      <c r="C230" s="15">
        <f t="shared" si="29"/>
        <v>285765.04837976687</v>
      </c>
      <c r="D230" s="16">
        <f t="shared" si="30"/>
        <v>1190.687701582362</v>
      </c>
      <c r="E230" s="21">
        <f t="shared" si="31"/>
        <v>1493.4204134783331</v>
      </c>
      <c r="F230" s="162">
        <v>0</v>
      </c>
      <c r="G230" s="16">
        <f t="shared" si="32"/>
        <v>284271.62796628854</v>
      </c>
      <c r="I230" s="21">
        <f t="shared" si="33"/>
        <v>215728.37203371178</v>
      </c>
      <c r="J230" s="16">
        <f t="shared" si="34"/>
        <v>374775.41327964107</v>
      </c>
    </row>
    <row r="231" spans="2:10" hidden="1" outlineLevel="1" x14ac:dyDescent="0.2">
      <c r="B231" s="44">
        <v>50891</v>
      </c>
      <c r="C231" s="15">
        <f t="shared" si="29"/>
        <v>284271.62796628854</v>
      </c>
      <c r="D231" s="16">
        <f t="shared" si="30"/>
        <v>1184.4651165262021</v>
      </c>
      <c r="E231" s="21">
        <f t="shared" si="31"/>
        <v>1499.642998534493</v>
      </c>
      <c r="F231" s="163">
        <v>0</v>
      </c>
      <c r="G231" s="16">
        <f t="shared" si="32"/>
        <v>282771.98496775405</v>
      </c>
      <c r="I231" s="21">
        <f t="shared" si="33"/>
        <v>217228.01503224627</v>
      </c>
      <c r="J231" s="16">
        <f t="shared" si="34"/>
        <v>375959.87839616725</v>
      </c>
    </row>
    <row r="232" spans="2:10" hidden="1" outlineLevel="1" x14ac:dyDescent="0.2">
      <c r="B232" s="44">
        <v>50922</v>
      </c>
      <c r="C232" s="15">
        <f t="shared" si="29"/>
        <v>282771.98496775405</v>
      </c>
      <c r="D232" s="16">
        <f t="shared" si="30"/>
        <v>1178.2166040323086</v>
      </c>
      <c r="E232" s="21">
        <f t="shared" si="31"/>
        <v>1505.8915110283865</v>
      </c>
      <c r="F232" s="162">
        <v>0</v>
      </c>
      <c r="G232" s="16">
        <f t="shared" si="32"/>
        <v>281266.09345672565</v>
      </c>
      <c r="I232" s="21">
        <f t="shared" si="33"/>
        <v>218733.90654327467</v>
      </c>
      <c r="J232" s="16">
        <f t="shared" si="34"/>
        <v>377138.09500019957</v>
      </c>
    </row>
    <row r="233" spans="2:10" hidden="1" outlineLevel="1" x14ac:dyDescent="0.2">
      <c r="B233" s="44">
        <v>50952</v>
      </c>
      <c r="C233" s="15">
        <f t="shared" si="29"/>
        <v>281266.09345672565</v>
      </c>
      <c r="D233" s="16">
        <f t="shared" si="30"/>
        <v>1171.9420560696901</v>
      </c>
      <c r="E233" s="21">
        <f t="shared" si="31"/>
        <v>1512.166058991005</v>
      </c>
      <c r="F233" s="163">
        <v>0</v>
      </c>
      <c r="G233" s="16">
        <f t="shared" si="32"/>
        <v>279753.92739773466</v>
      </c>
      <c r="I233" s="21">
        <f t="shared" si="33"/>
        <v>220246.07260226569</v>
      </c>
      <c r="J233" s="16">
        <f t="shared" si="34"/>
        <v>378310.03705626924</v>
      </c>
    </row>
    <row r="234" spans="2:10" hidden="1" outlineLevel="1" x14ac:dyDescent="0.2">
      <c r="B234" s="44">
        <v>50983</v>
      </c>
      <c r="C234" s="15">
        <f t="shared" si="29"/>
        <v>279753.92739773466</v>
      </c>
      <c r="D234" s="16">
        <f t="shared" si="30"/>
        <v>1165.6413641572278</v>
      </c>
      <c r="E234" s="21">
        <f t="shared" si="31"/>
        <v>1518.4667509034673</v>
      </c>
      <c r="F234" s="162">
        <v>0</v>
      </c>
      <c r="G234" s="16">
        <f t="shared" si="32"/>
        <v>278235.4606468312</v>
      </c>
      <c r="I234" s="21">
        <f t="shared" si="33"/>
        <v>221764.53935316915</v>
      </c>
      <c r="J234" s="16">
        <f t="shared" si="34"/>
        <v>379475.67842042644</v>
      </c>
    </row>
    <row r="235" spans="2:10" hidden="1" outlineLevel="1" x14ac:dyDescent="0.2">
      <c r="B235" s="44">
        <v>51014</v>
      </c>
      <c r="C235" s="15">
        <f t="shared" si="29"/>
        <v>278235.4606468312</v>
      </c>
      <c r="D235" s="16">
        <f t="shared" si="30"/>
        <v>1159.3144193617966</v>
      </c>
      <c r="E235" s="21">
        <f t="shared" si="31"/>
        <v>1524.7936956988985</v>
      </c>
      <c r="F235" s="163">
        <v>0</v>
      </c>
      <c r="G235" s="16">
        <f t="shared" si="32"/>
        <v>276710.6669511323</v>
      </c>
      <c r="I235" s="21">
        <f t="shared" si="33"/>
        <v>223289.33304886805</v>
      </c>
      <c r="J235" s="16">
        <f t="shared" si="34"/>
        <v>380634.99283978826</v>
      </c>
    </row>
    <row r="236" spans="2:10" hidden="1" outlineLevel="1" x14ac:dyDescent="0.2">
      <c r="B236" s="44">
        <v>51044</v>
      </c>
      <c r="C236" s="15">
        <f t="shared" si="29"/>
        <v>276710.6669511323</v>
      </c>
      <c r="D236" s="16">
        <f t="shared" si="30"/>
        <v>1152.9611122963845</v>
      </c>
      <c r="E236" s="21">
        <f t="shared" si="31"/>
        <v>1531.1470027643106</v>
      </c>
      <c r="F236" s="162">
        <v>0</v>
      </c>
      <c r="G236" s="16">
        <f t="shared" si="32"/>
        <v>275179.51994836796</v>
      </c>
      <c r="I236" s="21">
        <f t="shared" si="33"/>
        <v>224820.48005163236</v>
      </c>
      <c r="J236" s="16">
        <f t="shared" si="34"/>
        <v>381787.95395208464</v>
      </c>
    </row>
    <row r="237" spans="2:10" hidden="1" outlineLevel="1" x14ac:dyDescent="0.2">
      <c r="B237" s="44">
        <v>51075</v>
      </c>
      <c r="C237" s="15">
        <f t="shared" si="29"/>
        <v>275179.51994836796</v>
      </c>
      <c r="D237" s="16">
        <f t="shared" si="30"/>
        <v>1146.5813331181998</v>
      </c>
      <c r="E237" s="21">
        <f t="shared" si="31"/>
        <v>1537.5267819424953</v>
      </c>
      <c r="F237" s="163">
        <v>0</v>
      </c>
      <c r="G237" s="16">
        <f t="shared" si="32"/>
        <v>273641.99316642544</v>
      </c>
      <c r="I237" s="21">
        <f t="shared" si="33"/>
        <v>226358.00683357485</v>
      </c>
      <c r="J237" s="16">
        <f t="shared" si="34"/>
        <v>382934.53528520284</v>
      </c>
    </row>
    <row r="238" spans="2:10" hidden="1" outlineLevel="1" x14ac:dyDescent="0.2">
      <c r="B238" s="44">
        <v>51105</v>
      </c>
      <c r="C238" s="15">
        <f t="shared" si="29"/>
        <v>273641.99316642544</v>
      </c>
      <c r="D238" s="16">
        <f t="shared" si="30"/>
        <v>1140.1749715267727</v>
      </c>
      <c r="E238" s="21">
        <f t="shared" si="31"/>
        <v>1543.9331435339225</v>
      </c>
      <c r="F238" s="162">
        <v>0</v>
      </c>
      <c r="G238" s="16">
        <f t="shared" si="32"/>
        <v>272098.0600228915</v>
      </c>
      <c r="I238" s="21">
        <f t="shared" si="33"/>
        <v>227901.93997710876</v>
      </c>
      <c r="J238" s="16">
        <f t="shared" si="34"/>
        <v>384074.71025672962</v>
      </c>
    </row>
    <row r="239" spans="2:10" hidden="1" outlineLevel="1" x14ac:dyDescent="0.2">
      <c r="B239" s="44">
        <v>51136</v>
      </c>
      <c r="C239" s="15">
        <f t="shared" si="29"/>
        <v>272098.0600228915</v>
      </c>
      <c r="D239" s="16">
        <f t="shared" si="30"/>
        <v>1133.7419167620478</v>
      </c>
      <c r="E239" s="21">
        <f t="shared" si="31"/>
        <v>1550.3661982986473</v>
      </c>
      <c r="F239" s="163">
        <v>0</v>
      </c>
      <c r="G239" s="16">
        <f t="shared" si="32"/>
        <v>270547.69382459286</v>
      </c>
      <c r="I239" s="21">
        <f t="shared" si="33"/>
        <v>229452.3061754074</v>
      </c>
      <c r="J239" s="16">
        <f t="shared" si="34"/>
        <v>385208.45217349165</v>
      </c>
    </row>
    <row r="240" spans="2:10" hidden="1" outlineLevel="1" x14ac:dyDescent="0.2">
      <c r="B240" s="44">
        <v>51167</v>
      </c>
      <c r="C240" s="15">
        <f t="shared" si="29"/>
        <v>270547.69382459286</v>
      </c>
      <c r="D240" s="16">
        <f t="shared" si="30"/>
        <v>1127.2820576024703</v>
      </c>
      <c r="E240" s="21">
        <f t="shared" si="31"/>
        <v>1556.8260574582248</v>
      </c>
      <c r="F240" s="162">
        <v>0</v>
      </c>
      <c r="G240" s="16">
        <f t="shared" si="32"/>
        <v>268990.86776713462</v>
      </c>
      <c r="I240" s="21">
        <f t="shared" si="33"/>
        <v>231009.13223286564</v>
      </c>
      <c r="J240" s="16">
        <f t="shared" si="34"/>
        <v>386335.73423109413</v>
      </c>
    </row>
    <row r="241" spans="2:10" hidden="1" outlineLevel="1" x14ac:dyDescent="0.2">
      <c r="B241" s="44">
        <v>51196</v>
      </c>
      <c r="C241" s="15">
        <f t="shared" si="29"/>
        <v>268990.86776713462</v>
      </c>
      <c r="D241" s="16">
        <f t="shared" si="30"/>
        <v>1120.795282363061</v>
      </c>
      <c r="E241" s="21">
        <f t="shared" si="31"/>
        <v>1563.3128326976341</v>
      </c>
      <c r="F241" s="163">
        <v>0</v>
      </c>
      <c r="G241" s="16">
        <f t="shared" si="32"/>
        <v>267427.55493443698</v>
      </c>
      <c r="I241" s="21">
        <f t="shared" si="33"/>
        <v>232572.44506556328</v>
      </c>
      <c r="J241" s="16">
        <f t="shared" si="34"/>
        <v>387456.52951345721</v>
      </c>
    </row>
    <row r="242" spans="2:10" hidden="1" outlineLevel="1" x14ac:dyDescent="0.2">
      <c r="B242" s="44">
        <v>51227</v>
      </c>
      <c r="C242" s="15">
        <f t="shared" si="29"/>
        <v>267427.55493443698</v>
      </c>
      <c r="D242" s="16">
        <f t="shared" si="30"/>
        <v>1114.2814788934875</v>
      </c>
      <c r="E242" s="21">
        <f t="shared" si="31"/>
        <v>1569.8266361672077</v>
      </c>
      <c r="F242" s="162">
        <v>0</v>
      </c>
      <c r="G242" s="16">
        <f t="shared" si="32"/>
        <v>265857.72829826979</v>
      </c>
      <c r="I242" s="21">
        <f t="shared" si="33"/>
        <v>234142.2717017305</v>
      </c>
      <c r="J242" s="16">
        <f t="shared" si="34"/>
        <v>388570.81099235069</v>
      </c>
    </row>
    <row r="243" spans="2:10" hidden="1" outlineLevel="1" x14ac:dyDescent="0.2">
      <c r="B243" s="44">
        <v>51257</v>
      </c>
      <c r="C243" s="15">
        <f t="shared" si="29"/>
        <v>265857.72829826979</v>
      </c>
      <c r="D243" s="16">
        <f t="shared" si="30"/>
        <v>1107.7405345761242</v>
      </c>
      <c r="E243" s="21">
        <f t="shared" si="31"/>
        <v>1576.3675804845709</v>
      </c>
      <c r="F243" s="163">
        <v>0</v>
      </c>
      <c r="G243" s="16">
        <f t="shared" si="32"/>
        <v>264281.3607177852</v>
      </c>
      <c r="I243" s="21">
        <f t="shared" si="33"/>
        <v>235718.63928221507</v>
      </c>
      <c r="J243" s="16">
        <f t="shared" si="34"/>
        <v>389678.55152692681</v>
      </c>
    </row>
    <row r="244" spans="2:10" hidden="1" outlineLevel="1" x14ac:dyDescent="0.2">
      <c r="B244" s="44">
        <v>51288</v>
      </c>
      <c r="C244" s="15">
        <f t="shared" si="29"/>
        <v>264281.3607177852</v>
      </c>
      <c r="D244" s="16">
        <f t="shared" si="30"/>
        <v>1101.1723363241049</v>
      </c>
      <c r="E244" s="21">
        <f t="shared" si="31"/>
        <v>1582.9357787365902</v>
      </c>
      <c r="F244" s="162">
        <v>0</v>
      </c>
      <c r="G244" s="16">
        <f t="shared" si="32"/>
        <v>262698.42493904859</v>
      </c>
      <c r="I244" s="21">
        <f t="shared" si="33"/>
        <v>237301.57506095167</v>
      </c>
      <c r="J244" s="16">
        <f t="shared" si="34"/>
        <v>390779.72386325093</v>
      </c>
    </row>
    <row r="245" spans="2:10" hidden="1" outlineLevel="1" x14ac:dyDescent="0.2">
      <c r="B245" s="44">
        <v>51318</v>
      </c>
      <c r="C245" s="15">
        <f t="shared" si="29"/>
        <v>262698.42493904859</v>
      </c>
      <c r="D245" s="16">
        <f t="shared" si="30"/>
        <v>1094.5767705793692</v>
      </c>
      <c r="E245" s="21">
        <f t="shared" si="31"/>
        <v>1589.531344481326</v>
      </c>
      <c r="F245" s="163">
        <v>0</v>
      </c>
      <c r="G245" s="16">
        <f t="shared" si="32"/>
        <v>261108.89359456726</v>
      </c>
      <c r="I245" s="21">
        <f t="shared" si="33"/>
        <v>238891.10640543301</v>
      </c>
      <c r="J245" s="16">
        <f t="shared" si="34"/>
        <v>391874.30063383031</v>
      </c>
    </row>
    <row r="246" spans="2:10" hidden="1" outlineLevel="1" x14ac:dyDescent="0.2">
      <c r="B246" s="44">
        <v>51349</v>
      </c>
      <c r="C246" s="15">
        <f t="shared" si="29"/>
        <v>261108.89359456726</v>
      </c>
      <c r="D246" s="16">
        <f t="shared" si="30"/>
        <v>1087.9537233106969</v>
      </c>
      <c r="E246" s="21">
        <f t="shared" si="31"/>
        <v>1596.1543917499982</v>
      </c>
      <c r="F246" s="162">
        <v>0</v>
      </c>
      <c r="G246" s="16">
        <f t="shared" si="32"/>
        <v>259512.73920281726</v>
      </c>
      <c r="I246" s="21">
        <f t="shared" si="33"/>
        <v>240487.260797183</v>
      </c>
      <c r="J246" s="16">
        <f t="shared" si="34"/>
        <v>392962.25435714104</v>
      </c>
    </row>
    <row r="247" spans="2:10" hidden="1" outlineLevel="1" x14ac:dyDescent="0.2">
      <c r="B247" s="44">
        <v>51380</v>
      </c>
      <c r="C247" s="15">
        <f t="shared" si="29"/>
        <v>259512.73920281726</v>
      </c>
      <c r="D247" s="16">
        <f t="shared" si="30"/>
        <v>1081.3030800117385</v>
      </c>
      <c r="E247" s="21">
        <f t="shared" si="31"/>
        <v>1602.8050350489566</v>
      </c>
      <c r="F247" s="163">
        <v>0</v>
      </c>
      <c r="G247" s="16">
        <f t="shared" si="32"/>
        <v>257909.93416776831</v>
      </c>
      <c r="I247" s="21">
        <f t="shared" si="33"/>
        <v>242090.06583223195</v>
      </c>
      <c r="J247" s="16">
        <f t="shared" si="34"/>
        <v>394043.55743715278</v>
      </c>
    </row>
    <row r="248" spans="2:10" hidden="1" outlineLevel="1" x14ac:dyDescent="0.2">
      <c r="B248" s="44">
        <v>51410</v>
      </c>
      <c r="C248" s="15">
        <f t="shared" si="29"/>
        <v>257909.93416776831</v>
      </c>
      <c r="D248" s="16">
        <f t="shared" si="30"/>
        <v>1074.6247256990346</v>
      </c>
      <c r="E248" s="21">
        <f t="shared" si="31"/>
        <v>1609.4833893616606</v>
      </c>
      <c r="F248" s="162">
        <v>0</v>
      </c>
      <c r="G248" s="16">
        <f t="shared" si="32"/>
        <v>256300.45077840664</v>
      </c>
      <c r="I248" s="21">
        <f t="shared" si="33"/>
        <v>243699.54922159362</v>
      </c>
      <c r="J248" s="16">
        <f t="shared" si="34"/>
        <v>395118.18216285179</v>
      </c>
    </row>
    <row r="249" spans="2:10" hidden="1" outlineLevel="1" x14ac:dyDescent="0.2">
      <c r="B249" s="44">
        <v>51441</v>
      </c>
      <c r="C249" s="15">
        <f t="shared" si="29"/>
        <v>256300.45077840664</v>
      </c>
      <c r="D249" s="16">
        <f t="shared" si="30"/>
        <v>1067.9185449100275</v>
      </c>
      <c r="E249" s="21">
        <f t="shared" si="31"/>
        <v>1616.1895701506676</v>
      </c>
      <c r="F249" s="163">
        <v>0</v>
      </c>
      <c r="G249" s="16">
        <f t="shared" si="32"/>
        <v>254684.26120825598</v>
      </c>
      <c r="I249" s="21">
        <f t="shared" si="33"/>
        <v>245315.73879174428</v>
      </c>
      <c r="J249" s="16">
        <f t="shared" si="34"/>
        <v>396186.10070776183</v>
      </c>
    </row>
    <row r="250" spans="2:10" hidden="1" outlineLevel="1" x14ac:dyDescent="0.2">
      <c r="B250" s="44">
        <v>51471</v>
      </c>
      <c r="C250" s="15">
        <f t="shared" si="29"/>
        <v>254684.26120825598</v>
      </c>
      <c r="D250" s="16">
        <f t="shared" si="30"/>
        <v>1061.1844217010666</v>
      </c>
      <c r="E250" s="21">
        <f t="shared" si="31"/>
        <v>1622.9236933596285</v>
      </c>
      <c r="F250" s="162">
        <v>0</v>
      </c>
      <c r="G250" s="16">
        <f t="shared" si="32"/>
        <v>253061.33751489635</v>
      </c>
      <c r="I250" s="21">
        <f t="shared" si="33"/>
        <v>246938.66248510391</v>
      </c>
      <c r="J250" s="16">
        <f t="shared" si="34"/>
        <v>397247.28512946289</v>
      </c>
    </row>
    <row r="251" spans="2:10" hidden="1" outlineLevel="1" x14ac:dyDescent="0.2">
      <c r="B251" s="44">
        <v>51502</v>
      </c>
      <c r="C251" s="15">
        <f t="shared" si="29"/>
        <v>253061.33751489635</v>
      </c>
      <c r="D251" s="16">
        <f t="shared" si="30"/>
        <v>1054.4222396454015</v>
      </c>
      <c r="E251" s="21">
        <f t="shared" si="31"/>
        <v>1629.6858754152936</v>
      </c>
      <c r="F251" s="163">
        <v>0</v>
      </c>
      <c r="G251" s="16">
        <f t="shared" si="32"/>
        <v>251431.65163948105</v>
      </c>
      <c r="I251" s="21">
        <f t="shared" si="33"/>
        <v>248568.34836051922</v>
      </c>
      <c r="J251" s="16">
        <f t="shared" si="34"/>
        <v>398301.70736910828</v>
      </c>
    </row>
    <row r="252" spans="2:10" hidden="1" outlineLevel="1" x14ac:dyDescent="0.2">
      <c r="B252" s="44">
        <v>51533</v>
      </c>
      <c r="C252" s="15">
        <f t="shared" si="29"/>
        <v>251431.65163948105</v>
      </c>
      <c r="D252" s="16">
        <f t="shared" si="30"/>
        <v>1047.6318818311711</v>
      </c>
      <c r="E252" s="21">
        <f t="shared" si="31"/>
        <v>1636.476233229524</v>
      </c>
      <c r="F252" s="162">
        <v>0</v>
      </c>
      <c r="G252" s="16">
        <f t="shared" si="32"/>
        <v>249795.17540625151</v>
      </c>
      <c r="I252" s="21">
        <f t="shared" si="33"/>
        <v>250204.82459374875</v>
      </c>
      <c r="J252" s="16">
        <f t="shared" si="34"/>
        <v>399349.33925093943</v>
      </c>
    </row>
    <row r="253" spans="2:10" hidden="1" outlineLevel="1" x14ac:dyDescent="0.2">
      <c r="B253" s="44">
        <v>51561</v>
      </c>
      <c r="C253" s="15">
        <f t="shared" si="29"/>
        <v>249795.17540625151</v>
      </c>
      <c r="D253" s="16">
        <f t="shared" si="30"/>
        <v>1040.8132308593813</v>
      </c>
      <c r="E253" s="21">
        <f t="shared" si="31"/>
        <v>1643.2948842013138</v>
      </c>
      <c r="F253" s="163">
        <v>0</v>
      </c>
      <c r="G253" s="16">
        <f t="shared" si="32"/>
        <v>248151.8805220502</v>
      </c>
      <c r="I253" s="21">
        <f t="shared" si="33"/>
        <v>251848.11947795007</v>
      </c>
      <c r="J253" s="16">
        <f t="shared" si="34"/>
        <v>400390.15248179884</v>
      </c>
    </row>
    <row r="254" spans="2:10" hidden="1" outlineLevel="1" x14ac:dyDescent="0.2">
      <c r="B254" s="44">
        <v>51592</v>
      </c>
      <c r="C254" s="15">
        <f t="shared" si="29"/>
        <v>248151.8805220502</v>
      </c>
      <c r="D254" s="16">
        <f t="shared" si="30"/>
        <v>1033.9661688418757</v>
      </c>
      <c r="E254" s="21">
        <f t="shared" si="31"/>
        <v>1650.1419462188194</v>
      </c>
      <c r="F254" s="162">
        <v>0</v>
      </c>
      <c r="G254" s="16">
        <f t="shared" si="32"/>
        <v>246501.73857583138</v>
      </c>
      <c r="I254" s="21">
        <f t="shared" si="33"/>
        <v>253498.26142416889</v>
      </c>
      <c r="J254" s="16">
        <f t="shared" si="34"/>
        <v>401424.11865064071</v>
      </c>
    </row>
    <row r="255" spans="2:10" hidden="1" outlineLevel="1" x14ac:dyDescent="0.2">
      <c r="B255" s="44">
        <v>51622</v>
      </c>
      <c r="C255" s="15">
        <f t="shared" si="29"/>
        <v>246501.73857583138</v>
      </c>
      <c r="D255" s="16">
        <f t="shared" si="30"/>
        <v>1027.0905773992974</v>
      </c>
      <c r="E255" s="21">
        <f t="shared" si="31"/>
        <v>1657.0175376613977</v>
      </c>
      <c r="F255" s="163">
        <v>0</v>
      </c>
      <c r="G255" s="16">
        <f t="shared" si="32"/>
        <v>244844.72103816998</v>
      </c>
      <c r="I255" s="21">
        <f t="shared" si="33"/>
        <v>255155.27896183028</v>
      </c>
      <c r="J255" s="16">
        <f t="shared" si="34"/>
        <v>402451.20922804001</v>
      </c>
    </row>
    <row r="256" spans="2:10" hidden="1" outlineLevel="1" x14ac:dyDescent="0.2">
      <c r="B256" s="44">
        <v>51653</v>
      </c>
      <c r="C256" s="15">
        <f t="shared" si="29"/>
        <v>244844.72103816998</v>
      </c>
      <c r="D256" s="16">
        <f t="shared" si="30"/>
        <v>1020.1863376590416</v>
      </c>
      <c r="E256" s="21">
        <f t="shared" si="31"/>
        <v>1663.9217774016536</v>
      </c>
      <c r="F256" s="162">
        <v>0</v>
      </c>
      <c r="G256" s="16">
        <f t="shared" si="32"/>
        <v>243180.79926076834</v>
      </c>
      <c r="I256" s="21">
        <f t="shared" si="33"/>
        <v>256819.20073923192</v>
      </c>
      <c r="J256" s="16">
        <f t="shared" si="34"/>
        <v>403471.39556569903</v>
      </c>
    </row>
    <row r="257" spans="2:10" hidden="1" outlineLevel="1" x14ac:dyDescent="0.2">
      <c r="B257" s="44">
        <v>51683</v>
      </c>
      <c r="C257" s="15">
        <f t="shared" si="29"/>
        <v>243180.79926076834</v>
      </c>
      <c r="D257" s="16">
        <f t="shared" si="30"/>
        <v>1013.2533302532014</v>
      </c>
      <c r="E257" s="21">
        <f t="shared" si="31"/>
        <v>1670.8547848074936</v>
      </c>
      <c r="F257" s="163">
        <v>0</v>
      </c>
      <c r="G257" s="16">
        <f t="shared" si="32"/>
        <v>241509.94447596086</v>
      </c>
      <c r="I257" s="21">
        <f t="shared" si="33"/>
        <v>258490.0555240394</v>
      </c>
      <c r="J257" s="16">
        <f t="shared" si="34"/>
        <v>404484.64889595221</v>
      </c>
    </row>
    <row r="258" spans="2:10" hidden="1" outlineLevel="1" x14ac:dyDescent="0.2">
      <c r="B258" s="44">
        <v>51714</v>
      </c>
      <c r="C258" s="15">
        <f t="shared" si="29"/>
        <v>241509.94447596086</v>
      </c>
      <c r="D258" s="16">
        <f t="shared" si="30"/>
        <v>1006.2914353165036</v>
      </c>
      <c r="E258" s="21">
        <f t="shared" si="31"/>
        <v>1677.8166797441916</v>
      </c>
      <c r="F258" s="162">
        <v>0</v>
      </c>
      <c r="G258" s="16">
        <f t="shared" si="32"/>
        <v>239832.12779621666</v>
      </c>
      <c r="I258" s="21">
        <f t="shared" si="33"/>
        <v>260167.8722037836</v>
      </c>
      <c r="J258" s="16">
        <f t="shared" si="34"/>
        <v>405490.94033126871</v>
      </c>
    </row>
    <row r="259" spans="2:10" hidden="1" outlineLevel="1" x14ac:dyDescent="0.2">
      <c r="B259" s="44">
        <v>51745</v>
      </c>
      <c r="C259" s="15">
        <f t="shared" si="29"/>
        <v>239832.12779621666</v>
      </c>
      <c r="D259" s="16">
        <f t="shared" si="30"/>
        <v>999.3005324842361</v>
      </c>
      <c r="E259" s="21">
        <f t="shared" si="31"/>
        <v>1684.807582576459</v>
      </c>
      <c r="F259" s="163">
        <v>0</v>
      </c>
      <c r="G259" s="16">
        <f t="shared" si="32"/>
        <v>238147.3202136402</v>
      </c>
      <c r="I259" s="21">
        <f t="shared" si="33"/>
        <v>261852.67978636007</v>
      </c>
      <c r="J259" s="16">
        <f t="shared" si="34"/>
        <v>406490.24086375296</v>
      </c>
    </row>
    <row r="260" spans="2:10" hidden="1" outlineLevel="1" x14ac:dyDescent="0.2">
      <c r="B260" s="44">
        <v>51775</v>
      </c>
      <c r="C260" s="15">
        <f t="shared" si="29"/>
        <v>238147.3202136402</v>
      </c>
      <c r="D260" s="16">
        <f t="shared" si="30"/>
        <v>992.28050089016745</v>
      </c>
      <c r="E260" s="21">
        <f t="shared" si="31"/>
        <v>1691.8276141705278</v>
      </c>
      <c r="F260" s="162">
        <v>0</v>
      </c>
      <c r="G260" s="16">
        <f t="shared" si="32"/>
        <v>236455.49259946967</v>
      </c>
      <c r="I260" s="21">
        <f t="shared" si="33"/>
        <v>263544.50740053057</v>
      </c>
      <c r="J260" s="16">
        <f t="shared" si="34"/>
        <v>407482.52136464312</v>
      </c>
    </row>
    <row r="261" spans="2:10" hidden="1" outlineLevel="1" x14ac:dyDescent="0.2">
      <c r="B261" s="44">
        <v>51806</v>
      </c>
      <c r="C261" s="15">
        <f t="shared" si="29"/>
        <v>236455.49259946967</v>
      </c>
      <c r="D261" s="16">
        <f t="shared" si="30"/>
        <v>985.23121916445689</v>
      </c>
      <c r="E261" s="21">
        <f t="shared" si="31"/>
        <v>1698.8768958962382</v>
      </c>
      <c r="F261" s="163">
        <v>0</v>
      </c>
      <c r="G261" s="16">
        <f t="shared" si="32"/>
        <v>234756.61570357342</v>
      </c>
      <c r="I261" s="21">
        <f t="shared" si="33"/>
        <v>265243.38429642678</v>
      </c>
      <c r="J261" s="16">
        <f t="shared" si="34"/>
        <v>408467.75258380757</v>
      </c>
    </row>
    <row r="262" spans="2:10" hidden="1" outlineLevel="1" x14ac:dyDescent="0.2">
      <c r="B262" s="44">
        <v>51836</v>
      </c>
      <c r="C262" s="15">
        <f t="shared" si="29"/>
        <v>234756.61570357342</v>
      </c>
      <c r="D262" s="16">
        <f t="shared" si="30"/>
        <v>978.1525654315559</v>
      </c>
      <c r="E262" s="21">
        <f t="shared" si="31"/>
        <v>1705.9555496291391</v>
      </c>
      <c r="F262" s="162">
        <v>0</v>
      </c>
      <c r="G262" s="16">
        <f t="shared" si="32"/>
        <v>233050.66015394428</v>
      </c>
      <c r="I262" s="21">
        <f t="shared" si="33"/>
        <v>266949.3398460559</v>
      </c>
      <c r="J262" s="16">
        <f t="shared" si="34"/>
        <v>409445.90514923912</v>
      </c>
    </row>
    <row r="263" spans="2:10" hidden="1" outlineLevel="1" x14ac:dyDescent="0.2">
      <c r="B263" s="44">
        <v>51867</v>
      </c>
      <c r="C263" s="15">
        <f t="shared" ref="C263:C326" si="35">G262</f>
        <v>233050.66015394428</v>
      </c>
      <c r="D263" s="16">
        <f t="shared" ref="D263:D326" si="36">C263*E$6</f>
        <v>971.04441730810117</v>
      </c>
      <c r="E263" s="21">
        <f t="shared" ref="E263:E326" si="37">E$8-D263</f>
        <v>1713.063697752594</v>
      </c>
      <c r="F263" s="163">
        <v>0</v>
      </c>
      <c r="G263" s="16">
        <f t="shared" ref="G263:G326" si="38">C263-E263-F263</f>
        <v>231337.59645619168</v>
      </c>
      <c r="I263" s="21">
        <f t="shared" ref="I263:I326" si="39">I262+E263</f>
        <v>268662.4035438085</v>
      </c>
      <c r="J263" s="16">
        <f t="shared" ref="J263:J326" si="40">J262+D263</f>
        <v>410416.94956654724</v>
      </c>
    </row>
    <row r="264" spans="2:10" hidden="1" outlineLevel="1" x14ac:dyDescent="0.2">
      <c r="B264" s="44">
        <v>51898</v>
      </c>
      <c r="C264" s="15">
        <f t="shared" si="35"/>
        <v>231337.59645619168</v>
      </c>
      <c r="D264" s="16">
        <f t="shared" si="36"/>
        <v>963.90665190079869</v>
      </c>
      <c r="E264" s="21">
        <f t="shared" si="37"/>
        <v>1720.2014631598963</v>
      </c>
      <c r="F264" s="162">
        <v>0</v>
      </c>
      <c r="G264" s="16">
        <f t="shared" si="38"/>
        <v>229617.39499303178</v>
      </c>
      <c r="I264" s="21">
        <f t="shared" si="39"/>
        <v>270382.60500696837</v>
      </c>
      <c r="J264" s="16">
        <f t="shared" si="40"/>
        <v>411380.85621844803</v>
      </c>
    </row>
    <row r="265" spans="2:10" hidden="1" outlineLevel="1" x14ac:dyDescent="0.2">
      <c r="B265" s="44">
        <v>51926</v>
      </c>
      <c r="C265" s="15">
        <f t="shared" si="35"/>
        <v>229617.39499303178</v>
      </c>
      <c r="D265" s="16">
        <f t="shared" si="36"/>
        <v>956.73914580429903</v>
      </c>
      <c r="E265" s="21">
        <f t="shared" si="37"/>
        <v>1727.3689692563962</v>
      </c>
      <c r="F265" s="163">
        <v>0</v>
      </c>
      <c r="G265" s="16">
        <f t="shared" si="38"/>
        <v>227890.02602377537</v>
      </c>
      <c r="I265" s="21">
        <f t="shared" si="39"/>
        <v>272109.97397622478</v>
      </c>
      <c r="J265" s="16">
        <f t="shared" si="40"/>
        <v>412337.59536425234</v>
      </c>
    </row>
    <row r="266" spans="2:10" hidden="1" outlineLevel="1" x14ac:dyDescent="0.2">
      <c r="B266" s="44">
        <v>51957</v>
      </c>
      <c r="C266" s="15">
        <f t="shared" si="35"/>
        <v>227890.02602377537</v>
      </c>
      <c r="D266" s="16">
        <f t="shared" si="36"/>
        <v>949.54177509906401</v>
      </c>
      <c r="E266" s="21">
        <f t="shared" si="37"/>
        <v>1734.566339961631</v>
      </c>
      <c r="F266" s="162">
        <v>0</v>
      </c>
      <c r="G266" s="16">
        <f t="shared" si="38"/>
        <v>226155.45968381374</v>
      </c>
      <c r="I266" s="21">
        <f t="shared" si="39"/>
        <v>273844.54031618638</v>
      </c>
      <c r="J266" s="16">
        <f t="shared" si="40"/>
        <v>413287.1371393514</v>
      </c>
    </row>
    <row r="267" spans="2:10" hidden="1" outlineLevel="1" x14ac:dyDescent="0.2">
      <c r="B267" s="44">
        <v>51987</v>
      </c>
      <c r="C267" s="15">
        <f t="shared" si="35"/>
        <v>226155.45968381374</v>
      </c>
      <c r="D267" s="16">
        <f t="shared" si="36"/>
        <v>942.31441534922385</v>
      </c>
      <c r="E267" s="21">
        <f t="shared" si="37"/>
        <v>1741.7936997114712</v>
      </c>
      <c r="F267" s="163">
        <v>0</v>
      </c>
      <c r="G267" s="16">
        <f t="shared" si="38"/>
        <v>224413.66598410226</v>
      </c>
      <c r="I267" s="21">
        <f t="shared" si="39"/>
        <v>275586.33401589782</v>
      </c>
      <c r="J267" s="16">
        <f t="shared" si="40"/>
        <v>414229.45155470062</v>
      </c>
    </row>
    <row r="268" spans="2:10" hidden="1" outlineLevel="1" x14ac:dyDescent="0.2">
      <c r="B268" s="44">
        <v>52018</v>
      </c>
      <c r="C268" s="15">
        <f t="shared" si="35"/>
        <v>224413.66598410226</v>
      </c>
      <c r="D268" s="16">
        <f t="shared" si="36"/>
        <v>935.05694160042606</v>
      </c>
      <c r="E268" s="21">
        <f t="shared" si="37"/>
        <v>1749.0511734602692</v>
      </c>
      <c r="F268" s="162">
        <v>0</v>
      </c>
      <c r="G268" s="16">
        <f t="shared" si="38"/>
        <v>222664.614810642</v>
      </c>
      <c r="I268" s="21">
        <f t="shared" si="39"/>
        <v>277335.38518935809</v>
      </c>
      <c r="J268" s="16">
        <f t="shared" si="40"/>
        <v>415164.50849630102</v>
      </c>
    </row>
    <row r="269" spans="2:10" hidden="1" outlineLevel="1" x14ac:dyDescent="0.2">
      <c r="B269" s="44">
        <v>52048</v>
      </c>
      <c r="C269" s="15">
        <f t="shared" si="35"/>
        <v>222664.614810642</v>
      </c>
      <c r="D269" s="16">
        <f t="shared" si="36"/>
        <v>927.76922837767495</v>
      </c>
      <c r="E269" s="21">
        <f t="shared" si="37"/>
        <v>1756.3388866830201</v>
      </c>
      <c r="F269" s="163">
        <v>0</v>
      </c>
      <c r="G269" s="16">
        <f t="shared" si="38"/>
        <v>220908.27592395898</v>
      </c>
      <c r="I269" s="21">
        <f t="shared" si="39"/>
        <v>279091.72407604108</v>
      </c>
      <c r="J269" s="16">
        <f t="shared" si="40"/>
        <v>416092.27772467869</v>
      </c>
    </row>
    <row r="270" spans="2:10" hidden="1" outlineLevel="1" x14ac:dyDescent="0.2">
      <c r="B270" s="44">
        <v>52079</v>
      </c>
      <c r="C270" s="15">
        <f t="shared" si="35"/>
        <v>220908.27592395898</v>
      </c>
      <c r="D270" s="16">
        <f t="shared" si="36"/>
        <v>920.45114968316238</v>
      </c>
      <c r="E270" s="21">
        <f t="shared" si="37"/>
        <v>1763.6569653775327</v>
      </c>
      <c r="F270" s="162">
        <v>0</v>
      </c>
      <c r="G270" s="16">
        <f t="shared" si="38"/>
        <v>219144.61895858144</v>
      </c>
      <c r="I270" s="21">
        <f t="shared" si="39"/>
        <v>280855.38104141859</v>
      </c>
      <c r="J270" s="16">
        <f t="shared" si="40"/>
        <v>417012.72887436184</v>
      </c>
    </row>
    <row r="271" spans="2:10" hidden="1" outlineLevel="1" x14ac:dyDescent="0.2">
      <c r="B271" s="44">
        <v>52110</v>
      </c>
      <c r="C271" s="15">
        <f t="shared" si="35"/>
        <v>219144.61895858144</v>
      </c>
      <c r="D271" s="16">
        <f t="shared" si="36"/>
        <v>913.1025789940893</v>
      </c>
      <c r="E271" s="21">
        <f t="shared" si="37"/>
        <v>1771.0055360666058</v>
      </c>
      <c r="F271" s="163">
        <v>0</v>
      </c>
      <c r="G271" s="16">
        <f t="shared" si="38"/>
        <v>217373.61342251484</v>
      </c>
      <c r="I271" s="21">
        <f t="shared" si="39"/>
        <v>282626.38657748519</v>
      </c>
      <c r="J271" s="16">
        <f t="shared" si="40"/>
        <v>417925.8314533559</v>
      </c>
    </row>
    <row r="272" spans="2:10" hidden="1" outlineLevel="1" x14ac:dyDescent="0.2">
      <c r="B272" s="44">
        <v>52140</v>
      </c>
      <c r="C272" s="15">
        <f t="shared" si="35"/>
        <v>217373.61342251484</v>
      </c>
      <c r="D272" s="16">
        <f t="shared" si="36"/>
        <v>905.72338926047848</v>
      </c>
      <c r="E272" s="21">
        <f t="shared" si="37"/>
        <v>1778.3847258002165</v>
      </c>
      <c r="F272" s="162">
        <v>0</v>
      </c>
      <c r="G272" s="16">
        <f t="shared" si="38"/>
        <v>215595.22869671462</v>
      </c>
      <c r="I272" s="21">
        <f t="shared" si="39"/>
        <v>284404.77130328538</v>
      </c>
      <c r="J272" s="16">
        <f t="shared" si="40"/>
        <v>418831.55484261637</v>
      </c>
    </row>
    <row r="273" spans="2:10" hidden="1" outlineLevel="1" x14ac:dyDescent="0.2">
      <c r="B273" s="44">
        <v>52171</v>
      </c>
      <c r="C273" s="15">
        <f t="shared" si="35"/>
        <v>215595.22869671462</v>
      </c>
      <c r="D273" s="16">
        <f t="shared" si="36"/>
        <v>898.31345290297759</v>
      </c>
      <c r="E273" s="21">
        <f t="shared" si="37"/>
        <v>1785.7946621577175</v>
      </c>
      <c r="F273" s="163">
        <v>0</v>
      </c>
      <c r="G273" s="16">
        <f t="shared" si="38"/>
        <v>213809.43403455691</v>
      </c>
      <c r="I273" s="21">
        <f t="shared" si="39"/>
        <v>286190.56596544309</v>
      </c>
      <c r="J273" s="16">
        <f t="shared" si="40"/>
        <v>419729.86829551938</v>
      </c>
    </row>
    <row r="274" spans="2:10" hidden="1" outlineLevel="1" x14ac:dyDescent="0.2">
      <c r="B274" s="44">
        <v>52201</v>
      </c>
      <c r="C274" s="15">
        <f t="shared" si="35"/>
        <v>213809.43403455691</v>
      </c>
      <c r="D274" s="16">
        <f t="shared" si="36"/>
        <v>890.87264181065382</v>
      </c>
      <c r="E274" s="21">
        <f t="shared" si="37"/>
        <v>1793.2354732500412</v>
      </c>
      <c r="F274" s="162">
        <v>0</v>
      </c>
      <c r="G274" s="16">
        <f t="shared" si="38"/>
        <v>212016.19856130687</v>
      </c>
      <c r="I274" s="21">
        <f t="shared" si="39"/>
        <v>287983.80143869313</v>
      </c>
      <c r="J274" s="16">
        <f t="shared" si="40"/>
        <v>420620.74093733006</v>
      </c>
    </row>
    <row r="275" spans="2:10" hidden="1" outlineLevel="1" x14ac:dyDescent="0.2">
      <c r="B275" s="44">
        <v>52232</v>
      </c>
      <c r="C275" s="15">
        <f t="shared" si="35"/>
        <v>212016.19856130687</v>
      </c>
      <c r="D275" s="16">
        <f t="shared" si="36"/>
        <v>883.40082733877864</v>
      </c>
      <c r="E275" s="21">
        <f t="shared" si="37"/>
        <v>1800.7072877219166</v>
      </c>
      <c r="F275" s="163">
        <v>0</v>
      </c>
      <c r="G275" s="16">
        <f t="shared" si="38"/>
        <v>210215.49127358495</v>
      </c>
      <c r="I275" s="21">
        <f t="shared" si="39"/>
        <v>289784.50872641505</v>
      </c>
      <c r="J275" s="16">
        <f t="shared" si="40"/>
        <v>421504.14176466886</v>
      </c>
    </row>
    <row r="276" spans="2:10" hidden="1" outlineLevel="1" x14ac:dyDescent="0.2">
      <c r="B276" s="44">
        <v>52263</v>
      </c>
      <c r="C276" s="15">
        <f t="shared" si="35"/>
        <v>210215.49127358495</v>
      </c>
      <c r="D276" s="16">
        <f t="shared" si="36"/>
        <v>875.89788030660395</v>
      </c>
      <c r="E276" s="21">
        <f t="shared" si="37"/>
        <v>1808.2102347540913</v>
      </c>
      <c r="F276" s="162">
        <v>0</v>
      </c>
      <c r="G276" s="16">
        <f t="shared" si="38"/>
        <v>208407.28103883087</v>
      </c>
      <c r="I276" s="21">
        <f t="shared" si="39"/>
        <v>291592.71896116913</v>
      </c>
      <c r="J276" s="16">
        <f t="shared" si="40"/>
        <v>422380.03964497545</v>
      </c>
    </row>
    <row r="277" spans="2:10" hidden="1" outlineLevel="1" x14ac:dyDescent="0.2">
      <c r="B277" s="44">
        <v>52291</v>
      </c>
      <c r="C277" s="15">
        <f t="shared" si="35"/>
        <v>208407.28103883087</v>
      </c>
      <c r="D277" s="16">
        <f t="shared" si="36"/>
        <v>868.36367099512859</v>
      </c>
      <c r="E277" s="21">
        <f t="shared" si="37"/>
        <v>1815.7444440655665</v>
      </c>
      <c r="F277" s="163">
        <v>0</v>
      </c>
      <c r="G277" s="16">
        <f t="shared" si="38"/>
        <v>206591.53659476532</v>
      </c>
      <c r="I277" s="21">
        <f t="shared" si="39"/>
        <v>293408.46340523468</v>
      </c>
      <c r="J277" s="16">
        <f t="shared" si="40"/>
        <v>423248.40331597056</v>
      </c>
    </row>
    <row r="278" spans="2:10" hidden="1" outlineLevel="1" x14ac:dyDescent="0.2">
      <c r="B278" s="44">
        <v>52322</v>
      </c>
      <c r="C278" s="15">
        <f t="shared" si="35"/>
        <v>206591.53659476532</v>
      </c>
      <c r="D278" s="16">
        <f t="shared" si="36"/>
        <v>860.7980691448555</v>
      </c>
      <c r="E278" s="21">
        <f t="shared" si="37"/>
        <v>1823.3100459158395</v>
      </c>
      <c r="F278" s="162">
        <v>0</v>
      </c>
      <c r="G278" s="16">
        <f t="shared" si="38"/>
        <v>204768.22654884949</v>
      </c>
      <c r="I278" s="21">
        <f t="shared" si="39"/>
        <v>295231.77345115051</v>
      </c>
      <c r="J278" s="16">
        <f t="shared" si="40"/>
        <v>424109.20138511539</v>
      </c>
    </row>
    <row r="279" spans="2:10" hidden="1" outlineLevel="1" x14ac:dyDescent="0.2">
      <c r="B279" s="44">
        <v>52352</v>
      </c>
      <c r="C279" s="15">
        <f t="shared" si="35"/>
        <v>204768.22654884949</v>
      </c>
      <c r="D279" s="16">
        <f t="shared" si="36"/>
        <v>853.20094395353954</v>
      </c>
      <c r="E279" s="21">
        <f t="shared" si="37"/>
        <v>1830.9071711071556</v>
      </c>
      <c r="F279" s="163">
        <v>0</v>
      </c>
      <c r="G279" s="16">
        <f t="shared" si="38"/>
        <v>202937.31937774233</v>
      </c>
      <c r="I279" s="21">
        <f t="shared" si="39"/>
        <v>297062.68062225764</v>
      </c>
      <c r="J279" s="16">
        <f t="shared" si="40"/>
        <v>424962.40232906892</v>
      </c>
    </row>
    <row r="280" spans="2:10" hidden="1" outlineLevel="1" x14ac:dyDescent="0.2">
      <c r="B280" s="44">
        <v>52383</v>
      </c>
      <c r="C280" s="15">
        <f t="shared" si="35"/>
        <v>202937.31937774233</v>
      </c>
      <c r="D280" s="16">
        <f t="shared" si="36"/>
        <v>845.57216407392639</v>
      </c>
      <c r="E280" s="21">
        <f t="shared" si="37"/>
        <v>1838.5359509867687</v>
      </c>
      <c r="F280" s="162">
        <v>0</v>
      </c>
      <c r="G280" s="16">
        <f t="shared" si="38"/>
        <v>201098.78342675557</v>
      </c>
      <c r="I280" s="21">
        <f t="shared" si="39"/>
        <v>298901.21657324443</v>
      </c>
      <c r="J280" s="16">
        <f t="shared" si="40"/>
        <v>425807.97449314286</v>
      </c>
    </row>
    <row r="281" spans="2:10" hidden="1" outlineLevel="1" x14ac:dyDescent="0.2">
      <c r="B281" s="44">
        <v>52413</v>
      </c>
      <c r="C281" s="15">
        <f t="shared" si="35"/>
        <v>201098.78342675557</v>
      </c>
      <c r="D281" s="16">
        <f t="shared" si="36"/>
        <v>837.91159761148151</v>
      </c>
      <c r="E281" s="21">
        <f t="shared" si="37"/>
        <v>1846.1965174492136</v>
      </c>
      <c r="F281" s="163">
        <v>0</v>
      </c>
      <c r="G281" s="16">
        <f t="shared" si="38"/>
        <v>199252.58690930635</v>
      </c>
      <c r="I281" s="21">
        <f t="shared" si="39"/>
        <v>300747.41309069365</v>
      </c>
      <c r="J281" s="16">
        <f t="shared" si="40"/>
        <v>426645.88609075436</v>
      </c>
    </row>
    <row r="282" spans="2:10" hidden="1" outlineLevel="1" x14ac:dyDescent="0.2">
      <c r="B282" s="44">
        <v>52444</v>
      </c>
      <c r="C282" s="15">
        <f t="shared" si="35"/>
        <v>199252.58690930635</v>
      </c>
      <c r="D282" s="16">
        <f t="shared" si="36"/>
        <v>830.21911212210978</v>
      </c>
      <c r="E282" s="21">
        <f t="shared" si="37"/>
        <v>1853.8890029385852</v>
      </c>
      <c r="F282" s="162">
        <v>0</v>
      </c>
      <c r="G282" s="16">
        <f t="shared" si="38"/>
        <v>197398.69790636777</v>
      </c>
      <c r="I282" s="21">
        <f t="shared" si="39"/>
        <v>302601.30209363223</v>
      </c>
      <c r="J282" s="16">
        <f t="shared" si="40"/>
        <v>427476.10520287644</v>
      </c>
    </row>
    <row r="283" spans="2:10" hidden="1" outlineLevel="1" x14ac:dyDescent="0.2">
      <c r="B283" s="44">
        <v>52475</v>
      </c>
      <c r="C283" s="15">
        <f t="shared" si="35"/>
        <v>197398.69790636777</v>
      </c>
      <c r="D283" s="16">
        <f t="shared" si="36"/>
        <v>822.49457460986571</v>
      </c>
      <c r="E283" s="21">
        <f t="shared" si="37"/>
        <v>1861.6135404508295</v>
      </c>
      <c r="F283" s="163">
        <v>0</v>
      </c>
      <c r="G283" s="16">
        <f t="shared" si="38"/>
        <v>195537.08436591693</v>
      </c>
      <c r="I283" s="21">
        <f t="shared" si="39"/>
        <v>304462.91563408304</v>
      </c>
      <c r="J283" s="16">
        <f t="shared" si="40"/>
        <v>428298.59977748629</v>
      </c>
    </row>
    <row r="284" spans="2:10" hidden="1" outlineLevel="1" x14ac:dyDescent="0.2">
      <c r="B284" s="44">
        <v>52505</v>
      </c>
      <c r="C284" s="15">
        <f t="shared" si="35"/>
        <v>195537.08436591693</v>
      </c>
      <c r="D284" s="16">
        <f t="shared" si="36"/>
        <v>814.73785152465393</v>
      </c>
      <c r="E284" s="21">
        <f t="shared" si="37"/>
        <v>1869.3702635360412</v>
      </c>
      <c r="F284" s="162">
        <v>0</v>
      </c>
      <c r="G284" s="16">
        <f t="shared" si="38"/>
        <v>193667.71410238088</v>
      </c>
      <c r="I284" s="21">
        <f t="shared" si="39"/>
        <v>306332.28589761909</v>
      </c>
      <c r="J284" s="16">
        <f t="shared" si="40"/>
        <v>429113.33762901096</v>
      </c>
    </row>
    <row r="285" spans="2:10" hidden="1" outlineLevel="1" x14ac:dyDescent="0.2">
      <c r="B285" s="44">
        <v>52536</v>
      </c>
      <c r="C285" s="15">
        <f t="shared" si="35"/>
        <v>193667.71410238088</v>
      </c>
      <c r="D285" s="16">
        <f t="shared" si="36"/>
        <v>806.94880875992033</v>
      </c>
      <c r="E285" s="21">
        <f t="shared" si="37"/>
        <v>1877.1593063007749</v>
      </c>
      <c r="F285" s="163">
        <v>0</v>
      </c>
      <c r="G285" s="16">
        <f t="shared" si="38"/>
        <v>191790.55479608011</v>
      </c>
      <c r="I285" s="21">
        <f t="shared" si="39"/>
        <v>308209.44520391989</v>
      </c>
      <c r="J285" s="16">
        <f t="shared" si="40"/>
        <v>429920.28643777088</v>
      </c>
    </row>
    <row r="286" spans="2:10" hidden="1" outlineLevel="1" x14ac:dyDescent="0.2">
      <c r="B286" s="44">
        <v>52566</v>
      </c>
      <c r="C286" s="15">
        <f t="shared" si="35"/>
        <v>191790.55479608011</v>
      </c>
      <c r="D286" s="16">
        <f t="shared" si="36"/>
        <v>799.12731165033381</v>
      </c>
      <c r="E286" s="21">
        <f t="shared" si="37"/>
        <v>1884.9808034103612</v>
      </c>
      <c r="F286" s="162">
        <v>0</v>
      </c>
      <c r="G286" s="16">
        <f t="shared" si="38"/>
        <v>189905.57399266976</v>
      </c>
      <c r="I286" s="21">
        <f t="shared" si="39"/>
        <v>310094.42600733024</v>
      </c>
      <c r="J286" s="16">
        <f t="shared" si="40"/>
        <v>430719.41374942119</v>
      </c>
    </row>
    <row r="287" spans="2:10" hidden="1" outlineLevel="1" x14ac:dyDescent="0.2">
      <c r="B287" s="44">
        <v>52597</v>
      </c>
      <c r="C287" s="15">
        <f t="shared" si="35"/>
        <v>189905.57399266976</v>
      </c>
      <c r="D287" s="16">
        <f t="shared" si="36"/>
        <v>791.27322496945726</v>
      </c>
      <c r="E287" s="21">
        <f t="shared" si="37"/>
        <v>1892.8348900912379</v>
      </c>
      <c r="F287" s="163">
        <v>0</v>
      </c>
      <c r="G287" s="16">
        <f t="shared" si="38"/>
        <v>188012.73910257852</v>
      </c>
      <c r="I287" s="21">
        <f t="shared" si="39"/>
        <v>311987.26089742145</v>
      </c>
      <c r="J287" s="16">
        <f t="shared" si="40"/>
        <v>431510.68697439064</v>
      </c>
    </row>
    <row r="288" spans="2:10" hidden="1" outlineLevel="1" x14ac:dyDescent="0.2">
      <c r="B288" s="44">
        <v>52628</v>
      </c>
      <c r="C288" s="15">
        <f t="shared" si="35"/>
        <v>188012.73910257852</v>
      </c>
      <c r="D288" s="16">
        <f t="shared" si="36"/>
        <v>783.38641292741045</v>
      </c>
      <c r="E288" s="21">
        <f t="shared" si="37"/>
        <v>1900.7217021332847</v>
      </c>
      <c r="F288" s="162">
        <v>0</v>
      </c>
      <c r="G288" s="16">
        <f t="shared" si="38"/>
        <v>186112.01740044524</v>
      </c>
      <c r="I288" s="21">
        <f t="shared" si="39"/>
        <v>313887.98259955476</v>
      </c>
      <c r="J288" s="16">
        <f t="shared" si="40"/>
        <v>432294.07338731806</v>
      </c>
    </row>
    <row r="289" spans="2:10" hidden="1" outlineLevel="1" x14ac:dyDescent="0.2">
      <c r="B289" s="44">
        <v>52657</v>
      </c>
      <c r="C289" s="15">
        <f t="shared" si="35"/>
        <v>186112.01740044524</v>
      </c>
      <c r="D289" s="16">
        <f t="shared" si="36"/>
        <v>775.46673916852183</v>
      </c>
      <c r="E289" s="21">
        <f t="shared" si="37"/>
        <v>1908.6413758921733</v>
      </c>
      <c r="F289" s="163">
        <v>0</v>
      </c>
      <c r="G289" s="16">
        <f t="shared" si="38"/>
        <v>184203.37602455306</v>
      </c>
      <c r="I289" s="21">
        <f t="shared" si="39"/>
        <v>315796.62397544691</v>
      </c>
      <c r="J289" s="16">
        <f t="shared" si="40"/>
        <v>433069.54012648656</v>
      </c>
    </row>
    <row r="290" spans="2:10" hidden="1" outlineLevel="1" x14ac:dyDescent="0.2">
      <c r="B290" s="44">
        <v>52688</v>
      </c>
      <c r="C290" s="15">
        <f t="shared" si="35"/>
        <v>184203.37602455306</v>
      </c>
      <c r="D290" s="16">
        <f t="shared" si="36"/>
        <v>767.51406676897102</v>
      </c>
      <c r="E290" s="21">
        <f t="shared" si="37"/>
        <v>1916.594048291724</v>
      </c>
      <c r="F290" s="162">
        <v>0</v>
      </c>
      <c r="G290" s="16">
        <f t="shared" si="38"/>
        <v>182286.78197626132</v>
      </c>
      <c r="I290" s="21">
        <f t="shared" si="39"/>
        <v>317713.21802373865</v>
      </c>
      <c r="J290" s="16">
        <f t="shared" si="40"/>
        <v>433837.05419325555</v>
      </c>
    </row>
    <row r="291" spans="2:10" hidden="1" outlineLevel="1" x14ac:dyDescent="0.2">
      <c r="B291" s="44">
        <v>52718</v>
      </c>
      <c r="C291" s="15">
        <f t="shared" si="35"/>
        <v>182286.78197626132</v>
      </c>
      <c r="D291" s="16">
        <f t="shared" si="36"/>
        <v>759.5282582344222</v>
      </c>
      <c r="E291" s="21">
        <f t="shared" si="37"/>
        <v>1924.579856826273</v>
      </c>
      <c r="F291" s="163">
        <v>0</v>
      </c>
      <c r="G291" s="16">
        <f t="shared" si="38"/>
        <v>180362.20211943504</v>
      </c>
      <c r="I291" s="21">
        <f t="shared" si="39"/>
        <v>319637.79788056493</v>
      </c>
      <c r="J291" s="16">
        <f t="shared" si="40"/>
        <v>434596.58245148999</v>
      </c>
    </row>
    <row r="292" spans="2:10" hidden="1" outlineLevel="1" x14ac:dyDescent="0.2">
      <c r="B292" s="44">
        <v>52749</v>
      </c>
      <c r="C292" s="15">
        <f t="shared" si="35"/>
        <v>180362.20211943504</v>
      </c>
      <c r="D292" s="16">
        <f t="shared" si="36"/>
        <v>751.50917549764597</v>
      </c>
      <c r="E292" s="21">
        <f t="shared" si="37"/>
        <v>1932.598939563049</v>
      </c>
      <c r="F292" s="162">
        <v>0</v>
      </c>
      <c r="G292" s="16">
        <f t="shared" si="38"/>
        <v>178429.60317987198</v>
      </c>
      <c r="I292" s="21">
        <f t="shared" si="39"/>
        <v>321570.39682012796</v>
      </c>
      <c r="J292" s="16">
        <f t="shared" si="40"/>
        <v>435348.09162698762</v>
      </c>
    </row>
    <row r="293" spans="2:10" hidden="1" outlineLevel="1" x14ac:dyDescent="0.2">
      <c r="B293" s="44">
        <v>52779</v>
      </c>
      <c r="C293" s="15">
        <f t="shared" si="35"/>
        <v>178429.60317987198</v>
      </c>
      <c r="D293" s="16">
        <f t="shared" si="36"/>
        <v>743.45667991613323</v>
      </c>
      <c r="E293" s="21">
        <f t="shared" si="37"/>
        <v>1940.6514351445619</v>
      </c>
      <c r="F293" s="163">
        <v>0</v>
      </c>
      <c r="G293" s="16">
        <f t="shared" si="38"/>
        <v>176488.95174472741</v>
      </c>
      <c r="I293" s="21">
        <f t="shared" si="39"/>
        <v>323511.0482552725</v>
      </c>
      <c r="J293" s="16">
        <f t="shared" si="40"/>
        <v>436091.54830690374</v>
      </c>
    </row>
    <row r="294" spans="2:10" hidden="1" outlineLevel="1" x14ac:dyDescent="0.2">
      <c r="B294" s="44">
        <v>52810</v>
      </c>
      <c r="C294" s="15">
        <f t="shared" si="35"/>
        <v>176488.95174472741</v>
      </c>
      <c r="D294" s="16">
        <f t="shared" si="36"/>
        <v>735.37063226969758</v>
      </c>
      <c r="E294" s="21">
        <f t="shared" si="37"/>
        <v>1948.7374827909975</v>
      </c>
      <c r="F294" s="162">
        <v>0</v>
      </c>
      <c r="G294" s="16">
        <f t="shared" si="38"/>
        <v>174540.2142619364</v>
      </c>
      <c r="I294" s="21">
        <f t="shared" si="39"/>
        <v>325459.78573806351</v>
      </c>
      <c r="J294" s="16">
        <f t="shared" si="40"/>
        <v>436826.91893917345</v>
      </c>
    </row>
    <row r="295" spans="2:10" hidden="1" outlineLevel="1" x14ac:dyDescent="0.2">
      <c r="B295" s="44">
        <v>52841</v>
      </c>
      <c r="C295" s="15">
        <f t="shared" si="35"/>
        <v>174540.2142619364</v>
      </c>
      <c r="D295" s="16">
        <f t="shared" si="36"/>
        <v>727.25089275806829</v>
      </c>
      <c r="E295" s="21">
        <f t="shared" si="37"/>
        <v>1956.8572223026267</v>
      </c>
      <c r="F295" s="163">
        <v>0</v>
      </c>
      <c r="G295" s="16">
        <f t="shared" si="38"/>
        <v>172583.35703963379</v>
      </c>
      <c r="I295" s="21">
        <f t="shared" si="39"/>
        <v>327416.64296036615</v>
      </c>
      <c r="J295" s="16">
        <f t="shared" si="40"/>
        <v>437554.16983193153</v>
      </c>
    </row>
    <row r="296" spans="2:10" hidden="1" outlineLevel="1" x14ac:dyDescent="0.2">
      <c r="B296" s="44">
        <v>52871</v>
      </c>
      <c r="C296" s="15">
        <f t="shared" si="35"/>
        <v>172583.35703963379</v>
      </c>
      <c r="D296" s="16">
        <f t="shared" si="36"/>
        <v>719.09732099847406</v>
      </c>
      <c r="E296" s="21">
        <f t="shared" si="37"/>
        <v>1965.0107940622211</v>
      </c>
      <c r="F296" s="162">
        <v>0</v>
      </c>
      <c r="G296" s="16">
        <f t="shared" si="38"/>
        <v>170618.34624557156</v>
      </c>
      <c r="I296" s="21">
        <f t="shared" si="39"/>
        <v>329381.65375442838</v>
      </c>
      <c r="J296" s="16">
        <f t="shared" si="40"/>
        <v>438273.26715293003</v>
      </c>
    </row>
    <row r="297" spans="2:10" hidden="1" outlineLevel="1" x14ac:dyDescent="0.2">
      <c r="B297" s="44">
        <v>52902</v>
      </c>
      <c r="C297" s="15">
        <f t="shared" si="35"/>
        <v>170618.34624557156</v>
      </c>
      <c r="D297" s="16">
        <f t="shared" si="36"/>
        <v>710.90977602321482</v>
      </c>
      <c r="E297" s="21">
        <f t="shared" si="37"/>
        <v>1973.1983390374803</v>
      </c>
      <c r="F297" s="163">
        <v>0</v>
      </c>
      <c r="G297" s="16">
        <f t="shared" si="38"/>
        <v>168645.14790653408</v>
      </c>
      <c r="I297" s="21">
        <f t="shared" si="39"/>
        <v>331354.85209346586</v>
      </c>
      <c r="J297" s="16">
        <f t="shared" si="40"/>
        <v>438984.17692895327</v>
      </c>
    </row>
    <row r="298" spans="2:10" hidden="1" outlineLevel="1" x14ac:dyDescent="0.2">
      <c r="B298" s="44">
        <v>52932</v>
      </c>
      <c r="C298" s="15">
        <f t="shared" si="35"/>
        <v>168645.14790653408</v>
      </c>
      <c r="D298" s="16">
        <f t="shared" si="36"/>
        <v>702.68811627722539</v>
      </c>
      <c r="E298" s="21">
        <f t="shared" si="37"/>
        <v>1981.4199987834697</v>
      </c>
      <c r="F298" s="162">
        <v>0</v>
      </c>
      <c r="G298" s="16">
        <f t="shared" si="38"/>
        <v>166663.72790775061</v>
      </c>
      <c r="I298" s="21">
        <f t="shared" si="39"/>
        <v>333336.2720922493</v>
      </c>
      <c r="J298" s="16">
        <f t="shared" si="40"/>
        <v>439686.86504523049</v>
      </c>
    </row>
    <row r="299" spans="2:10" hidden="1" outlineLevel="1" x14ac:dyDescent="0.2">
      <c r="B299" s="44">
        <v>52963</v>
      </c>
      <c r="C299" s="15">
        <f t="shared" si="35"/>
        <v>166663.72790775061</v>
      </c>
      <c r="D299" s="16">
        <f t="shared" si="36"/>
        <v>694.4321996156275</v>
      </c>
      <c r="E299" s="21">
        <f t="shared" si="37"/>
        <v>1989.6759154450676</v>
      </c>
      <c r="F299" s="163">
        <v>0</v>
      </c>
      <c r="G299" s="16">
        <f t="shared" si="38"/>
        <v>164674.05199230555</v>
      </c>
      <c r="I299" s="21">
        <f t="shared" si="39"/>
        <v>335325.94800769439</v>
      </c>
      <c r="J299" s="16">
        <f t="shared" si="40"/>
        <v>440381.29724484612</v>
      </c>
    </row>
    <row r="300" spans="2:10" hidden="1" outlineLevel="1" x14ac:dyDescent="0.2">
      <c r="B300" s="44">
        <v>52994</v>
      </c>
      <c r="C300" s="15">
        <f t="shared" si="35"/>
        <v>164674.05199230555</v>
      </c>
      <c r="D300" s="16">
        <f t="shared" si="36"/>
        <v>686.14188330127308</v>
      </c>
      <c r="E300" s="21">
        <f t="shared" si="37"/>
        <v>1997.966231759422</v>
      </c>
      <c r="F300" s="162">
        <v>0</v>
      </c>
      <c r="G300" s="16">
        <f t="shared" si="38"/>
        <v>162676.08576054612</v>
      </c>
      <c r="I300" s="21">
        <f t="shared" si="39"/>
        <v>337323.91423945379</v>
      </c>
      <c r="J300" s="16">
        <f t="shared" si="40"/>
        <v>441067.43912814738</v>
      </c>
    </row>
    <row r="301" spans="2:10" hidden="1" outlineLevel="1" x14ac:dyDescent="0.2">
      <c r="B301" s="44">
        <v>53022</v>
      </c>
      <c r="C301" s="15">
        <f t="shared" si="35"/>
        <v>162676.08576054612</v>
      </c>
      <c r="D301" s="16">
        <f t="shared" si="36"/>
        <v>677.8170240022755</v>
      </c>
      <c r="E301" s="21">
        <f t="shared" si="37"/>
        <v>2006.2910910584196</v>
      </c>
      <c r="F301" s="163">
        <v>0</v>
      </c>
      <c r="G301" s="16">
        <f t="shared" si="38"/>
        <v>160669.79466948769</v>
      </c>
      <c r="I301" s="21">
        <f t="shared" si="39"/>
        <v>339330.2053305122</v>
      </c>
      <c r="J301" s="16">
        <f t="shared" si="40"/>
        <v>441745.25615214964</v>
      </c>
    </row>
    <row r="302" spans="2:10" hidden="1" outlineLevel="1" x14ac:dyDescent="0.2">
      <c r="B302" s="44">
        <v>53053</v>
      </c>
      <c r="C302" s="15">
        <f t="shared" si="35"/>
        <v>160669.79466948769</v>
      </c>
      <c r="D302" s="16">
        <f t="shared" si="36"/>
        <v>669.45747778953205</v>
      </c>
      <c r="E302" s="21">
        <f t="shared" si="37"/>
        <v>2014.6506372711631</v>
      </c>
      <c r="F302" s="162">
        <v>0</v>
      </c>
      <c r="G302" s="16">
        <f t="shared" si="38"/>
        <v>158655.14403221651</v>
      </c>
      <c r="I302" s="21">
        <f t="shared" si="39"/>
        <v>341344.85596778337</v>
      </c>
      <c r="J302" s="16">
        <f t="shared" si="40"/>
        <v>442414.71362993919</v>
      </c>
    </row>
    <row r="303" spans="2:10" hidden="1" outlineLevel="1" x14ac:dyDescent="0.2">
      <c r="B303" s="44">
        <v>53083</v>
      </c>
      <c r="C303" s="15">
        <f t="shared" si="35"/>
        <v>158655.14403221651</v>
      </c>
      <c r="D303" s="16">
        <f t="shared" si="36"/>
        <v>661.06310013423547</v>
      </c>
      <c r="E303" s="21">
        <f t="shared" si="37"/>
        <v>2023.0450149264598</v>
      </c>
      <c r="F303" s="163">
        <v>0</v>
      </c>
      <c r="G303" s="16">
        <f t="shared" si="38"/>
        <v>156632.09901729005</v>
      </c>
      <c r="I303" s="21">
        <f t="shared" si="39"/>
        <v>343367.90098270983</v>
      </c>
      <c r="J303" s="16">
        <f t="shared" si="40"/>
        <v>443075.77673007344</v>
      </c>
    </row>
    <row r="304" spans="2:10" hidden="1" outlineLevel="1" x14ac:dyDescent="0.2">
      <c r="B304" s="44">
        <v>53114</v>
      </c>
      <c r="C304" s="15">
        <f t="shared" si="35"/>
        <v>156632.09901729005</v>
      </c>
      <c r="D304" s="16">
        <f t="shared" si="36"/>
        <v>652.63374590537524</v>
      </c>
      <c r="E304" s="21">
        <f t="shared" si="37"/>
        <v>2031.4743691553199</v>
      </c>
      <c r="F304" s="162">
        <v>0</v>
      </c>
      <c r="G304" s="16">
        <f t="shared" si="38"/>
        <v>154600.62464813472</v>
      </c>
      <c r="I304" s="21">
        <f t="shared" si="39"/>
        <v>345399.37535186514</v>
      </c>
      <c r="J304" s="16">
        <f t="shared" si="40"/>
        <v>443728.4104759788</v>
      </c>
    </row>
    <row r="305" spans="2:10" hidden="1" outlineLevel="1" x14ac:dyDescent="0.2">
      <c r="B305" s="44">
        <v>53144</v>
      </c>
      <c r="C305" s="15">
        <f t="shared" si="35"/>
        <v>154600.62464813472</v>
      </c>
      <c r="D305" s="16">
        <f t="shared" si="36"/>
        <v>644.16926936722803</v>
      </c>
      <c r="E305" s="21">
        <f t="shared" si="37"/>
        <v>2039.9388456934671</v>
      </c>
      <c r="F305" s="163">
        <v>0</v>
      </c>
      <c r="G305" s="16">
        <f t="shared" si="38"/>
        <v>152560.68580244126</v>
      </c>
      <c r="I305" s="21">
        <f t="shared" si="39"/>
        <v>347439.31419755862</v>
      </c>
      <c r="J305" s="16">
        <f t="shared" si="40"/>
        <v>444372.57974534604</v>
      </c>
    </row>
    <row r="306" spans="2:10" hidden="1" outlineLevel="1" x14ac:dyDescent="0.2">
      <c r="B306" s="44">
        <v>53175</v>
      </c>
      <c r="C306" s="15">
        <f t="shared" si="35"/>
        <v>152560.68580244126</v>
      </c>
      <c r="D306" s="16">
        <f t="shared" si="36"/>
        <v>635.66952417683865</v>
      </c>
      <c r="E306" s="21">
        <f t="shared" si="37"/>
        <v>2048.4385908838567</v>
      </c>
      <c r="F306" s="162">
        <v>0</v>
      </c>
      <c r="G306" s="16">
        <f t="shared" si="38"/>
        <v>150512.24721155741</v>
      </c>
      <c r="I306" s="21">
        <f t="shared" si="39"/>
        <v>349487.75278844248</v>
      </c>
      <c r="J306" s="16">
        <f t="shared" si="40"/>
        <v>445008.2492695229</v>
      </c>
    </row>
    <row r="307" spans="2:10" hidden="1" outlineLevel="1" x14ac:dyDescent="0.2">
      <c r="B307" s="44">
        <v>53206</v>
      </c>
      <c r="C307" s="15">
        <f t="shared" si="35"/>
        <v>150512.24721155741</v>
      </c>
      <c r="D307" s="16">
        <f t="shared" si="36"/>
        <v>627.13436338148915</v>
      </c>
      <c r="E307" s="21">
        <f t="shared" si="37"/>
        <v>2056.9737516792061</v>
      </c>
      <c r="F307" s="163">
        <v>0</v>
      </c>
      <c r="G307" s="16">
        <f t="shared" si="38"/>
        <v>148455.2734598782</v>
      </c>
      <c r="I307" s="21">
        <f t="shared" si="39"/>
        <v>351544.72654012166</v>
      </c>
      <c r="J307" s="16">
        <f t="shared" si="40"/>
        <v>445635.38363290438</v>
      </c>
    </row>
    <row r="308" spans="2:10" hidden="1" outlineLevel="1" x14ac:dyDescent="0.2">
      <c r="B308" s="44">
        <v>53236</v>
      </c>
      <c r="C308" s="15">
        <f t="shared" si="35"/>
        <v>148455.2734598782</v>
      </c>
      <c r="D308" s="16">
        <f t="shared" si="36"/>
        <v>618.56363941615916</v>
      </c>
      <c r="E308" s="21">
        <f t="shared" si="37"/>
        <v>2065.5444756445359</v>
      </c>
      <c r="F308" s="162">
        <v>0</v>
      </c>
      <c r="G308" s="16">
        <f t="shared" si="38"/>
        <v>146389.72898423366</v>
      </c>
      <c r="I308" s="21">
        <f t="shared" si="39"/>
        <v>353610.27101576619</v>
      </c>
      <c r="J308" s="16">
        <f t="shared" si="40"/>
        <v>446253.94727232057</v>
      </c>
    </row>
    <row r="309" spans="2:10" hidden="1" outlineLevel="1" x14ac:dyDescent="0.2">
      <c r="B309" s="44">
        <v>53267</v>
      </c>
      <c r="C309" s="15">
        <f t="shared" si="35"/>
        <v>146389.72898423366</v>
      </c>
      <c r="D309" s="16">
        <f t="shared" si="36"/>
        <v>609.95720410097363</v>
      </c>
      <c r="E309" s="21">
        <f t="shared" si="37"/>
        <v>2074.1509109597214</v>
      </c>
      <c r="F309" s="163">
        <v>0</v>
      </c>
      <c r="G309" s="16">
        <f t="shared" si="38"/>
        <v>144315.57807327394</v>
      </c>
      <c r="I309" s="21">
        <f t="shared" si="39"/>
        <v>355684.42192672589</v>
      </c>
      <c r="J309" s="16">
        <f t="shared" si="40"/>
        <v>446863.90447642154</v>
      </c>
    </row>
    <row r="310" spans="2:10" hidden="1" outlineLevel="1" x14ac:dyDescent="0.2">
      <c r="B310" s="44">
        <v>53297</v>
      </c>
      <c r="C310" s="15">
        <f t="shared" si="35"/>
        <v>144315.57807327394</v>
      </c>
      <c r="D310" s="16">
        <f t="shared" si="36"/>
        <v>601.31490863864144</v>
      </c>
      <c r="E310" s="21">
        <f t="shared" si="37"/>
        <v>2082.7932064220536</v>
      </c>
      <c r="F310" s="162">
        <v>0</v>
      </c>
      <c r="G310" s="16">
        <f t="shared" si="38"/>
        <v>142232.78486685187</v>
      </c>
      <c r="I310" s="21">
        <f t="shared" si="39"/>
        <v>357767.21513314795</v>
      </c>
      <c r="J310" s="16">
        <f t="shared" si="40"/>
        <v>447465.21938506019</v>
      </c>
    </row>
    <row r="311" spans="2:10" hidden="1" outlineLevel="1" x14ac:dyDescent="0.2">
      <c r="B311" s="44">
        <v>53328</v>
      </c>
      <c r="C311" s="15">
        <f t="shared" si="35"/>
        <v>142232.78486685187</v>
      </c>
      <c r="D311" s="16">
        <f t="shared" si="36"/>
        <v>592.63660361188283</v>
      </c>
      <c r="E311" s="21">
        <f t="shared" si="37"/>
        <v>2091.4715114488122</v>
      </c>
      <c r="F311" s="163">
        <v>0</v>
      </c>
      <c r="G311" s="16">
        <f t="shared" si="38"/>
        <v>140141.31335540305</v>
      </c>
      <c r="I311" s="21">
        <f t="shared" si="39"/>
        <v>359858.68664459675</v>
      </c>
      <c r="J311" s="16">
        <f t="shared" si="40"/>
        <v>448057.85598867206</v>
      </c>
    </row>
    <row r="312" spans="2:10" hidden="1" outlineLevel="1" x14ac:dyDescent="0.2">
      <c r="B312" s="44">
        <v>53359</v>
      </c>
      <c r="C312" s="15">
        <f t="shared" si="35"/>
        <v>140141.31335540305</v>
      </c>
      <c r="D312" s="16">
        <f t="shared" si="36"/>
        <v>583.92213898084606</v>
      </c>
      <c r="E312" s="21">
        <f t="shared" si="37"/>
        <v>2100.1859760798488</v>
      </c>
      <c r="F312" s="162">
        <v>0</v>
      </c>
      <c r="G312" s="16">
        <f t="shared" si="38"/>
        <v>138041.12737932321</v>
      </c>
      <c r="I312" s="21">
        <f t="shared" si="39"/>
        <v>361958.87262067659</v>
      </c>
      <c r="J312" s="16">
        <f t="shared" si="40"/>
        <v>448641.77812765288</v>
      </c>
    </row>
    <row r="313" spans="2:10" hidden="1" outlineLevel="1" x14ac:dyDescent="0.2">
      <c r="B313" s="44">
        <v>53387</v>
      </c>
      <c r="C313" s="15">
        <f t="shared" si="35"/>
        <v>138041.12737932321</v>
      </c>
      <c r="D313" s="16">
        <f t="shared" si="36"/>
        <v>575.1713640805134</v>
      </c>
      <c r="E313" s="21">
        <f t="shared" si="37"/>
        <v>2108.9367509801818</v>
      </c>
      <c r="F313" s="163">
        <v>0</v>
      </c>
      <c r="G313" s="16">
        <f t="shared" si="38"/>
        <v>135932.19062834303</v>
      </c>
      <c r="I313" s="21">
        <f t="shared" si="39"/>
        <v>364067.8093716568</v>
      </c>
      <c r="J313" s="16">
        <f t="shared" si="40"/>
        <v>449216.94949173339</v>
      </c>
    </row>
    <row r="314" spans="2:10" hidden="1" outlineLevel="1" x14ac:dyDescent="0.2">
      <c r="B314" s="44">
        <v>53418</v>
      </c>
      <c r="C314" s="15">
        <f t="shared" si="35"/>
        <v>135932.19062834303</v>
      </c>
      <c r="D314" s="16">
        <f t="shared" si="36"/>
        <v>566.38412761809593</v>
      </c>
      <c r="E314" s="21">
        <f t="shared" si="37"/>
        <v>2117.7239874425991</v>
      </c>
      <c r="F314" s="162">
        <v>0</v>
      </c>
      <c r="G314" s="16">
        <f t="shared" si="38"/>
        <v>133814.46664090044</v>
      </c>
      <c r="I314" s="21">
        <f t="shared" si="39"/>
        <v>366185.53335909941</v>
      </c>
      <c r="J314" s="16">
        <f t="shared" si="40"/>
        <v>449783.3336193515</v>
      </c>
    </row>
    <row r="315" spans="2:10" hidden="1" outlineLevel="1" x14ac:dyDescent="0.2">
      <c r="B315" s="44">
        <v>53448</v>
      </c>
      <c r="C315" s="15">
        <f t="shared" si="35"/>
        <v>133814.46664090044</v>
      </c>
      <c r="D315" s="16">
        <f t="shared" si="36"/>
        <v>557.56027767041849</v>
      </c>
      <c r="E315" s="21">
        <f t="shared" si="37"/>
        <v>2126.5478373902765</v>
      </c>
      <c r="F315" s="163">
        <v>0</v>
      </c>
      <c r="G315" s="16">
        <f t="shared" si="38"/>
        <v>131687.91880351017</v>
      </c>
      <c r="I315" s="21">
        <f t="shared" si="39"/>
        <v>368312.08119648969</v>
      </c>
      <c r="J315" s="16">
        <f t="shared" si="40"/>
        <v>450340.89389702195</v>
      </c>
    </row>
    <row r="316" spans="2:10" hidden="1" outlineLevel="1" x14ac:dyDescent="0.2">
      <c r="B316" s="44">
        <v>53479</v>
      </c>
      <c r="C316" s="15">
        <f t="shared" si="35"/>
        <v>131687.91880351017</v>
      </c>
      <c r="D316" s="16">
        <f t="shared" si="36"/>
        <v>548.69966168129235</v>
      </c>
      <c r="E316" s="21">
        <f t="shared" si="37"/>
        <v>2135.408453379403</v>
      </c>
      <c r="F316" s="162">
        <v>0</v>
      </c>
      <c r="G316" s="16">
        <f t="shared" si="38"/>
        <v>129552.51035013076</v>
      </c>
      <c r="I316" s="21">
        <f t="shared" si="39"/>
        <v>370447.48964986909</v>
      </c>
      <c r="J316" s="16">
        <f t="shared" si="40"/>
        <v>450889.59355870326</v>
      </c>
    </row>
    <row r="317" spans="2:10" hidden="1" outlineLevel="1" x14ac:dyDescent="0.2">
      <c r="B317" s="44">
        <v>53509</v>
      </c>
      <c r="C317" s="15">
        <f t="shared" si="35"/>
        <v>129552.51035013076</v>
      </c>
      <c r="D317" s="16">
        <f t="shared" si="36"/>
        <v>539.80212645887821</v>
      </c>
      <c r="E317" s="21">
        <f t="shared" si="37"/>
        <v>2144.3059886018168</v>
      </c>
      <c r="F317" s="163">
        <v>0</v>
      </c>
      <c r="G317" s="16">
        <f t="shared" si="38"/>
        <v>127408.20436152894</v>
      </c>
      <c r="I317" s="21">
        <f t="shared" si="39"/>
        <v>372591.79563847091</v>
      </c>
      <c r="J317" s="16">
        <f t="shared" si="40"/>
        <v>451429.39568516216</v>
      </c>
    </row>
    <row r="318" spans="2:10" hidden="1" outlineLevel="1" x14ac:dyDescent="0.2">
      <c r="B318" s="44">
        <v>53540</v>
      </c>
      <c r="C318" s="15">
        <f t="shared" si="35"/>
        <v>127408.20436152894</v>
      </c>
      <c r="D318" s="16">
        <f t="shared" si="36"/>
        <v>530.8675181730373</v>
      </c>
      <c r="E318" s="21">
        <f t="shared" si="37"/>
        <v>2153.2405968876578</v>
      </c>
      <c r="F318" s="162">
        <v>0</v>
      </c>
      <c r="G318" s="16">
        <f t="shared" si="38"/>
        <v>125254.96376464129</v>
      </c>
      <c r="I318" s="21">
        <f t="shared" si="39"/>
        <v>374745.03623535857</v>
      </c>
      <c r="J318" s="16">
        <f t="shared" si="40"/>
        <v>451960.26320333523</v>
      </c>
    </row>
    <row r="319" spans="2:10" hidden="1" outlineLevel="1" x14ac:dyDescent="0.2">
      <c r="B319" s="44">
        <v>53571</v>
      </c>
      <c r="C319" s="15">
        <f t="shared" si="35"/>
        <v>125254.96376464129</v>
      </c>
      <c r="D319" s="16">
        <f t="shared" si="36"/>
        <v>521.895682352672</v>
      </c>
      <c r="E319" s="21">
        <f t="shared" si="37"/>
        <v>2162.2124327080232</v>
      </c>
      <c r="F319" s="163">
        <v>0</v>
      </c>
      <c r="G319" s="16">
        <f t="shared" si="38"/>
        <v>123092.75133193326</v>
      </c>
      <c r="I319" s="21">
        <f t="shared" si="39"/>
        <v>376907.24866806658</v>
      </c>
      <c r="J319" s="16">
        <f t="shared" si="40"/>
        <v>452482.15888568788</v>
      </c>
    </row>
    <row r="320" spans="2:10" hidden="1" outlineLevel="1" x14ac:dyDescent="0.2">
      <c r="B320" s="44">
        <v>53601</v>
      </c>
      <c r="C320" s="15">
        <f t="shared" si="35"/>
        <v>123092.75133193326</v>
      </c>
      <c r="D320" s="16">
        <f t="shared" si="36"/>
        <v>512.88646388305528</v>
      </c>
      <c r="E320" s="21">
        <f t="shared" si="37"/>
        <v>2171.2216511776396</v>
      </c>
      <c r="F320" s="162">
        <v>0</v>
      </c>
      <c r="G320" s="16">
        <f t="shared" si="38"/>
        <v>120921.52968075563</v>
      </c>
      <c r="I320" s="21">
        <f t="shared" si="39"/>
        <v>379078.4703192442</v>
      </c>
      <c r="J320" s="16">
        <f t="shared" si="40"/>
        <v>452995.04534957092</v>
      </c>
    </row>
    <row r="321" spans="2:10" hidden="1" outlineLevel="1" x14ac:dyDescent="0.2">
      <c r="B321" s="44">
        <v>53632</v>
      </c>
      <c r="C321" s="15">
        <f t="shared" si="35"/>
        <v>120921.52968075563</v>
      </c>
      <c r="D321" s="16">
        <f t="shared" si="36"/>
        <v>503.83970700314848</v>
      </c>
      <c r="E321" s="21">
        <f t="shared" si="37"/>
        <v>2180.2684080575468</v>
      </c>
      <c r="F321" s="163">
        <v>0</v>
      </c>
      <c r="G321" s="16">
        <f t="shared" si="38"/>
        <v>118741.26127269809</v>
      </c>
      <c r="I321" s="21">
        <f t="shared" si="39"/>
        <v>381258.73872730177</v>
      </c>
      <c r="J321" s="16">
        <f t="shared" si="40"/>
        <v>453498.88505657407</v>
      </c>
    </row>
    <row r="322" spans="2:10" hidden="1" outlineLevel="1" x14ac:dyDescent="0.2">
      <c r="B322" s="44">
        <v>53662</v>
      </c>
      <c r="C322" s="15">
        <f t="shared" si="35"/>
        <v>118741.26127269809</v>
      </c>
      <c r="D322" s="16">
        <f t="shared" si="36"/>
        <v>494.75525530290867</v>
      </c>
      <c r="E322" s="21">
        <f t="shared" si="37"/>
        <v>2189.3528597577865</v>
      </c>
      <c r="F322" s="162">
        <v>0</v>
      </c>
      <c r="G322" s="16">
        <f t="shared" si="38"/>
        <v>116551.90841294031</v>
      </c>
      <c r="I322" s="21">
        <f t="shared" si="39"/>
        <v>383448.09158705955</v>
      </c>
      <c r="J322" s="16">
        <f t="shared" si="40"/>
        <v>453993.64031187695</v>
      </c>
    </row>
    <row r="323" spans="2:10" hidden="1" outlineLevel="1" x14ac:dyDescent="0.2">
      <c r="B323" s="44">
        <v>53693</v>
      </c>
      <c r="C323" s="15">
        <f t="shared" si="35"/>
        <v>116551.90841294031</v>
      </c>
      <c r="D323" s="16">
        <f t="shared" si="36"/>
        <v>485.63295172058457</v>
      </c>
      <c r="E323" s="21">
        <f t="shared" si="37"/>
        <v>2198.4751633401106</v>
      </c>
      <c r="F323" s="163">
        <v>0</v>
      </c>
      <c r="G323" s="16">
        <f t="shared" si="38"/>
        <v>114353.43324960019</v>
      </c>
      <c r="I323" s="21">
        <f t="shared" si="39"/>
        <v>385646.56675039965</v>
      </c>
      <c r="J323" s="16">
        <f t="shared" si="40"/>
        <v>454479.27326359751</v>
      </c>
    </row>
    <row r="324" spans="2:10" hidden="1" outlineLevel="1" x14ac:dyDescent="0.2">
      <c r="B324" s="44">
        <v>53724</v>
      </c>
      <c r="C324" s="15">
        <f t="shared" si="35"/>
        <v>114353.43324960019</v>
      </c>
      <c r="D324" s="16">
        <f t="shared" si="36"/>
        <v>476.47263854000079</v>
      </c>
      <c r="E324" s="21">
        <f t="shared" si="37"/>
        <v>2207.6354765206943</v>
      </c>
      <c r="F324" s="162">
        <v>0</v>
      </c>
      <c r="G324" s="16">
        <f t="shared" si="38"/>
        <v>112145.7977730795</v>
      </c>
      <c r="I324" s="21">
        <f t="shared" si="39"/>
        <v>387854.20222692034</v>
      </c>
      <c r="J324" s="16">
        <f t="shared" si="40"/>
        <v>454955.74590213754</v>
      </c>
    </row>
    <row r="325" spans="2:10" hidden="1" outlineLevel="1" x14ac:dyDescent="0.2">
      <c r="B325" s="44">
        <v>53752</v>
      </c>
      <c r="C325" s="15">
        <f t="shared" si="35"/>
        <v>112145.7977730795</v>
      </c>
      <c r="D325" s="16">
        <f t="shared" si="36"/>
        <v>467.27415738783122</v>
      </c>
      <c r="E325" s="21">
        <f t="shared" si="37"/>
        <v>2216.833957672864</v>
      </c>
      <c r="F325" s="163">
        <v>0</v>
      </c>
      <c r="G325" s="16">
        <f t="shared" si="38"/>
        <v>109928.96381540663</v>
      </c>
      <c r="I325" s="21">
        <f t="shared" si="39"/>
        <v>390071.03618459322</v>
      </c>
      <c r="J325" s="16">
        <f t="shared" si="40"/>
        <v>455423.02005952538</v>
      </c>
    </row>
    <row r="326" spans="2:10" hidden="1" outlineLevel="1" x14ac:dyDescent="0.2">
      <c r="B326" s="44">
        <v>53783</v>
      </c>
      <c r="C326" s="15">
        <f t="shared" si="35"/>
        <v>109928.96381540663</v>
      </c>
      <c r="D326" s="16">
        <f t="shared" si="36"/>
        <v>458.03734923086097</v>
      </c>
      <c r="E326" s="21">
        <f t="shared" si="37"/>
        <v>2226.0707658298343</v>
      </c>
      <c r="F326" s="162">
        <v>0</v>
      </c>
      <c r="G326" s="16">
        <f t="shared" si="38"/>
        <v>107702.8930495768</v>
      </c>
      <c r="I326" s="21">
        <f t="shared" si="39"/>
        <v>392297.10695042304</v>
      </c>
      <c r="J326" s="16">
        <f t="shared" si="40"/>
        <v>455881.05740875623</v>
      </c>
    </row>
    <row r="327" spans="2:10" hidden="1" outlineLevel="1" x14ac:dyDescent="0.2">
      <c r="B327" s="44">
        <v>53813</v>
      </c>
      <c r="C327" s="15">
        <f t="shared" ref="C327:C370" si="41">G326</f>
        <v>107702.8930495768</v>
      </c>
      <c r="D327" s="16">
        <f t="shared" ref="D327:D370" si="42">C327*E$6</f>
        <v>448.76205437323665</v>
      </c>
      <c r="E327" s="21">
        <f t="shared" ref="E327:E370" si="43">E$8-D327</f>
        <v>2235.3460606874587</v>
      </c>
      <c r="F327" s="163">
        <v>0</v>
      </c>
      <c r="G327" s="16">
        <f t="shared" ref="G327:G370" si="44">C327-E327-F327</f>
        <v>105467.54698888934</v>
      </c>
      <c r="I327" s="21">
        <f t="shared" ref="I327:I370" si="45">I326+E327</f>
        <v>394532.45301111048</v>
      </c>
      <c r="J327" s="16">
        <f t="shared" ref="J327:J370" si="46">J326+D327</f>
        <v>456329.81946312945</v>
      </c>
    </row>
    <row r="328" spans="2:10" hidden="1" outlineLevel="1" x14ac:dyDescent="0.2">
      <c r="B328" s="44">
        <v>53844</v>
      </c>
      <c r="C328" s="15">
        <f t="shared" si="41"/>
        <v>105467.54698888934</v>
      </c>
      <c r="D328" s="16">
        <f t="shared" si="42"/>
        <v>439.44811245370556</v>
      </c>
      <c r="E328" s="21">
        <f t="shared" si="43"/>
        <v>2244.6600026069896</v>
      </c>
      <c r="F328" s="162">
        <v>0</v>
      </c>
      <c r="G328" s="16">
        <f t="shared" si="44"/>
        <v>103222.88698628235</v>
      </c>
      <c r="I328" s="21">
        <f t="shared" si="45"/>
        <v>396777.11301371746</v>
      </c>
      <c r="J328" s="16">
        <f t="shared" si="46"/>
        <v>456769.26757558313</v>
      </c>
    </row>
    <row r="329" spans="2:10" hidden="1" outlineLevel="1" x14ac:dyDescent="0.2">
      <c r="B329" s="44">
        <v>53874</v>
      </c>
      <c r="C329" s="15">
        <f t="shared" si="41"/>
        <v>103222.88698628235</v>
      </c>
      <c r="D329" s="16">
        <f t="shared" si="42"/>
        <v>430.09536244284311</v>
      </c>
      <c r="E329" s="21">
        <f t="shared" si="43"/>
        <v>2254.0127526178521</v>
      </c>
      <c r="F329" s="163">
        <v>0</v>
      </c>
      <c r="G329" s="16">
        <f t="shared" si="44"/>
        <v>100968.87423366449</v>
      </c>
      <c r="I329" s="21">
        <f t="shared" si="45"/>
        <v>399031.12576633529</v>
      </c>
      <c r="J329" s="16">
        <f t="shared" si="46"/>
        <v>457199.36293802597</v>
      </c>
    </row>
    <row r="330" spans="2:10" hidden="1" outlineLevel="1" x14ac:dyDescent="0.2">
      <c r="B330" s="44">
        <v>53905</v>
      </c>
      <c r="C330" s="15">
        <f t="shared" si="41"/>
        <v>100968.87423366449</v>
      </c>
      <c r="D330" s="16">
        <f t="shared" si="42"/>
        <v>420.7036426402687</v>
      </c>
      <c r="E330" s="21">
        <f t="shared" si="43"/>
        <v>2263.4044724204264</v>
      </c>
      <c r="F330" s="162">
        <v>0</v>
      </c>
      <c r="G330" s="16">
        <f t="shared" si="44"/>
        <v>98705.469761244065</v>
      </c>
      <c r="I330" s="21">
        <f t="shared" si="45"/>
        <v>401294.53023875569</v>
      </c>
      <c r="J330" s="16">
        <f t="shared" si="46"/>
        <v>457620.06658066623</v>
      </c>
    </row>
    <row r="331" spans="2:10" hidden="1" outlineLevel="1" x14ac:dyDescent="0.2">
      <c r="B331" s="44">
        <v>53936</v>
      </c>
      <c r="C331" s="15">
        <f t="shared" si="41"/>
        <v>98705.469761244065</v>
      </c>
      <c r="D331" s="16">
        <f t="shared" si="42"/>
        <v>411.27279067185026</v>
      </c>
      <c r="E331" s="21">
        <f t="shared" si="43"/>
        <v>2272.835324388845</v>
      </c>
      <c r="F331" s="163">
        <v>0</v>
      </c>
      <c r="G331" s="16">
        <f t="shared" si="44"/>
        <v>96432.634436855224</v>
      </c>
      <c r="I331" s="21">
        <f t="shared" si="45"/>
        <v>403567.36556314456</v>
      </c>
      <c r="J331" s="16">
        <f t="shared" si="46"/>
        <v>458031.33937133808</v>
      </c>
    </row>
    <row r="332" spans="2:10" hidden="1" outlineLevel="1" x14ac:dyDescent="0.2">
      <c r="B332" s="44">
        <v>53966</v>
      </c>
      <c r="C332" s="15">
        <f t="shared" si="41"/>
        <v>96432.634436855224</v>
      </c>
      <c r="D332" s="16">
        <f t="shared" si="42"/>
        <v>401.80264348689678</v>
      </c>
      <c r="E332" s="21">
        <f t="shared" si="43"/>
        <v>2282.3054715737985</v>
      </c>
      <c r="F332" s="162">
        <v>0</v>
      </c>
      <c r="G332" s="16">
        <f t="shared" si="44"/>
        <v>94150.328965281427</v>
      </c>
      <c r="I332" s="21">
        <f t="shared" si="45"/>
        <v>405849.67103471834</v>
      </c>
      <c r="J332" s="16">
        <f t="shared" si="46"/>
        <v>458433.14201482496</v>
      </c>
    </row>
    <row r="333" spans="2:10" hidden="1" outlineLevel="1" x14ac:dyDescent="0.2">
      <c r="B333" s="44">
        <v>53997</v>
      </c>
      <c r="C333" s="15">
        <f t="shared" si="41"/>
        <v>94150.328965281427</v>
      </c>
      <c r="D333" s="16">
        <f t="shared" si="42"/>
        <v>392.29303735533927</v>
      </c>
      <c r="E333" s="21">
        <f t="shared" si="43"/>
        <v>2291.8150777053561</v>
      </c>
      <c r="F333" s="163">
        <v>0</v>
      </c>
      <c r="G333" s="16">
        <f t="shared" si="44"/>
        <v>91858.513887576075</v>
      </c>
      <c r="I333" s="21">
        <f t="shared" si="45"/>
        <v>408141.48611242371</v>
      </c>
      <c r="J333" s="16">
        <f t="shared" si="46"/>
        <v>458825.43505218031</v>
      </c>
    </row>
    <row r="334" spans="2:10" hidden="1" outlineLevel="1" x14ac:dyDescent="0.2">
      <c r="B334" s="44">
        <v>54027</v>
      </c>
      <c r="C334" s="15">
        <f t="shared" si="41"/>
        <v>91858.513887576075</v>
      </c>
      <c r="D334" s="16">
        <f t="shared" si="42"/>
        <v>382.7438078649003</v>
      </c>
      <c r="E334" s="21">
        <f t="shared" si="43"/>
        <v>2301.3643071957949</v>
      </c>
      <c r="F334" s="162">
        <v>0</v>
      </c>
      <c r="G334" s="16">
        <f t="shared" si="44"/>
        <v>89557.149580380283</v>
      </c>
      <c r="I334" s="21">
        <f t="shared" si="45"/>
        <v>410442.85041961953</v>
      </c>
      <c r="J334" s="16">
        <f t="shared" si="46"/>
        <v>459208.17886004521</v>
      </c>
    </row>
    <row r="335" spans="2:10" hidden="1" outlineLevel="1" x14ac:dyDescent="0.2">
      <c r="B335" s="44">
        <v>54058</v>
      </c>
      <c r="C335" s="15">
        <f t="shared" si="41"/>
        <v>89557.149580380283</v>
      </c>
      <c r="D335" s="16">
        <f t="shared" si="42"/>
        <v>373.1547899182512</v>
      </c>
      <c r="E335" s="21">
        <f t="shared" si="43"/>
        <v>2310.9533251424441</v>
      </c>
      <c r="F335" s="163">
        <v>0</v>
      </c>
      <c r="G335" s="16">
        <f t="shared" si="44"/>
        <v>87246.196255237839</v>
      </c>
      <c r="I335" s="21">
        <f t="shared" si="45"/>
        <v>412753.80374476197</v>
      </c>
      <c r="J335" s="16">
        <f t="shared" si="46"/>
        <v>459581.33364996349</v>
      </c>
    </row>
    <row r="336" spans="2:10" hidden="1" outlineLevel="1" x14ac:dyDescent="0.2">
      <c r="B336" s="44">
        <v>54089</v>
      </c>
      <c r="C336" s="15">
        <f t="shared" si="41"/>
        <v>87246.196255237839</v>
      </c>
      <c r="D336" s="16">
        <f t="shared" si="42"/>
        <v>363.52581773015766</v>
      </c>
      <c r="E336" s="21">
        <f t="shared" si="43"/>
        <v>2320.5822973305376</v>
      </c>
      <c r="F336" s="162">
        <v>0</v>
      </c>
      <c r="G336" s="16">
        <f t="shared" si="44"/>
        <v>84925.613957907306</v>
      </c>
      <c r="I336" s="21">
        <f t="shared" si="45"/>
        <v>415074.38604209252</v>
      </c>
      <c r="J336" s="16">
        <f t="shared" si="46"/>
        <v>459944.85946769366</v>
      </c>
    </row>
    <row r="337" spans="2:10" hidden="1" outlineLevel="1" x14ac:dyDescent="0.2">
      <c r="B337" s="44">
        <v>54118</v>
      </c>
      <c r="C337" s="15">
        <f t="shared" si="41"/>
        <v>84925.613957907306</v>
      </c>
      <c r="D337" s="16">
        <f t="shared" si="42"/>
        <v>353.85672482461376</v>
      </c>
      <c r="E337" s="21">
        <f t="shared" si="43"/>
        <v>2330.2513902360815</v>
      </c>
      <c r="F337" s="163">
        <v>0</v>
      </c>
      <c r="G337" s="16">
        <f t="shared" si="44"/>
        <v>82595.362567671225</v>
      </c>
      <c r="I337" s="21">
        <f t="shared" si="45"/>
        <v>417404.6374323286</v>
      </c>
      <c r="J337" s="16">
        <f t="shared" si="46"/>
        <v>460298.7161925183</v>
      </c>
    </row>
    <row r="338" spans="2:10" hidden="1" outlineLevel="1" x14ac:dyDescent="0.2">
      <c r="B338" s="44">
        <v>54149</v>
      </c>
      <c r="C338" s="15">
        <f t="shared" si="41"/>
        <v>82595.362567671225</v>
      </c>
      <c r="D338" s="16">
        <f t="shared" si="42"/>
        <v>344.14734403196343</v>
      </c>
      <c r="E338" s="21">
        <f t="shared" si="43"/>
        <v>2339.9607710287319</v>
      </c>
      <c r="F338" s="162">
        <v>0</v>
      </c>
      <c r="G338" s="16">
        <f t="shared" si="44"/>
        <v>80255.401796642487</v>
      </c>
      <c r="I338" s="21">
        <f t="shared" si="45"/>
        <v>419744.59820335731</v>
      </c>
      <c r="J338" s="16">
        <f t="shared" si="46"/>
        <v>460642.86353655026</v>
      </c>
    </row>
    <row r="339" spans="2:10" hidden="1" outlineLevel="1" x14ac:dyDescent="0.2">
      <c r="B339" s="44">
        <v>54179</v>
      </c>
      <c r="C339" s="15">
        <f t="shared" si="41"/>
        <v>80255.401796642487</v>
      </c>
      <c r="D339" s="16">
        <f t="shared" si="42"/>
        <v>334.39750748601034</v>
      </c>
      <c r="E339" s="21">
        <f t="shared" si="43"/>
        <v>2349.7106075746847</v>
      </c>
      <c r="F339" s="163">
        <v>0</v>
      </c>
      <c r="G339" s="16">
        <f t="shared" si="44"/>
        <v>77905.691189067802</v>
      </c>
      <c r="I339" s="21">
        <f t="shared" si="45"/>
        <v>422094.30881093198</v>
      </c>
      <c r="J339" s="16">
        <f t="shared" si="46"/>
        <v>460977.26104403625</v>
      </c>
    </row>
    <row r="340" spans="2:10" hidden="1" outlineLevel="1" x14ac:dyDescent="0.2">
      <c r="B340" s="44">
        <v>54210</v>
      </c>
      <c r="C340" s="15">
        <f t="shared" si="41"/>
        <v>77905.691189067802</v>
      </c>
      <c r="D340" s="16">
        <f t="shared" si="42"/>
        <v>324.60704662111584</v>
      </c>
      <c r="E340" s="21">
        <f t="shared" si="43"/>
        <v>2359.5010684395793</v>
      </c>
      <c r="F340" s="162">
        <v>0</v>
      </c>
      <c r="G340" s="16">
        <f t="shared" si="44"/>
        <v>75546.19012062822</v>
      </c>
      <c r="I340" s="21">
        <f t="shared" si="45"/>
        <v>424453.80987937155</v>
      </c>
      <c r="J340" s="16">
        <f t="shared" si="46"/>
        <v>461301.86809065734</v>
      </c>
    </row>
    <row r="341" spans="2:10" hidden="1" outlineLevel="1" x14ac:dyDescent="0.2">
      <c r="B341" s="44">
        <v>54240</v>
      </c>
      <c r="C341" s="15">
        <f t="shared" si="41"/>
        <v>75546.19012062822</v>
      </c>
      <c r="D341" s="16">
        <f t="shared" si="42"/>
        <v>314.77579216928427</v>
      </c>
      <c r="E341" s="21">
        <f t="shared" si="43"/>
        <v>2369.332322891411</v>
      </c>
      <c r="F341" s="163">
        <v>0</v>
      </c>
      <c r="G341" s="16">
        <f t="shared" si="44"/>
        <v>73176.857797736811</v>
      </c>
      <c r="I341" s="21">
        <f t="shared" si="45"/>
        <v>426823.14220226294</v>
      </c>
      <c r="J341" s="16">
        <f t="shared" si="46"/>
        <v>461616.64388282661</v>
      </c>
    </row>
    <row r="342" spans="2:10" hidden="1" outlineLevel="1" x14ac:dyDescent="0.2">
      <c r="B342" s="44">
        <v>54271</v>
      </c>
      <c r="C342" s="15">
        <f t="shared" si="41"/>
        <v>73176.857797736811</v>
      </c>
      <c r="D342" s="16">
        <f t="shared" si="42"/>
        <v>304.90357415723673</v>
      </c>
      <c r="E342" s="21">
        <f t="shared" si="43"/>
        <v>2379.2045409034586</v>
      </c>
      <c r="F342" s="162">
        <v>0</v>
      </c>
      <c r="G342" s="16">
        <f t="shared" si="44"/>
        <v>70797.65325683335</v>
      </c>
      <c r="I342" s="21">
        <f t="shared" si="45"/>
        <v>429202.34674316639</v>
      </c>
      <c r="J342" s="16">
        <f t="shared" si="46"/>
        <v>461921.54745698383</v>
      </c>
    </row>
    <row r="343" spans="2:10" hidden="1" outlineLevel="1" x14ac:dyDescent="0.2">
      <c r="B343" s="44">
        <v>54302</v>
      </c>
      <c r="C343" s="15">
        <f t="shared" si="41"/>
        <v>70797.65325683335</v>
      </c>
      <c r="D343" s="16">
        <f t="shared" si="42"/>
        <v>294.99022190347227</v>
      </c>
      <c r="E343" s="21">
        <f t="shared" si="43"/>
        <v>2389.1178931572231</v>
      </c>
      <c r="F343" s="163">
        <v>0</v>
      </c>
      <c r="G343" s="16">
        <f t="shared" si="44"/>
        <v>68408.535363676128</v>
      </c>
      <c r="I343" s="21">
        <f t="shared" si="45"/>
        <v>431591.46463632362</v>
      </c>
      <c r="J343" s="16">
        <f t="shared" si="46"/>
        <v>462216.53767888731</v>
      </c>
    </row>
    <row r="344" spans="2:10" hidden="1" outlineLevel="1" x14ac:dyDescent="0.2">
      <c r="B344" s="44">
        <v>54332</v>
      </c>
      <c r="C344" s="15">
        <f t="shared" si="41"/>
        <v>68408.535363676128</v>
      </c>
      <c r="D344" s="16">
        <f t="shared" si="42"/>
        <v>285.03556401531722</v>
      </c>
      <c r="E344" s="21">
        <f t="shared" si="43"/>
        <v>2399.0725510453781</v>
      </c>
      <c r="F344" s="162">
        <v>0</v>
      </c>
      <c r="G344" s="16">
        <f t="shared" si="44"/>
        <v>66009.462812630751</v>
      </c>
      <c r="I344" s="21">
        <f t="shared" si="45"/>
        <v>433990.53718736902</v>
      </c>
      <c r="J344" s="16">
        <f t="shared" si="46"/>
        <v>462501.57324290264</v>
      </c>
    </row>
    <row r="345" spans="2:10" hidden="1" outlineLevel="1" x14ac:dyDescent="0.2">
      <c r="B345" s="44">
        <v>54363</v>
      </c>
      <c r="C345" s="15">
        <f t="shared" si="41"/>
        <v>66009.462812630751</v>
      </c>
      <c r="D345" s="16">
        <f t="shared" si="42"/>
        <v>275.03942838596146</v>
      </c>
      <c r="E345" s="21">
        <f t="shared" si="43"/>
        <v>2409.0686866747337</v>
      </c>
      <c r="F345" s="163">
        <v>0</v>
      </c>
      <c r="G345" s="16">
        <f t="shared" si="44"/>
        <v>63600.394125956016</v>
      </c>
      <c r="I345" s="21">
        <f t="shared" si="45"/>
        <v>436399.60587404377</v>
      </c>
      <c r="J345" s="16">
        <f t="shared" si="46"/>
        <v>462776.6126712886</v>
      </c>
    </row>
    <row r="346" spans="2:10" hidden="1" outlineLevel="1" x14ac:dyDescent="0.2">
      <c r="B346" s="44">
        <v>54393</v>
      </c>
      <c r="C346" s="15">
        <f t="shared" si="41"/>
        <v>63600.394125956016</v>
      </c>
      <c r="D346" s="16">
        <f t="shared" si="42"/>
        <v>265.00164219148337</v>
      </c>
      <c r="E346" s="21">
        <f t="shared" si="43"/>
        <v>2419.1064728692118</v>
      </c>
      <c r="F346" s="162">
        <v>0</v>
      </c>
      <c r="G346" s="16">
        <f t="shared" si="44"/>
        <v>61181.287653086802</v>
      </c>
      <c r="I346" s="21">
        <f t="shared" si="45"/>
        <v>438818.712346913</v>
      </c>
      <c r="J346" s="16">
        <f t="shared" si="46"/>
        <v>463041.6143134801</v>
      </c>
    </row>
    <row r="347" spans="2:10" hidden="1" outlineLevel="1" x14ac:dyDescent="0.2">
      <c r="B347" s="44">
        <v>54424</v>
      </c>
      <c r="C347" s="15">
        <f t="shared" si="41"/>
        <v>61181.287653086802</v>
      </c>
      <c r="D347" s="16">
        <f t="shared" si="42"/>
        <v>254.92203188786166</v>
      </c>
      <c r="E347" s="21">
        <f t="shared" si="43"/>
        <v>2429.1860831728336</v>
      </c>
      <c r="F347" s="163">
        <v>0</v>
      </c>
      <c r="G347" s="16">
        <f t="shared" si="44"/>
        <v>58752.101569913968</v>
      </c>
      <c r="I347" s="21">
        <f t="shared" si="45"/>
        <v>441247.89843008586</v>
      </c>
      <c r="J347" s="16">
        <f t="shared" si="46"/>
        <v>463296.53634536796</v>
      </c>
    </row>
    <row r="348" spans="2:10" hidden="1" outlineLevel="1" x14ac:dyDescent="0.2">
      <c r="B348" s="44">
        <v>54455</v>
      </c>
      <c r="C348" s="15">
        <f t="shared" si="41"/>
        <v>58752.101569913968</v>
      </c>
      <c r="D348" s="16">
        <f t="shared" si="42"/>
        <v>244.80042320797486</v>
      </c>
      <c r="E348" s="21">
        <f t="shared" si="43"/>
        <v>2439.3076918527204</v>
      </c>
      <c r="F348" s="162">
        <v>0</v>
      </c>
      <c r="G348" s="16">
        <f t="shared" si="44"/>
        <v>56312.793878061246</v>
      </c>
      <c r="I348" s="21">
        <f t="shared" si="45"/>
        <v>443687.20612193859</v>
      </c>
      <c r="J348" s="16">
        <f t="shared" si="46"/>
        <v>463541.33676857594</v>
      </c>
    </row>
    <row r="349" spans="2:10" hidden="1" outlineLevel="1" x14ac:dyDescent="0.2">
      <c r="B349" s="44">
        <v>54483</v>
      </c>
      <c r="C349" s="15">
        <f t="shared" si="41"/>
        <v>56312.793878061246</v>
      </c>
      <c r="D349" s="16">
        <f t="shared" si="42"/>
        <v>234.63664115858853</v>
      </c>
      <c r="E349" s="21">
        <f t="shared" si="43"/>
        <v>2449.4714739021065</v>
      </c>
      <c r="F349" s="163">
        <v>0</v>
      </c>
      <c r="G349" s="16">
        <f t="shared" si="44"/>
        <v>53863.322404159138</v>
      </c>
      <c r="I349" s="21">
        <f t="shared" si="45"/>
        <v>446136.67759584071</v>
      </c>
      <c r="J349" s="16">
        <f t="shared" si="46"/>
        <v>463775.97340973455</v>
      </c>
    </row>
    <row r="350" spans="2:10" hidden="1" outlineLevel="1" x14ac:dyDescent="0.2">
      <c r="B350" s="44">
        <v>54514</v>
      </c>
      <c r="C350" s="15">
        <f t="shared" si="41"/>
        <v>53863.322404159138</v>
      </c>
      <c r="D350" s="16">
        <f t="shared" si="42"/>
        <v>224.43051001732974</v>
      </c>
      <c r="E350" s="21">
        <f t="shared" si="43"/>
        <v>2459.6776050433655</v>
      </c>
      <c r="F350" s="162">
        <v>0</v>
      </c>
      <c r="G350" s="16">
        <f t="shared" si="44"/>
        <v>51403.644799115777</v>
      </c>
      <c r="I350" s="21">
        <f t="shared" si="45"/>
        <v>448596.35520088405</v>
      </c>
      <c r="J350" s="16">
        <f t="shared" si="46"/>
        <v>464000.40391975187</v>
      </c>
    </row>
    <row r="351" spans="2:10" hidden="1" outlineLevel="1" x14ac:dyDescent="0.2">
      <c r="B351" s="44">
        <v>54544</v>
      </c>
      <c r="C351" s="15">
        <f t="shared" si="41"/>
        <v>51403.644799115777</v>
      </c>
      <c r="D351" s="16">
        <f t="shared" si="42"/>
        <v>214.18185332964907</v>
      </c>
      <c r="E351" s="21">
        <f t="shared" si="43"/>
        <v>2469.926261731046</v>
      </c>
      <c r="F351" s="163">
        <v>0</v>
      </c>
      <c r="G351" s="16">
        <f t="shared" si="44"/>
        <v>48933.718537384731</v>
      </c>
      <c r="I351" s="21">
        <f t="shared" si="45"/>
        <v>451066.28146261512</v>
      </c>
      <c r="J351" s="16">
        <f t="shared" si="46"/>
        <v>464214.58577308152</v>
      </c>
    </row>
    <row r="352" spans="2:10" hidden="1" outlineLevel="1" x14ac:dyDescent="0.2">
      <c r="B352" s="44">
        <v>54575</v>
      </c>
      <c r="C352" s="15">
        <f t="shared" si="41"/>
        <v>48933.718537384731</v>
      </c>
      <c r="D352" s="16">
        <f t="shared" si="42"/>
        <v>203.89049390576972</v>
      </c>
      <c r="E352" s="21">
        <f t="shared" si="43"/>
        <v>2480.2176211549254</v>
      </c>
      <c r="F352" s="162">
        <v>0</v>
      </c>
      <c r="G352" s="16">
        <f t="shared" si="44"/>
        <v>46453.500916229808</v>
      </c>
      <c r="I352" s="21">
        <f t="shared" si="45"/>
        <v>453546.49908377003</v>
      </c>
      <c r="J352" s="16">
        <f t="shared" si="46"/>
        <v>464418.47626698727</v>
      </c>
    </row>
    <row r="353" spans="2:10" hidden="1" outlineLevel="1" x14ac:dyDescent="0.2">
      <c r="B353" s="44">
        <v>54605</v>
      </c>
      <c r="C353" s="15">
        <f t="shared" si="41"/>
        <v>46453.500916229808</v>
      </c>
      <c r="D353" s="16">
        <f t="shared" si="42"/>
        <v>193.5562538176242</v>
      </c>
      <c r="E353" s="21">
        <f t="shared" si="43"/>
        <v>2490.551861243071</v>
      </c>
      <c r="F353" s="163">
        <v>0</v>
      </c>
      <c r="G353" s="16">
        <f t="shared" si="44"/>
        <v>43962.949054986741</v>
      </c>
      <c r="I353" s="21">
        <f t="shared" si="45"/>
        <v>456037.05094501312</v>
      </c>
      <c r="J353" s="16">
        <f t="shared" si="46"/>
        <v>464612.0325208049</v>
      </c>
    </row>
    <row r="354" spans="2:10" hidden="1" outlineLevel="1" x14ac:dyDescent="0.2">
      <c r="B354" s="44">
        <v>54636</v>
      </c>
      <c r="C354" s="15">
        <f t="shared" si="41"/>
        <v>43962.949054986741</v>
      </c>
      <c r="D354" s="16">
        <f t="shared" si="42"/>
        <v>183.17895439577808</v>
      </c>
      <c r="E354" s="21">
        <f t="shared" si="43"/>
        <v>2500.9291606649172</v>
      </c>
      <c r="F354" s="162">
        <v>0</v>
      </c>
      <c r="G354" s="16">
        <f t="shared" si="44"/>
        <v>41462.01989432182</v>
      </c>
      <c r="I354" s="21">
        <f t="shared" si="45"/>
        <v>458537.98010567803</v>
      </c>
      <c r="J354" s="16">
        <f t="shared" si="46"/>
        <v>464795.21147520066</v>
      </c>
    </row>
    <row r="355" spans="2:10" hidden="1" outlineLevel="1" x14ac:dyDescent="0.2">
      <c r="B355" s="44">
        <v>54667</v>
      </c>
      <c r="C355" s="15">
        <f t="shared" si="41"/>
        <v>41462.01989432182</v>
      </c>
      <c r="D355" s="16">
        <f t="shared" si="42"/>
        <v>172.75841622634093</v>
      </c>
      <c r="E355" s="21">
        <f t="shared" si="43"/>
        <v>2511.3496988343541</v>
      </c>
      <c r="F355" s="163">
        <v>0</v>
      </c>
      <c r="G355" s="16">
        <f t="shared" si="44"/>
        <v>38950.670195487466</v>
      </c>
      <c r="I355" s="21">
        <f t="shared" si="45"/>
        <v>461049.32980451238</v>
      </c>
      <c r="J355" s="16">
        <f t="shared" si="46"/>
        <v>464967.96989142703</v>
      </c>
    </row>
    <row r="356" spans="2:10" hidden="1" outlineLevel="1" x14ac:dyDescent="0.2">
      <c r="B356" s="44">
        <v>54697</v>
      </c>
      <c r="C356" s="15">
        <f t="shared" si="41"/>
        <v>38950.670195487466</v>
      </c>
      <c r="D356" s="16">
        <f t="shared" si="42"/>
        <v>162.29445914786444</v>
      </c>
      <c r="E356" s="21">
        <f t="shared" si="43"/>
        <v>2521.8136559128307</v>
      </c>
      <c r="F356" s="162">
        <v>0</v>
      </c>
      <c r="G356" s="16">
        <f t="shared" si="44"/>
        <v>36428.856539574634</v>
      </c>
      <c r="I356" s="21">
        <f t="shared" si="45"/>
        <v>463571.1434604252</v>
      </c>
      <c r="J356" s="16">
        <f t="shared" si="46"/>
        <v>465130.26435057487</v>
      </c>
    </row>
    <row r="357" spans="2:10" hidden="1" outlineLevel="1" x14ac:dyDescent="0.2">
      <c r="B357" s="44">
        <v>54728</v>
      </c>
      <c r="C357" s="15">
        <f t="shared" si="41"/>
        <v>36428.856539574634</v>
      </c>
      <c r="D357" s="16">
        <f t="shared" si="42"/>
        <v>151.78690224822765</v>
      </c>
      <c r="E357" s="21">
        <f t="shared" si="43"/>
        <v>2532.3212128124674</v>
      </c>
      <c r="F357" s="163">
        <v>0</v>
      </c>
      <c r="G357" s="16">
        <f t="shared" si="44"/>
        <v>33896.535326762169</v>
      </c>
      <c r="I357" s="21">
        <f t="shared" si="45"/>
        <v>466103.46467323764</v>
      </c>
      <c r="J357" s="16">
        <f t="shared" si="46"/>
        <v>465282.05125282309</v>
      </c>
    </row>
    <row r="358" spans="2:10" hidden="1" outlineLevel="1" x14ac:dyDescent="0.2">
      <c r="B358" s="44">
        <v>54758</v>
      </c>
      <c r="C358" s="15">
        <f t="shared" si="41"/>
        <v>33896.535326762169</v>
      </c>
      <c r="D358" s="16">
        <f t="shared" si="42"/>
        <v>141.23556386150904</v>
      </c>
      <c r="E358" s="21">
        <f t="shared" si="43"/>
        <v>2542.8725511991861</v>
      </c>
      <c r="F358" s="162">
        <v>0</v>
      </c>
      <c r="G358" s="16">
        <f t="shared" si="44"/>
        <v>31353.662775562982</v>
      </c>
      <c r="I358" s="21">
        <f t="shared" si="45"/>
        <v>468646.33722443681</v>
      </c>
      <c r="J358" s="16">
        <f t="shared" si="46"/>
        <v>465423.28681668459</v>
      </c>
    </row>
    <row r="359" spans="2:10" hidden="1" outlineLevel="1" x14ac:dyDescent="0.2">
      <c r="B359" s="44">
        <v>54789</v>
      </c>
      <c r="C359" s="15">
        <f t="shared" si="41"/>
        <v>31353.662775562982</v>
      </c>
      <c r="D359" s="16">
        <f t="shared" si="42"/>
        <v>130.64026156484576</v>
      </c>
      <c r="E359" s="21">
        <f t="shared" si="43"/>
        <v>2553.4678534958493</v>
      </c>
      <c r="F359" s="163">
        <v>0</v>
      </c>
      <c r="G359" s="16">
        <f t="shared" si="44"/>
        <v>28800.19492206713</v>
      </c>
      <c r="I359" s="21">
        <f t="shared" si="45"/>
        <v>471199.80507793266</v>
      </c>
      <c r="J359" s="16">
        <f t="shared" si="46"/>
        <v>465553.92707824946</v>
      </c>
    </row>
    <row r="360" spans="2:10" hidden="1" outlineLevel="1" x14ac:dyDescent="0.2">
      <c r="B360" s="44">
        <v>54820</v>
      </c>
      <c r="C360" s="15">
        <f t="shared" si="41"/>
        <v>28800.19492206713</v>
      </c>
      <c r="D360" s="16">
        <f t="shared" si="42"/>
        <v>120.00081217527971</v>
      </c>
      <c r="E360" s="21">
        <f t="shared" si="43"/>
        <v>2564.1073028854153</v>
      </c>
      <c r="F360" s="162">
        <v>0</v>
      </c>
      <c r="G360" s="16">
        <f t="shared" si="44"/>
        <v>26236.087619181715</v>
      </c>
      <c r="I360" s="21">
        <f t="shared" si="45"/>
        <v>473763.91238081804</v>
      </c>
      <c r="J360" s="16">
        <f t="shared" si="46"/>
        <v>465673.92789042473</v>
      </c>
    </row>
    <row r="361" spans="2:10" hidden="1" outlineLevel="1" x14ac:dyDescent="0.2">
      <c r="B361" s="44">
        <v>54848</v>
      </c>
      <c r="C361" s="15">
        <f t="shared" si="41"/>
        <v>26236.087619181715</v>
      </c>
      <c r="D361" s="16">
        <f t="shared" si="42"/>
        <v>109.31703174659047</v>
      </c>
      <c r="E361" s="21">
        <f t="shared" si="43"/>
        <v>2574.7910833141045</v>
      </c>
      <c r="F361" s="163">
        <v>0</v>
      </c>
      <c r="G361" s="16">
        <f t="shared" si="44"/>
        <v>23661.296535867612</v>
      </c>
      <c r="I361" s="21">
        <f t="shared" si="45"/>
        <v>476338.70346413215</v>
      </c>
      <c r="J361" s="16">
        <f t="shared" si="46"/>
        <v>465783.24492217135</v>
      </c>
    </row>
    <row r="362" spans="2:10" hidden="1" outlineLevel="1" x14ac:dyDescent="0.2">
      <c r="B362" s="44">
        <v>54879</v>
      </c>
      <c r="C362" s="15">
        <f t="shared" si="41"/>
        <v>23661.296535867612</v>
      </c>
      <c r="D362" s="16">
        <f t="shared" si="42"/>
        <v>98.588735566115048</v>
      </c>
      <c r="E362" s="21">
        <f t="shared" si="43"/>
        <v>2585.5193794945799</v>
      </c>
      <c r="F362" s="162">
        <v>0</v>
      </c>
      <c r="G362" s="16">
        <f t="shared" si="44"/>
        <v>21075.777156373031</v>
      </c>
      <c r="I362" s="21">
        <f t="shared" si="45"/>
        <v>478924.22284362675</v>
      </c>
      <c r="J362" s="16">
        <f t="shared" si="46"/>
        <v>465881.83365773747</v>
      </c>
    </row>
    <row r="363" spans="2:10" hidden="1" outlineLevel="1" x14ac:dyDescent="0.2">
      <c r="B363" s="44">
        <v>54909</v>
      </c>
      <c r="C363" s="15">
        <f t="shared" si="41"/>
        <v>21075.777156373031</v>
      </c>
      <c r="D363" s="16">
        <f t="shared" si="42"/>
        <v>87.815738151554299</v>
      </c>
      <c r="E363" s="21">
        <f t="shared" si="43"/>
        <v>2596.2923769091408</v>
      </c>
      <c r="F363" s="163">
        <v>0</v>
      </c>
      <c r="G363" s="16">
        <f t="shared" si="44"/>
        <v>18479.484779463892</v>
      </c>
      <c r="I363" s="21">
        <f t="shared" si="45"/>
        <v>481520.51522053586</v>
      </c>
      <c r="J363" s="16">
        <f t="shared" si="46"/>
        <v>465969.64939588902</v>
      </c>
    </row>
    <row r="364" spans="2:10" hidden="1" outlineLevel="1" x14ac:dyDescent="0.2">
      <c r="B364" s="44">
        <v>54940</v>
      </c>
      <c r="C364" s="15">
        <f t="shared" si="41"/>
        <v>18479.484779463892</v>
      </c>
      <c r="D364" s="16">
        <f t="shared" si="42"/>
        <v>76.997853247766216</v>
      </c>
      <c r="E364" s="21">
        <f t="shared" si="43"/>
        <v>2607.1102618129289</v>
      </c>
      <c r="F364" s="162">
        <v>0</v>
      </c>
      <c r="G364" s="16">
        <f t="shared" si="44"/>
        <v>15872.374517650962</v>
      </c>
      <c r="I364" s="21">
        <f t="shared" si="45"/>
        <v>484127.62548234878</v>
      </c>
      <c r="J364" s="16">
        <f t="shared" si="46"/>
        <v>466046.64724913676</v>
      </c>
    </row>
    <row r="365" spans="2:10" hidden="1" outlineLevel="1" x14ac:dyDescent="0.2">
      <c r="B365" s="44">
        <v>54970</v>
      </c>
      <c r="C365" s="15">
        <f t="shared" si="41"/>
        <v>15872.374517650962</v>
      </c>
      <c r="D365" s="16">
        <f t="shared" si="42"/>
        <v>66.134893823545667</v>
      </c>
      <c r="E365" s="21">
        <f t="shared" si="43"/>
        <v>2617.9732212371496</v>
      </c>
      <c r="F365" s="163">
        <v>0</v>
      </c>
      <c r="G365" s="16">
        <f t="shared" si="44"/>
        <v>13254.401296413813</v>
      </c>
      <c r="I365" s="21">
        <f t="shared" si="45"/>
        <v>486745.59870358591</v>
      </c>
      <c r="J365" s="16">
        <f t="shared" si="46"/>
        <v>466112.78214296029</v>
      </c>
    </row>
    <row r="366" spans="2:10" hidden="1" outlineLevel="1" x14ac:dyDescent="0.2">
      <c r="B366" s="44">
        <v>55001</v>
      </c>
      <c r="C366" s="15">
        <f t="shared" si="41"/>
        <v>13254.401296413813</v>
      </c>
      <c r="D366" s="16">
        <f t="shared" si="42"/>
        <v>55.226672068390883</v>
      </c>
      <c r="E366" s="21">
        <f t="shared" si="43"/>
        <v>2628.8814429923041</v>
      </c>
      <c r="F366" s="162">
        <v>0</v>
      </c>
      <c r="G366" s="16">
        <f t="shared" si="44"/>
        <v>10625.519853421509</v>
      </c>
      <c r="I366" s="21">
        <f t="shared" si="45"/>
        <v>489374.48014657822</v>
      </c>
      <c r="J366" s="16">
        <f t="shared" si="46"/>
        <v>466168.0088150287</v>
      </c>
    </row>
    <row r="367" spans="2:10" hidden="1" outlineLevel="1" x14ac:dyDescent="0.2">
      <c r="B367" s="44">
        <v>55032</v>
      </c>
      <c r="C367" s="15">
        <f t="shared" si="41"/>
        <v>10625.519853421509</v>
      </c>
      <c r="D367" s="16">
        <f t="shared" si="42"/>
        <v>44.272999389256285</v>
      </c>
      <c r="E367" s="21">
        <f t="shared" si="43"/>
        <v>2639.8351156714389</v>
      </c>
      <c r="F367" s="163">
        <v>0</v>
      </c>
      <c r="G367" s="16">
        <f t="shared" si="44"/>
        <v>7985.6847377500699</v>
      </c>
      <c r="I367" s="21">
        <f t="shared" si="45"/>
        <v>492014.31526224967</v>
      </c>
      <c r="J367" s="16">
        <f t="shared" si="46"/>
        <v>466212.28181441798</v>
      </c>
    </row>
    <row r="368" spans="2:10" hidden="1" outlineLevel="1" x14ac:dyDescent="0.2">
      <c r="B368" s="44">
        <v>55062</v>
      </c>
      <c r="C368" s="15">
        <f t="shared" si="41"/>
        <v>7985.6847377500699</v>
      </c>
      <c r="D368" s="16">
        <f t="shared" si="42"/>
        <v>33.273686407291954</v>
      </c>
      <c r="E368" s="21">
        <f t="shared" si="43"/>
        <v>2650.8344286534034</v>
      </c>
      <c r="F368" s="162">
        <v>0</v>
      </c>
      <c r="G368" s="16">
        <f t="shared" si="44"/>
        <v>5334.850309096666</v>
      </c>
      <c r="I368" s="21">
        <f t="shared" si="45"/>
        <v>494665.14969090308</v>
      </c>
      <c r="J368" s="16">
        <f t="shared" si="46"/>
        <v>466245.55550082528</v>
      </c>
    </row>
    <row r="369" spans="1:10" hidden="1" outlineLevel="1" x14ac:dyDescent="0.2">
      <c r="B369" s="44">
        <v>55093</v>
      </c>
      <c r="C369" s="15">
        <f t="shared" si="41"/>
        <v>5334.850309096666</v>
      </c>
      <c r="D369" s="16">
        <f t="shared" si="42"/>
        <v>22.228542954569441</v>
      </c>
      <c r="E369" s="21">
        <f t="shared" si="43"/>
        <v>2661.8795721061256</v>
      </c>
      <c r="F369" s="163">
        <v>0</v>
      </c>
      <c r="G369" s="16">
        <f t="shared" si="44"/>
        <v>2672.9707369905404</v>
      </c>
      <c r="I369" s="21">
        <f t="shared" si="45"/>
        <v>497327.0292630092</v>
      </c>
      <c r="J369" s="16">
        <f t="shared" si="46"/>
        <v>466267.78404377983</v>
      </c>
    </row>
    <row r="370" spans="1:10" collapsed="1" x14ac:dyDescent="0.2">
      <c r="A370" t="s">
        <v>532</v>
      </c>
      <c r="B370" s="44">
        <v>55123</v>
      </c>
      <c r="C370" s="15">
        <f t="shared" si="41"/>
        <v>2672.9707369905404</v>
      </c>
      <c r="D370" s="16">
        <f t="shared" si="42"/>
        <v>11.137378070793918</v>
      </c>
      <c r="E370" s="21">
        <f t="shared" si="43"/>
        <v>2672.9707369899011</v>
      </c>
      <c r="F370" s="162">
        <v>0</v>
      </c>
      <c r="G370" s="16">
        <f t="shared" si="44"/>
        <v>6.3937477534636855E-10</v>
      </c>
      <c r="I370" s="21">
        <f t="shared" si="45"/>
        <v>499999.99999999913</v>
      </c>
      <c r="J370" s="16">
        <f t="shared" si="46"/>
        <v>466278.92142185062</v>
      </c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70"/>
  <sheetViews>
    <sheetView zoomScale="130" zoomScaleNormal="130" workbookViewId="0">
      <selection activeCell="E8" sqref="E8"/>
    </sheetView>
  </sheetViews>
  <sheetFormatPr baseColWidth="10" defaultColWidth="8.83203125" defaultRowHeight="15" outlineLevelRow="1" x14ac:dyDescent="0.2"/>
  <cols>
    <col min="1" max="1" width="18.1640625" customWidth="1"/>
    <col min="3" max="3" width="14.6640625" customWidth="1"/>
    <col min="4" max="4" width="10.1640625" customWidth="1"/>
    <col min="5" max="5" width="13.33203125" bestFit="1" customWidth="1"/>
    <col min="6" max="6" width="10.5" bestFit="1" customWidth="1"/>
    <col min="7" max="7" width="13.83203125" customWidth="1"/>
    <col min="8" max="8" width="4.5" customWidth="1"/>
    <col min="9" max="10" width="15.6640625" customWidth="1"/>
  </cols>
  <sheetData>
    <row r="1" spans="1:10" x14ac:dyDescent="0.2">
      <c r="A1" s="34" t="s">
        <v>528</v>
      </c>
    </row>
    <row r="3" spans="1:10" x14ac:dyDescent="0.2">
      <c r="A3" t="s">
        <v>519</v>
      </c>
      <c r="E3" s="47">
        <v>500000</v>
      </c>
      <c r="I3" t="s">
        <v>530</v>
      </c>
    </row>
    <row r="4" spans="1:10" x14ac:dyDescent="0.2">
      <c r="A4" t="s">
        <v>520</v>
      </c>
      <c r="E4" s="12">
        <v>180</v>
      </c>
      <c r="F4" t="s">
        <v>617</v>
      </c>
      <c r="I4" t="s">
        <v>531</v>
      </c>
    </row>
    <row r="5" spans="1:10" x14ac:dyDescent="0.2">
      <c r="A5" t="s">
        <v>311</v>
      </c>
      <c r="E5" s="51">
        <v>0.05</v>
      </c>
    </row>
    <row r="6" spans="1:10" x14ac:dyDescent="0.2">
      <c r="A6" t="s">
        <v>310</v>
      </c>
      <c r="E6" s="6">
        <f>E5/12</f>
        <v>4.1666666666666666E-3</v>
      </c>
    </row>
    <row r="7" spans="1:10" x14ac:dyDescent="0.2">
      <c r="A7" t="s">
        <v>529</v>
      </c>
      <c r="E7" s="6">
        <f>(1+E5/12)^12-1</f>
        <v>5.116189788173342E-2</v>
      </c>
    </row>
    <row r="8" spans="1:10" x14ac:dyDescent="0.2">
      <c r="A8" t="s">
        <v>137</v>
      </c>
      <c r="E8" s="50">
        <f>-PMT(E5/12,E4,E3)</f>
        <v>3953.9681337077227</v>
      </c>
    </row>
    <row r="9" spans="1:10" ht="26.25" customHeight="1" x14ac:dyDescent="0.2">
      <c r="D9">
        <f>E3*E9</f>
        <v>3953.9681337077118</v>
      </c>
      <c r="E9" s="164">
        <f>((E6*(1+E6)^E4)/((1+E6)^E4-1))</f>
        <v>7.907936267415424E-3</v>
      </c>
    </row>
    <row r="10" spans="1:10" ht="32" x14ac:dyDescent="0.2">
      <c r="B10" s="3" t="s">
        <v>136</v>
      </c>
      <c r="C10" s="48" t="s">
        <v>135</v>
      </c>
      <c r="D10" s="48" t="s">
        <v>133</v>
      </c>
      <c r="E10" s="48" t="s">
        <v>134</v>
      </c>
      <c r="F10" s="161" t="s">
        <v>132</v>
      </c>
      <c r="G10" s="48" t="s">
        <v>131</v>
      </c>
      <c r="H10" s="3"/>
      <c r="I10" s="48" t="s">
        <v>130</v>
      </c>
      <c r="J10" s="48" t="s">
        <v>129</v>
      </c>
    </row>
    <row r="11" spans="1:10" x14ac:dyDescent="0.2">
      <c r="B11" s="44">
        <v>44197</v>
      </c>
      <c r="C11" s="160">
        <f>E3</f>
        <v>500000</v>
      </c>
      <c r="D11" s="16">
        <f>C11*E$6</f>
        <v>2083.3333333333335</v>
      </c>
      <c r="E11" s="21">
        <f>E$8-D11</f>
        <v>1870.6348003743892</v>
      </c>
      <c r="F11" s="162">
        <v>0</v>
      </c>
      <c r="G11" s="16">
        <f t="shared" ref="G11:G74" si="0">C11-E11-F11</f>
        <v>498129.36519962561</v>
      </c>
      <c r="I11" s="21">
        <f>E11</f>
        <v>1870.6348003743892</v>
      </c>
      <c r="J11" s="16">
        <f>D11</f>
        <v>2083.3333333333335</v>
      </c>
    </row>
    <row r="12" spans="1:10" x14ac:dyDescent="0.2">
      <c r="B12" s="44">
        <v>44228</v>
      </c>
      <c r="C12" s="15">
        <f t="shared" ref="C12:C75" si="1">G11</f>
        <v>498129.36519962561</v>
      </c>
      <c r="D12" s="16">
        <f>C12*E$6</f>
        <v>2075.5390216651067</v>
      </c>
      <c r="E12" s="21">
        <f>E$8-D12</f>
        <v>1878.429112042616</v>
      </c>
      <c r="F12" s="163">
        <v>0</v>
      </c>
      <c r="G12" s="16">
        <f t="shared" si="0"/>
        <v>496250.93608758302</v>
      </c>
      <c r="I12" s="21">
        <f t="shared" ref="I12:I75" si="2">I11+E12</f>
        <v>3749.0639124170052</v>
      </c>
      <c r="J12" s="16">
        <f t="shared" ref="J12:J75" si="3">J11+D12</f>
        <v>4158.8723549984406</v>
      </c>
    </row>
    <row r="13" spans="1:10" x14ac:dyDescent="0.2">
      <c r="B13" s="44">
        <v>44256</v>
      </c>
      <c r="C13" s="15">
        <f t="shared" si="1"/>
        <v>496250.93608758302</v>
      </c>
      <c r="D13" s="16">
        <f t="shared" ref="D13:D69" si="4">C13*E$6</f>
        <v>2067.7122336982625</v>
      </c>
      <c r="E13" s="21">
        <f t="shared" ref="E13:E76" si="5">E$8-D13</f>
        <v>1886.2559000094602</v>
      </c>
      <c r="F13" s="163">
        <v>0</v>
      </c>
      <c r="G13" s="16">
        <f t="shared" si="0"/>
        <v>494364.68018757354</v>
      </c>
      <c r="I13" s="21">
        <f t="shared" si="2"/>
        <v>5635.3198124264654</v>
      </c>
      <c r="J13" s="16">
        <f t="shared" si="3"/>
        <v>6226.5845886967036</v>
      </c>
    </row>
    <row r="14" spans="1:10" x14ac:dyDescent="0.2">
      <c r="B14" s="44">
        <v>44287</v>
      </c>
      <c r="C14" s="15">
        <f t="shared" si="1"/>
        <v>494364.68018757354</v>
      </c>
      <c r="D14" s="16">
        <f t="shared" si="4"/>
        <v>2059.8528341148899</v>
      </c>
      <c r="E14" s="21">
        <f t="shared" si="5"/>
        <v>1894.1152995928328</v>
      </c>
      <c r="F14" s="163">
        <v>0</v>
      </c>
      <c r="G14" s="16">
        <f t="shared" si="0"/>
        <v>492470.5648879807</v>
      </c>
      <c r="I14" s="21">
        <f t="shared" si="2"/>
        <v>7529.4351120192987</v>
      </c>
      <c r="J14" s="16">
        <f t="shared" si="3"/>
        <v>8286.4374228115939</v>
      </c>
    </row>
    <row r="15" spans="1:10" x14ac:dyDescent="0.2">
      <c r="B15" s="44">
        <v>44317</v>
      </c>
      <c r="C15" s="15">
        <f t="shared" si="1"/>
        <v>492470.5648879807</v>
      </c>
      <c r="D15" s="16">
        <f t="shared" si="4"/>
        <v>2051.9606870332527</v>
      </c>
      <c r="E15" s="21">
        <f t="shared" si="5"/>
        <v>1902.00744667447</v>
      </c>
      <c r="F15" s="163">
        <v>0</v>
      </c>
      <c r="G15" s="16">
        <f t="shared" si="0"/>
        <v>490568.55744130624</v>
      </c>
      <c r="I15" s="21">
        <f t="shared" si="2"/>
        <v>9431.4425586937687</v>
      </c>
      <c r="J15" s="16">
        <f t="shared" si="3"/>
        <v>10338.398109844846</v>
      </c>
    </row>
    <row r="16" spans="1:10" x14ac:dyDescent="0.2">
      <c r="B16" s="44">
        <v>44348</v>
      </c>
      <c r="C16" s="15">
        <f t="shared" si="1"/>
        <v>490568.55744130624</v>
      </c>
      <c r="D16" s="16">
        <f t="shared" si="4"/>
        <v>2044.0356560054427</v>
      </c>
      <c r="E16" s="21">
        <f t="shared" si="5"/>
        <v>1909.93247770228</v>
      </c>
      <c r="F16" s="163">
        <v>0</v>
      </c>
      <c r="G16" s="16">
        <f t="shared" si="0"/>
        <v>488658.62496360397</v>
      </c>
      <c r="I16" s="21">
        <f t="shared" si="2"/>
        <v>11341.375036396048</v>
      </c>
      <c r="J16" s="16">
        <f t="shared" si="3"/>
        <v>12382.433765850288</v>
      </c>
    </row>
    <row r="17" spans="2:10" x14ac:dyDescent="0.2">
      <c r="B17" s="44">
        <v>44378</v>
      </c>
      <c r="C17" s="15">
        <f t="shared" si="1"/>
        <v>488658.62496360397</v>
      </c>
      <c r="D17" s="16">
        <f t="shared" si="4"/>
        <v>2036.0776040150165</v>
      </c>
      <c r="E17" s="21">
        <f t="shared" si="5"/>
        <v>1917.8905296927062</v>
      </c>
      <c r="F17" s="163">
        <v>0</v>
      </c>
      <c r="G17" s="16">
        <f t="shared" si="0"/>
        <v>486740.73443391128</v>
      </c>
      <c r="I17" s="21">
        <f t="shared" si="2"/>
        <v>13259.265566088754</v>
      </c>
      <c r="J17" s="16">
        <f t="shared" si="3"/>
        <v>14418.511369865304</v>
      </c>
    </row>
    <row r="18" spans="2:10" x14ac:dyDescent="0.2">
      <c r="B18" s="44">
        <v>44409</v>
      </c>
      <c r="C18" s="15">
        <f t="shared" si="1"/>
        <v>486740.73443391128</v>
      </c>
      <c r="D18" s="16">
        <f t="shared" si="4"/>
        <v>2028.0863934746303</v>
      </c>
      <c r="E18" s="21">
        <f t="shared" si="5"/>
        <v>1925.8817402330924</v>
      </c>
      <c r="F18" s="163">
        <v>0</v>
      </c>
      <c r="G18" s="16">
        <f t="shared" si="0"/>
        <v>484814.85269367817</v>
      </c>
      <c r="I18" s="21">
        <f t="shared" si="2"/>
        <v>15185.147306321847</v>
      </c>
      <c r="J18" s="16">
        <f t="shared" si="3"/>
        <v>16446.597763339934</v>
      </c>
    </row>
    <row r="19" spans="2:10" x14ac:dyDescent="0.2">
      <c r="B19" s="44">
        <v>44440</v>
      </c>
      <c r="C19" s="15">
        <f t="shared" si="1"/>
        <v>484814.85269367817</v>
      </c>
      <c r="D19" s="16">
        <f t="shared" si="4"/>
        <v>2020.061886223659</v>
      </c>
      <c r="E19" s="21">
        <f t="shared" si="5"/>
        <v>1933.9062474840637</v>
      </c>
      <c r="F19" s="163">
        <v>0</v>
      </c>
      <c r="G19" s="16">
        <f t="shared" si="0"/>
        <v>482880.94644619408</v>
      </c>
      <c r="I19" s="21">
        <f t="shared" si="2"/>
        <v>17119.053553805912</v>
      </c>
      <c r="J19" s="16">
        <f t="shared" si="3"/>
        <v>18466.659649563593</v>
      </c>
    </row>
    <row r="20" spans="2:10" x14ac:dyDescent="0.2">
      <c r="B20" s="44">
        <v>44470</v>
      </c>
      <c r="C20" s="15">
        <f t="shared" si="1"/>
        <v>482880.94644619408</v>
      </c>
      <c r="D20" s="16">
        <f t="shared" si="4"/>
        <v>2012.0039435258086</v>
      </c>
      <c r="E20" s="21">
        <f t="shared" si="5"/>
        <v>1941.9641901819141</v>
      </c>
      <c r="F20" s="163">
        <v>0</v>
      </c>
      <c r="G20" s="16">
        <f t="shared" si="0"/>
        <v>480938.98225601215</v>
      </c>
      <c r="I20" s="21">
        <f t="shared" si="2"/>
        <v>19061.017743987824</v>
      </c>
      <c r="J20" s="16">
        <f t="shared" si="3"/>
        <v>20478.663593089401</v>
      </c>
    </row>
    <row r="21" spans="2:10" x14ac:dyDescent="0.2">
      <c r="B21" s="44">
        <v>44501</v>
      </c>
      <c r="C21" s="15">
        <f t="shared" si="1"/>
        <v>480938.98225601215</v>
      </c>
      <c r="D21" s="16">
        <f t="shared" si="4"/>
        <v>2003.9124260667172</v>
      </c>
      <c r="E21" s="21">
        <f t="shared" si="5"/>
        <v>1950.0557076410055</v>
      </c>
      <c r="F21" s="163">
        <v>0</v>
      </c>
      <c r="G21" s="16">
        <f t="shared" si="0"/>
        <v>478988.92654837115</v>
      </c>
      <c r="I21" s="21">
        <f t="shared" si="2"/>
        <v>21011.073451628828</v>
      </c>
      <c r="J21" s="16">
        <f t="shared" si="3"/>
        <v>22482.576019156117</v>
      </c>
    </row>
    <row r="22" spans="2:10" x14ac:dyDescent="0.2">
      <c r="B22" s="44">
        <v>44531</v>
      </c>
      <c r="C22" s="15">
        <f t="shared" si="1"/>
        <v>478988.92654837115</v>
      </c>
      <c r="D22" s="16">
        <f t="shared" si="4"/>
        <v>1995.7871939515464</v>
      </c>
      <c r="E22" s="21">
        <f t="shared" si="5"/>
        <v>1958.1809397561763</v>
      </c>
      <c r="F22" s="163">
        <v>0</v>
      </c>
      <c r="G22" s="16">
        <f t="shared" si="0"/>
        <v>477030.74560861499</v>
      </c>
      <c r="I22" s="21">
        <f t="shared" si="2"/>
        <v>22969.254391385006</v>
      </c>
      <c r="J22" s="16">
        <f t="shared" si="3"/>
        <v>24478.363213107663</v>
      </c>
    </row>
    <row r="23" spans="2:10" hidden="1" outlineLevel="1" x14ac:dyDescent="0.2">
      <c r="B23" s="44">
        <v>44562</v>
      </c>
      <c r="C23" s="15">
        <f t="shared" si="1"/>
        <v>477030.74560861499</v>
      </c>
      <c r="D23" s="16">
        <f t="shared" si="4"/>
        <v>1987.6281067025625</v>
      </c>
      <c r="E23" s="21">
        <f t="shared" si="5"/>
        <v>1966.3400270051602</v>
      </c>
      <c r="F23" s="163">
        <v>0</v>
      </c>
      <c r="G23" s="16">
        <f t="shared" si="0"/>
        <v>475064.40558160981</v>
      </c>
      <c r="I23" s="21">
        <f t="shared" si="2"/>
        <v>24935.594418390167</v>
      </c>
      <c r="J23" s="16">
        <f t="shared" si="3"/>
        <v>26465.991319810226</v>
      </c>
    </row>
    <row r="24" spans="2:10" hidden="1" outlineLevel="1" x14ac:dyDescent="0.2">
      <c r="B24" s="44">
        <v>44593</v>
      </c>
      <c r="C24" s="15">
        <f t="shared" si="1"/>
        <v>475064.40558160981</v>
      </c>
      <c r="D24" s="16">
        <f t="shared" si="4"/>
        <v>1979.4350232567076</v>
      </c>
      <c r="E24" s="21">
        <f t="shared" si="5"/>
        <v>1974.5331104510151</v>
      </c>
      <c r="F24" s="163">
        <v>0</v>
      </c>
      <c r="G24" s="16">
        <f t="shared" si="0"/>
        <v>473089.8724711588</v>
      </c>
      <c r="I24" s="21">
        <f t="shared" si="2"/>
        <v>26910.127528841182</v>
      </c>
      <c r="J24" s="16">
        <f t="shared" si="3"/>
        <v>28445.426343066934</v>
      </c>
    </row>
    <row r="25" spans="2:10" hidden="1" outlineLevel="1" x14ac:dyDescent="0.2">
      <c r="B25" s="44">
        <v>44621</v>
      </c>
      <c r="C25" s="15">
        <f t="shared" si="1"/>
        <v>473089.8724711588</v>
      </c>
      <c r="D25" s="16">
        <f t="shared" si="4"/>
        <v>1971.2078019631617</v>
      </c>
      <c r="E25" s="21">
        <f t="shared" si="5"/>
        <v>1982.760331744561</v>
      </c>
      <c r="F25" s="163">
        <v>0</v>
      </c>
      <c r="G25" s="16">
        <f t="shared" si="0"/>
        <v>471107.11213941424</v>
      </c>
      <c r="I25" s="21">
        <f t="shared" si="2"/>
        <v>28892.887860585743</v>
      </c>
      <c r="J25" s="16">
        <f t="shared" si="3"/>
        <v>30416.634145030097</v>
      </c>
    </row>
    <row r="26" spans="2:10" hidden="1" outlineLevel="1" x14ac:dyDescent="0.2">
      <c r="B26" s="44">
        <v>44652</v>
      </c>
      <c r="C26" s="15">
        <f t="shared" si="1"/>
        <v>471107.11213941424</v>
      </c>
      <c r="D26" s="16">
        <f t="shared" si="4"/>
        <v>1962.9463005808927</v>
      </c>
      <c r="E26" s="21">
        <f t="shared" si="5"/>
        <v>1991.02183312683</v>
      </c>
      <c r="F26" s="163">
        <v>0</v>
      </c>
      <c r="G26" s="16">
        <f t="shared" si="0"/>
        <v>469116.0903062874</v>
      </c>
      <c r="I26" s="21">
        <f t="shared" si="2"/>
        <v>30883.909693712572</v>
      </c>
      <c r="J26" s="16">
        <f t="shared" si="3"/>
        <v>32379.580445610991</v>
      </c>
    </row>
    <row r="27" spans="2:10" hidden="1" outlineLevel="1" x14ac:dyDescent="0.2">
      <c r="B27" s="44">
        <v>44682</v>
      </c>
      <c r="C27" s="15">
        <f t="shared" si="1"/>
        <v>469116.0903062874</v>
      </c>
      <c r="D27" s="16">
        <f t="shared" si="4"/>
        <v>1954.6503762761974</v>
      </c>
      <c r="E27" s="21">
        <f t="shared" si="5"/>
        <v>1999.3177574315253</v>
      </c>
      <c r="F27" s="163">
        <v>0</v>
      </c>
      <c r="G27" s="16">
        <f t="shared" si="0"/>
        <v>467116.77254885586</v>
      </c>
      <c r="I27" s="21">
        <f t="shared" si="2"/>
        <v>32883.227451144099</v>
      </c>
      <c r="J27" s="16">
        <f t="shared" si="3"/>
        <v>34334.230821887191</v>
      </c>
    </row>
    <row r="28" spans="2:10" hidden="1" outlineLevel="1" x14ac:dyDescent="0.2">
      <c r="B28" s="44">
        <v>44713</v>
      </c>
      <c r="C28" s="15">
        <f t="shared" si="1"/>
        <v>467116.77254885586</v>
      </c>
      <c r="D28" s="16">
        <f t="shared" si="4"/>
        <v>1946.3198856202328</v>
      </c>
      <c r="E28" s="21">
        <f t="shared" si="5"/>
        <v>2007.6482480874899</v>
      </c>
      <c r="F28" s="163">
        <v>0</v>
      </c>
      <c r="G28" s="16">
        <f t="shared" si="0"/>
        <v>465109.12430076837</v>
      </c>
      <c r="I28" s="21">
        <f t="shared" si="2"/>
        <v>34890.87569923159</v>
      </c>
      <c r="J28" s="16">
        <f t="shared" si="3"/>
        <v>36280.550707507427</v>
      </c>
    </row>
    <row r="29" spans="2:10" hidden="1" outlineLevel="1" x14ac:dyDescent="0.2">
      <c r="B29" s="44">
        <v>44743</v>
      </c>
      <c r="C29" s="15">
        <f t="shared" si="1"/>
        <v>465109.12430076837</v>
      </c>
      <c r="D29" s="16">
        <f t="shared" si="4"/>
        <v>1937.9546845865348</v>
      </c>
      <c r="E29" s="21">
        <f t="shared" si="5"/>
        <v>2016.0134491211879</v>
      </c>
      <c r="F29" s="163">
        <v>0</v>
      </c>
      <c r="G29" s="16">
        <f t="shared" si="0"/>
        <v>463093.11085164716</v>
      </c>
      <c r="I29" s="21">
        <f t="shared" si="2"/>
        <v>36906.889148352777</v>
      </c>
      <c r="J29" s="16">
        <f t="shared" si="3"/>
        <v>38218.505392093961</v>
      </c>
    </row>
    <row r="30" spans="2:10" hidden="1" outlineLevel="1" x14ac:dyDescent="0.2">
      <c r="B30" s="44">
        <v>44774</v>
      </c>
      <c r="C30" s="15">
        <f t="shared" si="1"/>
        <v>463093.11085164716</v>
      </c>
      <c r="D30" s="16">
        <f t="shared" si="4"/>
        <v>1929.5546285485298</v>
      </c>
      <c r="E30" s="21">
        <f t="shared" si="5"/>
        <v>2024.4135051591929</v>
      </c>
      <c r="F30" s="163">
        <v>0</v>
      </c>
      <c r="G30" s="16">
        <f t="shared" si="0"/>
        <v>461068.69734648796</v>
      </c>
      <c r="I30" s="21">
        <f t="shared" si="2"/>
        <v>38931.302653511972</v>
      </c>
      <c r="J30" s="16">
        <f t="shared" si="3"/>
        <v>40148.060020642493</v>
      </c>
    </row>
    <row r="31" spans="2:10" hidden="1" outlineLevel="1" x14ac:dyDescent="0.2">
      <c r="B31" s="44">
        <v>44805</v>
      </c>
      <c r="C31" s="15">
        <f t="shared" si="1"/>
        <v>461068.69734648796</v>
      </c>
      <c r="D31" s="16">
        <f t="shared" si="4"/>
        <v>1921.1195722770331</v>
      </c>
      <c r="E31" s="21">
        <f t="shared" si="5"/>
        <v>2032.8485614306896</v>
      </c>
      <c r="F31" s="163">
        <v>0</v>
      </c>
      <c r="G31" s="16">
        <f t="shared" si="0"/>
        <v>459035.84878505726</v>
      </c>
      <c r="I31" s="21">
        <f t="shared" si="2"/>
        <v>40964.151214942664</v>
      </c>
      <c r="J31" s="16">
        <f t="shared" si="3"/>
        <v>42069.179592919529</v>
      </c>
    </row>
    <row r="32" spans="2:10" hidden="1" outlineLevel="1" x14ac:dyDescent="0.2">
      <c r="B32" s="44">
        <v>44835</v>
      </c>
      <c r="C32" s="15">
        <f t="shared" si="1"/>
        <v>459035.84878505726</v>
      </c>
      <c r="D32" s="16">
        <f t="shared" si="4"/>
        <v>1912.6493699377386</v>
      </c>
      <c r="E32" s="21">
        <f t="shared" si="5"/>
        <v>2041.3187637699841</v>
      </c>
      <c r="F32" s="163">
        <v>0</v>
      </c>
      <c r="G32" s="16">
        <f t="shared" si="0"/>
        <v>456994.53002128727</v>
      </c>
      <c r="I32" s="21">
        <f t="shared" si="2"/>
        <v>43005.469978712645</v>
      </c>
      <c r="J32" s="16">
        <f t="shared" si="3"/>
        <v>43981.828962857267</v>
      </c>
    </row>
    <row r="33" spans="2:10" hidden="1" outlineLevel="1" x14ac:dyDescent="0.2">
      <c r="B33" s="44">
        <v>44866</v>
      </c>
      <c r="C33" s="15">
        <f t="shared" si="1"/>
        <v>456994.53002128727</v>
      </c>
      <c r="D33" s="16">
        <f t="shared" si="4"/>
        <v>1904.1438750886969</v>
      </c>
      <c r="E33" s="21">
        <f t="shared" si="5"/>
        <v>2049.8242586190258</v>
      </c>
      <c r="F33" s="163">
        <v>0</v>
      </c>
      <c r="G33" s="16">
        <f t="shared" si="0"/>
        <v>454944.70576266822</v>
      </c>
      <c r="I33" s="21">
        <f t="shared" si="2"/>
        <v>45055.294237331669</v>
      </c>
      <c r="J33" s="16">
        <f t="shared" si="3"/>
        <v>45885.972837945963</v>
      </c>
    </row>
    <row r="34" spans="2:10" hidden="1" outlineLevel="1" x14ac:dyDescent="0.2">
      <c r="B34" s="44">
        <v>44896</v>
      </c>
      <c r="C34" s="15">
        <f t="shared" si="1"/>
        <v>454944.70576266822</v>
      </c>
      <c r="D34" s="16">
        <f t="shared" si="4"/>
        <v>1895.6029406777843</v>
      </c>
      <c r="E34" s="21">
        <f t="shared" si="5"/>
        <v>2058.3651930299384</v>
      </c>
      <c r="F34" s="163">
        <v>0</v>
      </c>
      <c r="G34" s="16">
        <f t="shared" si="0"/>
        <v>452886.3405696383</v>
      </c>
      <c r="I34" s="21">
        <f t="shared" si="2"/>
        <v>47113.659430361608</v>
      </c>
      <c r="J34" s="16">
        <f t="shared" si="3"/>
        <v>47781.575778623745</v>
      </c>
    </row>
    <row r="35" spans="2:10" hidden="1" outlineLevel="1" x14ac:dyDescent="0.2">
      <c r="B35" s="44">
        <v>44927</v>
      </c>
      <c r="C35" s="15">
        <f t="shared" si="1"/>
        <v>452886.3405696383</v>
      </c>
      <c r="D35" s="16">
        <f t="shared" si="4"/>
        <v>1887.0264190401595</v>
      </c>
      <c r="E35" s="21">
        <f t="shared" si="5"/>
        <v>2066.9417146675632</v>
      </c>
      <c r="F35" s="163">
        <v>0</v>
      </c>
      <c r="G35" s="16">
        <f t="shared" si="0"/>
        <v>450819.39885497076</v>
      </c>
      <c r="I35" s="21">
        <f t="shared" si="2"/>
        <v>49180.60114502917</v>
      </c>
      <c r="J35" s="16">
        <f t="shared" si="3"/>
        <v>49668.602197663902</v>
      </c>
    </row>
    <row r="36" spans="2:10" hidden="1" outlineLevel="1" x14ac:dyDescent="0.2">
      <c r="B36" s="44">
        <v>44958</v>
      </c>
      <c r="C36" s="15">
        <f t="shared" si="1"/>
        <v>450819.39885497076</v>
      </c>
      <c r="D36" s="16">
        <f t="shared" si="4"/>
        <v>1878.4141618957115</v>
      </c>
      <c r="E36" s="21">
        <f t="shared" si="5"/>
        <v>2075.5539718120112</v>
      </c>
      <c r="F36" s="163">
        <v>0</v>
      </c>
      <c r="G36" s="16">
        <f t="shared" si="0"/>
        <v>448743.84488315874</v>
      </c>
      <c r="I36" s="21">
        <f t="shared" si="2"/>
        <v>51256.155116841182</v>
      </c>
      <c r="J36" s="16">
        <f t="shared" si="3"/>
        <v>51547.016359559617</v>
      </c>
    </row>
    <row r="37" spans="2:10" hidden="1" outlineLevel="1" x14ac:dyDescent="0.2">
      <c r="B37" s="44">
        <v>44986</v>
      </c>
      <c r="C37" s="15">
        <f t="shared" si="1"/>
        <v>448743.84488315874</v>
      </c>
      <c r="D37" s="16">
        <f t="shared" si="4"/>
        <v>1869.7660203464948</v>
      </c>
      <c r="E37" s="21">
        <f t="shared" si="5"/>
        <v>2084.2021133612279</v>
      </c>
      <c r="F37" s="163">
        <v>0</v>
      </c>
      <c r="G37" s="16">
        <f t="shared" si="0"/>
        <v>446659.64276979753</v>
      </c>
      <c r="I37" s="21">
        <f t="shared" si="2"/>
        <v>53340.357230202411</v>
      </c>
      <c r="J37" s="16">
        <f t="shared" si="3"/>
        <v>53416.782379906115</v>
      </c>
    </row>
    <row r="38" spans="2:10" hidden="1" outlineLevel="1" x14ac:dyDescent="0.2">
      <c r="B38" s="44">
        <v>45017</v>
      </c>
      <c r="C38" s="15">
        <f t="shared" si="1"/>
        <v>446659.64276979753</v>
      </c>
      <c r="D38" s="16">
        <f t="shared" si="4"/>
        <v>1861.0818448741563</v>
      </c>
      <c r="E38" s="21">
        <f t="shared" si="5"/>
        <v>2092.8862888335661</v>
      </c>
      <c r="F38" s="163">
        <v>0</v>
      </c>
      <c r="G38" s="16">
        <f t="shared" si="0"/>
        <v>444566.75648096396</v>
      </c>
      <c r="I38" s="21">
        <f t="shared" si="2"/>
        <v>55433.243519035976</v>
      </c>
      <c r="J38" s="16">
        <f t="shared" si="3"/>
        <v>55277.864224780271</v>
      </c>
    </row>
    <row r="39" spans="2:10" hidden="1" outlineLevel="1" x14ac:dyDescent="0.2">
      <c r="B39" s="44">
        <v>45047</v>
      </c>
      <c r="C39" s="15">
        <f t="shared" si="1"/>
        <v>444566.75648096396</v>
      </c>
      <c r="D39" s="16">
        <f t="shared" si="4"/>
        <v>1852.3614853373499</v>
      </c>
      <c r="E39" s="21">
        <f t="shared" si="5"/>
        <v>2101.6066483703726</v>
      </c>
      <c r="F39" s="163">
        <v>0</v>
      </c>
      <c r="G39" s="16">
        <f t="shared" si="0"/>
        <v>442465.14983259357</v>
      </c>
      <c r="I39" s="21">
        <f t="shared" si="2"/>
        <v>57534.850167406345</v>
      </c>
      <c r="J39" s="16">
        <f t="shared" si="3"/>
        <v>57130.225710117622</v>
      </c>
    </row>
    <row r="40" spans="2:10" hidden="1" outlineLevel="1" x14ac:dyDescent="0.2">
      <c r="B40" s="44">
        <v>45078</v>
      </c>
      <c r="C40" s="15">
        <f t="shared" si="1"/>
        <v>442465.14983259357</v>
      </c>
      <c r="D40" s="16">
        <f t="shared" si="4"/>
        <v>1843.6047909691399</v>
      </c>
      <c r="E40" s="21">
        <f t="shared" si="5"/>
        <v>2110.363342738583</v>
      </c>
      <c r="F40" s="163">
        <v>0</v>
      </c>
      <c r="G40" s="16">
        <f t="shared" si="0"/>
        <v>440354.78648985497</v>
      </c>
      <c r="I40" s="21">
        <f t="shared" si="2"/>
        <v>59645.213510144924</v>
      </c>
      <c r="J40" s="16">
        <f t="shared" si="3"/>
        <v>58973.830501086763</v>
      </c>
    </row>
    <row r="41" spans="2:10" hidden="1" outlineLevel="1" x14ac:dyDescent="0.2">
      <c r="B41" s="44">
        <v>45108</v>
      </c>
      <c r="C41" s="15">
        <f t="shared" si="1"/>
        <v>440354.78648985497</v>
      </c>
      <c r="D41" s="16">
        <f t="shared" si="4"/>
        <v>1834.8116103743957</v>
      </c>
      <c r="E41" s="21">
        <f t="shared" si="5"/>
        <v>2119.1565233333267</v>
      </c>
      <c r="F41" s="163">
        <v>0</v>
      </c>
      <c r="G41" s="16">
        <f t="shared" si="0"/>
        <v>438235.62996652164</v>
      </c>
      <c r="I41" s="21">
        <f t="shared" si="2"/>
        <v>61764.370033478248</v>
      </c>
      <c r="J41" s="16">
        <f t="shared" si="3"/>
        <v>60808.642111461158</v>
      </c>
    </row>
    <row r="42" spans="2:10" hidden="1" outlineLevel="1" x14ac:dyDescent="0.2">
      <c r="B42" s="44">
        <v>45139</v>
      </c>
      <c r="C42" s="15">
        <f t="shared" si="1"/>
        <v>438235.62996652164</v>
      </c>
      <c r="D42" s="16">
        <f t="shared" si="4"/>
        <v>1825.9817915271735</v>
      </c>
      <c r="E42" s="21">
        <f t="shared" si="5"/>
        <v>2127.9863421805494</v>
      </c>
      <c r="F42" s="163">
        <v>0</v>
      </c>
      <c r="G42" s="16">
        <f t="shared" si="0"/>
        <v>436107.64362434112</v>
      </c>
      <c r="I42" s="21">
        <f t="shared" si="2"/>
        <v>63892.356375658797</v>
      </c>
      <c r="J42" s="16">
        <f t="shared" si="3"/>
        <v>62634.623902988329</v>
      </c>
    </row>
    <row r="43" spans="2:10" hidden="1" outlineLevel="1" x14ac:dyDescent="0.2">
      <c r="B43" s="44">
        <v>45170</v>
      </c>
      <c r="C43" s="15">
        <f t="shared" si="1"/>
        <v>436107.64362434112</v>
      </c>
      <c r="D43" s="16">
        <f t="shared" si="4"/>
        <v>1817.115181768088</v>
      </c>
      <c r="E43" s="21">
        <f t="shared" si="5"/>
        <v>2136.8529519396347</v>
      </c>
      <c r="F43" s="163">
        <v>0</v>
      </c>
      <c r="G43" s="16">
        <f t="shared" si="0"/>
        <v>433970.79067240149</v>
      </c>
      <c r="I43" s="21">
        <f t="shared" si="2"/>
        <v>66029.209327598437</v>
      </c>
      <c r="J43" s="16">
        <f t="shared" si="3"/>
        <v>64451.739084756417</v>
      </c>
    </row>
    <row r="44" spans="2:10" hidden="1" outlineLevel="1" x14ac:dyDescent="0.2">
      <c r="B44" s="44">
        <v>45200</v>
      </c>
      <c r="C44" s="15">
        <f t="shared" si="1"/>
        <v>433970.79067240149</v>
      </c>
      <c r="D44" s="16">
        <f t="shared" si="4"/>
        <v>1808.2116278016729</v>
      </c>
      <c r="E44" s="21">
        <f t="shared" si="5"/>
        <v>2145.7565059060498</v>
      </c>
      <c r="F44" s="163">
        <v>0</v>
      </c>
      <c r="G44" s="16">
        <f t="shared" si="0"/>
        <v>431825.03416649543</v>
      </c>
      <c r="I44" s="21">
        <f t="shared" si="2"/>
        <v>68174.965833504481</v>
      </c>
      <c r="J44" s="16">
        <f t="shared" si="3"/>
        <v>66259.950712558086</v>
      </c>
    </row>
    <row r="45" spans="2:10" hidden="1" outlineLevel="1" x14ac:dyDescent="0.2">
      <c r="B45" s="44">
        <v>45231</v>
      </c>
      <c r="C45" s="15">
        <f t="shared" si="1"/>
        <v>431825.03416649543</v>
      </c>
      <c r="D45" s="16">
        <f t="shared" si="4"/>
        <v>1799.2709756937309</v>
      </c>
      <c r="E45" s="21">
        <f t="shared" si="5"/>
        <v>2154.6971580139916</v>
      </c>
      <c r="F45" s="163">
        <v>0</v>
      </c>
      <c r="G45" s="16">
        <f t="shared" si="0"/>
        <v>429670.33700848144</v>
      </c>
      <c r="I45" s="21">
        <f t="shared" si="2"/>
        <v>70329.662991518475</v>
      </c>
      <c r="J45" s="16">
        <f t="shared" si="3"/>
        <v>68059.221688251811</v>
      </c>
    </row>
    <row r="46" spans="2:10" hidden="1" outlineLevel="1" x14ac:dyDescent="0.2">
      <c r="B46" s="44">
        <v>45261</v>
      </c>
      <c r="C46" s="15">
        <f t="shared" si="1"/>
        <v>429670.33700848144</v>
      </c>
      <c r="D46" s="16">
        <f t="shared" si="4"/>
        <v>1790.2930708686727</v>
      </c>
      <c r="E46" s="21">
        <f t="shared" si="5"/>
        <v>2163.67506283905</v>
      </c>
      <c r="F46" s="163">
        <v>0</v>
      </c>
      <c r="G46" s="16">
        <f t="shared" si="0"/>
        <v>427506.66194564238</v>
      </c>
      <c r="I46" s="21">
        <f t="shared" si="2"/>
        <v>72493.338054357519</v>
      </c>
      <c r="J46" s="16">
        <f t="shared" si="3"/>
        <v>69849.514759120488</v>
      </c>
    </row>
    <row r="47" spans="2:10" hidden="1" outlineLevel="1" x14ac:dyDescent="0.2">
      <c r="B47" s="44">
        <v>45292</v>
      </c>
      <c r="C47" s="15">
        <f t="shared" si="1"/>
        <v>427506.66194564238</v>
      </c>
      <c r="D47" s="16">
        <f t="shared" si="4"/>
        <v>1781.2777581068433</v>
      </c>
      <c r="E47" s="21">
        <f t="shared" si="5"/>
        <v>2172.6903756008796</v>
      </c>
      <c r="F47" s="163">
        <v>0</v>
      </c>
      <c r="G47" s="16">
        <f t="shared" si="0"/>
        <v>425333.9715700415</v>
      </c>
      <c r="I47" s="21">
        <f t="shared" si="2"/>
        <v>74666.028429958402</v>
      </c>
      <c r="J47" s="16">
        <f t="shared" si="3"/>
        <v>71630.792517227324</v>
      </c>
    </row>
    <row r="48" spans="2:10" hidden="1" outlineLevel="1" x14ac:dyDescent="0.2">
      <c r="B48" s="44">
        <v>45323</v>
      </c>
      <c r="C48" s="15">
        <f t="shared" si="1"/>
        <v>425333.9715700415</v>
      </c>
      <c r="D48" s="16">
        <f t="shared" si="4"/>
        <v>1772.2248815418395</v>
      </c>
      <c r="E48" s="21">
        <f t="shared" si="5"/>
        <v>2181.743252165883</v>
      </c>
      <c r="F48" s="163">
        <v>0</v>
      </c>
      <c r="G48" s="16">
        <f t="shared" si="0"/>
        <v>423152.22831787559</v>
      </c>
      <c r="I48" s="21">
        <f t="shared" si="2"/>
        <v>76847.771682124279</v>
      </c>
      <c r="J48" s="16">
        <f t="shared" si="3"/>
        <v>73403.017398769167</v>
      </c>
    </row>
    <row r="49" spans="2:10" hidden="1" outlineLevel="1" x14ac:dyDescent="0.2">
      <c r="B49" s="44">
        <v>45352</v>
      </c>
      <c r="C49" s="15">
        <f t="shared" si="1"/>
        <v>423152.22831787559</v>
      </c>
      <c r="D49" s="16">
        <f t="shared" si="4"/>
        <v>1763.134284657815</v>
      </c>
      <c r="E49" s="21">
        <f t="shared" si="5"/>
        <v>2190.8338490499077</v>
      </c>
      <c r="F49" s="163">
        <v>0</v>
      </c>
      <c r="G49" s="16">
        <f t="shared" si="0"/>
        <v>420961.39446882566</v>
      </c>
      <c r="I49" s="21">
        <f t="shared" si="2"/>
        <v>79038.60553117418</v>
      </c>
      <c r="J49" s="16">
        <f t="shared" si="3"/>
        <v>75166.151683426986</v>
      </c>
    </row>
    <row r="50" spans="2:10" hidden="1" outlineLevel="1" x14ac:dyDescent="0.2">
      <c r="B50" s="44">
        <v>45383</v>
      </c>
      <c r="C50" s="15">
        <f t="shared" si="1"/>
        <v>420961.39446882566</v>
      </c>
      <c r="D50" s="16">
        <f t="shared" si="4"/>
        <v>1754.0058102867736</v>
      </c>
      <c r="E50" s="21">
        <f t="shared" si="5"/>
        <v>2199.9623234209494</v>
      </c>
      <c r="F50" s="163">
        <v>0</v>
      </c>
      <c r="G50" s="16">
        <f t="shared" si="0"/>
        <v>418761.43214540469</v>
      </c>
      <c r="I50" s="21">
        <f t="shared" si="2"/>
        <v>81238.567854595123</v>
      </c>
      <c r="J50" s="16">
        <f t="shared" si="3"/>
        <v>76920.157493713763</v>
      </c>
    </row>
    <row r="51" spans="2:10" hidden="1" outlineLevel="1" x14ac:dyDescent="0.2">
      <c r="B51" s="44">
        <v>45413</v>
      </c>
      <c r="C51" s="15">
        <f t="shared" si="1"/>
        <v>418761.43214540469</v>
      </c>
      <c r="D51" s="16">
        <f t="shared" si="4"/>
        <v>1744.8393006058529</v>
      </c>
      <c r="E51" s="21">
        <f t="shared" si="5"/>
        <v>2209.1288331018695</v>
      </c>
      <c r="F51" s="163">
        <v>0</v>
      </c>
      <c r="G51" s="16">
        <f t="shared" si="0"/>
        <v>416552.3033123028</v>
      </c>
      <c r="I51" s="21">
        <f t="shared" si="2"/>
        <v>83447.696687696996</v>
      </c>
      <c r="J51" s="16">
        <f t="shared" si="3"/>
        <v>78664.99679431961</v>
      </c>
    </row>
    <row r="52" spans="2:10" hidden="1" outlineLevel="1" x14ac:dyDescent="0.2">
      <c r="B52" s="44">
        <v>45444</v>
      </c>
      <c r="C52" s="15">
        <f t="shared" si="1"/>
        <v>416552.3033123028</v>
      </c>
      <c r="D52" s="16">
        <f t="shared" si="4"/>
        <v>1735.634597134595</v>
      </c>
      <c r="E52" s="21">
        <f t="shared" si="5"/>
        <v>2218.3335365731277</v>
      </c>
      <c r="F52" s="163">
        <v>0</v>
      </c>
      <c r="G52" s="16">
        <f t="shared" si="0"/>
        <v>414333.9697757297</v>
      </c>
      <c r="I52" s="21">
        <f t="shared" si="2"/>
        <v>85666.030224270129</v>
      </c>
      <c r="J52" s="16">
        <f t="shared" si="3"/>
        <v>80400.631391454212</v>
      </c>
    </row>
    <row r="53" spans="2:10" hidden="1" outlineLevel="1" x14ac:dyDescent="0.2">
      <c r="B53" s="44">
        <v>45474</v>
      </c>
      <c r="C53" s="15">
        <f t="shared" si="1"/>
        <v>414333.9697757297</v>
      </c>
      <c r="D53" s="16">
        <f t="shared" si="4"/>
        <v>1726.391540732207</v>
      </c>
      <c r="E53" s="21">
        <f t="shared" si="5"/>
        <v>2227.5765929755157</v>
      </c>
      <c r="F53" s="163">
        <v>0</v>
      </c>
      <c r="G53" s="16">
        <f t="shared" si="0"/>
        <v>412106.39318275417</v>
      </c>
      <c r="I53" s="21">
        <f t="shared" si="2"/>
        <v>87893.606817245643</v>
      </c>
      <c r="J53" s="16">
        <f t="shared" si="3"/>
        <v>82127.022932186417</v>
      </c>
    </row>
    <row r="54" spans="2:10" hidden="1" outlineLevel="1" x14ac:dyDescent="0.2">
      <c r="B54" s="44">
        <v>45505</v>
      </c>
      <c r="C54" s="15">
        <f t="shared" si="1"/>
        <v>412106.39318275417</v>
      </c>
      <c r="D54" s="16">
        <f t="shared" si="4"/>
        <v>1717.1099715948089</v>
      </c>
      <c r="E54" s="21">
        <f t="shared" si="5"/>
        <v>2236.8581621129138</v>
      </c>
      <c r="F54" s="163">
        <v>0</v>
      </c>
      <c r="G54" s="16">
        <f t="shared" si="0"/>
        <v>409869.53502064123</v>
      </c>
      <c r="I54" s="21">
        <f t="shared" si="2"/>
        <v>90130.464979358556</v>
      </c>
      <c r="J54" s="16">
        <f t="shared" si="3"/>
        <v>83844.132903781225</v>
      </c>
    </row>
    <row r="55" spans="2:10" hidden="1" outlineLevel="1" x14ac:dyDescent="0.2">
      <c r="B55" s="44">
        <v>45536</v>
      </c>
      <c r="C55" s="15">
        <f t="shared" si="1"/>
        <v>409869.53502064123</v>
      </c>
      <c r="D55" s="16">
        <f t="shared" si="4"/>
        <v>1707.7897292526718</v>
      </c>
      <c r="E55" s="21">
        <f t="shared" si="5"/>
        <v>2246.1784044550509</v>
      </c>
      <c r="F55" s="163">
        <v>0</v>
      </c>
      <c r="G55" s="16">
        <f t="shared" si="0"/>
        <v>407623.35661618615</v>
      </c>
      <c r="I55" s="21">
        <f t="shared" si="2"/>
        <v>92376.6433838136</v>
      </c>
      <c r="J55" s="16">
        <f t="shared" si="3"/>
        <v>85551.922633033901</v>
      </c>
    </row>
    <row r="56" spans="2:10" hidden="1" outlineLevel="1" x14ac:dyDescent="0.2">
      <c r="B56" s="44">
        <v>45566</v>
      </c>
      <c r="C56" s="15">
        <f t="shared" si="1"/>
        <v>407623.35661618615</v>
      </c>
      <c r="D56" s="16">
        <f t="shared" si="4"/>
        <v>1698.4306525674422</v>
      </c>
      <c r="E56" s="21">
        <f t="shared" si="5"/>
        <v>2255.5374811402808</v>
      </c>
      <c r="F56" s="163">
        <v>0</v>
      </c>
      <c r="G56" s="16">
        <f t="shared" si="0"/>
        <v>405367.81913504587</v>
      </c>
      <c r="I56" s="21">
        <f t="shared" si="2"/>
        <v>94632.180864953887</v>
      </c>
      <c r="J56" s="16">
        <f t="shared" si="3"/>
        <v>87250.353285601348</v>
      </c>
    </row>
    <row r="57" spans="2:10" hidden="1" outlineLevel="1" x14ac:dyDescent="0.2">
      <c r="B57" s="44">
        <v>45597</v>
      </c>
      <c r="C57" s="15">
        <f t="shared" si="1"/>
        <v>405367.81913504587</v>
      </c>
      <c r="D57" s="16">
        <f t="shared" si="4"/>
        <v>1689.0325797293578</v>
      </c>
      <c r="E57" s="21">
        <f t="shared" si="5"/>
        <v>2264.9355539783646</v>
      </c>
      <c r="F57" s="163">
        <v>0</v>
      </c>
      <c r="G57" s="16">
        <f t="shared" si="0"/>
        <v>403102.88358106749</v>
      </c>
      <c r="I57" s="21">
        <f t="shared" si="2"/>
        <v>96897.116418932244</v>
      </c>
      <c r="J57" s="16">
        <f t="shared" si="3"/>
        <v>88939.385865330711</v>
      </c>
    </row>
    <row r="58" spans="2:10" hidden="1" outlineLevel="1" x14ac:dyDescent="0.2">
      <c r="B58" s="44">
        <v>45627</v>
      </c>
      <c r="C58" s="15">
        <f t="shared" si="1"/>
        <v>403102.88358106749</v>
      </c>
      <c r="D58" s="16">
        <f t="shared" si="4"/>
        <v>1679.5953482544478</v>
      </c>
      <c r="E58" s="21">
        <f t="shared" si="5"/>
        <v>2274.3727854532749</v>
      </c>
      <c r="F58" s="163">
        <v>0</v>
      </c>
      <c r="G58" s="16">
        <f t="shared" si="0"/>
        <v>400828.51079561422</v>
      </c>
      <c r="I58" s="21">
        <f t="shared" si="2"/>
        <v>99171.489204385522</v>
      </c>
      <c r="J58" s="16">
        <f t="shared" si="3"/>
        <v>90618.981213585153</v>
      </c>
    </row>
    <row r="59" spans="2:10" hidden="1" outlineLevel="1" x14ac:dyDescent="0.2">
      <c r="B59" s="44">
        <v>45658</v>
      </c>
      <c r="C59" s="15">
        <f t="shared" si="1"/>
        <v>400828.51079561422</v>
      </c>
      <c r="D59" s="16">
        <f t="shared" si="4"/>
        <v>1670.1187949817258</v>
      </c>
      <c r="E59" s="21">
        <f t="shared" si="5"/>
        <v>2283.8493387259969</v>
      </c>
      <c r="F59" s="163">
        <v>0</v>
      </c>
      <c r="G59" s="16">
        <f t="shared" si="0"/>
        <v>398544.66145688819</v>
      </c>
      <c r="I59" s="21">
        <f t="shared" si="2"/>
        <v>101455.33854311152</v>
      </c>
      <c r="J59" s="16">
        <f t="shared" si="3"/>
        <v>92289.100008566878</v>
      </c>
    </row>
    <row r="60" spans="2:10" hidden="1" outlineLevel="1" x14ac:dyDescent="0.2">
      <c r="B60" s="44">
        <v>45689</v>
      </c>
      <c r="C60" s="15">
        <f t="shared" si="1"/>
        <v>398544.66145688819</v>
      </c>
      <c r="D60" s="16">
        <f t="shared" si="4"/>
        <v>1660.6027560703674</v>
      </c>
      <c r="E60" s="21">
        <f t="shared" si="5"/>
        <v>2293.3653776373553</v>
      </c>
      <c r="F60" s="163">
        <v>0</v>
      </c>
      <c r="G60" s="16">
        <f t="shared" si="0"/>
        <v>396251.29607925081</v>
      </c>
      <c r="I60" s="21">
        <f t="shared" si="2"/>
        <v>103748.70392074887</v>
      </c>
      <c r="J60" s="16">
        <f t="shared" si="3"/>
        <v>93949.702764637244</v>
      </c>
    </row>
    <row r="61" spans="2:10" hidden="1" outlineLevel="1" x14ac:dyDescent="0.2">
      <c r="B61" s="44">
        <v>45717</v>
      </c>
      <c r="C61" s="15">
        <f t="shared" si="1"/>
        <v>396251.29607925081</v>
      </c>
      <c r="D61" s="16">
        <f t="shared" si="4"/>
        <v>1651.0470669968784</v>
      </c>
      <c r="E61" s="21">
        <f t="shared" si="5"/>
        <v>2302.9210667108446</v>
      </c>
      <c r="F61" s="163">
        <v>0</v>
      </c>
      <c r="G61" s="16">
        <f t="shared" si="0"/>
        <v>393948.37501253997</v>
      </c>
      <c r="I61" s="21">
        <f t="shared" si="2"/>
        <v>106051.62498745971</v>
      </c>
      <c r="J61" s="16">
        <f t="shared" si="3"/>
        <v>95600.749831634123</v>
      </c>
    </row>
    <row r="62" spans="2:10" hidden="1" outlineLevel="1" x14ac:dyDescent="0.2">
      <c r="B62" s="44">
        <v>45748</v>
      </c>
      <c r="C62" s="15">
        <f t="shared" si="1"/>
        <v>393948.37501253997</v>
      </c>
      <c r="D62" s="16">
        <f t="shared" si="4"/>
        <v>1641.4515625522499</v>
      </c>
      <c r="E62" s="21">
        <f t="shared" si="5"/>
        <v>2312.5165711554728</v>
      </c>
      <c r="F62" s="163">
        <v>0</v>
      </c>
      <c r="G62" s="16">
        <f t="shared" si="0"/>
        <v>391635.85844138451</v>
      </c>
      <c r="I62" s="21">
        <f t="shared" si="2"/>
        <v>108364.14155861519</v>
      </c>
      <c r="J62" s="16">
        <f t="shared" si="3"/>
        <v>97242.20139418637</v>
      </c>
    </row>
    <row r="63" spans="2:10" hidden="1" outlineLevel="1" x14ac:dyDescent="0.2">
      <c r="B63" s="44">
        <v>45778</v>
      </c>
      <c r="C63" s="15">
        <f t="shared" si="1"/>
        <v>391635.85844138451</v>
      </c>
      <c r="D63" s="16">
        <f t="shared" si="4"/>
        <v>1631.8160768391022</v>
      </c>
      <c r="E63" s="21">
        <f t="shared" si="5"/>
        <v>2322.1520568686205</v>
      </c>
      <c r="F63" s="163">
        <v>0</v>
      </c>
      <c r="G63" s="16">
        <f t="shared" si="0"/>
        <v>389313.70638451591</v>
      </c>
      <c r="I63" s="21">
        <f t="shared" si="2"/>
        <v>110686.29361548381</v>
      </c>
      <c r="J63" s="16">
        <f t="shared" si="3"/>
        <v>98874.017471025465</v>
      </c>
    </row>
    <row r="64" spans="2:10" hidden="1" outlineLevel="1" x14ac:dyDescent="0.2">
      <c r="B64" s="44">
        <v>45809</v>
      </c>
      <c r="C64" s="15">
        <f t="shared" si="1"/>
        <v>389313.70638451591</v>
      </c>
      <c r="D64" s="16">
        <f t="shared" si="4"/>
        <v>1622.1404432688164</v>
      </c>
      <c r="E64" s="21">
        <f t="shared" si="5"/>
        <v>2331.8276904389063</v>
      </c>
      <c r="F64" s="163">
        <v>0</v>
      </c>
      <c r="G64" s="16">
        <f t="shared" si="0"/>
        <v>386981.87869407702</v>
      </c>
      <c r="I64" s="21">
        <f t="shared" si="2"/>
        <v>113018.12130592272</v>
      </c>
      <c r="J64" s="16">
        <f t="shared" si="3"/>
        <v>100496.15791429428</v>
      </c>
    </row>
    <row r="65" spans="1:10" hidden="1" outlineLevel="1" x14ac:dyDescent="0.2">
      <c r="B65" s="44">
        <v>45839</v>
      </c>
      <c r="C65" s="15">
        <f t="shared" si="1"/>
        <v>386981.87869407702</v>
      </c>
      <c r="D65" s="16">
        <f t="shared" si="4"/>
        <v>1612.4244945586543</v>
      </c>
      <c r="E65" s="21">
        <f t="shared" si="5"/>
        <v>2341.5436391490684</v>
      </c>
      <c r="F65" s="163">
        <v>0</v>
      </c>
      <c r="G65" s="16">
        <f t="shared" si="0"/>
        <v>384640.33505492797</v>
      </c>
      <c r="I65" s="21">
        <f t="shared" si="2"/>
        <v>115359.66494507178</v>
      </c>
      <c r="J65" s="16">
        <f t="shared" si="3"/>
        <v>102108.58240885293</v>
      </c>
    </row>
    <row r="66" spans="1:10" hidden="1" outlineLevel="1" x14ac:dyDescent="0.2">
      <c r="B66" s="44">
        <v>45870</v>
      </c>
      <c r="C66" s="15">
        <f t="shared" si="1"/>
        <v>384640.33505492797</v>
      </c>
      <c r="D66" s="16">
        <f t="shared" si="4"/>
        <v>1602.6680627288665</v>
      </c>
      <c r="E66" s="21">
        <f t="shared" si="5"/>
        <v>2351.3000709788562</v>
      </c>
      <c r="F66" s="163">
        <v>0</v>
      </c>
      <c r="G66" s="16">
        <f t="shared" si="0"/>
        <v>382289.0349839491</v>
      </c>
      <c r="I66" s="21">
        <f t="shared" si="2"/>
        <v>117710.96501605064</v>
      </c>
      <c r="J66" s="16">
        <f t="shared" si="3"/>
        <v>103711.25047158181</v>
      </c>
    </row>
    <row r="67" spans="1:10" hidden="1" outlineLevel="1" x14ac:dyDescent="0.2">
      <c r="B67" s="44">
        <v>45901</v>
      </c>
      <c r="C67" s="15">
        <f t="shared" si="1"/>
        <v>382289.0349839491</v>
      </c>
      <c r="D67" s="16">
        <f t="shared" si="4"/>
        <v>1592.870979099788</v>
      </c>
      <c r="E67" s="21">
        <f t="shared" si="5"/>
        <v>2361.0971546079345</v>
      </c>
      <c r="F67" s="163">
        <v>0</v>
      </c>
      <c r="G67" s="16">
        <f t="shared" si="0"/>
        <v>379927.93782934116</v>
      </c>
      <c r="I67" s="21">
        <f t="shared" si="2"/>
        <v>120072.06217065858</v>
      </c>
      <c r="J67" s="16">
        <f t="shared" si="3"/>
        <v>105304.12145068159</v>
      </c>
    </row>
    <row r="68" spans="1:10" hidden="1" outlineLevel="1" x14ac:dyDescent="0.2">
      <c r="B68" s="44">
        <v>45931</v>
      </c>
      <c r="C68" s="15">
        <f t="shared" si="1"/>
        <v>379927.93782934116</v>
      </c>
      <c r="D68" s="16">
        <f t="shared" si="4"/>
        <v>1583.0330742889214</v>
      </c>
      <c r="E68" s="21">
        <f t="shared" si="5"/>
        <v>2370.9350594188013</v>
      </c>
      <c r="F68" s="163">
        <v>0</v>
      </c>
      <c r="G68" s="16">
        <f t="shared" si="0"/>
        <v>377557.00276992237</v>
      </c>
      <c r="I68" s="21">
        <f t="shared" si="2"/>
        <v>122442.99723007738</v>
      </c>
      <c r="J68" s="16">
        <f t="shared" si="3"/>
        <v>106887.15452497051</v>
      </c>
    </row>
    <row r="69" spans="1:10" hidden="1" outlineLevel="1" x14ac:dyDescent="0.2">
      <c r="B69" s="44">
        <v>45962</v>
      </c>
      <c r="C69" s="15">
        <f t="shared" si="1"/>
        <v>377557.00276992237</v>
      </c>
      <c r="D69" s="16">
        <f t="shared" si="4"/>
        <v>1573.1541782080099</v>
      </c>
      <c r="E69" s="21">
        <f t="shared" si="5"/>
        <v>2380.8139554997128</v>
      </c>
      <c r="F69" s="163">
        <v>0</v>
      </c>
      <c r="G69" s="16">
        <f t="shared" si="0"/>
        <v>375176.18881442264</v>
      </c>
      <c r="I69" s="21">
        <f t="shared" si="2"/>
        <v>124823.8111855771</v>
      </c>
      <c r="J69" s="16">
        <f t="shared" si="3"/>
        <v>108460.30870317853</v>
      </c>
    </row>
    <row r="70" spans="1:10" collapsed="1" x14ac:dyDescent="0.2">
      <c r="A70" t="s">
        <v>128</v>
      </c>
      <c r="B70" s="44">
        <v>45992</v>
      </c>
      <c r="C70" s="15">
        <f t="shared" si="1"/>
        <v>375176.18881442264</v>
      </c>
      <c r="D70" s="16">
        <f>C70*E$6</f>
        <v>1563.2341200600943</v>
      </c>
      <c r="E70" s="21">
        <f t="shared" si="5"/>
        <v>2390.7340136476287</v>
      </c>
      <c r="F70" s="162">
        <v>0</v>
      </c>
      <c r="G70" s="16">
        <f t="shared" si="0"/>
        <v>372785.45480077498</v>
      </c>
      <c r="I70" s="21">
        <f t="shared" si="2"/>
        <v>127214.54519922473</v>
      </c>
      <c r="J70" s="16">
        <f t="shared" si="3"/>
        <v>110023.54282323862</v>
      </c>
    </row>
    <row r="71" spans="1:10" hidden="1" outlineLevel="1" x14ac:dyDescent="0.2">
      <c r="B71" s="44">
        <v>46023</v>
      </c>
      <c r="C71" s="15">
        <f t="shared" si="1"/>
        <v>372785.45480077498</v>
      </c>
      <c r="D71" s="16">
        <f t="shared" ref="D71:D134" si="6">C71*E$6</f>
        <v>1553.2727283365625</v>
      </c>
      <c r="E71" s="21">
        <f t="shared" si="5"/>
        <v>2400.6954053711602</v>
      </c>
      <c r="F71" s="163">
        <v>0</v>
      </c>
      <c r="G71" s="16">
        <f t="shared" si="0"/>
        <v>370384.75939540385</v>
      </c>
      <c r="I71" s="21">
        <f t="shared" si="2"/>
        <v>129615.24060459589</v>
      </c>
      <c r="J71" s="16">
        <f t="shared" si="3"/>
        <v>111576.81555157519</v>
      </c>
    </row>
    <row r="72" spans="1:10" hidden="1" outlineLevel="1" x14ac:dyDescent="0.2">
      <c r="B72" s="44">
        <v>46054</v>
      </c>
      <c r="C72" s="15">
        <f t="shared" si="1"/>
        <v>370384.75939540385</v>
      </c>
      <c r="D72" s="16">
        <f t="shared" si="6"/>
        <v>1543.2698308141826</v>
      </c>
      <c r="E72" s="21">
        <f t="shared" si="5"/>
        <v>2410.6983028935401</v>
      </c>
      <c r="F72" s="162">
        <v>0</v>
      </c>
      <c r="G72" s="16">
        <f t="shared" si="0"/>
        <v>367974.0610925103</v>
      </c>
      <c r="I72" s="21">
        <f t="shared" si="2"/>
        <v>132025.93890748944</v>
      </c>
      <c r="J72" s="16">
        <f t="shared" si="3"/>
        <v>113120.08538238937</v>
      </c>
    </row>
    <row r="73" spans="1:10" hidden="1" outlineLevel="1" x14ac:dyDescent="0.2">
      <c r="B73" s="44">
        <v>46082</v>
      </c>
      <c r="C73" s="15">
        <f t="shared" si="1"/>
        <v>367974.0610925103</v>
      </c>
      <c r="D73" s="16">
        <f t="shared" si="6"/>
        <v>1533.2252545521262</v>
      </c>
      <c r="E73" s="21">
        <f t="shared" si="5"/>
        <v>2420.7428791555967</v>
      </c>
      <c r="F73" s="163">
        <v>0</v>
      </c>
      <c r="G73" s="16">
        <f t="shared" si="0"/>
        <v>365553.31821335468</v>
      </c>
      <c r="I73" s="21">
        <f t="shared" si="2"/>
        <v>134446.68178664503</v>
      </c>
      <c r="J73" s="16">
        <f t="shared" si="3"/>
        <v>114653.3106369415</v>
      </c>
    </row>
    <row r="74" spans="1:10" hidden="1" outlineLevel="1" x14ac:dyDescent="0.2">
      <c r="B74" s="44">
        <v>46113</v>
      </c>
      <c r="C74" s="15">
        <f t="shared" si="1"/>
        <v>365553.31821335468</v>
      </c>
      <c r="D74" s="16">
        <f t="shared" si="6"/>
        <v>1523.1388258889779</v>
      </c>
      <c r="E74" s="21">
        <f t="shared" si="5"/>
        <v>2430.8293078187448</v>
      </c>
      <c r="F74" s="162">
        <v>0</v>
      </c>
      <c r="G74" s="16">
        <f t="shared" si="0"/>
        <v>363122.48890553595</v>
      </c>
      <c r="I74" s="21">
        <f t="shared" si="2"/>
        <v>136877.51109446379</v>
      </c>
      <c r="J74" s="16">
        <f t="shared" si="3"/>
        <v>116176.44946283048</v>
      </c>
    </row>
    <row r="75" spans="1:10" hidden="1" outlineLevel="1" x14ac:dyDescent="0.2">
      <c r="B75" s="44">
        <v>46143</v>
      </c>
      <c r="C75" s="15">
        <f t="shared" si="1"/>
        <v>363122.48890553595</v>
      </c>
      <c r="D75" s="16">
        <f t="shared" si="6"/>
        <v>1513.0103704397332</v>
      </c>
      <c r="E75" s="21">
        <f t="shared" si="5"/>
        <v>2440.9577632679893</v>
      </c>
      <c r="F75" s="163">
        <v>0</v>
      </c>
      <c r="G75" s="16">
        <f t="shared" ref="G75:G138" si="7">C75-E75-F75</f>
        <v>360681.53114226798</v>
      </c>
      <c r="I75" s="21">
        <f t="shared" si="2"/>
        <v>139318.46885773179</v>
      </c>
      <c r="J75" s="16">
        <f t="shared" si="3"/>
        <v>117689.45983327022</v>
      </c>
    </row>
    <row r="76" spans="1:10" hidden="1" outlineLevel="1" x14ac:dyDescent="0.2">
      <c r="B76" s="44">
        <v>46174</v>
      </c>
      <c r="C76" s="15">
        <f t="shared" ref="C76:C139" si="8">G75</f>
        <v>360681.53114226798</v>
      </c>
      <c r="D76" s="16">
        <f t="shared" si="6"/>
        <v>1502.8397130927833</v>
      </c>
      <c r="E76" s="21">
        <f t="shared" si="5"/>
        <v>2451.1284206149394</v>
      </c>
      <c r="F76" s="162">
        <v>0</v>
      </c>
      <c r="G76" s="16">
        <f t="shared" si="7"/>
        <v>358230.40272165305</v>
      </c>
      <c r="I76" s="21">
        <f t="shared" ref="I76:I139" si="9">I75+E76</f>
        <v>141769.59727834672</v>
      </c>
      <c r="J76" s="16">
        <f t="shared" ref="J76:J139" si="10">J75+D76</f>
        <v>119192.29954636299</v>
      </c>
    </row>
    <row r="77" spans="1:10" hidden="1" outlineLevel="1" x14ac:dyDescent="0.2">
      <c r="B77" s="44">
        <v>46204</v>
      </c>
      <c r="C77" s="15">
        <f t="shared" si="8"/>
        <v>358230.40272165305</v>
      </c>
      <c r="D77" s="16">
        <f t="shared" si="6"/>
        <v>1492.6266780068877</v>
      </c>
      <c r="E77" s="21">
        <f t="shared" ref="E77:E140" si="11">E$8-D77</f>
        <v>2461.341455700835</v>
      </c>
      <c r="F77" s="163">
        <v>0</v>
      </c>
      <c r="G77" s="16">
        <f t="shared" si="7"/>
        <v>355769.06126595224</v>
      </c>
      <c r="I77" s="21">
        <f t="shared" si="9"/>
        <v>144230.93873404755</v>
      </c>
      <c r="J77" s="16">
        <f t="shared" si="10"/>
        <v>120684.92622436988</v>
      </c>
    </row>
    <row r="78" spans="1:10" hidden="1" outlineLevel="1" x14ac:dyDescent="0.2">
      <c r="B78" s="44">
        <v>46235</v>
      </c>
      <c r="C78" s="15">
        <f t="shared" si="8"/>
        <v>355769.06126595224</v>
      </c>
      <c r="D78" s="16">
        <f t="shared" si="6"/>
        <v>1482.3710886081344</v>
      </c>
      <c r="E78" s="21">
        <f t="shared" si="11"/>
        <v>2471.5970450995883</v>
      </c>
      <c r="F78" s="162">
        <v>0</v>
      </c>
      <c r="G78" s="16">
        <f t="shared" si="7"/>
        <v>353297.46422085265</v>
      </c>
      <c r="I78" s="21">
        <f t="shared" si="9"/>
        <v>146702.53577914715</v>
      </c>
      <c r="J78" s="16">
        <f t="shared" si="10"/>
        <v>122167.29731297801</v>
      </c>
    </row>
    <row r="79" spans="1:10" hidden="1" outlineLevel="1" x14ac:dyDescent="0.2">
      <c r="B79" s="44">
        <v>46266</v>
      </c>
      <c r="C79" s="15">
        <f t="shared" si="8"/>
        <v>353297.46422085265</v>
      </c>
      <c r="D79" s="16">
        <f t="shared" si="6"/>
        <v>1472.0727675868861</v>
      </c>
      <c r="E79" s="21">
        <f t="shared" si="11"/>
        <v>2481.8953661208366</v>
      </c>
      <c r="F79" s="163">
        <v>0</v>
      </c>
      <c r="G79" s="16">
        <f t="shared" si="7"/>
        <v>350815.5688547318</v>
      </c>
      <c r="I79" s="21">
        <f t="shared" si="9"/>
        <v>149184.431145268</v>
      </c>
      <c r="J79" s="16">
        <f t="shared" si="10"/>
        <v>123639.3700805649</v>
      </c>
    </row>
    <row r="80" spans="1:10" hidden="1" outlineLevel="1" x14ac:dyDescent="0.2">
      <c r="B80" s="44">
        <v>46296</v>
      </c>
      <c r="C80" s="15">
        <f t="shared" si="8"/>
        <v>350815.5688547318</v>
      </c>
      <c r="D80" s="16">
        <f t="shared" si="6"/>
        <v>1461.7315368947159</v>
      </c>
      <c r="E80" s="21">
        <f t="shared" si="11"/>
        <v>2492.2365968130071</v>
      </c>
      <c r="F80" s="162">
        <v>0</v>
      </c>
      <c r="G80" s="16">
        <f t="shared" si="7"/>
        <v>348323.33225791878</v>
      </c>
      <c r="I80" s="21">
        <f t="shared" si="9"/>
        <v>151676.66774208102</v>
      </c>
      <c r="J80" s="16">
        <f t="shared" si="10"/>
        <v>125101.10161745962</v>
      </c>
    </row>
    <row r="81" spans="2:10" hidden="1" outlineLevel="1" x14ac:dyDescent="0.2">
      <c r="B81" s="44">
        <v>46327</v>
      </c>
      <c r="C81" s="15">
        <f t="shared" si="8"/>
        <v>348323.33225791878</v>
      </c>
      <c r="D81" s="16">
        <f t="shared" si="6"/>
        <v>1451.3472177413282</v>
      </c>
      <c r="E81" s="21">
        <f t="shared" si="11"/>
        <v>2502.6209159663945</v>
      </c>
      <c r="F81" s="163">
        <v>0</v>
      </c>
      <c r="G81" s="16">
        <f t="shared" si="7"/>
        <v>345820.71134195238</v>
      </c>
      <c r="I81" s="21">
        <f t="shared" si="9"/>
        <v>154179.28865804742</v>
      </c>
      <c r="J81" s="16">
        <f t="shared" si="10"/>
        <v>126552.44883520095</v>
      </c>
    </row>
    <row r="82" spans="2:10" hidden="1" outlineLevel="1" x14ac:dyDescent="0.2">
      <c r="B82" s="44">
        <v>46357</v>
      </c>
      <c r="C82" s="15">
        <f t="shared" si="8"/>
        <v>345820.71134195238</v>
      </c>
      <c r="D82" s="16">
        <f t="shared" si="6"/>
        <v>1440.9196305914681</v>
      </c>
      <c r="E82" s="21">
        <f t="shared" si="11"/>
        <v>2513.0485031162543</v>
      </c>
      <c r="F82" s="162">
        <v>0</v>
      </c>
      <c r="G82" s="16">
        <f t="shared" si="7"/>
        <v>343307.66283883614</v>
      </c>
      <c r="I82" s="21">
        <f t="shared" si="9"/>
        <v>156692.33716116368</v>
      </c>
      <c r="J82" s="16">
        <f t="shared" si="10"/>
        <v>127993.36846579242</v>
      </c>
    </row>
    <row r="83" spans="2:10" hidden="1" outlineLevel="1" x14ac:dyDescent="0.2">
      <c r="B83" s="44">
        <v>46388</v>
      </c>
      <c r="C83" s="15">
        <f t="shared" si="8"/>
        <v>343307.66283883614</v>
      </c>
      <c r="D83" s="16">
        <f t="shared" si="6"/>
        <v>1430.4485951618171</v>
      </c>
      <c r="E83" s="21">
        <f t="shared" si="11"/>
        <v>2523.5195385459056</v>
      </c>
      <c r="F83" s="163">
        <v>0</v>
      </c>
      <c r="G83" s="16">
        <f t="shared" si="7"/>
        <v>340784.14330029022</v>
      </c>
      <c r="I83" s="21">
        <f t="shared" si="9"/>
        <v>159215.85669970958</v>
      </c>
      <c r="J83" s="16">
        <f t="shared" si="10"/>
        <v>129423.81706095423</v>
      </c>
    </row>
    <row r="84" spans="2:10" hidden="1" outlineLevel="1" x14ac:dyDescent="0.2">
      <c r="B84" s="44">
        <v>46419</v>
      </c>
      <c r="C84" s="15">
        <f t="shared" si="8"/>
        <v>340784.14330029022</v>
      </c>
      <c r="D84" s="16">
        <f t="shared" si="6"/>
        <v>1419.9339304178759</v>
      </c>
      <c r="E84" s="21">
        <f t="shared" si="11"/>
        <v>2534.034203289847</v>
      </c>
      <c r="F84" s="162">
        <v>0</v>
      </c>
      <c r="G84" s="16">
        <f t="shared" si="7"/>
        <v>338250.10909700039</v>
      </c>
      <c r="I84" s="21">
        <f t="shared" si="9"/>
        <v>161749.89090299941</v>
      </c>
      <c r="J84" s="16">
        <f t="shared" si="10"/>
        <v>130843.7509913721</v>
      </c>
    </row>
    <row r="85" spans="2:10" hidden="1" outlineLevel="1" x14ac:dyDescent="0.2">
      <c r="B85" s="44">
        <v>46447</v>
      </c>
      <c r="C85" s="15">
        <f t="shared" si="8"/>
        <v>338250.10909700039</v>
      </c>
      <c r="D85" s="16">
        <f t="shared" si="6"/>
        <v>1409.375454570835</v>
      </c>
      <c r="E85" s="21">
        <f t="shared" si="11"/>
        <v>2544.5926791368875</v>
      </c>
      <c r="F85" s="163">
        <v>0</v>
      </c>
      <c r="G85" s="16">
        <f t="shared" si="7"/>
        <v>335705.51641786349</v>
      </c>
      <c r="I85" s="21">
        <f t="shared" si="9"/>
        <v>164294.48358213631</v>
      </c>
      <c r="J85" s="16">
        <f t="shared" si="10"/>
        <v>132253.12644594294</v>
      </c>
    </row>
    <row r="86" spans="2:10" hidden="1" outlineLevel="1" x14ac:dyDescent="0.2">
      <c r="B86" s="44">
        <v>46478</v>
      </c>
      <c r="C86" s="15">
        <f t="shared" si="8"/>
        <v>335705.51641786349</v>
      </c>
      <c r="D86" s="16">
        <f t="shared" si="6"/>
        <v>1398.7729850744313</v>
      </c>
      <c r="E86" s="21">
        <f t="shared" si="11"/>
        <v>2555.1951486332914</v>
      </c>
      <c r="F86" s="162">
        <v>0</v>
      </c>
      <c r="G86" s="16">
        <f t="shared" si="7"/>
        <v>333150.32126923022</v>
      </c>
      <c r="I86" s="21">
        <f t="shared" si="9"/>
        <v>166849.67873076961</v>
      </c>
      <c r="J86" s="16">
        <f t="shared" si="10"/>
        <v>133651.89943101737</v>
      </c>
    </row>
    <row r="87" spans="2:10" hidden="1" outlineLevel="1" x14ac:dyDescent="0.2">
      <c r="B87" s="44">
        <v>46508</v>
      </c>
      <c r="C87" s="15">
        <f t="shared" si="8"/>
        <v>333150.32126923022</v>
      </c>
      <c r="D87" s="16">
        <f t="shared" si="6"/>
        <v>1388.1263386217925</v>
      </c>
      <c r="E87" s="21">
        <f t="shared" si="11"/>
        <v>2565.8417950859302</v>
      </c>
      <c r="F87" s="163">
        <v>0</v>
      </c>
      <c r="G87" s="16">
        <f t="shared" si="7"/>
        <v>330584.47947414429</v>
      </c>
      <c r="I87" s="21">
        <f t="shared" si="9"/>
        <v>169415.52052585554</v>
      </c>
      <c r="J87" s="16">
        <f t="shared" si="10"/>
        <v>135040.02576963918</v>
      </c>
    </row>
    <row r="88" spans="2:10" hidden="1" outlineLevel="1" x14ac:dyDescent="0.2">
      <c r="B88" s="44">
        <v>46539</v>
      </c>
      <c r="C88" s="15">
        <f t="shared" si="8"/>
        <v>330584.47947414429</v>
      </c>
      <c r="D88" s="16">
        <f t="shared" si="6"/>
        <v>1377.4353311422678</v>
      </c>
      <c r="E88" s="21">
        <f t="shared" si="11"/>
        <v>2576.5328025654549</v>
      </c>
      <c r="F88" s="162">
        <v>0</v>
      </c>
      <c r="G88" s="16">
        <f t="shared" si="7"/>
        <v>328007.94667157886</v>
      </c>
      <c r="I88" s="21">
        <f t="shared" si="9"/>
        <v>171992.053328421</v>
      </c>
      <c r="J88" s="16">
        <f t="shared" si="10"/>
        <v>136417.46110078145</v>
      </c>
    </row>
    <row r="89" spans="2:10" hidden="1" outlineLevel="1" x14ac:dyDescent="0.2">
      <c r="B89" s="44">
        <v>46569</v>
      </c>
      <c r="C89" s="15">
        <f t="shared" si="8"/>
        <v>328007.94667157886</v>
      </c>
      <c r="D89" s="16">
        <f t="shared" si="6"/>
        <v>1366.6997777982451</v>
      </c>
      <c r="E89" s="21">
        <f t="shared" si="11"/>
        <v>2587.2683559094776</v>
      </c>
      <c r="F89" s="163">
        <v>0</v>
      </c>
      <c r="G89" s="16">
        <f t="shared" si="7"/>
        <v>325420.67831566936</v>
      </c>
      <c r="I89" s="21">
        <f t="shared" si="9"/>
        <v>174579.32168433047</v>
      </c>
      <c r="J89" s="16">
        <f t="shared" si="10"/>
        <v>137784.16087857969</v>
      </c>
    </row>
    <row r="90" spans="2:10" hidden="1" outlineLevel="1" x14ac:dyDescent="0.2">
      <c r="B90" s="44">
        <v>46600</v>
      </c>
      <c r="C90" s="15">
        <f t="shared" si="8"/>
        <v>325420.67831566936</v>
      </c>
      <c r="D90" s="16">
        <f t="shared" si="6"/>
        <v>1355.9194929819557</v>
      </c>
      <c r="E90" s="21">
        <f t="shared" si="11"/>
        <v>2598.0486407257667</v>
      </c>
      <c r="F90" s="162">
        <v>0</v>
      </c>
      <c r="G90" s="16">
        <f t="shared" si="7"/>
        <v>322822.62967494357</v>
      </c>
      <c r="I90" s="21">
        <f t="shared" si="9"/>
        <v>177177.37032505622</v>
      </c>
      <c r="J90" s="16">
        <f t="shared" si="10"/>
        <v>139140.08037156163</v>
      </c>
    </row>
    <row r="91" spans="2:10" hidden="1" outlineLevel="1" x14ac:dyDescent="0.2">
      <c r="B91" s="44">
        <v>46631</v>
      </c>
      <c r="C91" s="15">
        <f t="shared" si="8"/>
        <v>322822.62967494357</v>
      </c>
      <c r="D91" s="16">
        <f t="shared" si="6"/>
        <v>1345.0942903122648</v>
      </c>
      <c r="E91" s="21">
        <f t="shared" si="11"/>
        <v>2608.8738433954577</v>
      </c>
      <c r="F91" s="163">
        <v>0</v>
      </c>
      <c r="G91" s="16">
        <f t="shared" si="7"/>
        <v>320213.75583154813</v>
      </c>
      <c r="I91" s="21">
        <f t="shared" si="9"/>
        <v>179786.2441684517</v>
      </c>
      <c r="J91" s="16">
        <f t="shared" si="10"/>
        <v>140485.1746618739</v>
      </c>
    </row>
    <row r="92" spans="2:10" hidden="1" outlineLevel="1" x14ac:dyDescent="0.2">
      <c r="B92" s="44">
        <v>46661</v>
      </c>
      <c r="C92" s="15">
        <f t="shared" si="8"/>
        <v>320213.75583154813</v>
      </c>
      <c r="D92" s="16">
        <f t="shared" si="6"/>
        <v>1334.2239826314506</v>
      </c>
      <c r="E92" s="21">
        <f t="shared" si="11"/>
        <v>2619.7441510762719</v>
      </c>
      <c r="F92" s="162">
        <v>0</v>
      </c>
      <c r="G92" s="16">
        <f t="shared" si="7"/>
        <v>317594.01168047189</v>
      </c>
      <c r="I92" s="21">
        <f t="shared" si="9"/>
        <v>182405.98831952797</v>
      </c>
      <c r="J92" s="16">
        <f t="shared" si="10"/>
        <v>141819.39864450536</v>
      </c>
    </row>
    <row r="93" spans="2:10" hidden="1" outlineLevel="1" x14ac:dyDescent="0.2">
      <c r="B93" s="44">
        <v>46692</v>
      </c>
      <c r="C93" s="15">
        <f t="shared" si="8"/>
        <v>317594.01168047189</v>
      </c>
      <c r="D93" s="16">
        <f t="shared" si="6"/>
        <v>1323.3083820019663</v>
      </c>
      <c r="E93" s="21">
        <f t="shared" si="11"/>
        <v>2630.6597517057562</v>
      </c>
      <c r="F93" s="163">
        <v>0</v>
      </c>
      <c r="G93" s="16">
        <f t="shared" si="7"/>
        <v>314963.35192876612</v>
      </c>
      <c r="I93" s="21">
        <f t="shared" si="9"/>
        <v>185036.64807123374</v>
      </c>
      <c r="J93" s="16">
        <f t="shared" si="10"/>
        <v>143142.70702650733</v>
      </c>
    </row>
    <row r="94" spans="2:10" hidden="1" outlineLevel="1" x14ac:dyDescent="0.2">
      <c r="B94" s="44">
        <v>46722</v>
      </c>
      <c r="C94" s="15">
        <f t="shared" si="8"/>
        <v>314963.35192876612</v>
      </c>
      <c r="D94" s="16">
        <f t="shared" si="6"/>
        <v>1312.3472997031922</v>
      </c>
      <c r="E94" s="21">
        <f t="shared" si="11"/>
        <v>2641.6208340045305</v>
      </c>
      <c r="F94" s="162">
        <v>0</v>
      </c>
      <c r="G94" s="16">
        <f t="shared" si="7"/>
        <v>312321.73109476158</v>
      </c>
      <c r="I94" s="21">
        <f t="shared" si="9"/>
        <v>187678.26890523828</v>
      </c>
      <c r="J94" s="16">
        <f t="shared" si="10"/>
        <v>144455.05432621052</v>
      </c>
    </row>
    <row r="95" spans="2:10" hidden="1" outlineLevel="1" x14ac:dyDescent="0.2">
      <c r="B95" s="44">
        <v>46753</v>
      </c>
      <c r="C95" s="15">
        <f t="shared" si="8"/>
        <v>312321.73109476158</v>
      </c>
      <c r="D95" s="16">
        <f t="shared" si="6"/>
        <v>1301.3405462281733</v>
      </c>
      <c r="E95" s="21">
        <f t="shared" si="11"/>
        <v>2652.6275874795492</v>
      </c>
      <c r="F95" s="163">
        <v>0</v>
      </c>
      <c r="G95" s="16">
        <f t="shared" si="7"/>
        <v>309669.10350728204</v>
      </c>
      <c r="I95" s="21">
        <f t="shared" si="9"/>
        <v>190330.89649271782</v>
      </c>
      <c r="J95" s="16">
        <f t="shared" si="10"/>
        <v>145756.39487243869</v>
      </c>
    </row>
    <row r="96" spans="2:10" hidden="1" outlineLevel="1" x14ac:dyDescent="0.2">
      <c r="B96" s="44">
        <v>46784</v>
      </c>
      <c r="C96" s="15">
        <f t="shared" si="8"/>
        <v>309669.10350728204</v>
      </c>
      <c r="D96" s="16">
        <f t="shared" si="6"/>
        <v>1290.2879312803418</v>
      </c>
      <c r="E96" s="21">
        <f t="shared" si="11"/>
        <v>2663.6802024273811</v>
      </c>
      <c r="F96" s="162">
        <v>0</v>
      </c>
      <c r="G96" s="16">
        <f t="shared" si="7"/>
        <v>307005.42330485466</v>
      </c>
      <c r="I96" s="21">
        <f t="shared" si="9"/>
        <v>192994.5766951452</v>
      </c>
      <c r="J96" s="16">
        <f t="shared" si="10"/>
        <v>147046.68280371904</v>
      </c>
    </row>
    <row r="97" spans="2:10" hidden="1" outlineLevel="1" x14ac:dyDescent="0.2">
      <c r="B97" s="44">
        <v>46813</v>
      </c>
      <c r="C97" s="15">
        <f t="shared" si="8"/>
        <v>307005.42330485466</v>
      </c>
      <c r="D97" s="16">
        <f t="shared" si="6"/>
        <v>1279.1892637702276</v>
      </c>
      <c r="E97" s="21">
        <f t="shared" si="11"/>
        <v>2674.7788699374951</v>
      </c>
      <c r="F97" s="163">
        <v>0</v>
      </c>
      <c r="G97" s="16">
        <f t="shared" si="7"/>
        <v>304330.64443491714</v>
      </c>
      <c r="I97" s="21">
        <f t="shared" si="9"/>
        <v>195669.35556508269</v>
      </c>
      <c r="J97" s="16">
        <f t="shared" si="10"/>
        <v>148325.87206748928</v>
      </c>
    </row>
    <row r="98" spans="2:10" hidden="1" outlineLevel="1" x14ac:dyDescent="0.2">
      <c r="B98" s="44">
        <v>46844</v>
      </c>
      <c r="C98" s="15">
        <f t="shared" si="8"/>
        <v>304330.64443491714</v>
      </c>
      <c r="D98" s="16">
        <f t="shared" si="6"/>
        <v>1268.0443518121547</v>
      </c>
      <c r="E98" s="21">
        <f t="shared" si="11"/>
        <v>2685.923781895568</v>
      </c>
      <c r="F98" s="162">
        <v>0</v>
      </c>
      <c r="G98" s="16">
        <f t="shared" si="7"/>
        <v>301644.72065302159</v>
      </c>
      <c r="I98" s="21">
        <f t="shared" si="9"/>
        <v>198355.27934697826</v>
      </c>
      <c r="J98" s="16">
        <f t="shared" si="10"/>
        <v>149593.91641930144</v>
      </c>
    </row>
    <row r="99" spans="2:10" hidden="1" outlineLevel="1" x14ac:dyDescent="0.2">
      <c r="B99" s="44">
        <v>46874</v>
      </c>
      <c r="C99" s="15">
        <f t="shared" si="8"/>
        <v>301644.72065302159</v>
      </c>
      <c r="D99" s="16">
        <f t="shared" si="6"/>
        <v>1256.8530027209233</v>
      </c>
      <c r="E99" s="21">
        <f t="shared" si="11"/>
        <v>2697.1151309867992</v>
      </c>
      <c r="F99" s="163">
        <v>0</v>
      </c>
      <c r="G99" s="16">
        <f t="shared" si="7"/>
        <v>298947.60552203481</v>
      </c>
      <c r="I99" s="21">
        <f t="shared" si="9"/>
        <v>201052.39447796505</v>
      </c>
      <c r="J99" s="16">
        <f t="shared" si="10"/>
        <v>150850.76942202236</v>
      </c>
    </row>
    <row r="100" spans="2:10" hidden="1" outlineLevel="1" x14ac:dyDescent="0.2">
      <c r="B100" s="44">
        <v>46905</v>
      </c>
      <c r="C100" s="15">
        <f t="shared" si="8"/>
        <v>298947.60552203481</v>
      </c>
      <c r="D100" s="16">
        <f t="shared" si="6"/>
        <v>1245.6150230084784</v>
      </c>
      <c r="E100" s="21">
        <f t="shared" si="11"/>
        <v>2708.3531106992441</v>
      </c>
      <c r="F100" s="162">
        <v>0</v>
      </c>
      <c r="G100" s="16">
        <f t="shared" si="7"/>
        <v>296239.25241133559</v>
      </c>
      <c r="I100" s="21">
        <f t="shared" si="9"/>
        <v>203760.74758866429</v>
      </c>
      <c r="J100" s="16">
        <f t="shared" si="10"/>
        <v>152096.38444503085</v>
      </c>
    </row>
    <row r="101" spans="2:10" hidden="1" outlineLevel="1" x14ac:dyDescent="0.2">
      <c r="B101" s="44">
        <v>46935</v>
      </c>
      <c r="C101" s="15">
        <f t="shared" si="8"/>
        <v>296239.25241133559</v>
      </c>
      <c r="D101" s="16">
        <f t="shared" si="6"/>
        <v>1234.3302183805649</v>
      </c>
      <c r="E101" s="21">
        <f t="shared" si="11"/>
        <v>2719.6379153271578</v>
      </c>
      <c r="F101" s="163">
        <v>0</v>
      </c>
      <c r="G101" s="16">
        <f t="shared" si="7"/>
        <v>293519.61449600843</v>
      </c>
      <c r="I101" s="21">
        <f t="shared" si="9"/>
        <v>206480.38550399145</v>
      </c>
      <c r="J101" s="16">
        <f t="shared" si="10"/>
        <v>153330.71466341143</v>
      </c>
    </row>
    <row r="102" spans="2:10" hidden="1" outlineLevel="1" x14ac:dyDescent="0.2">
      <c r="B102" s="44">
        <v>46966</v>
      </c>
      <c r="C102" s="15">
        <f t="shared" si="8"/>
        <v>293519.61449600843</v>
      </c>
      <c r="D102" s="16">
        <f t="shared" si="6"/>
        <v>1222.9983937333684</v>
      </c>
      <c r="E102" s="21">
        <f t="shared" si="11"/>
        <v>2730.9697399743545</v>
      </c>
      <c r="F102" s="162">
        <v>0</v>
      </c>
      <c r="G102" s="16">
        <f t="shared" si="7"/>
        <v>290788.64475603407</v>
      </c>
      <c r="I102" s="21">
        <f t="shared" si="9"/>
        <v>209211.35524396581</v>
      </c>
      <c r="J102" s="16">
        <f t="shared" si="10"/>
        <v>154553.71305714481</v>
      </c>
    </row>
    <row r="103" spans="2:10" hidden="1" outlineLevel="1" x14ac:dyDescent="0.2">
      <c r="B103" s="44">
        <v>46997</v>
      </c>
      <c r="C103" s="15">
        <f t="shared" si="8"/>
        <v>290788.64475603407</v>
      </c>
      <c r="D103" s="16">
        <f t="shared" si="6"/>
        <v>1211.6193531501419</v>
      </c>
      <c r="E103" s="21">
        <f t="shared" si="11"/>
        <v>2742.3487805575805</v>
      </c>
      <c r="F103" s="163">
        <v>0</v>
      </c>
      <c r="G103" s="16">
        <f t="shared" si="7"/>
        <v>288046.2959754765</v>
      </c>
      <c r="I103" s="21">
        <f t="shared" si="9"/>
        <v>211953.70402452338</v>
      </c>
      <c r="J103" s="16">
        <f t="shared" si="10"/>
        <v>155765.33241029494</v>
      </c>
    </row>
    <row r="104" spans="2:10" hidden="1" outlineLevel="1" x14ac:dyDescent="0.2">
      <c r="B104" s="44">
        <v>47027</v>
      </c>
      <c r="C104" s="15">
        <f t="shared" si="8"/>
        <v>288046.2959754765</v>
      </c>
      <c r="D104" s="16">
        <f t="shared" si="6"/>
        <v>1200.1928998978187</v>
      </c>
      <c r="E104" s="21">
        <f t="shared" si="11"/>
        <v>2753.775233809904</v>
      </c>
      <c r="F104" s="162">
        <v>0</v>
      </c>
      <c r="G104" s="16">
        <f t="shared" si="7"/>
        <v>285292.52074166661</v>
      </c>
      <c r="I104" s="21">
        <f t="shared" si="9"/>
        <v>214707.47925833327</v>
      </c>
      <c r="J104" s="16">
        <f t="shared" si="10"/>
        <v>156965.52531019275</v>
      </c>
    </row>
    <row r="105" spans="2:10" hidden="1" outlineLevel="1" x14ac:dyDescent="0.2">
      <c r="B105" s="44">
        <v>47058</v>
      </c>
      <c r="C105" s="15">
        <f t="shared" si="8"/>
        <v>285292.52074166661</v>
      </c>
      <c r="D105" s="16">
        <f t="shared" si="6"/>
        <v>1188.7188364236108</v>
      </c>
      <c r="E105" s="21">
        <f t="shared" si="11"/>
        <v>2765.2492972841119</v>
      </c>
      <c r="F105" s="163">
        <v>0</v>
      </c>
      <c r="G105" s="16">
        <f t="shared" si="7"/>
        <v>282527.2714443825</v>
      </c>
      <c r="I105" s="21">
        <f t="shared" si="9"/>
        <v>217472.72855561739</v>
      </c>
      <c r="J105" s="16">
        <f t="shared" si="10"/>
        <v>158154.24414661637</v>
      </c>
    </row>
    <row r="106" spans="2:10" hidden="1" outlineLevel="1" x14ac:dyDescent="0.2">
      <c r="B106" s="44">
        <v>47088</v>
      </c>
      <c r="C106" s="15">
        <f t="shared" si="8"/>
        <v>282527.2714443825</v>
      </c>
      <c r="D106" s="16">
        <f t="shared" si="6"/>
        <v>1177.1969643515938</v>
      </c>
      <c r="E106" s="21">
        <f t="shared" si="11"/>
        <v>2776.7711693561287</v>
      </c>
      <c r="F106" s="162">
        <v>0</v>
      </c>
      <c r="G106" s="16">
        <f t="shared" si="7"/>
        <v>279750.50027502637</v>
      </c>
      <c r="I106" s="21">
        <f t="shared" si="9"/>
        <v>220249.49972497352</v>
      </c>
      <c r="J106" s="16">
        <f t="shared" si="10"/>
        <v>159331.44111096798</v>
      </c>
    </row>
    <row r="107" spans="2:10" hidden="1" outlineLevel="1" x14ac:dyDescent="0.2">
      <c r="B107" s="44">
        <v>47119</v>
      </c>
      <c r="C107" s="15">
        <f t="shared" si="8"/>
        <v>279750.50027502637</v>
      </c>
      <c r="D107" s="16">
        <f t="shared" si="6"/>
        <v>1165.6270844792766</v>
      </c>
      <c r="E107" s="21">
        <f t="shared" si="11"/>
        <v>2788.3410492284461</v>
      </c>
      <c r="F107" s="163">
        <v>0</v>
      </c>
      <c r="G107" s="16">
        <f t="shared" si="7"/>
        <v>276962.15922579792</v>
      </c>
      <c r="I107" s="21">
        <f t="shared" si="9"/>
        <v>223037.84077420196</v>
      </c>
      <c r="J107" s="16">
        <f t="shared" si="10"/>
        <v>160497.06819544727</v>
      </c>
    </row>
    <row r="108" spans="2:10" hidden="1" outlineLevel="1" x14ac:dyDescent="0.2">
      <c r="B108" s="44">
        <v>47150</v>
      </c>
      <c r="C108" s="15">
        <f t="shared" si="8"/>
        <v>276962.15922579792</v>
      </c>
      <c r="D108" s="16">
        <f t="shared" si="6"/>
        <v>1154.008996774158</v>
      </c>
      <c r="E108" s="21">
        <f t="shared" si="11"/>
        <v>2799.9591369335649</v>
      </c>
      <c r="F108" s="162">
        <v>0</v>
      </c>
      <c r="G108" s="16">
        <f t="shared" si="7"/>
        <v>274162.20008886437</v>
      </c>
      <c r="I108" s="21">
        <f t="shared" si="9"/>
        <v>225837.79991113552</v>
      </c>
      <c r="J108" s="16">
        <f t="shared" si="10"/>
        <v>161651.07719222142</v>
      </c>
    </row>
    <row r="109" spans="2:10" hidden="1" outlineLevel="1" x14ac:dyDescent="0.2">
      <c r="B109" s="44">
        <v>47178</v>
      </c>
      <c r="C109" s="15">
        <f t="shared" si="8"/>
        <v>274162.20008886437</v>
      </c>
      <c r="D109" s="16">
        <f t="shared" si="6"/>
        <v>1142.3425003702682</v>
      </c>
      <c r="E109" s="21">
        <f t="shared" si="11"/>
        <v>2811.6256333374545</v>
      </c>
      <c r="F109" s="163">
        <v>0</v>
      </c>
      <c r="G109" s="16">
        <f t="shared" si="7"/>
        <v>271350.57445552689</v>
      </c>
      <c r="I109" s="21">
        <f t="shared" si="9"/>
        <v>228649.42554447296</v>
      </c>
      <c r="J109" s="16">
        <f t="shared" si="10"/>
        <v>162793.41969259168</v>
      </c>
    </row>
    <row r="110" spans="2:10" hidden="1" outlineLevel="1" x14ac:dyDescent="0.2">
      <c r="B110" s="44">
        <v>47209</v>
      </c>
      <c r="C110" s="15">
        <f t="shared" si="8"/>
        <v>271350.57445552689</v>
      </c>
      <c r="D110" s="16">
        <f t="shared" si="6"/>
        <v>1130.6273935646955</v>
      </c>
      <c r="E110" s="21">
        <f t="shared" si="11"/>
        <v>2823.3407401430272</v>
      </c>
      <c r="F110" s="162">
        <v>0</v>
      </c>
      <c r="G110" s="16">
        <f t="shared" si="7"/>
        <v>268527.23371538386</v>
      </c>
      <c r="I110" s="21">
        <f t="shared" si="9"/>
        <v>231472.76628461599</v>
      </c>
      <c r="J110" s="16">
        <f t="shared" si="10"/>
        <v>163924.04708615638</v>
      </c>
    </row>
    <row r="111" spans="2:10" hidden="1" outlineLevel="1" x14ac:dyDescent="0.2">
      <c r="B111" s="44">
        <v>47239</v>
      </c>
      <c r="C111" s="15">
        <f t="shared" si="8"/>
        <v>268527.23371538386</v>
      </c>
      <c r="D111" s="16">
        <f t="shared" si="6"/>
        <v>1118.8634738140995</v>
      </c>
      <c r="E111" s="21">
        <f t="shared" si="11"/>
        <v>2835.1046598936232</v>
      </c>
      <c r="F111" s="163">
        <v>0</v>
      </c>
      <c r="G111" s="16">
        <f t="shared" si="7"/>
        <v>265692.12905549025</v>
      </c>
      <c r="I111" s="21">
        <f t="shared" si="9"/>
        <v>234307.87094450963</v>
      </c>
      <c r="J111" s="16">
        <f t="shared" si="10"/>
        <v>165042.91055997048</v>
      </c>
    </row>
    <row r="112" spans="2:10" hidden="1" outlineLevel="1" x14ac:dyDescent="0.2">
      <c r="B112" s="44">
        <v>47270</v>
      </c>
      <c r="C112" s="15">
        <f t="shared" si="8"/>
        <v>265692.12905549025</v>
      </c>
      <c r="D112" s="16">
        <f t="shared" si="6"/>
        <v>1107.0505377312093</v>
      </c>
      <c r="E112" s="21">
        <f t="shared" si="11"/>
        <v>2846.9175959765134</v>
      </c>
      <c r="F112" s="162">
        <v>0</v>
      </c>
      <c r="G112" s="16">
        <f t="shared" si="7"/>
        <v>262845.21145951375</v>
      </c>
      <c r="I112" s="21">
        <f t="shared" si="9"/>
        <v>237154.78854048616</v>
      </c>
      <c r="J112" s="16">
        <f t="shared" si="10"/>
        <v>166149.96109770169</v>
      </c>
    </row>
    <row r="113" spans="2:10" hidden="1" outlineLevel="1" x14ac:dyDescent="0.2">
      <c r="B113" s="44">
        <v>47300</v>
      </c>
      <c r="C113" s="15">
        <f t="shared" si="8"/>
        <v>262845.21145951375</v>
      </c>
      <c r="D113" s="16">
        <f t="shared" si="6"/>
        <v>1095.1883810813074</v>
      </c>
      <c r="E113" s="21">
        <f t="shared" si="11"/>
        <v>2858.7797526264153</v>
      </c>
      <c r="F113" s="163">
        <v>0</v>
      </c>
      <c r="G113" s="16">
        <f t="shared" si="7"/>
        <v>259986.43170688735</v>
      </c>
      <c r="I113" s="21">
        <f t="shared" si="9"/>
        <v>240013.56829311256</v>
      </c>
      <c r="J113" s="16">
        <f t="shared" si="10"/>
        <v>167245.14947878299</v>
      </c>
    </row>
    <row r="114" spans="2:10" hidden="1" outlineLevel="1" x14ac:dyDescent="0.2">
      <c r="B114" s="44">
        <v>47331</v>
      </c>
      <c r="C114" s="15">
        <f t="shared" si="8"/>
        <v>259986.43170688735</v>
      </c>
      <c r="D114" s="16">
        <f t="shared" si="6"/>
        <v>1083.2767987786972</v>
      </c>
      <c r="E114" s="21">
        <f t="shared" si="11"/>
        <v>2870.6913349290253</v>
      </c>
      <c r="F114" s="162">
        <v>0</v>
      </c>
      <c r="G114" s="16">
        <f t="shared" si="7"/>
        <v>257115.74037195832</v>
      </c>
      <c r="I114" s="21">
        <f t="shared" si="9"/>
        <v>242884.25962804159</v>
      </c>
      <c r="J114" s="16">
        <f t="shared" si="10"/>
        <v>168328.4262775617</v>
      </c>
    </row>
    <row r="115" spans="2:10" hidden="1" outlineLevel="1" x14ac:dyDescent="0.2">
      <c r="B115" s="44">
        <v>47362</v>
      </c>
      <c r="C115" s="15">
        <f t="shared" si="8"/>
        <v>257115.74037195832</v>
      </c>
      <c r="D115" s="16">
        <f t="shared" si="6"/>
        <v>1071.3155848831598</v>
      </c>
      <c r="E115" s="21">
        <f t="shared" si="11"/>
        <v>2882.6525488245629</v>
      </c>
      <c r="F115" s="163">
        <v>0</v>
      </c>
      <c r="G115" s="16">
        <f t="shared" si="7"/>
        <v>254233.08782313377</v>
      </c>
      <c r="I115" s="21">
        <f t="shared" si="9"/>
        <v>245766.91217686614</v>
      </c>
      <c r="J115" s="16">
        <f t="shared" si="10"/>
        <v>169399.74186244485</v>
      </c>
    </row>
    <row r="116" spans="2:10" hidden="1" outlineLevel="1" x14ac:dyDescent="0.2">
      <c r="B116" s="44">
        <v>47392</v>
      </c>
      <c r="C116" s="15">
        <f t="shared" si="8"/>
        <v>254233.08782313377</v>
      </c>
      <c r="D116" s="16">
        <f t="shared" si="6"/>
        <v>1059.3045325963908</v>
      </c>
      <c r="E116" s="21">
        <f t="shared" si="11"/>
        <v>2894.6636011113319</v>
      </c>
      <c r="F116" s="162">
        <v>0</v>
      </c>
      <c r="G116" s="16">
        <f t="shared" si="7"/>
        <v>251338.42422202244</v>
      </c>
      <c r="I116" s="21">
        <f t="shared" si="9"/>
        <v>248661.57577797747</v>
      </c>
      <c r="J116" s="16">
        <f t="shared" si="10"/>
        <v>170459.04639504125</v>
      </c>
    </row>
    <row r="117" spans="2:10" hidden="1" outlineLevel="1" x14ac:dyDescent="0.2">
      <c r="B117" s="44">
        <v>47423</v>
      </c>
      <c r="C117" s="15">
        <f t="shared" si="8"/>
        <v>251338.42422202244</v>
      </c>
      <c r="D117" s="16">
        <f t="shared" si="6"/>
        <v>1047.2434342584268</v>
      </c>
      <c r="E117" s="21">
        <f t="shared" si="11"/>
        <v>2906.7246994492962</v>
      </c>
      <c r="F117" s="163">
        <v>0</v>
      </c>
      <c r="G117" s="16">
        <f t="shared" si="7"/>
        <v>248431.69952257315</v>
      </c>
      <c r="I117" s="21">
        <f t="shared" si="9"/>
        <v>251568.30047742676</v>
      </c>
      <c r="J117" s="16">
        <f t="shared" si="10"/>
        <v>171506.28982929967</v>
      </c>
    </row>
    <row r="118" spans="2:10" hidden="1" outlineLevel="1" x14ac:dyDescent="0.2">
      <c r="B118" s="44">
        <v>47453</v>
      </c>
      <c r="C118" s="15">
        <f t="shared" si="8"/>
        <v>248431.69952257315</v>
      </c>
      <c r="D118" s="16">
        <f t="shared" si="6"/>
        <v>1035.1320813440548</v>
      </c>
      <c r="E118" s="21">
        <f t="shared" si="11"/>
        <v>2918.8360523636679</v>
      </c>
      <c r="F118" s="162">
        <v>0</v>
      </c>
      <c r="G118" s="16">
        <f t="shared" si="7"/>
        <v>245512.86347020947</v>
      </c>
      <c r="I118" s="21">
        <f t="shared" si="9"/>
        <v>254487.13652979044</v>
      </c>
      <c r="J118" s="16">
        <f t="shared" si="10"/>
        <v>172541.42191064372</v>
      </c>
    </row>
    <row r="119" spans="2:10" hidden="1" outlineLevel="1" x14ac:dyDescent="0.2">
      <c r="B119" s="44">
        <v>47484</v>
      </c>
      <c r="C119" s="15">
        <f t="shared" si="8"/>
        <v>245512.86347020947</v>
      </c>
      <c r="D119" s="16">
        <f t="shared" si="6"/>
        <v>1022.9702644592061</v>
      </c>
      <c r="E119" s="21">
        <f t="shared" si="11"/>
        <v>2930.9978692485165</v>
      </c>
      <c r="F119" s="163">
        <v>0</v>
      </c>
      <c r="G119" s="16">
        <f t="shared" si="7"/>
        <v>242581.86560096097</v>
      </c>
      <c r="I119" s="21">
        <f t="shared" si="9"/>
        <v>257418.13439903897</v>
      </c>
      <c r="J119" s="16">
        <f t="shared" si="10"/>
        <v>173564.39217510293</v>
      </c>
    </row>
    <row r="120" spans="2:10" hidden="1" outlineLevel="1" x14ac:dyDescent="0.2">
      <c r="B120" s="44">
        <v>47515</v>
      </c>
      <c r="C120" s="15">
        <f t="shared" si="8"/>
        <v>242581.86560096097</v>
      </c>
      <c r="D120" s="16">
        <f t="shared" si="6"/>
        <v>1010.7577733373373</v>
      </c>
      <c r="E120" s="21">
        <f t="shared" si="11"/>
        <v>2943.2103603703854</v>
      </c>
      <c r="F120" s="162">
        <v>0</v>
      </c>
      <c r="G120" s="16">
        <f t="shared" si="7"/>
        <v>239638.6552405906</v>
      </c>
      <c r="I120" s="21">
        <f t="shared" si="9"/>
        <v>260361.34475940934</v>
      </c>
      <c r="J120" s="16">
        <f t="shared" si="10"/>
        <v>174575.14994844026</v>
      </c>
    </row>
    <row r="121" spans="2:10" hidden="1" outlineLevel="1" x14ac:dyDescent="0.2">
      <c r="B121" s="44">
        <v>47543</v>
      </c>
      <c r="C121" s="15">
        <f t="shared" si="8"/>
        <v>239638.6552405906</v>
      </c>
      <c r="D121" s="16">
        <f t="shared" si="6"/>
        <v>998.49439683579419</v>
      </c>
      <c r="E121" s="21">
        <f t="shared" si="11"/>
        <v>2955.4737368719284</v>
      </c>
      <c r="F121" s="163">
        <v>0</v>
      </c>
      <c r="G121" s="16">
        <f t="shared" si="7"/>
        <v>236683.18150371866</v>
      </c>
      <c r="I121" s="21">
        <f t="shared" si="9"/>
        <v>263316.81849628128</v>
      </c>
      <c r="J121" s="16">
        <f t="shared" si="10"/>
        <v>175573.64434527606</v>
      </c>
    </row>
    <row r="122" spans="2:10" hidden="1" outlineLevel="1" x14ac:dyDescent="0.2">
      <c r="B122" s="44">
        <v>47574</v>
      </c>
      <c r="C122" s="15">
        <f t="shared" si="8"/>
        <v>236683.18150371866</v>
      </c>
      <c r="D122" s="16">
        <f t="shared" si="6"/>
        <v>986.17992293216105</v>
      </c>
      <c r="E122" s="21">
        <f t="shared" si="11"/>
        <v>2967.7882107755618</v>
      </c>
      <c r="F122" s="162">
        <v>0</v>
      </c>
      <c r="G122" s="16">
        <f t="shared" si="7"/>
        <v>233715.3932929431</v>
      </c>
      <c r="I122" s="21">
        <f t="shared" si="9"/>
        <v>266284.60670705687</v>
      </c>
      <c r="J122" s="16">
        <f t="shared" si="10"/>
        <v>176559.82426820821</v>
      </c>
    </row>
    <row r="123" spans="2:10" hidden="1" outlineLevel="1" x14ac:dyDescent="0.2">
      <c r="B123" s="44">
        <v>47604</v>
      </c>
      <c r="C123" s="15">
        <f t="shared" si="8"/>
        <v>233715.3932929431</v>
      </c>
      <c r="D123" s="16">
        <f t="shared" si="6"/>
        <v>973.81413872059625</v>
      </c>
      <c r="E123" s="21">
        <f t="shared" si="11"/>
        <v>2980.1539949871267</v>
      </c>
      <c r="F123" s="163">
        <v>0</v>
      </c>
      <c r="G123" s="16">
        <f t="shared" si="7"/>
        <v>230735.23929795597</v>
      </c>
      <c r="I123" s="21">
        <f t="shared" si="9"/>
        <v>269264.760702044</v>
      </c>
      <c r="J123" s="16">
        <f t="shared" si="10"/>
        <v>177533.6384069288</v>
      </c>
    </row>
    <row r="124" spans="2:10" hidden="1" outlineLevel="1" x14ac:dyDescent="0.2">
      <c r="B124" s="44">
        <v>47635</v>
      </c>
      <c r="C124" s="15">
        <f t="shared" si="8"/>
        <v>230735.23929795597</v>
      </c>
      <c r="D124" s="16">
        <f t="shared" si="6"/>
        <v>961.39683040814987</v>
      </c>
      <c r="E124" s="21">
        <f t="shared" si="11"/>
        <v>2992.5713032995727</v>
      </c>
      <c r="F124" s="162">
        <v>0</v>
      </c>
      <c r="G124" s="16">
        <f t="shared" si="7"/>
        <v>227742.6679946564</v>
      </c>
      <c r="I124" s="21">
        <f t="shared" si="9"/>
        <v>272257.33200534357</v>
      </c>
      <c r="J124" s="16">
        <f t="shared" si="10"/>
        <v>178495.03523733694</v>
      </c>
    </row>
    <row r="125" spans="2:10" hidden="1" outlineLevel="1" x14ac:dyDescent="0.2">
      <c r="B125" s="44">
        <v>47665</v>
      </c>
      <c r="C125" s="15">
        <f t="shared" si="8"/>
        <v>227742.6679946564</v>
      </c>
      <c r="D125" s="16">
        <f t="shared" si="6"/>
        <v>948.92778331106831</v>
      </c>
      <c r="E125" s="21">
        <f t="shared" si="11"/>
        <v>3005.0403503966545</v>
      </c>
      <c r="F125" s="163">
        <v>0</v>
      </c>
      <c r="G125" s="16">
        <f t="shared" si="7"/>
        <v>224737.62764425974</v>
      </c>
      <c r="I125" s="21">
        <f t="shared" si="9"/>
        <v>275262.37235574023</v>
      </c>
      <c r="J125" s="16">
        <f t="shared" si="10"/>
        <v>179443.96302064802</v>
      </c>
    </row>
    <row r="126" spans="2:10" hidden="1" outlineLevel="1" x14ac:dyDescent="0.2">
      <c r="B126" s="44">
        <v>47696</v>
      </c>
      <c r="C126" s="15">
        <f t="shared" si="8"/>
        <v>224737.62764425974</v>
      </c>
      <c r="D126" s="16">
        <f t="shared" si="6"/>
        <v>936.4067818510822</v>
      </c>
      <c r="E126" s="21">
        <f t="shared" si="11"/>
        <v>3017.5613518566406</v>
      </c>
      <c r="F126" s="162">
        <v>0</v>
      </c>
      <c r="G126" s="16">
        <f t="shared" si="7"/>
        <v>221720.06629240309</v>
      </c>
      <c r="I126" s="21">
        <f t="shared" si="9"/>
        <v>278279.93370759685</v>
      </c>
      <c r="J126" s="16">
        <f t="shared" si="10"/>
        <v>180380.3698024991</v>
      </c>
    </row>
    <row r="127" spans="2:10" hidden="1" outlineLevel="1" x14ac:dyDescent="0.2">
      <c r="B127" s="44">
        <v>47727</v>
      </c>
      <c r="C127" s="15">
        <f t="shared" si="8"/>
        <v>221720.06629240309</v>
      </c>
      <c r="D127" s="16">
        <f t="shared" si="6"/>
        <v>923.8336095516795</v>
      </c>
      <c r="E127" s="21">
        <f t="shared" si="11"/>
        <v>3030.134524156043</v>
      </c>
      <c r="F127" s="163">
        <v>0</v>
      </c>
      <c r="G127" s="16">
        <f t="shared" si="7"/>
        <v>218689.93176824704</v>
      </c>
      <c r="I127" s="21">
        <f t="shared" si="9"/>
        <v>281310.0682317529</v>
      </c>
      <c r="J127" s="16">
        <f t="shared" si="10"/>
        <v>181304.20341205079</v>
      </c>
    </row>
    <row r="128" spans="2:10" hidden="1" outlineLevel="1" x14ac:dyDescent="0.2">
      <c r="B128" s="44">
        <v>47757</v>
      </c>
      <c r="C128" s="15">
        <f t="shared" si="8"/>
        <v>218689.93176824704</v>
      </c>
      <c r="D128" s="16">
        <f t="shared" si="6"/>
        <v>911.20804903436272</v>
      </c>
      <c r="E128" s="21">
        <f t="shared" si="11"/>
        <v>3042.7600846733599</v>
      </c>
      <c r="F128" s="162">
        <v>0</v>
      </c>
      <c r="G128" s="16">
        <f t="shared" si="7"/>
        <v>215647.17168357369</v>
      </c>
      <c r="I128" s="21">
        <f t="shared" si="9"/>
        <v>284352.82831642625</v>
      </c>
      <c r="J128" s="16">
        <f t="shared" si="10"/>
        <v>182215.41146108514</v>
      </c>
    </row>
    <row r="129" spans="2:10" hidden="1" outlineLevel="1" x14ac:dyDescent="0.2">
      <c r="B129" s="44">
        <v>47788</v>
      </c>
      <c r="C129" s="15">
        <f t="shared" si="8"/>
        <v>215647.17168357369</v>
      </c>
      <c r="D129" s="16">
        <f t="shared" si="6"/>
        <v>898.5298820148904</v>
      </c>
      <c r="E129" s="21">
        <f t="shared" si="11"/>
        <v>3055.4382516928322</v>
      </c>
      <c r="F129" s="163">
        <v>0</v>
      </c>
      <c r="G129" s="16">
        <f t="shared" si="7"/>
        <v>212591.73343188086</v>
      </c>
      <c r="I129" s="21">
        <f t="shared" si="9"/>
        <v>287408.26656811911</v>
      </c>
      <c r="J129" s="16">
        <f t="shared" si="10"/>
        <v>183113.94134310004</v>
      </c>
    </row>
    <row r="130" spans="2:10" hidden="1" outlineLevel="1" x14ac:dyDescent="0.2">
      <c r="B130" s="44">
        <v>47818</v>
      </c>
      <c r="C130" s="15">
        <f t="shared" si="8"/>
        <v>212591.73343188086</v>
      </c>
      <c r="D130" s="16">
        <f t="shared" si="6"/>
        <v>885.79888929950357</v>
      </c>
      <c r="E130" s="21">
        <f t="shared" si="11"/>
        <v>3068.1692444082191</v>
      </c>
      <c r="F130" s="162">
        <v>0</v>
      </c>
      <c r="G130" s="16">
        <f t="shared" si="7"/>
        <v>209523.56418747263</v>
      </c>
      <c r="I130" s="21">
        <f t="shared" si="9"/>
        <v>290476.43581252731</v>
      </c>
      <c r="J130" s="16">
        <f t="shared" si="10"/>
        <v>183999.74023239955</v>
      </c>
    </row>
    <row r="131" spans="2:10" hidden="1" outlineLevel="1" x14ac:dyDescent="0.2">
      <c r="B131" s="44">
        <v>47849</v>
      </c>
      <c r="C131" s="15">
        <f t="shared" si="8"/>
        <v>209523.56418747263</v>
      </c>
      <c r="D131" s="16">
        <f t="shared" si="6"/>
        <v>873.01485078113592</v>
      </c>
      <c r="E131" s="21">
        <f t="shared" si="11"/>
        <v>3080.9532829265868</v>
      </c>
      <c r="F131" s="163">
        <v>0</v>
      </c>
      <c r="G131" s="16">
        <f t="shared" si="7"/>
        <v>206442.61090454605</v>
      </c>
      <c r="I131" s="21">
        <f t="shared" si="9"/>
        <v>293557.38909545389</v>
      </c>
      <c r="J131" s="16">
        <f t="shared" si="10"/>
        <v>184872.75508318067</v>
      </c>
    </row>
    <row r="132" spans="2:10" hidden="1" outlineLevel="1" x14ac:dyDescent="0.2">
      <c r="B132" s="44">
        <v>47880</v>
      </c>
      <c r="C132" s="15">
        <f t="shared" si="8"/>
        <v>206442.61090454605</v>
      </c>
      <c r="D132" s="16">
        <f t="shared" si="6"/>
        <v>860.17754543560852</v>
      </c>
      <c r="E132" s="21">
        <f t="shared" si="11"/>
        <v>3093.7905882721143</v>
      </c>
      <c r="F132" s="162">
        <v>0</v>
      </c>
      <c r="G132" s="16">
        <f t="shared" si="7"/>
        <v>203348.82031627392</v>
      </c>
      <c r="I132" s="21">
        <f t="shared" si="9"/>
        <v>296651.17968372599</v>
      </c>
      <c r="J132" s="16">
        <f t="shared" si="10"/>
        <v>185732.93262861628</v>
      </c>
    </row>
    <row r="133" spans="2:10" hidden="1" outlineLevel="1" x14ac:dyDescent="0.2">
      <c r="B133" s="44">
        <v>47908</v>
      </c>
      <c r="C133" s="15">
        <f t="shared" si="8"/>
        <v>203348.82031627392</v>
      </c>
      <c r="D133" s="16">
        <f t="shared" si="6"/>
        <v>847.28675131780801</v>
      </c>
      <c r="E133" s="21">
        <f t="shared" si="11"/>
        <v>3106.6813823899147</v>
      </c>
      <c r="F133" s="163">
        <v>0</v>
      </c>
      <c r="G133" s="16">
        <f t="shared" si="7"/>
        <v>200242.13893388401</v>
      </c>
      <c r="I133" s="21">
        <f t="shared" si="9"/>
        <v>299757.8610661159</v>
      </c>
      <c r="J133" s="16">
        <f t="shared" si="10"/>
        <v>186580.2193799341</v>
      </c>
    </row>
    <row r="134" spans="2:10" hidden="1" outlineLevel="1" x14ac:dyDescent="0.2">
      <c r="B134" s="44">
        <v>47939</v>
      </c>
      <c r="C134" s="15">
        <f t="shared" si="8"/>
        <v>200242.13893388401</v>
      </c>
      <c r="D134" s="16">
        <f t="shared" si="6"/>
        <v>834.34224555784999</v>
      </c>
      <c r="E134" s="21">
        <f t="shared" si="11"/>
        <v>3119.6258881498725</v>
      </c>
      <c r="F134" s="162">
        <v>0</v>
      </c>
      <c r="G134" s="16">
        <f t="shared" si="7"/>
        <v>197122.51304573414</v>
      </c>
      <c r="I134" s="21">
        <f t="shared" si="9"/>
        <v>302877.4869542658</v>
      </c>
      <c r="J134" s="16">
        <f t="shared" si="10"/>
        <v>187414.56162549194</v>
      </c>
    </row>
    <row r="135" spans="2:10" hidden="1" outlineLevel="1" x14ac:dyDescent="0.2">
      <c r="B135" s="44">
        <v>47969</v>
      </c>
      <c r="C135" s="15">
        <f t="shared" si="8"/>
        <v>197122.51304573414</v>
      </c>
      <c r="D135" s="16">
        <f t="shared" ref="D135:D198" si="12">C135*E$6</f>
        <v>821.34380435722562</v>
      </c>
      <c r="E135" s="21">
        <f t="shared" si="11"/>
        <v>3132.6243293504972</v>
      </c>
      <c r="F135" s="163">
        <v>0</v>
      </c>
      <c r="G135" s="16">
        <f t="shared" si="7"/>
        <v>193989.88871638363</v>
      </c>
      <c r="I135" s="21">
        <f t="shared" si="9"/>
        <v>306010.11128361628</v>
      </c>
      <c r="J135" s="16">
        <f t="shared" si="10"/>
        <v>188235.90542984917</v>
      </c>
    </row>
    <row r="136" spans="2:10" hidden="1" outlineLevel="1" x14ac:dyDescent="0.2">
      <c r="B136" s="44">
        <v>48000</v>
      </c>
      <c r="C136" s="15">
        <f t="shared" si="8"/>
        <v>193989.88871638363</v>
      </c>
      <c r="D136" s="16">
        <f t="shared" si="12"/>
        <v>808.29120298493183</v>
      </c>
      <c r="E136" s="21">
        <f t="shared" si="11"/>
        <v>3145.676930722791</v>
      </c>
      <c r="F136" s="162">
        <v>0</v>
      </c>
      <c r="G136" s="16">
        <f t="shared" si="7"/>
        <v>190844.21178566085</v>
      </c>
      <c r="I136" s="21">
        <f t="shared" si="9"/>
        <v>309155.78821433906</v>
      </c>
      <c r="J136" s="16">
        <f t="shared" si="10"/>
        <v>189044.19663283409</v>
      </c>
    </row>
    <row r="137" spans="2:10" hidden="1" outlineLevel="1" x14ac:dyDescent="0.2">
      <c r="B137" s="44">
        <v>48030</v>
      </c>
      <c r="C137" s="15">
        <f t="shared" si="8"/>
        <v>190844.21178566085</v>
      </c>
      <c r="D137" s="16">
        <f t="shared" si="12"/>
        <v>795.18421577358686</v>
      </c>
      <c r="E137" s="21">
        <f t="shared" si="11"/>
        <v>3158.7839179341358</v>
      </c>
      <c r="F137" s="163">
        <v>0</v>
      </c>
      <c r="G137" s="16">
        <f t="shared" si="7"/>
        <v>187685.42786772671</v>
      </c>
      <c r="I137" s="21">
        <f t="shared" si="9"/>
        <v>312314.57213227317</v>
      </c>
      <c r="J137" s="16">
        <f t="shared" si="10"/>
        <v>189839.38084860769</v>
      </c>
    </row>
    <row r="138" spans="2:10" hidden="1" outlineLevel="1" x14ac:dyDescent="0.2">
      <c r="B138" s="44">
        <v>48061</v>
      </c>
      <c r="C138" s="15">
        <f t="shared" si="8"/>
        <v>187685.42786772671</v>
      </c>
      <c r="D138" s="16">
        <f t="shared" si="12"/>
        <v>782.02261611552797</v>
      </c>
      <c r="E138" s="21">
        <f t="shared" si="11"/>
        <v>3171.9455175921948</v>
      </c>
      <c r="F138" s="162">
        <v>0</v>
      </c>
      <c r="G138" s="16">
        <f t="shared" si="7"/>
        <v>184513.48235013452</v>
      </c>
      <c r="I138" s="21">
        <f t="shared" si="9"/>
        <v>315486.51764986536</v>
      </c>
      <c r="J138" s="16">
        <f t="shared" si="10"/>
        <v>190621.4034647232</v>
      </c>
    </row>
    <row r="139" spans="2:10" hidden="1" outlineLevel="1" x14ac:dyDescent="0.2">
      <c r="B139" s="44">
        <v>48092</v>
      </c>
      <c r="C139" s="15">
        <f t="shared" si="8"/>
        <v>184513.48235013452</v>
      </c>
      <c r="D139" s="16">
        <f t="shared" si="12"/>
        <v>768.80617645889379</v>
      </c>
      <c r="E139" s="21">
        <f t="shared" si="11"/>
        <v>3185.1619572488289</v>
      </c>
      <c r="F139" s="163">
        <v>0</v>
      </c>
      <c r="G139" s="16">
        <f t="shared" ref="G139:G202" si="13">C139-E139-F139</f>
        <v>181328.32039288568</v>
      </c>
      <c r="I139" s="21">
        <f t="shared" si="9"/>
        <v>318671.67960711417</v>
      </c>
      <c r="J139" s="16">
        <f t="shared" si="10"/>
        <v>191390.2096411821</v>
      </c>
    </row>
    <row r="140" spans="2:10" hidden="1" outlineLevel="1" x14ac:dyDescent="0.2">
      <c r="B140" s="44">
        <v>48122</v>
      </c>
      <c r="C140" s="15">
        <f t="shared" ref="C140:C203" si="14">G139</f>
        <v>181328.32039288568</v>
      </c>
      <c r="D140" s="16">
        <f t="shared" si="12"/>
        <v>755.5346683036903</v>
      </c>
      <c r="E140" s="21">
        <f t="shared" si="11"/>
        <v>3198.4334654040322</v>
      </c>
      <c r="F140" s="162">
        <v>0</v>
      </c>
      <c r="G140" s="16">
        <f t="shared" si="13"/>
        <v>178129.88692748165</v>
      </c>
      <c r="I140" s="21">
        <f t="shared" ref="I140:I203" si="15">I139+E140</f>
        <v>321870.1130725182</v>
      </c>
      <c r="J140" s="16">
        <f t="shared" ref="J140:J203" si="16">J139+D140</f>
        <v>192145.74430948577</v>
      </c>
    </row>
    <row r="141" spans="2:10" hidden="1" outlineLevel="1" x14ac:dyDescent="0.2">
      <c r="B141" s="44">
        <v>48153</v>
      </c>
      <c r="C141" s="15">
        <f t="shared" si="14"/>
        <v>178129.88692748165</v>
      </c>
      <c r="D141" s="16">
        <f t="shared" si="12"/>
        <v>742.2078621978402</v>
      </c>
      <c r="E141" s="21">
        <f t="shared" ref="E141:E204" si="17">E$8-D141</f>
        <v>3211.7602715098824</v>
      </c>
      <c r="F141" s="163">
        <v>0</v>
      </c>
      <c r="G141" s="16">
        <f t="shared" si="13"/>
        <v>174918.12665597178</v>
      </c>
      <c r="I141" s="21">
        <f t="shared" si="15"/>
        <v>325081.87334402808</v>
      </c>
      <c r="J141" s="16">
        <f t="shared" si="16"/>
        <v>192887.9521716836</v>
      </c>
    </row>
    <row r="142" spans="2:10" hidden="1" outlineLevel="1" x14ac:dyDescent="0.2">
      <c r="B142" s="44">
        <v>48183</v>
      </c>
      <c r="C142" s="15">
        <f t="shared" si="14"/>
        <v>174918.12665597178</v>
      </c>
      <c r="D142" s="16">
        <f t="shared" si="12"/>
        <v>728.82552773321572</v>
      </c>
      <c r="E142" s="21">
        <f t="shared" si="17"/>
        <v>3225.1426059745072</v>
      </c>
      <c r="F142" s="162">
        <v>0</v>
      </c>
      <c r="G142" s="16">
        <f t="shared" si="13"/>
        <v>171692.98404999726</v>
      </c>
      <c r="I142" s="21">
        <f t="shared" si="15"/>
        <v>328307.01595000259</v>
      </c>
      <c r="J142" s="16">
        <f t="shared" si="16"/>
        <v>193616.77769941682</v>
      </c>
    </row>
    <row r="143" spans="2:10" hidden="1" outlineLevel="1" x14ac:dyDescent="0.2">
      <c r="B143" s="44">
        <v>48214</v>
      </c>
      <c r="C143" s="15">
        <f t="shared" si="14"/>
        <v>171692.98404999726</v>
      </c>
      <c r="D143" s="16">
        <f t="shared" si="12"/>
        <v>715.38743354165524</v>
      </c>
      <c r="E143" s="21">
        <f t="shared" si="17"/>
        <v>3238.5807001660673</v>
      </c>
      <c r="F143" s="163">
        <v>0</v>
      </c>
      <c r="G143" s="16">
        <f t="shared" si="13"/>
        <v>168454.40334983121</v>
      </c>
      <c r="I143" s="21">
        <f t="shared" si="15"/>
        <v>331545.59665016865</v>
      </c>
      <c r="J143" s="16">
        <f t="shared" si="16"/>
        <v>194332.16513295847</v>
      </c>
    </row>
    <row r="144" spans="2:10" hidden="1" outlineLevel="1" x14ac:dyDescent="0.2">
      <c r="B144" s="44">
        <v>48245</v>
      </c>
      <c r="C144" s="15">
        <f t="shared" si="14"/>
        <v>168454.40334983121</v>
      </c>
      <c r="D144" s="16">
        <f t="shared" si="12"/>
        <v>701.89334729096333</v>
      </c>
      <c r="E144" s="21">
        <f t="shared" si="17"/>
        <v>3252.0747864167593</v>
      </c>
      <c r="F144" s="162">
        <v>0</v>
      </c>
      <c r="G144" s="16">
        <f t="shared" si="13"/>
        <v>165202.32856341446</v>
      </c>
      <c r="I144" s="21">
        <f t="shared" si="15"/>
        <v>334797.67143658543</v>
      </c>
      <c r="J144" s="16">
        <f t="shared" si="16"/>
        <v>195034.05848024943</v>
      </c>
    </row>
    <row r="145" spans="2:10" hidden="1" outlineLevel="1" x14ac:dyDescent="0.2">
      <c r="B145" s="44">
        <v>48274</v>
      </c>
      <c r="C145" s="15">
        <f t="shared" si="14"/>
        <v>165202.32856341446</v>
      </c>
      <c r="D145" s="16">
        <f t="shared" si="12"/>
        <v>688.34303568089354</v>
      </c>
      <c r="E145" s="21">
        <f t="shared" si="17"/>
        <v>3265.6250980268292</v>
      </c>
      <c r="F145" s="163">
        <v>0</v>
      </c>
      <c r="G145" s="16">
        <f t="shared" si="13"/>
        <v>161936.70346538763</v>
      </c>
      <c r="I145" s="21">
        <f t="shared" si="15"/>
        <v>338063.29653461225</v>
      </c>
      <c r="J145" s="16">
        <f t="shared" si="16"/>
        <v>195722.40151593031</v>
      </c>
    </row>
    <row r="146" spans="2:10" hidden="1" outlineLevel="1" x14ac:dyDescent="0.2">
      <c r="B146" s="44">
        <v>48305</v>
      </c>
      <c r="C146" s="15">
        <f t="shared" si="14"/>
        <v>161936.70346538763</v>
      </c>
      <c r="D146" s="16">
        <f t="shared" si="12"/>
        <v>674.73626443911508</v>
      </c>
      <c r="E146" s="21">
        <f t="shared" si="17"/>
        <v>3279.2318692686076</v>
      </c>
      <c r="F146" s="162">
        <v>0</v>
      </c>
      <c r="G146" s="16">
        <f t="shared" si="13"/>
        <v>158657.47159611902</v>
      </c>
      <c r="I146" s="21">
        <f t="shared" si="15"/>
        <v>341342.52840388083</v>
      </c>
      <c r="J146" s="16">
        <f t="shared" si="16"/>
        <v>196397.13778036943</v>
      </c>
    </row>
    <row r="147" spans="2:10" hidden="1" outlineLevel="1" x14ac:dyDescent="0.2">
      <c r="B147" s="44">
        <v>48335</v>
      </c>
      <c r="C147" s="15">
        <f t="shared" si="14"/>
        <v>158657.47159611902</v>
      </c>
      <c r="D147" s="16">
        <f t="shared" si="12"/>
        <v>661.07279831716255</v>
      </c>
      <c r="E147" s="21">
        <f t="shared" si="17"/>
        <v>3292.8953353905599</v>
      </c>
      <c r="F147" s="163">
        <v>0</v>
      </c>
      <c r="G147" s="16">
        <f t="shared" si="13"/>
        <v>155364.57626072847</v>
      </c>
      <c r="I147" s="21">
        <f t="shared" si="15"/>
        <v>344635.42373927141</v>
      </c>
      <c r="J147" s="16">
        <f t="shared" si="16"/>
        <v>197058.21057868659</v>
      </c>
    </row>
    <row r="148" spans="2:10" hidden="1" outlineLevel="1" x14ac:dyDescent="0.2">
      <c r="B148" s="44">
        <v>48366</v>
      </c>
      <c r="C148" s="15">
        <f t="shared" si="14"/>
        <v>155364.57626072847</v>
      </c>
      <c r="D148" s="16">
        <f t="shared" si="12"/>
        <v>647.35240108636867</v>
      </c>
      <c r="E148" s="21">
        <f t="shared" si="17"/>
        <v>3306.6157326213543</v>
      </c>
      <c r="F148" s="162">
        <v>0</v>
      </c>
      <c r="G148" s="16">
        <f t="shared" si="13"/>
        <v>152057.96052810713</v>
      </c>
      <c r="I148" s="21">
        <f t="shared" si="15"/>
        <v>347942.03947189276</v>
      </c>
      <c r="J148" s="16">
        <f t="shared" si="16"/>
        <v>197705.56297977295</v>
      </c>
    </row>
    <row r="149" spans="2:10" hidden="1" outlineLevel="1" x14ac:dyDescent="0.2">
      <c r="B149" s="44">
        <v>48396</v>
      </c>
      <c r="C149" s="15">
        <f t="shared" si="14"/>
        <v>152057.96052810713</v>
      </c>
      <c r="D149" s="16">
        <f t="shared" si="12"/>
        <v>633.57483553377972</v>
      </c>
      <c r="E149" s="21">
        <f t="shared" si="17"/>
        <v>3320.3932981739431</v>
      </c>
      <c r="F149" s="163">
        <v>0</v>
      </c>
      <c r="G149" s="16">
        <f t="shared" si="13"/>
        <v>148737.56722993319</v>
      </c>
      <c r="I149" s="21">
        <f t="shared" si="15"/>
        <v>351262.43277006672</v>
      </c>
      <c r="J149" s="16">
        <f t="shared" si="16"/>
        <v>198339.13781530672</v>
      </c>
    </row>
    <row r="150" spans="2:10" hidden="1" outlineLevel="1" x14ac:dyDescent="0.2">
      <c r="B150" s="44">
        <v>48427</v>
      </c>
      <c r="C150" s="15">
        <f t="shared" si="14"/>
        <v>148737.56722993319</v>
      </c>
      <c r="D150" s="16">
        <f t="shared" si="12"/>
        <v>619.73986345805497</v>
      </c>
      <c r="E150" s="21">
        <f t="shared" si="17"/>
        <v>3334.2282702496677</v>
      </c>
      <c r="F150" s="162">
        <v>0</v>
      </c>
      <c r="G150" s="16">
        <f t="shared" si="13"/>
        <v>145403.33895968352</v>
      </c>
      <c r="I150" s="21">
        <f t="shared" si="15"/>
        <v>354596.66104031639</v>
      </c>
      <c r="J150" s="16">
        <f t="shared" si="16"/>
        <v>198958.87767876478</v>
      </c>
    </row>
    <row r="151" spans="2:10" hidden="1" outlineLevel="1" x14ac:dyDescent="0.2">
      <c r="B151" s="44">
        <v>48458</v>
      </c>
      <c r="C151" s="15">
        <f t="shared" si="14"/>
        <v>145403.33895968352</v>
      </c>
      <c r="D151" s="16">
        <f t="shared" si="12"/>
        <v>605.84724566534794</v>
      </c>
      <c r="E151" s="21">
        <f t="shared" si="17"/>
        <v>3348.1208880423746</v>
      </c>
      <c r="F151" s="163">
        <v>0</v>
      </c>
      <c r="G151" s="16">
        <f t="shared" si="13"/>
        <v>142055.21807164114</v>
      </c>
      <c r="I151" s="21">
        <f t="shared" si="15"/>
        <v>357944.78192835877</v>
      </c>
      <c r="J151" s="16">
        <f t="shared" si="16"/>
        <v>199564.72492443013</v>
      </c>
    </row>
    <row r="152" spans="2:10" hidden="1" outlineLevel="1" x14ac:dyDescent="0.2">
      <c r="B152" s="44">
        <v>48488</v>
      </c>
      <c r="C152" s="15">
        <f t="shared" si="14"/>
        <v>142055.21807164114</v>
      </c>
      <c r="D152" s="16">
        <f t="shared" si="12"/>
        <v>591.89674196517137</v>
      </c>
      <c r="E152" s="21">
        <f t="shared" si="17"/>
        <v>3362.0713917425514</v>
      </c>
      <c r="F152" s="162">
        <v>0</v>
      </c>
      <c r="G152" s="16">
        <f t="shared" si="13"/>
        <v>138693.14667989858</v>
      </c>
      <c r="I152" s="21">
        <f t="shared" si="15"/>
        <v>361306.85332010133</v>
      </c>
      <c r="J152" s="16">
        <f t="shared" si="16"/>
        <v>200156.62166639531</v>
      </c>
    </row>
    <row r="153" spans="2:10" hidden="1" outlineLevel="1" x14ac:dyDescent="0.2">
      <c r="B153" s="44">
        <v>48519</v>
      </c>
      <c r="C153" s="15">
        <f t="shared" si="14"/>
        <v>138693.14667989858</v>
      </c>
      <c r="D153" s="16">
        <f t="shared" si="12"/>
        <v>577.88811116624402</v>
      </c>
      <c r="E153" s="21">
        <f t="shared" si="17"/>
        <v>3376.0800225414787</v>
      </c>
      <c r="F153" s="163">
        <v>0</v>
      </c>
      <c r="G153" s="16">
        <f t="shared" si="13"/>
        <v>135317.06665735709</v>
      </c>
      <c r="I153" s="21">
        <f t="shared" si="15"/>
        <v>364682.93334264279</v>
      </c>
      <c r="J153" s="16">
        <f t="shared" si="16"/>
        <v>200734.50977756156</v>
      </c>
    </row>
    <row r="154" spans="2:10" hidden="1" outlineLevel="1" x14ac:dyDescent="0.2">
      <c r="B154" s="44">
        <v>48549</v>
      </c>
      <c r="C154" s="15">
        <f t="shared" si="14"/>
        <v>135317.06665735709</v>
      </c>
      <c r="D154" s="16">
        <f t="shared" si="12"/>
        <v>563.82111107232117</v>
      </c>
      <c r="E154" s="21">
        <f t="shared" si="17"/>
        <v>3390.1470226354013</v>
      </c>
      <c r="F154" s="162">
        <v>0</v>
      </c>
      <c r="G154" s="16">
        <f t="shared" si="13"/>
        <v>131926.91963472168</v>
      </c>
      <c r="I154" s="21">
        <f t="shared" si="15"/>
        <v>368073.08036527818</v>
      </c>
      <c r="J154" s="16">
        <f t="shared" si="16"/>
        <v>201298.33088863388</v>
      </c>
    </row>
    <row r="155" spans="2:10" hidden="1" outlineLevel="1" x14ac:dyDescent="0.2">
      <c r="B155" s="44">
        <v>48580</v>
      </c>
      <c r="C155" s="15">
        <f t="shared" si="14"/>
        <v>131926.91963472168</v>
      </c>
      <c r="D155" s="16">
        <f t="shared" si="12"/>
        <v>549.69549847800704</v>
      </c>
      <c r="E155" s="21">
        <f t="shared" si="17"/>
        <v>3404.2726352297159</v>
      </c>
      <c r="F155" s="163">
        <v>0</v>
      </c>
      <c r="G155" s="16">
        <f t="shared" si="13"/>
        <v>128522.64699949196</v>
      </c>
      <c r="I155" s="21">
        <f t="shared" si="15"/>
        <v>371477.35300050786</v>
      </c>
      <c r="J155" s="16">
        <f t="shared" si="16"/>
        <v>201848.0263871119</v>
      </c>
    </row>
    <row r="156" spans="2:10" hidden="1" outlineLevel="1" x14ac:dyDescent="0.2">
      <c r="B156" s="44">
        <v>48611</v>
      </c>
      <c r="C156" s="15">
        <f t="shared" si="14"/>
        <v>128522.64699949196</v>
      </c>
      <c r="D156" s="16">
        <f t="shared" si="12"/>
        <v>535.51102916454988</v>
      </c>
      <c r="E156" s="21">
        <f t="shared" si="17"/>
        <v>3418.457104543173</v>
      </c>
      <c r="F156" s="162">
        <v>0</v>
      </c>
      <c r="G156" s="16">
        <f t="shared" si="13"/>
        <v>125104.18989494879</v>
      </c>
      <c r="I156" s="21">
        <f t="shared" si="15"/>
        <v>374895.81010505103</v>
      </c>
      <c r="J156" s="16">
        <f t="shared" si="16"/>
        <v>202383.53741627643</v>
      </c>
    </row>
    <row r="157" spans="2:10" hidden="1" outlineLevel="1" x14ac:dyDescent="0.2">
      <c r="B157" s="44">
        <v>48639</v>
      </c>
      <c r="C157" s="15">
        <f t="shared" si="14"/>
        <v>125104.18989494879</v>
      </c>
      <c r="D157" s="16">
        <f t="shared" si="12"/>
        <v>521.26745789561994</v>
      </c>
      <c r="E157" s="21">
        <f t="shared" si="17"/>
        <v>3432.7006758121029</v>
      </c>
      <c r="F157" s="163">
        <v>0</v>
      </c>
      <c r="G157" s="16">
        <f t="shared" si="13"/>
        <v>121671.4892191367</v>
      </c>
      <c r="I157" s="21">
        <f t="shared" si="15"/>
        <v>378328.51078086311</v>
      </c>
      <c r="J157" s="16">
        <f t="shared" si="16"/>
        <v>202904.80487417206</v>
      </c>
    </row>
    <row r="158" spans="2:10" hidden="1" outlineLevel="1" x14ac:dyDescent="0.2">
      <c r="B158" s="44">
        <v>48670</v>
      </c>
      <c r="C158" s="15">
        <f t="shared" si="14"/>
        <v>121671.4892191367</v>
      </c>
      <c r="D158" s="16">
        <f t="shared" si="12"/>
        <v>506.96453841306953</v>
      </c>
      <c r="E158" s="21">
        <f t="shared" si="17"/>
        <v>3447.0035952946532</v>
      </c>
      <c r="F158" s="162">
        <v>0</v>
      </c>
      <c r="G158" s="16">
        <f t="shared" si="13"/>
        <v>118224.48562384205</v>
      </c>
      <c r="I158" s="21">
        <f t="shared" si="15"/>
        <v>381775.51437615778</v>
      </c>
      <c r="J158" s="16">
        <f t="shared" si="16"/>
        <v>203411.76941258513</v>
      </c>
    </row>
    <row r="159" spans="2:10" hidden="1" outlineLevel="1" x14ac:dyDescent="0.2">
      <c r="B159" s="44">
        <v>48700</v>
      </c>
      <c r="C159" s="15">
        <f t="shared" si="14"/>
        <v>118224.48562384205</v>
      </c>
      <c r="D159" s="16">
        <f t="shared" si="12"/>
        <v>492.6020234326752</v>
      </c>
      <c r="E159" s="21">
        <f t="shared" si="17"/>
        <v>3461.3661102750475</v>
      </c>
      <c r="F159" s="163">
        <v>0</v>
      </c>
      <c r="G159" s="16">
        <f t="shared" si="13"/>
        <v>114763.119513567</v>
      </c>
      <c r="I159" s="21">
        <f t="shared" si="15"/>
        <v>385236.88048643281</v>
      </c>
      <c r="J159" s="16">
        <f t="shared" si="16"/>
        <v>203904.3714360178</v>
      </c>
    </row>
    <row r="160" spans="2:10" hidden="1" outlineLevel="1" x14ac:dyDescent="0.2">
      <c r="B160" s="44">
        <v>48731</v>
      </c>
      <c r="C160" s="15">
        <f t="shared" si="14"/>
        <v>114763.119513567</v>
      </c>
      <c r="D160" s="16">
        <f t="shared" si="12"/>
        <v>478.17966463986249</v>
      </c>
      <c r="E160" s="21">
        <f t="shared" si="17"/>
        <v>3475.7884690678602</v>
      </c>
      <c r="F160" s="162">
        <v>0</v>
      </c>
      <c r="G160" s="16">
        <f t="shared" si="13"/>
        <v>111287.33104449914</v>
      </c>
      <c r="I160" s="21">
        <f t="shared" si="15"/>
        <v>388712.66895550065</v>
      </c>
      <c r="J160" s="16">
        <f t="shared" si="16"/>
        <v>204382.55110065767</v>
      </c>
    </row>
    <row r="161" spans="2:10" hidden="1" outlineLevel="1" x14ac:dyDescent="0.2">
      <c r="B161" s="44">
        <v>48761</v>
      </c>
      <c r="C161" s="15">
        <f t="shared" si="14"/>
        <v>111287.33104449914</v>
      </c>
      <c r="D161" s="16">
        <f t="shared" si="12"/>
        <v>463.69721268541304</v>
      </c>
      <c r="E161" s="21">
        <f t="shared" si="17"/>
        <v>3490.2709210223097</v>
      </c>
      <c r="F161" s="163">
        <v>0</v>
      </c>
      <c r="G161" s="16">
        <f t="shared" si="13"/>
        <v>107797.06012347683</v>
      </c>
      <c r="I161" s="21">
        <f t="shared" si="15"/>
        <v>392202.93987652293</v>
      </c>
      <c r="J161" s="16">
        <f t="shared" si="16"/>
        <v>204846.24831334309</v>
      </c>
    </row>
    <row r="162" spans="2:10" hidden="1" outlineLevel="1" x14ac:dyDescent="0.2">
      <c r="B162" s="44">
        <v>48792</v>
      </c>
      <c r="C162" s="15">
        <f t="shared" si="14"/>
        <v>107797.06012347683</v>
      </c>
      <c r="D162" s="16">
        <f t="shared" si="12"/>
        <v>449.15441718115341</v>
      </c>
      <c r="E162" s="21">
        <f t="shared" si="17"/>
        <v>3504.8137165265694</v>
      </c>
      <c r="F162" s="162">
        <v>0</v>
      </c>
      <c r="G162" s="16">
        <f t="shared" si="13"/>
        <v>104292.24640695026</v>
      </c>
      <c r="I162" s="21">
        <f t="shared" si="15"/>
        <v>395707.75359304948</v>
      </c>
      <c r="J162" s="16">
        <f t="shared" si="16"/>
        <v>205295.40273052425</v>
      </c>
    </row>
    <row r="163" spans="2:10" hidden="1" outlineLevel="1" x14ac:dyDescent="0.2">
      <c r="B163" s="44">
        <v>48823</v>
      </c>
      <c r="C163" s="15">
        <f t="shared" si="14"/>
        <v>104292.24640695026</v>
      </c>
      <c r="D163" s="16">
        <f t="shared" si="12"/>
        <v>434.55102669562609</v>
      </c>
      <c r="E163" s="21">
        <f t="shared" si="17"/>
        <v>3519.4171070120965</v>
      </c>
      <c r="F163" s="163">
        <v>0</v>
      </c>
      <c r="G163" s="16">
        <f t="shared" si="13"/>
        <v>100772.82929993817</v>
      </c>
      <c r="I163" s="21">
        <f t="shared" si="15"/>
        <v>399227.1707000616</v>
      </c>
      <c r="J163" s="16">
        <f t="shared" si="16"/>
        <v>205729.95375721986</v>
      </c>
    </row>
    <row r="164" spans="2:10" hidden="1" outlineLevel="1" x14ac:dyDescent="0.2">
      <c r="B164" s="44">
        <v>48853</v>
      </c>
      <c r="C164" s="15">
        <f t="shared" si="14"/>
        <v>100772.82929993817</v>
      </c>
      <c r="D164" s="16">
        <f t="shared" si="12"/>
        <v>419.88678874974238</v>
      </c>
      <c r="E164" s="21">
        <f t="shared" si="17"/>
        <v>3534.0813449579805</v>
      </c>
      <c r="F164" s="162">
        <v>0</v>
      </c>
      <c r="G164" s="16">
        <f t="shared" si="13"/>
        <v>97238.747954980179</v>
      </c>
      <c r="I164" s="21">
        <f t="shared" si="15"/>
        <v>402761.25204501959</v>
      </c>
      <c r="J164" s="16">
        <f t="shared" si="16"/>
        <v>206149.84054596961</v>
      </c>
    </row>
    <row r="165" spans="2:10" hidden="1" outlineLevel="1" x14ac:dyDescent="0.2">
      <c r="B165" s="44">
        <v>48884</v>
      </c>
      <c r="C165" s="15">
        <f t="shared" si="14"/>
        <v>97238.747954980179</v>
      </c>
      <c r="D165" s="16">
        <f t="shared" si="12"/>
        <v>405.1614498124174</v>
      </c>
      <c r="E165" s="21">
        <f t="shared" si="17"/>
        <v>3548.8066838953055</v>
      </c>
      <c r="F165" s="163">
        <v>0</v>
      </c>
      <c r="G165" s="16">
        <f t="shared" si="13"/>
        <v>93689.94127108487</v>
      </c>
      <c r="I165" s="21">
        <f t="shared" si="15"/>
        <v>406310.05872891488</v>
      </c>
      <c r="J165" s="16">
        <f t="shared" si="16"/>
        <v>206555.00199578202</v>
      </c>
    </row>
    <row r="166" spans="2:10" hidden="1" outlineLevel="1" x14ac:dyDescent="0.2">
      <c r="B166" s="44">
        <v>48914</v>
      </c>
      <c r="C166" s="15">
        <f t="shared" si="14"/>
        <v>93689.94127108487</v>
      </c>
      <c r="D166" s="16">
        <f t="shared" si="12"/>
        <v>390.37475529618695</v>
      </c>
      <c r="E166" s="21">
        <f t="shared" si="17"/>
        <v>3563.5933784115359</v>
      </c>
      <c r="F166" s="162">
        <v>0</v>
      </c>
      <c r="G166" s="16">
        <f t="shared" si="13"/>
        <v>90126.347892673337</v>
      </c>
      <c r="I166" s="21">
        <f t="shared" si="15"/>
        <v>409873.65210732643</v>
      </c>
      <c r="J166" s="16">
        <f t="shared" si="16"/>
        <v>206945.37675107821</v>
      </c>
    </row>
    <row r="167" spans="2:10" hidden="1" outlineLevel="1" x14ac:dyDescent="0.2">
      <c r="B167" s="44">
        <v>48945</v>
      </c>
      <c r="C167" s="15">
        <f t="shared" si="14"/>
        <v>90126.347892673337</v>
      </c>
      <c r="D167" s="16">
        <f t="shared" si="12"/>
        <v>375.52644955280556</v>
      </c>
      <c r="E167" s="21">
        <f t="shared" si="17"/>
        <v>3578.4416841549173</v>
      </c>
      <c r="F167" s="163">
        <v>0</v>
      </c>
      <c r="G167" s="16">
        <f t="shared" si="13"/>
        <v>86547.906208518427</v>
      </c>
      <c r="I167" s="21">
        <f t="shared" si="15"/>
        <v>413452.09379148134</v>
      </c>
      <c r="J167" s="16">
        <f t="shared" si="16"/>
        <v>207320.903200631</v>
      </c>
    </row>
    <row r="168" spans="2:10" hidden="1" outlineLevel="1" x14ac:dyDescent="0.2">
      <c r="B168" s="44">
        <v>48976</v>
      </c>
      <c r="C168" s="15">
        <f t="shared" si="14"/>
        <v>86547.906208518427</v>
      </c>
      <c r="D168" s="16">
        <f t="shared" si="12"/>
        <v>360.61627586882679</v>
      </c>
      <c r="E168" s="21">
        <f t="shared" si="17"/>
        <v>3593.3518578388957</v>
      </c>
      <c r="F168" s="162">
        <v>0</v>
      </c>
      <c r="G168" s="16">
        <f t="shared" si="13"/>
        <v>82954.554350679537</v>
      </c>
      <c r="I168" s="21">
        <f t="shared" si="15"/>
        <v>417045.44564932026</v>
      </c>
      <c r="J168" s="16">
        <f t="shared" si="16"/>
        <v>207681.51947649982</v>
      </c>
    </row>
    <row r="169" spans="2:10" hidden="1" outlineLevel="1" x14ac:dyDescent="0.2">
      <c r="B169" s="44">
        <v>49004</v>
      </c>
      <c r="C169" s="15">
        <f t="shared" si="14"/>
        <v>82954.554350679537</v>
      </c>
      <c r="D169" s="16">
        <f t="shared" si="12"/>
        <v>345.64397646116475</v>
      </c>
      <c r="E169" s="21">
        <f t="shared" si="17"/>
        <v>3608.3241572465581</v>
      </c>
      <c r="F169" s="163">
        <v>0</v>
      </c>
      <c r="G169" s="16">
        <f t="shared" si="13"/>
        <v>79346.230193432973</v>
      </c>
      <c r="I169" s="21">
        <f t="shared" si="15"/>
        <v>420653.76980656682</v>
      </c>
      <c r="J169" s="16">
        <f t="shared" si="16"/>
        <v>208027.16345296099</v>
      </c>
    </row>
    <row r="170" spans="2:10" hidden="1" outlineLevel="1" x14ac:dyDescent="0.2">
      <c r="B170" s="44">
        <v>49035</v>
      </c>
      <c r="C170" s="15">
        <f t="shared" si="14"/>
        <v>79346.230193432973</v>
      </c>
      <c r="D170" s="16">
        <f t="shared" si="12"/>
        <v>330.60929247263738</v>
      </c>
      <c r="E170" s="21">
        <f t="shared" si="17"/>
        <v>3623.3588412350855</v>
      </c>
      <c r="F170" s="162">
        <v>0</v>
      </c>
      <c r="G170" s="16">
        <f t="shared" si="13"/>
        <v>75722.871352197893</v>
      </c>
      <c r="I170" s="21">
        <f t="shared" si="15"/>
        <v>424277.12864780193</v>
      </c>
      <c r="J170" s="16">
        <f t="shared" si="16"/>
        <v>208357.77274543361</v>
      </c>
    </row>
    <row r="171" spans="2:10" hidden="1" outlineLevel="1" x14ac:dyDescent="0.2">
      <c r="B171" s="44">
        <v>49065</v>
      </c>
      <c r="C171" s="15">
        <f t="shared" si="14"/>
        <v>75722.871352197893</v>
      </c>
      <c r="D171" s="16">
        <f t="shared" si="12"/>
        <v>315.51196396749123</v>
      </c>
      <c r="E171" s="21">
        <f t="shared" si="17"/>
        <v>3638.4561697402314</v>
      </c>
      <c r="F171" s="163">
        <v>0</v>
      </c>
      <c r="G171" s="16">
        <f t="shared" si="13"/>
        <v>72084.415182457655</v>
      </c>
      <c r="I171" s="21">
        <f t="shared" si="15"/>
        <v>427915.58481754217</v>
      </c>
      <c r="J171" s="16">
        <f t="shared" si="16"/>
        <v>208673.28470940111</v>
      </c>
    </row>
    <row r="172" spans="2:10" hidden="1" outlineLevel="1" x14ac:dyDescent="0.2">
      <c r="B172" s="44">
        <v>49096</v>
      </c>
      <c r="C172" s="15">
        <f t="shared" si="14"/>
        <v>72084.415182457655</v>
      </c>
      <c r="D172" s="16">
        <f t="shared" si="12"/>
        <v>300.3517299269069</v>
      </c>
      <c r="E172" s="21">
        <f t="shared" si="17"/>
        <v>3653.6164037808157</v>
      </c>
      <c r="F172" s="162">
        <v>0</v>
      </c>
      <c r="G172" s="16">
        <f t="shared" si="13"/>
        <v>68430.798778676835</v>
      </c>
      <c r="I172" s="21">
        <f t="shared" si="15"/>
        <v>431569.20122132299</v>
      </c>
      <c r="J172" s="16">
        <f t="shared" si="16"/>
        <v>208973.63643932802</v>
      </c>
    </row>
    <row r="173" spans="2:10" hidden="1" outlineLevel="1" x14ac:dyDescent="0.2">
      <c r="B173" s="44">
        <v>49126</v>
      </c>
      <c r="C173" s="15">
        <f t="shared" si="14"/>
        <v>68430.798778676835</v>
      </c>
      <c r="D173" s="16">
        <f t="shared" si="12"/>
        <v>285.1283282444868</v>
      </c>
      <c r="E173" s="21">
        <f t="shared" si="17"/>
        <v>3668.8398054632357</v>
      </c>
      <c r="F173" s="163">
        <v>0</v>
      </c>
      <c r="G173" s="16">
        <f t="shared" si="13"/>
        <v>64761.958973213601</v>
      </c>
      <c r="I173" s="21">
        <f t="shared" si="15"/>
        <v>435238.0410267862</v>
      </c>
      <c r="J173" s="16">
        <f t="shared" si="16"/>
        <v>209258.76476757252</v>
      </c>
    </row>
    <row r="174" spans="2:10" hidden="1" outlineLevel="1" x14ac:dyDescent="0.2">
      <c r="B174" s="44">
        <v>49157</v>
      </c>
      <c r="C174" s="15">
        <f t="shared" si="14"/>
        <v>64761.958973213601</v>
      </c>
      <c r="D174" s="16">
        <f t="shared" si="12"/>
        <v>269.84149572172333</v>
      </c>
      <c r="E174" s="21">
        <f t="shared" si="17"/>
        <v>3684.1266379859994</v>
      </c>
      <c r="F174" s="162">
        <v>0</v>
      </c>
      <c r="G174" s="16">
        <f t="shared" si="13"/>
        <v>61077.832335227598</v>
      </c>
      <c r="I174" s="21">
        <f t="shared" si="15"/>
        <v>438922.16766477219</v>
      </c>
      <c r="J174" s="16">
        <f t="shared" si="16"/>
        <v>209528.60626329423</v>
      </c>
    </row>
    <row r="175" spans="2:10" hidden="1" outlineLevel="1" x14ac:dyDescent="0.2">
      <c r="B175" s="44">
        <v>49188</v>
      </c>
      <c r="C175" s="15">
        <f t="shared" si="14"/>
        <v>61077.832335227598</v>
      </c>
      <c r="D175" s="16">
        <f t="shared" si="12"/>
        <v>254.49096806344832</v>
      </c>
      <c r="E175" s="21">
        <f t="shared" si="17"/>
        <v>3699.4771656442745</v>
      </c>
      <c r="F175" s="163">
        <v>0</v>
      </c>
      <c r="G175" s="16">
        <f t="shared" si="13"/>
        <v>57378.355169583323</v>
      </c>
      <c r="I175" s="21">
        <f t="shared" si="15"/>
        <v>442621.64483041648</v>
      </c>
      <c r="J175" s="16">
        <f t="shared" si="16"/>
        <v>209783.09723135768</v>
      </c>
    </row>
    <row r="176" spans="2:10" hidden="1" outlineLevel="1" x14ac:dyDescent="0.2">
      <c r="B176" s="44">
        <v>49218</v>
      </c>
      <c r="C176" s="15">
        <f t="shared" si="14"/>
        <v>57378.355169583323</v>
      </c>
      <c r="D176" s="16">
        <f t="shared" si="12"/>
        <v>239.07647987326385</v>
      </c>
      <c r="E176" s="21">
        <f t="shared" si="17"/>
        <v>3714.8916538344588</v>
      </c>
      <c r="F176" s="162">
        <v>0</v>
      </c>
      <c r="G176" s="16">
        <f t="shared" si="13"/>
        <v>53663.463515748866</v>
      </c>
      <c r="I176" s="21">
        <f t="shared" si="15"/>
        <v>446336.53648425092</v>
      </c>
      <c r="J176" s="16">
        <f t="shared" si="16"/>
        <v>210022.17371123095</v>
      </c>
    </row>
    <row r="177" spans="2:10" hidden="1" outlineLevel="1" x14ac:dyDescent="0.2">
      <c r="B177" s="44">
        <v>49249</v>
      </c>
      <c r="C177" s="15">
        <f t="shared" si="14"/>
        <v>53663.463515748866</v>
      </c>
      <c r="D177" s="16">
        <f t="shared" si="12"/>
        <v>223.59776464895361</v>
      </c>
      <c r="E177" s="21">
        <f t="shared" si="17"/>
        <v>3730.370369058769</v>
      </c>
      <c r="F177" s="163">
        <v>0</v>
      </c>
      <c r="G177" s="16">
        <f t="shared" si="13"/>
        <v>49933.093146690095</v>
      </c>
      <c r="I177" s="21">
        <f t="shared" si="15"/>
        <v>450066.90685330966</v>
      </c>
      <c r="J177" s="16">
        <f t="shared" si="16"/>
        <v>210245.77147587991</v>
      </c>
    </row>
    <row r="178" spans="2:10" hidden="1" outlineLevel="1" x14ac:dyDescent="0.2">
      <c r="B178" s="44">
        <v>49279</v>
      </c>
      <c r="C178" s="15">
        <f t="shared" si="14"/>
        <v>49933.093146690095</v>
      </c>
      <c r="D178" s="16">
        <f t="shared" si="12"/>
        <v>208.05455477787538</v>
      </c>
      <c r="E178" s="21">
        <f t="shared" si="17"/>
        <v>3745.9135789298475</v>
      </c>
      <c r="F178" s="162">
        <v>0</v>
      </c>
      <c r="G178" s="16">
        <f t="shared" si="13"/>
        <v>46187.179567760249</v>
      </c>
      <c r="I178" s="21">
        <f t="shared" si="15"/>
        <v>453812.8204322395</v>
      </c>
      <c r="J178" s="16">
        <f t="shared" si="16"/>
        <v>210453.8260306578</v>
      </c>
    </row>
    <row r="179" spans="2:10" hidden="1" outlineLevel="1" x14ac:dyDescent="0.2">
      <c r="B179" s="44">
        <v>49310</v>
      </c>
      <c r="C179" s="15">
        <f t="shared" si="14"/>
        <v>46187.179567760249</v>
      </c>
      <c r="D179" s="16">
        <f t="shared" si="12"/>
        <v>192.44658153233436</v>
      </c>
      <c r="E179" s="21">
        <f t="shared" si="17"/>
        <v>3761.5215521753885</v>
      </c>
      <c r="F179" s="163">
        <v>0</v>
      </c>
      <c r="G179" s="16">
        <f t="shared" si="13"/>
        <v>42425.658015584864</v>
      </c>
      <c r="I179" s="21">
        <f t="shared" si="15"/>
        <v>457574.3419844149</v>
      </c>
      <c r="J179" s="16">
        <f t="shared" si="16"/>
        <v>210646.27261219014</v>
      </c>
    </row>
    <row r="180" spans="2:10" hidden="1" outlineLevel="1" x14ac:dyDescent="0.2">
      <c r="B180" s="44">
        <v>49341</v>
      </c>
      <c r="C180" s="15">
        <f t="shared" si="14"/>
        <v>42425.658015584864</v>
      </c>
      <c r="D180" s="16">
        <f t="shared" si="12"/>
        <v>176.77357506493692</v>
      </c>
      <c r="E180" s="21">
        <f t="shared" si="17"/>
        <v>3777.194558642786</v>
      </c>
      <c r="F180" s="162">
        <v>0</v>
      </c>
      <c r="G180" s="16">
        <f t="shared" si="13"/>
        <v>38648.463456942081</v>
      </c>
      <c r="I180" s="21">
        <f t="shared" si="15"/>
        <v>461351.53654305771</v>
      </c>
      <c r="J180" s="16">
        <f t="shared" si="16"/>
        <v>210823.04618725507</v>
      </c>
    </row>
    <row r="181" spans="2:10" hidden="1" outlineLevel="1" x14ac:dyDescent="0.2">
      <c r="B181" s="44">
        <v>49369</v>
      </c>
      <c r="C181" s="15">
        <f t="shared" si="14"/>
        <v>38648.463456942081</v>
      </c>
      <c r="D181" s="16">
        <f t="shared" si="12"/>
        <v>161.03526440392534</v>
      </c>
      <c r="E181" s="21">
        <f t="shared" si="17"/>
        <v>3792.9328693037974</v>
      </c>
      <c r="F181" s="163">
        <v>0</v>
      </c>
      <c r="G181" s="16">
        <f t="shared" si="13"/>
        <v>34855.530587638284</v>
      </c>
      <c r="I181" s="21">
        <f t="shared" si="15"/>
        <v>465144.4694123615</v>
      </c>
      <c r="J181" s="16">
        <f t="shared" si="16"/>
        <v>210984.081451659</v>
      </c>
    </row>
    <row r="182" spans="2:10" hidden="1" outlineLevel="1" x14ac:dyDescent="0.2">
      <c r="B182" s="44">
        <v>49400</v>
      </c>
      <c r="C182" s="15">
        <f t="shared" si="14"/>
        <v>34855.530587638284</v>
      </c>
      <c r="D182" s="16">
        <f t="shared" si="12"/>
        <v>145.23137744849285</v>
      </c>
      <c r="E182" s="21">
        <f t="shared" si="17"/>
        <v>3808.7367562592299</v>
      </c>
      <c r="F182" s="162">
        <v>0</v>
      </c>
      <c r="G182" s="16">
        <f t="shared" si="13"/>
        <v>31046.793831379055</v>
      </c>
      <c r="I182" s="21">
        <f t="shared" si="15"/>
        <v>468953.20616862073</v>
      </c>
      <c r="J182" s="16">
        <f t="shared" si="16"/>
        <v>211129.31282910748</v>
      </c>
    </row>
    <row r="183" spans="2:10" hidden="1" outlineLevel="1" x14ac:dyDescent="0.2">
      <c r="B183" s="44">
        <v>49430</v>
      </c>
      <c r="C183" s="15">
        <f t="shared" si="14"/>
        <v>31046.793831379055</v>
      </c>
      <c r="D183" s="16">
        <f t="shared" si="12"/>
        <v>129.36164096407938</v>
      </c>
      <c r="E183" s="21">
        <f t="shared" si="17"/>
        <v>3824.6064927436432</v>
      </c>
      <c r="F183" s="163">
        <v>0</v>
      </c>
      <c r="G183" s="16">
        <f t="shared" si="13"/>
        <v>27222.187338635413</v>
      </c>
      <c r="I183" s="21">
        <f t="shared" si="15"/>
        <v>472777.81266136438</v>
      </c>
      <c r="J183" s="16">
        <f t="shared" si="16"/>
        <v>211258.67447007156</v>
      </c>
    </row>
    <row r="184" spans="2:10" hidden="1" outlineLevel="1" x14ac:dyDescent="0.2">
      <c r="B184" s="44">
        <v>49461</v>
      </c>
      <c r="C184" s="15">
        <f t="shared" si="14"/>
        <v>27222.187338635413</v>
      </c>
      <c r="D184" s="16">
        <f t="shared" si="12"/>
        <v>113.42578057764756</v>
      </c>
      <c r="E184" s="21">
        <f t="shared" si="17"/>
        <v>3840.5423531300753</v>
      </c>
      <c r="F184" s="162">
        <v>0</v>
      </c>
      <c r="G184" s="16">
        <f t="shared" si="13"/>
        <v>23381.644985505336</v>
      </c>
      <c r="I184" s="21">
        <f t="shared" si="15"/>
        <v>476618.35501449445</v>
      </c>
      <c r="J184" s="16">
        <f t="shared" si="16"/>
        <v>211372.10025064921</v>
      </c>
    </row>
    <row r="185" spans="2:10" hidden="1" outlineLevel="1" x14ac:dyDescent="0.2">
      <c r="B185" s="44">
        <v>49491</v>
      </c>
      <c r="C185" s="15">
        <f t="shared" si="14"/>
        <v>23381.644985505336</v>
      </c>
      <c r="D185" s="16">
        <f t="shared" si="12"/>
        <v>97.4235207729389</v>
      </c>
      <c r="E185" s="21">
        <f t="shared" si="17"/>
        <v>3856.5446129347838</v>
      </c>
      <c r="F185" s="163">
        <v>0</v>
      </c>
      <c r="G185" s="16">
        <f t="shared" si="13"/>
        <v>19525.100372570552</v>
      </c>
      <c r="I185" s="21">
        <f t="shared" si="15"/>
        <v>480474.8996274292</v>
      </c>
      <c r="J185" s="16">
        <f t="shared" si="16"/>
        <v>211469.52377142216</v>
      </c>
    </row>
    <row r="186" spans="2:10" hidden="1" outlineLevel="1" x14ac:dyDescent="0.2">
      <c r="B186" s="44">
        <v>49522</v>
      </c>
      <c r="C186" s="15">
        <f t="shared" si="14"/>
        <v>19525.100372570552</v>
      </c>
      <c r="D186" s="16">
        <f t="shared" si="12"/>
        <v>81.354584885710636</v>
      </c>
      <c r="E186" s="21">
        <f t="shared" si="17"/>
        <v>3872.613548822012</v>
      </c>
      <c r="F186" s="162">
        <v>0</v>
      </c>
      <c r="G186" s="16">
        <f t="shared" si="13"/>
        <v>15652.486823748541</v>
      </c>
      <c r="I186" s="21">
        <f t="shared" si="15"/>
        <v>484347.5131762512</v>
      </c>
      <c r="J186" s="16">
        <f t="shared" si="16"/>
        <v>211550.87835630786</v>
      </c>
    </row>
    <row r="187" spans="2:10" hidden="1" outlineLevel="1" x14ac:dyDescent="0.2">
      <c r="B187" s="44">
        <v>49553</v>
      </c>
      <c r="C187" s="15">
        <f t="shared" si="14"/>
        <v>15652.486823748541</v>
      </c>
      <c r="D187" s="16">
        <f t="shared" si="12"/>
        <v>65.218695098952253</v>
      </c>
      <c r="E187" s="21">
        <f t="shared" si="17"/>
        <v>3888.7494386087706</v>
      </c>
      <c r="F187" s="163">
        <v>0</v>
      </c>
      <c r="G187" s="16">
        <f t="shared" si="13"/>
        <v>11763.73738513977</v>
      </c>
      <c r="I187" s="21">
        <f t="shared" si="15"/>
        <v>488236.26261485997</v>
      </c>
      <c r="J187" s="16">
        <f t="shared" si="16"/>
        <v>211616.0970514068</v>
      </c>
    </row>
    <row r="188" spans="2:10" hidden="1" outlineLevel="1" x14ac:dyDescent="0.2">
      <c r="B188" s="44">
        <v>49583</v>
      </c>
      <c r="C188" s="15">
        <f t="shared" si="14"/>
        <v>11763.73738513977</v>
      </c>
      <c r="D188" s="16">
        <f t="shared" si="12"/>
        <v>49.015572438082373</v>
      </c>
      <c r="E188" s="21">
        <f t="shared" si="17"/>
        <v>3904.9525612696402</v>
      </c>
      <c r="F188" s="162">
        <v>0</v>
      </c>
      <c r="G188" s="16">
        <f t="shared" si="13"/>
        <v>7858.7848238701299</v>
      </c>
      <c r="I188" s="21">
        <f t="shared" si="15"/>
        <v>492141.2151761296</v>
      </c>
      <c r="J188" s="16">
        <f t="shared" si="16"/>
        <v>211665.11262384488</v>
      </c>
    </row>
    <row r="189" spans="2:10" hidden="1" outlineLevel="1" x14ac:dyDescent="0.2">
      <c r="B189" s="44">
        <v>49614</v>
      </c>
      <c r="C189" s="15">
        <f t="shared" si="14"/>
        <v>7858.7848238701299</v>
      </c>
      <c r="D189" s="16">
        <f t="shared" si="12"/>
        <v>32.744936766125541</v>
      </c>
      <c r="E189" s="21">
        <f t="shared" si="17"/>
        <v>3921.2231969415971</v>
      </c>
      <c r="F189" s="163">
        <v>0</v>
      </c>
      <c r="G189" s="16">
        <f t="shared" si="13"/>
        <v>3937.5616269285329</v>
      </c>
      <c r="I189" s="21">
        <f t="shared" si="15"/>
        <v>496062.4383730712</v>
      </c>
      <c r="J189" s="16">
        <f t="shared" si="16"/>
        <v>211697.85756061101</v>
      </c>
    </row>
    <row r="190" spans="2:10" hidden="1" outlineLevel="1" x14ac:dyDescent="0.2">
      <c r="B190" s="44">
        <v>49644</v>
      </c>
      <c r="C190" s="15">
        <f t="shared" si="14"/>
        <v>3937.5616269285329</v>
      </c>
      <c r="D190" s="16">
        <f t="shared" si="12"/>
        <v>16.406506778868888</v>
      </c>
      <c r="E190" s="21">
        <f t="shared" si="17"/>
        <v>3937.5616269288539</v>
      </c>
      <c r="F190" s="162">
        <v>0</v>
      </c>
      <c r="G190" s="16">
        <f t="shared" si="13"/>
        <v>-3.2105162972584367E-10</v>
      </c>
      <c r="I190" s="21">
        <f t="shared" si="15"/>
        <v>500000.00000000006</v>
      </c>
      <c r="J190" s="16">
        <f t="shared" si="16"/>
        <v>211714.26406738989</v>
      </c>
    </row>
    <row r="191" spans="2:10" hidden="1" outlineLevel="1" x14ac:dyDescent="0.2">
      <c r="B191" s="44">
        <v>49675</v>
      </c>
      <c r="C191" s="15">
        <f t="shared" si="14"/>
        <v>-3.2105162972584367E-10</v>
      </c>
      <c r="D191" s="16">
        <f t="shared" si="12"/>
        <v>-1.3377151238576818E-12</v>
      </c>
      <c r="E191" s="21">
        <f t="shared" si="17"/>
        <v>3953.9681337077241</v>
      </c>
      <c r="F191" s="163">
        <v>0</v>
      </c>
      <c r="G191" s="16">
        <f t="shared" si="13"/>
        <v>-3953.9681337080451</v>
      </c>
      <c r="I191" s="21">
        <f t="shared" si="15"/>
        <v>503953.96813370776</v>
      </c>
      <c r="J191" s="16">
        <f t="shared" si="16"/>
        <v>211714.26406738989</v>
      </c>
    </row>
    <row r="192" spans="2:10" hidden="1" outlineLevel="1" x14ac:dyDescent="0.2">
      <c r="B192" s="44">
        <v>49706</v>
      </c>
      <c r="C192" s="15">
        <f t="shared" si="14"/>
        <v>-3953.9681337080451</v>
      </c>
      <c r="D192" s="16">
        <f t="shared" si="12"/>
        <v>-16.474867223783519</v>
      </c>
      <c r="E192" s="21">
        <f t="shared" si="17"/>
        <v>3970.443000931506</v>
      </c>
      <c r="F192" s="162">
        <v>0</v>
      </c>
      <c r="G192" s="16">
        <f t="shared" si="13"/>
        <v>-7924.4111346395512</v>
      </c>
      <c r="I192" s="21">
        <f t="shared" si="15"/>
        <v>507924.41113463929</v>
      </c>
      <c r="J192" s="16">
        <f t="shared" si="16"/>
        <v>211697.78920016609</v>
      </c>
    </row>
    <row r="193" spans="2:10" hidden="1" outlineLevel="1" x14ac:dyDescent="0.2">
      <c r="B193" s="44">
        <v>49735</v>
      </c>
      <c r="C193" s="15">
        <f t="shared" si="14"/>
        <v>-7924.4111346395512</v>
      </c>
      <c r="D193" s="16">
        <f t="shared" si="12"/>
        <v>-33.018379727664794</v>
      </c>
      <c r="E193" s="21">
        <f t="shared" si="17"/>
        <v>3986.9865134353877</v>
      </c>
      <c r="F193" s="163">
        <v>0</v>
      </c>
      <c r="G193" s="16">
        <f t="shared" si="13"/>
        <v>-11911.397648074939</v>
      </c>
      <c r="I193" s="21">
        <f t="shared" si="15"/>
        <v>511911.39764807466</v>
      </c>
      <c r="J193" s="16">
        <f t="shared" si="16"/>
        <v>211664.77082043843</v>
      </c>
    </row>
    <row r="194" spans="2:10" hidden="1" outlineLevel="1" x14ac:dyDescent="0.2">
      <c r="B194" s="44">
        <v>49766</v>
      </c>
      <c r="C194" s="15">
        <f t="shared" si="14"/>
        <v>-11911.397648074939</v>
      </c>
      <c r="D194" s="16">
        <f t="shared" si="12"/>
        <v>-49.630823533645575</v>
      </c>
      <c r="E194" s="21">
        <f t="shared" si="17"/>
        <v>4003.5989572413682</v>
      </c>
      <c r="F194" s="162">
        <v>0</v>
      </c>
      <c r="G194" s="16">
        <f t="shared" si="13"/>
        <v>-15914.996605316308</v>
      </c>
      <c r="I194" s="21">
        <f t="shared" si="15"/>
        <v>515914.99660531606</v>
      </c>
      <c r="J194" s="16">
        <f t="shared" si="16"/>
        <v>211615.13999690479</v>
      </c>
    </row>
    <row r="195" spans="2:10" hidden="1" outlineLevel="1" x14ac:dyDescent="0.2">
      <c r="B195" s="44">
        <v>49796</v>
      </c>
      <c r="C195" s="15">
        <f t="shared" si="14"/>
        <v>-15914.996605316308</v>
      </c>
      <c r="D195" s="16">
        <f t="shared" si="12"/>
        <v>-66.31248585548461</v>
      </c>
      <c r="E195" s="21">
        <f t="shared" si="17"/>
        <v>4020.2806195632074</v>
      </c>
      <c r="F195" s="163">
        <v>0</v>
      </c>
      <c r="G195" s="16">
        <f t="shared" si="13"/>
        <v>-19935.277224879515</v>
      </c>
      <c r="I195" s="21">
        <f t="shared" si="15"/>
        <v>519935.27722487925</v>
      </c>
      <c r="J195" s="16">
        <f t="shared" si="16"/>
        <v>211548.82751104931</v>
      </c>
    </row>
    <row r="196" spans="2:10" hidden="1" outlineLevel="1" x14ac:dyDescent="0.2">
      <c r="B196" s="44">
        <v>49827</v>
      </c>
      <c r="C196" s="15">
        <f t="shared" si="14"/>
        <v>-19935.277224879515</v>
      </c>
      <c r="D196" s="16">
        <f t="shared" si="12"/>
        <v>-83.063655103664644</v>
      </c>
      <c r="E196" s="21">
        <f t="shared" si="17"/>
        <v>4037.0317888113873</v>
      </c>
      <c r="F196" s="162">
        <v>0</v>
      </c>
      <c r="G196" s="16">
        <f t="shared" si="13"/>
        <v>-23972.309013690901</v>
      </c>
      <c r="I196" s="21">
        <f t="shared" si="15"/>
        <v>523972.30901369062</v>
      </c>
      <c r="J196" s="16">
        <f t="shared" si="16"/>
        <v>211465.76385594564</v>
      </c>
    </row>
    <row r="197" spans="2:10" hidden="1" outlineLevel="1" x14ac:dyDescent="0.2">
      <c r="B197" s="44">
        <v>49857</v>
      </c>
      <c r="C197" s="15">
        <f t="shared" si="14"/>
        <v>-23972.309013690901</v>
      </c>
      <c r="D197" s="16">
        <f t="shared" si="12"/>
        <v>-99.884620890378756</v>
      </c>
      <c r="E197" s="21">
        <f t="shared" si="17"/>
        <v>4053.8527545981015</v>
      </c>
      <c r="F197" s="163">
        <v>0</v>
      </c>
      <c r="G197" s="16">
        <f t="shared" si="13"/>
        <v>-28026.161768289003</v>
      </c>
      <c r="I197" s="21">
        <f t="shared" si="15"/>
        <v>528026.1617682887</v>
      </c>
      <c r="J197" s="16">
        <f t="shared" si="16"/>
        <v>211365.87923505527</v>
      </c>
    </row>
    <row r="198" spans="2:10" hidden="1" outlineLevel="1" x14ac:dyDescent="0.2">
      <c r="B198" s="44">
        <v>49888</v>
      </c>
      <c r="C198" s="15">
        <f t="shared" si="14"/>
        <v>-28026.161768289003</v>
      </c>
      <c r="D198" s="16">
        <f t="shared" si="12"/>
        <v>-116.77567403453752</v>
      </c>
      <c r="E198" s="21">
        <f t="shared" si="17"/>
        <v>4070.7438077422603</v>
      </c>
      <c r="F198" s="162">
        <v>0</v>
      </c>
      <c r="G198" s="16">
        <f t="shared" si="13"/>
        <v>-32096.905576031262</v>
      </c>
      <c r="I198" s="21">
        <f t="shared" si="15"/>
        <v>532096.90557603096</v>
      </c>
      <c r="J198" s="16">
        <f t="shared" si="16"/>
        <v>211249.10356102072</v>
      </c>
    </row>
    <row r="199" spans="2:10" hidden="1" outlineLevel="1" x14ac:dyDescent="0.2">
      <c r="B199" s="44">
        <v>49919</v>
      </c>
      <c r="C199" s="15">
        <f t="shared" si="14"/>
        <v>-32096.905576031262</v>
      </c>
      <c r="D199" s="16">
        <f t="shared" ref="D199:D262" si="18">C199*E$6</f>
        <v>-133.73710656679691</v>
      </c>
      <c r="E199" s="21">
        <f t="shared" si="17"/>
        <v>4087.7052402745194</v>
      </c>
      <c r="F199" s="163">
        <v>0</v>
      </c>
      <c r="G199" s="16">
        <f t="shared" si="13"/>
        <v>-36184.61081630578</v>
      </c>
      <c r="I199" s="21">
        <f t="shared" si="15"/>
        <v>536184.6108163055</v>
      </c>
      <c r="J199" s="16">
        <f t="shared" si="16"/>
        <v>211115.36645445394</v>
      </c>
    </row>
    <row r="200" spans="2:10" hidden="1" outlineLevel="1" x14ac:dyDescent="0.2">
      <c r="B200" s="44">
        <v>49949</v>
      </c>
      <c r="C200" s="15">
        <f t="shared" si="14"/>
        <v>-36184.61081630578</v>
      </c>
      <c r="D200" s="16">
        <f t="shared" si="18"/>
        <v>-150.76921173460741</v>
      </c>
      <c r="E200" s="21">
        <f t="shared" si="17"/>
        <v>4104.7373454423305</v>
      </c>
      <c r="F200" s="162">
        <v>0</v>
      </c>
      <c r="G200" s="16">
        <f t="shared" si="13"/>
        <v>-40289.348161748108</v>
      </c>
      <c r="I200" s="21">
        <f t="shared" si="15"/>
        <v>540289.3481617478</v>
      </c>
      <c r="J200" s="16">
        <f t="shared" si="16"/>
        <v>210964.59724271932</v>
      </c>
    </row>
    <row r="201" spans="2:10" hidden="1" outlineLevel="1" x14ac:dyDescent="0.2">
      <c r="B201" s="44">
        <v>49980</v>
      </c>
      <c r="C201" s="15">
        <f t="shared" si="14"/>
        <v>-40289.348161748108</v>
      </c>
      <c r="D201" s="16">
        <f t="shared" si="18"/>
        <v>-167.87228400728378</v>
      </c>
      <c r="E201" s="21">
        <f t="shared" si="17"/>
        <v>4121.8404177150069</v>
      </c>
      <c r="F201" s="163">
        <v>0</v>
      </c>
      <c r="G201" s="16">
        <f t="shared" si="13"/>
        <v>-44411.188579463116</v>
      </c>
      <c r="I201" s="21">
        <f t="shared" si="15"/>
        <v>544411.18857946282</v>
      </c>
      <c r="J201" s="16">
        <f t="shared" si="16"/>
        <v>210796.72495871203</v>
      </c>
    </row>
    <row r="202" spans="2:10" hidden="1" outlineLevel="1" x14ac:dyDescent="0.2">
      <c r="B202" s="44">
        <v>50010</v>
      </c>
      <c r="C202" s="15">
        <f t="shared" si="14"/>
        <v>-44411.188579463116</v>
      </c>
      <c r="D202" s="16">
        <f t="shared" si="18"/>
        <v>-185.04661908109631</v>
      </c>
      <c r="E202" s="21">
        <f t="shared" si="17"/>
        <v>4139.0147527888194</v>
      </c>
      <c r="F202" s="162">
        <v>0</v>
      </c>
      <c r="G202" s="16">
        <f t="shared" si="13"/>
        <v>-48550.203332251935</v>
      </c>
      <c r="I202" s="21">
        <f t="shared" si="15"/>
        <v>548550.20333225164</v>
      </c>
      <c r="J202" s="16">
        <f t="shared" si="16"/>
        <v>210611.67833963095</v>
      </c>
    </row>
    <row r="203" spans="2:10" hidden="1" outlineLevel="1" x14ac:dyDescent="0.2">
      <c r="B203" s="44">
        <v>50041</v>
      </c>
      <c r="C203" s="15">
        <f t="shared" si="14"/>
        <v>-48550.203332251935</v>
      </c>
      <c r="D203" s="16">
        <f t="shared" si="18"/>
        <v>-202.29251388438306</v>
      </c>
      <c r="E203" s="21">
        <f t="shared" si="17"/>
        <v>4156.2606475921057</v>
      </c>
      <c r="F203" s="163">
        <v>0</v>
      </c>
      <c r="G203" s="16">
        <f t="shared" ref="G203:G266" si="19">C203-E203-F203</f>
        <v>-52706.46397984404</v>
      </c>
      <c r="I203" s="21">
        <f t="shared" si="15"/>
        <v>552706.46397984377</v>
      </c>
      <c r="J203" s="16">
        <f t="shared" si="16"/>
        <v>210409.38582574658</v>
      </c>
    </row>
    <row r="204" spans="2:10" hidden="1" outlineLevel="1" x14ac:dyDescent="0.2">
      <c r="B204" s="44">
        <v>50072</v>
      </c>
      <c r="C204" s="15">
        <f t="shared" ref="C204:C267" si="20">G203</f>
        <v>-52706.46397984404</v>
      </c>
      <c r="D204" s="16">
        <f t="shared" si="18"/>
        <v>-219.61026658268349</v>
      </c>
      <c r="E204" s="21">
        <f t="shared" si="17"/>
        <v>4173.5784002904065</v>
      </c>
      <c r="F204" s="162">
        <v>0</v>
      </c>
      <c r="G204" s="16">
        <f t="shared" si="19"/>
        <v>-56880.042380134444</v>
      </c>
      <c r="I204" s="21">
        <f t="shared" ref="I204:I267" si="21">I203+E204</f>
        <v>556880.04238013423</v>
      </c>
      <c r="J204" s="16">
        <f t="shared" ref="J204:J267" si="22">J203+D204</f>
        <v>210189.77555916389</v>
      </c>
    </row>
    <row r="205" spans="2:10" hidden="1" outlineLevel="1" x14ac:dyDescent="0.2">
      <c r="B205" s="44">
        <v>50100</v>
      </c>
      <c r="C205" s="15">
        <f t="shared" si="20"/>
        <v>-56880.042380134444</v>
      </c>
      <c r="D205" s="16">
        <f t="shared" si="18"/>
        <v>-237.00017658389351</v>
      </c>
      <c r="E205" s="21">
        <f t="shared" ref="E205:E268" si="23">E$8-D205</f>
        <v>4190.968310291616</v>
      </c>
      <c r="F205" s="163">
        <v>0</v>
      </c>
      <c r="G205" s="16">
        <f t="shared" si="19"/>
        <v>-61071.010690426061</v>
      </c>
      <c r="I205" s="21">
        <f t="shared" si="21"/>
        <v>561071.01069042587</v>
      </c>
      <c r="J205" s="16">
        <f t="shared" si="22"/>
        <v>209952.77538258</v>
      </c>
    </row>
    <row r="206" spans="2:10" hidden="1" outlineLevel="1" x14ac:dyDescent="0.2">
      <c r="B206" s="44">
        <v>50131</v>
      </c>
      <c r="C206" s="15">
        <f t="shared" si="20"/>
        <v>-61071.010690426061</v>
      </c>
      <c r="D206" s="16">
        <f t="shared" si="18"/>
        <v>-254.46254454344191</v>
      </c>
      <c r="E206" s="21">
        <f t="shared" si="23"/>
        <v>4208.4306782511649</v>
      </c>
      <c r="F206" s="162">
        <v>0</v>
      </c>
      <c r="G206" s="16">
        <f t="shared" si="19"/>
        <v>-65279.441368677224</v>
      </c>
      <c r="I206" s="21">
        <f t="shared" si="21"/>
        <v>565279.44136867707</v>
      </c>
      <c r="J206" s="16">
        <f t="shared" si="22"/>
        <v>209698.31283803657</v>
      </c>
    </row>
    <row r="207" spans="2:10" hidden="1" outlineLevel="1" x14ac:dyDescent="0.2">
      <c r="B207" s="44">
        <v>50161</v>
      </c>
      <c r="C207" s="15">
        <f t="shared" si="20"/>
        <v>-65279.441368677224</v>
      </c>
      <c r="D207" s="16">
        <f t="shared" si="18"/>
        <v>-271.99767236948844</v>
      </c>
      <c r="E207" s="21">
        <f t="shared" si="23"/>
        <v>4225.9658060772108</v>
      </c>
      <c r="F207" s="163">
        <v>0</v>
      </c>
      <c r="G207" s="16">
        <f t="shared" si="19"/>
        <v>-69505.407174754437</v>
      </c>
      <c r="I207" s="21">
        <f t="shared" si="21"/>
        <v>569505.40717475431</v>
      </c>
      <c r="J207" s="16">
        <f t="shared" si="22"/>
        <v>209426.31516566707</v>
      </c>
    </row>
    <row r="208" spans="2:10" hidden="1" outlineLevel="1" x14ac:dyDescent="0.2">
      <c r="B208" s="44">
        <v>50192</v>
      </c>
      <c r="C208" s="15">
        <f t="shared" si="20"/>
        <v>-69505.407174754437</v>
      </c>
      <c r="D208" s="16">
        <f t="shared" si="18"/>
        <v>-289.60586322814351</v>
      </c>
      <c r="E208" s="21">
        <f t="shared" si="23"/>
        <v>4243.5739969358665</v>
      </c>
      <c r="F208" s="162">
        <v>0</v>
      </c>
      <c r="G208" s="16">
        <f t="shared" si="19"/>
        <v>-73748.981171690306</v>
      </c>
      <c r="I208" s="21">
        <f t="shared" si="21"/>
        <v>573748.98117169016</v>
      </c>
      <c r="J208" s="16">
        <f t="shared" si="22"/>
        <v>209136.70930243892</v>
      </c>
    </row>
    <row r="209" spans="2:10" hidden="1" outlineLevel="1" x14ac:dyDescent="0.2">
      <c r="B209" s="44">
        <v>50222</v>
      </c>
      <c r="C209" s="15">
        <f t="shared" si="20"/>
        <v>-73748.981171690306</v>
      </c>
      <c r="D209" s="16">
        <f t="shared" si="18"/>
        <v>-307.28742154870963</v>
      </c>
      <c r="E209" s="21">
        <f t="shared" si="23"/>
        <v>4261.2555552564327</v>
      </c>
      <c r="F209" s="163">
        <v>0</v>
      </c>
      <c r="G209" s="16">
        <f t="shared" si="19"/>
        <v>-78010.236726946736</v>
      </c>
      <c r="I209" s="21">
        <f t="shared" si="21"/>
        <v>578010.23672694655</v>
      </c>
      <c r="J209" s="16">
        <f t="shared" si="22"/>
        <v>208829.42188089021</v>
      </c>
    </row>
    <row r="210" spans="2:10" hidden="1" outlineLevel="1" x14ac:dyDescent="0.2">
      <c r="B210" s="44">
        <v>50253</v>
      </c>
      <c r="C210" s="15">
        <f t="shared" si="20"/>
        <v>-78010.236726946736</v>
      </c>
      <c r="D210" s="16">
        <f t="shared" si="18"/>
        <v>-325.04265302894476</v>
      </c>
      <c r="E210" s="21">
        <f t="shared" si="23"/>
        <v>4279.0107867366678</v>
      </c>
      <c r="F210" s="162">
        <v>0</v>
      </c>
      <c r="G210" s="16">
        <f t="shared" si="19"/>
        <v>-82289.247513683396</v>
      </c>
      <c r="I210" s="21">
        <f t="shared" si="21"/>
        <v>582289.24751368316</v>
      </c>
      <c r="J210" s="16">
        <f t="shared" si="22"/>
        <v>208504.37922786127</v>
      </c>
    </row>
    <row r="211" spans="2:10" hidden="1" outlineLevel="1" x14ac:dyDescent="0.2">
      <c r="B211" s="44">
        <v>50284</v>
      </c>
      <c r="C211" s="15">
        <f t="shared" si="20"/>
        <v>-82289.247513683396</v>
      </c>
      <c r="D211" s="16">
        <f t="shared" si="18"/>
        <v>-342.8718646403475</v>
      </c>
      <c r="E211" s="21">
        <f t="shared" si="23"/>
        <v>4296.8399983480704</v>
      </c>
      <c r="F211" s="163">
        <v>0</v>
      </c>
      <c r="G211" s="16">
        <f t="shared" si="19"/>
        <v>-86586.087512031459</v>
      </c>
      <c r="I211" s="21">
        <f t="shared" si="21"/>
        <v>586586.0875120312</v>
      </c>
      <c r="J211" s="16">
        <f t="shared" si="22"/>
        <v>208161.50736322091</v>
      </c>
    </row>
    <row r="212" spans="2:10" hidden="1" outlineLevel="1" x14ac:dyDescent="0.2">
      <c r="B212" s="44">
        <v>50314</v>
      </c>
      <c r="C212" s="15">
        <f t="shared" si="20"/>
        <v>-86586.087512031459</v>
      </c>
      <c r="D212" s="16">
        <f t="shared" si="18"/>
        <v>-360.77536463346439</v>
      </c>
      <c r="E212" s="21">
        <f t="shared" si="23"/>
        <v>4314.7434983411868</v>
      </c>
      <c r="F212" s="162">
        <v>0</v>
      </c>
      <c r="G212" s="16">
        <f t="shared" si="19"/>
        <v>-90900.83101037264</v>
      </c>
      <c r="I212" s="21">
        <f t="shared" si="21"/>
        <v>590900.83101037238</v>
      </c>
      <c r="J212" s="16">
        <f t="shared" si="22"/>
        <v>207800.73199858743</v>
      </c>
    </row>
    <row r="213" spans="2:10" hidden="1" outlineLevel="1" x14ac:dyDescent="0.2">
      <c r="B213" s="44">
        <v>50345</v>
      </c>
      <c r="C213" s="15">
        <f t="shared" si="20"/>
        <v>-90900.83101037264</v>
      </c>
      <c r="D213" s="16">
        <f t="shared" si="18"/>
        <v>-378.75346254321931</v>
      </c>
      <c r="E213" s="21">
        <f t="shared" si="23"/>
        <v>4332.7215962509417</v>
      </c>
      <c r="F213" s="163">
        <v>0</v>
      </c>
      <c r="G213" s="16">
        <f t="shared" si="19"/>
        <v>-95233.552606623576</v>
      </c>
      <c r="I213" s="21">
        <f t="shared" si="21"/>
        <v>595233.55260662327</v>
      </c>
      <c r="J213" s="16">
        <f t="shared" si="22"/>
        <v>207421.97853604422</v>
      </c>
    </row>
    <row r="214" spans="2:10" hidden="1" outlineLevel="1" x14ac:dyDescent="0.2">
      <c r="B214" s="44">
        <v>50375</v>
      </c>
      <c r="C214" s="15">
        <f t="shared" si="20"/>
        <v>-95233.552606623576</v>
      </c>
      <c r="D214" s="16">
        <f t="shared" si="18"/>
        <v>-396.80646919426488</v>
      </c>
      <c r="E214" s="21">
        <f t="shared" si="23"/>
        <v>4350.7746029019872</v>
      </c>
      <c r="F214" s="162">
        <v>0</v>
      </c>
      <c r="G214" s="16">
        <f t="shared" si="19"/>
        <v>-99584.327209525567</v>
      </c>
      <c r="I214" s="21">
        <f t="shared" si="21"/>
        <v>599584.32720952528</v>
      </c>
      <c r="J214" s="16">
        <f t="shared" si="22"/>
        <v>207025.17206684995</v>
      </c>
    </row>
    <row r="215" spans="2:10" hidden="1" outlineLevel="1" x14ac:dyDescent="0.2">
      <c r="B215" s="44">
        <v>50406</v>
      </c>
      <c r="C215" s="15">
        <f t="shared" si="20"/>
        <v>-99584.327209525567</v>
      </c>
      <c r="D215" s="16">
        <f t="shared" si="18"/>
        <v>-414.93469670635653</v>
      </c>
      <c r="E215" s="21">
        <f t="shared" si="23"/>
        <v>4368.9028304140793</v>
      </c>
      <c r="F215" s="163">
        <v>0</v>
      </c>
      <c r="G215" s="16">
        <f t="shared" si="19"/>
        <v>-103953.23003993965</v>
      </c>
      <c r="I215" s="21">
        <f t="shared" si="21"/>
        <v>603953.2300399394</v>
      </c>
      <c r="J215" s="16">
        <f t="shared" si="22"/>
        <v>206610.23737014359</v>
      </c>
    </row>
    <row r="216" spans="2:10" hidden="1" outlineLevel="1" x14ac:dyDescent="0.2">
      <c r="B216" s="44">
        <v>50437</v>
      </c>
      <c r="C216" s="15">
        <f t="shared" si="20"/>
        <v>-103953.23003993965</v>
      </c>
      <c r="D216" s="16">
        <f t="shared" si="18"/>
        <v>-433.13845849974854</v>
      </c>
      <c r="E216" s="21">
        <f t="shared" si="23"/>
        <v>4387.1065922074713</v>
      </c>
      <c r="F216" s="162">
        <v>0</v>
      </c>
      <c r="G216" s="16">
        <f t="shared" si="19"/>
        <v>-108340.33663214713</v>
      </c>
      <c r="I216" s="21">
        <f t="shared" si="21"/>
        <v>608340.33663214685</v>
      </c>
      <c r="J216" s="16">
        <f t="shared" si="22"/>
        <v>206177.09891164384</v>
      </c>
    </row>
    <row r="217" spans="2:10" hidden="1" outlineLevel="1" x14ac:dyDescent="0.2">
      <c r="B217" s="44">
        <v>50465</v>
      </c>
      <c r="C217" s="15">
        <f t="shared" si="20"/>
        <v>-108340.33663214713</v>
      </c>
      <c r="D217" s="16">
        <f t="shared" si="18"/>
        <v>-451.41806930061301</v>
      </c>
      <c r="E217" s="21">
        <f t="shared" si="23"/>
        <v>4405.3862030083355</v>
      </c>
      <c r="F217" s="163">
        <v>0</v>
      </c>
      <c r="G217" s="16">
        <f t="shared" si="19"/>
        <v>-112745.72283515547</v>
      </c>
      <c r="I217" s="21">
        <f t="shared" si="21"/>
        <v>612745.7228351552</v>
      </c>
      <c r="J217" s="16">
        <f t="shared" si="22"/>
        <v>205725.68084234322</v>
      </c>
    </row>
    <row r="218" spans="2:10" hidden="1" outlineLevel="1" x14ac:dyDescent="0.2">
      <c r="B218" s="44">
        <v>50496</v>
      </c>
      <c r="C218" s="15">
        <f t="shared" si="20"/>
        <v>-112745.72283515547</v>
      </c>
      <c r="D218" s="16">
        <f t="shared" si="18"/>
        <v>-469.77384514648111</v>
      </c>
      <c r="E218" s="21">
        <f t="shared" si="23"/>
        <v>4423.7419788542038</v>
      </c>
      <c r="F218" s="162">
        <v>0</v>
      </c>
      <c r="G218" s="16">
        <f t="shared" si="19"/>
        <v>-117169.46481400967</v>
      </c>
      <c r="I218" s="21">
        <f t="shared" si="21"/>
        <v>617169.46481400938</v>
      </c>
      <c r="J218" s="16">
        <f t="shared" si="22"/>
        <v>205255.90699719675</v>
      </c>
    </row>
    <row r="219" spans="2:10" hidden="1" outlineLevel="1" x14ac:dyDescent="0.2">
      <c r="B219" s="44">
        <v>50526</v>
      </c>
      <c r="C219" s="15">
        <f t="shared" si="20"/>
        <v>-117169.46481400967</v>
      </c>
      <c r="D219" s="16">
        <f t="shared" si="18"/>
        <v>-488.20610339170696</v>
      </c>
      <c r="E219" s="21">
        <f t="shared" si="23"/>
        <v>4442.1742370994298</v>
      </c>
      <c r="F219" s="163">
        <v>0</v>
      </c>
      <c r="G219" s="16">
        <f t="shared" si="19"/>
        <v>-121611.6390511091</v>
      </c>
      <c r="I219" s="21">
        <f t="shared" si="21"/>
        <v>621611.63905110885</v>
      </c>
      <c r="J219" s="16">
        <f t="shared" si="22"/>
        <v>204767.70089380504</v>
      </c>
    </row>
    <row r="220" spans="2:10" hidden="1" outlineLevel="1" x14ac:dyDescent="0.2">
      <c r="B220" s="44">
        <v>50557</v>
      </c>
      <c r="C220" s="15">
        <f t="shared" si="20"/>
        <v>-121611.6390511091</v>
      </c>
      <c r="D220" s="16">
        <f t="shared" si="18"/>
        <v>-506.71516271295457</v>
      </c>
      <c r="E220" s="21">
        <f t="shared" si="23"/>
        <v>4460.6832964206769</v>
      </c>
      <c r="F220" s="162">
        <v>0</v>
      </c>
      <c r="G220" s="16">
        <f t="shared" si="19"/>
        <v>-126072.32234752979</v>
      </c>
      <c r="I220" s="21">
        <f t="shared" si="21"/>
        <v>626072.32234752958</v>
      </c>
      <c r="J220" s="16">
        <f t="shared" si="22"/>
        <v>204260.98573109208</v>
      </c>
    </row>
    <row r="221" spans="2:10" hidden="1" outlineLevel="1" x14ac:dyDescent="0.2">
      <c r="B221" s="44">
        <v>50587</v>
      </c>
      <c r="C221" s="15">
        <f t="shared" si="20"/>
        <v>-126072.32234752979</v>
      </c>
      <c r="D221" s="16">
        <f t="shared" si="18"/>
        <v>-525.30134311470738</v>
      </c>
      <c r="E221" s="21">
        <f t="shared" si="23"/>
        <v>4479.2694768224301</v>
      </c>
      <c r="F221" s="163">
        <v>0</v>
      </c>
      <c r="G221" s="16">
        <f t="shared" si="19"/>
        <v>-130551.59182435222</v>
      </c>
      <c r="I221" s="21">
        <f t="shared" si="21"/>
        <v>630551.59182435204</v>
      </c>
      <c r="J221" s="16">
        <f t="shared" si="22"/>
        <v>203735.68438797738</v>
      </c>
    </row>
    <row r="222" spans="2:10" hidden="1" outlineLevel="1" x14ac:dyDescent="0.2">
      <c r="B222" s="44">
        <v>50618</v>
      </c>
      <c r="C222" s="15">
        <f t="shared" si="20"/>
        <v>-130551.59182435222</v>
      </c>
      <c r="D222" s="16">
        <f t="shared" si="18"/>
        <v>-543.96496593480094</v>
      </c>
      <c r="E222" s="21">
        <f t="shared" si="23"/>
        <v>4497.9330996425233</v>
      </c>
      <c r="F222" s="162">
        <v>0</v>
      </c>
      <c r="G222" s="16">
        <f t="shared" si="19"/>
        <v>-135049.52492399473</v>
      </c>
      <c r="I222" s="21">
        <f t="shared" si="21"/>
        <v>635049.52492399456</v>
      </c>
      <c r="J222" s="16">
        <f t="shared" si="22"/>
        <v>203191.71942204257</v>
      </c>
    </row>
    <row r="223" spans="2:10" hidden="1" outlineLevel="1" x14ac:dyDescent="0.2">
      <c r="B223" s="44">
        <v>50649</v>
      </c>
      <c r="C223" s="15">
        <f t="shared" si="20"/>
        <v>-135049.52492399473</v>
      </c>
      <c r="D223" s="16">
        <f t="shared" si="18"/>
        <v>-562.70635384997809</v>
      </c>
      <c r="E223" s="21">
        <f t="shared" si="23"/>
        <v>4516.6744875577006</v>
      </c>
      <c r="F223" s="163">
        <v>0</v>
      </c>
      <c r="G223" s="16">
        <f t="shared" si="19"/>
        <v>-139566.19941155243</v>
      </c>
      <c r="I223" s="21">
        <f t="shared" si="21"/>
        <v>639566.19941155228</v>
      </c>
      <c r="J223" s="16">
        <f t="shared" si="22"/>
        <v>202629.01306819261</v>
      </c>
    </row>
    <row r="224" spans="2:10" hidden="1" outlineLevel="1" x14ac:dyDescent="0.2">
      <c r="B224" s="44">
        <v>50679</v>
      </c>
      <c r="C224" s="15">
        <f t="shared" si="20"/>
        <v>-139566.19941155243</v>
      </c>
      <c r="D224" s="16">
        <f t="shared" si="18"/>
        <v>-581.52583088146844</v>
      </c>
      <c r="E224" s="21">
        <f t="shared" si="23"/>
        <v>4535.4939645891909</v>
      </c>
      <c r="F224" s="162">
        <v>0</v>
      </c>
      <c r="G224" s="16">
        <f t="shared" si="19"/>
        <v>-144101.69337614163</v>
      </c>
      <c r="I224" s="21">
        <f t="shared" si="21"/>
        <v>644101.69337614148</v>
      </c>
      <c r="J224" s="16">
        <f t="shared" si="22"/>
        <v>202047.48723731114</v>
      </c>
    </row>
    <row r="225" spans="2:10" hidden="1" outlineLevel="1" x14ac:dyDescent="0.2">
      <c r="B225" s="44">
        <v>50710</v>
      </c>
      <c r="C225" s="15">
        <f t="shared" si="20"/>
        <v>-144101.69337614163</v>
      </c>
      <c r="D225" s="16">
        <f t="shared" si="18"/>
        <v>-600.42372240059012</v>
      </c>
      <c r="E225" s="21">
        <f t="shared" si="23"/>
        <v>4554.3918561083128</v>
      </c>
      <c r="F225" s="163">
        <v>0</v>
      </c>
      <c r="G225" s="16">
        <f t="shared" si="19"/>
        <v>-148656.08523224996</v>
      </c>
      <c r="I225" s="21">
        <f t="shared" si="21"/>
        <v>648656.08523224981</v>
      </c>
      <c r="J225" s="16">
        <f t="shared" si="22"/>
        <v>201447.06351491055</v>
      </c>
    </row>
    <row r="226" spans="2:10" hidden="1" outlineLevel="1" x14ac:dyDescent="0.2">
      <c r="B226" s="44">
        <v>50740</v>
      </c>
      <c r="C226" s="15">
        <f t="shared" si="20"/>
        <v>-148656.08523224996</v>
      </c>
      <c r="D226" s="16">
        <f t="shared" si="18"/>
        <v>-619.40035513437476</v>
      </c>
      <c r="E226" s="21">
        <f t="shared" si="23"/>
        <v>4573.3684888420976</v>
      </c>
      <c r="F226" s="162">
        <v>0</v>
      </c>
      <c r="G226" s="16">
        <f t="shared" si="19"/>
        <v>-153229.45372109205</v>
      </c>
      <c r="I226" s="21">
        <f t="shared" si="21"/>
        <v>653229.45372109185</v>
      </c>
      <c r="J226" s="16">
        <f t="shared" si="22"/>
        <v>200827.66315977619</v>
      </c>
    </row>
    <row r="227" spans="2:10" hidden="1" outlineLevel="1" x14ac:dyDescent="0.2">
      <c r="B227" s="44">
        <v>50771</v>
      </c>
      <c r="C227" s="15">
        <f t="shared" si="20"/>
        <v>-153229.45372109205</v>
      </c>
      <c r="D227" s="16">
        <f t="shared" si="18"/>
        <v>-638.45605717121691</v>
      </c>
      <c r="E227" s="21">
        <f t="shared" si="23"/>
        <v>4592.42419087894</v>
      </c>
      <c r="F227" s="163">
        <v>0</v>
      </c>
      <c r="G227" s="16">
        <f t="shared" si="19"/>
        <v>-157821.87791197098</v>
      </c>
      <c r="I227" s="21">
        <f t="shared" si="21"/>
        <v>657821.87791197083</v>
      </c>
      <c r="J227" s="16">
        <f t="shared" si="22"/>
        <v>200189.20710260497</v>
      </c>
    </row>
    <row r="228" spans="2:10" hidden="1" outlineLevel="1" x14ac:dyDescent="0.2">
      <c r="B228" s="44">
        <v>50802</v>
      </c>
      <c r="C228" s="15">
        <f t="shared" si="20"/>
        <v>-157821.87791197098</v>
      </c>
      <c r="D228" s="16">
        <f t="shared" si="18"/>
        <v>-657.59115796654578</v>
      </c>
      <c r="E228" s="21">
        <f t="shared" si="23"/>
        <v>4611.559291674268</v>
      </c>
      <c r="F228" s="162">
        <v>0</v>
      </c>
      <c r="G228" s="16">
        <f t="shared" si="19"/>
        <v>-162433.43720364524</v>
      </c>
      <c r="I228" s="21">
        <f t="shared" si="21"/>
        <v>662433.43720364512</v>
      </c>
      <c r="J228" s="16">
        <f t="shared" si="22"/>
        <v>199531.61594463841</v>
      </c>
    </row>
    <row r="229" spans="2:10" hidden="1" outlineLevel="1" x14ac:dyDescent="0.2">
      <c r="B229" s="44">
        <v>50830</v>
      </c>
      <c r="C229" s="15">
        <f t="shared" si="20"/>
        <v>-162433.43720364524</v>
      </c>
      <c r="D229" s="16">
        <f t="shared" si="18"/>
        <v>-676.80598834852185</v>
      </c>
      <c r="E229" s="21">
        <f t="shared" si="23"/>
        <v>4630.7741220562448</v>
      </c>
      <c r="F229" s="163">
        <v>0</v>
      </c>
      <c r="G229" s="16">
        <f t="shared" si="19"/>
        <v>-167064.21132570147</v>
      </c>
      <c r="I229" s="21">
        <f t="shared" si="21"/>
        <v>667064.21132570133</v>
      </c>
      <c r="J229" s="16">
        <f t="shared" si="22"/>
        <v>198854.80995628989</v>
      </c>
    </row>
    <row r="230" spans="2:10" hidden="1" outlineLevel="1" x14ac:dyDescent="0.2">
      <c r="B230" s="44">
        <v>50861</v>
      </c>
      <c r="C230" s="15">
        <f t="shared" si="20"/>
        <v>-167064.21132570147</v>
      </c>
      <c r="D230" s="16">
        <f t="shared" si="18"/>
        <v>-696.10088052375613</v>
      </c>
      <c r="E230" s="21">
        <f t="shared" si="23"/>
        <v>4650.0690142314788</v>
      </c>
      <c r="F230" s="162">
        <v>0</v>
      </c>
      <c r="G230" s="16">
        <f t="shared" si="19"/>
        <v>-171714.28033993294</v>
      </c>
      <c r="I230" s="21">
        <f t="shared" si="21"/>
        <v>671714.28033993277</v>
      </c>
      <c r="J230" s="16">
        <f t="shared" si="22"/>
        <v>198158.70907576612</v>
      </c>
    </row>
    <row r="231" spans="2:10" hidden="1" outlineLevel="1" x14ac:dyDescent="0.2">
      <c r="B231" s="44">
        <v>50891</v>
      </c>
      <c r="C231" s="15">
        <f t="shared" si="20"/>
        <v>-171714.28033993294</v>
      </c>
      <c r="D231" s="16">
        <f t="shared" si="18"/>
        <v>-715.47616808305395</v>
      </c>
      <c r="E231" s="21">
        <f t="shared" si="23"/>
        <v>4669.444301790777</v>
      </c>
      <c r="F231" s="163">
        <v>0</v>
      </c>
      <c r="G231" s="16">
        <f t="shared" si="19"/>
        <v>-176383.72464172373</v>
      </c>
      <c r="I231" s="21">
        <f t="shared" si="21"/>
        <v>676383.72464172356</v>
      </c>
      <c r="J231" s="16">
        <f t="shared" si="22"/>
        <v>197443.23290768306</v>
      </c>
    </row>
    <row r="232" spans="2:10" hidden="1" outlineLevel="1" x14ac:dyDescent="0.2">
      <c r="B232" s="44">
        <v>50922</v>
      </c>
      <c r="C232" s="15">
        <f t="shared" si="20"/>
        <v>-176383.72464172373</v>
      </c>
      <c r="D232" s="16">
        <f t="shared" si="18"/>
        <v>-734.93218600718217</v>
      </c>
      <c r="E232" s="21">
        <f t="shared" si="23"/>
        <v>4688.900319714905</v>
      </c>
      <c r="F232" s="162">
        <v>0</v>
      </c>
      <c r="G232" s="16">
        <f t="shared" si="19"/>
        <v>-181072.62496143865</v>
      </c>
      <c r="I232" s="21">
        <f t="shared" si="21"/>
        <v>681072.62496143847</v>
      </c>
      <c r="J232" s="16">
        <f t="shared" si="22"/>
        <v>196708.30072167589</v>
      </c>
    </row>
    <row r="233" spans="2:10" hidden="1" outlineLevel="1" x14ac:dyDescent="0.2">
      <c r="B233" s="44">
        <v>50952</v>
      </c>
      <c r="C233" s="15">
        <f t="shared" si="20"/>
        <v>-181072.62496143865</v>
      </c>
      <c r="D233" s="16">
        <f t="shared" si="18"/>
        <v>-754.46927067266097</v>
      </c>
      <c r="E233" s="21">
        <f t="shared" si="23"/>
        <v>4708.4374043803837</v>
      </c>
      <c r="F233" s="163">
        <v>0</v>
      </c>
      <c r="G233" s="16">
        <f t="shared" si="19"/>
        <v>-185781.06236581903</v>
      </c>
      <c r="I233" s="21">
        <f t="shared" si="21"/>
        <v>685781.06236581889</v>
      </c>
      <c r="J233" s="16">
        <f t="shared" si="22"/>
        <v>195953.83145100324</v>
      </c>
    </row>
    <row r="234" spans="2:10" hidden="1" outlineLevel="1" x14ac:dyDescent="0.2">
      <c r="B234" s="44">
        <v>50983</v>
      </c>
      <c r="C234" s="15">
        <f t="shared" si="20"/>
        <v>-185781.06236581903</v>
      </c>
      <c r="D234" s="16">
        <f t="shared" si="18"/>
        <v>-774.08775985757927</v>
      </c>
      <c r="E234" s="21">
        <f t="shared" si="23"/>
        <v>4728.0558935653016</v>
      </c>
      <c r="F234" s="162">
        <v>0</v>
      </c>
      <c r="G234" s="16">
        <f t="shared" si="19"/>
        <v>-190509.11825938433</v>
      </c>
      <c r="I234" s="21">
        <f t="shared" si="21"/>
        <v>690509.11825938418</v>
      </c>
      <c r="J234" s="16">
        <f t="shared" si="22"/>
        <v>195179.74369114565</v>
      </c>
    </row>
    <row r="235" spans="2:10" hidden="1" outlineLevel="1" x14ac:dyDescent="0.2">
      <c r="B235" s="44">
        <v>51014</v>
      </c>
      <c r="C235" s="15">
        <f t="shared" si="20"/>
        <v>-190509.11825938433</v>
      </c>
      <c r="D235" s="16">
        <f t="shared" si="18"/>
        <v>-793.78799274743471</v>
      </c>
      <c r="E235" s="21">
        <f t="shared" si="23"/>
        <v>4747.7561264551578</v>
      </c>
      <c r="F235" s="163">
        <v>0</v>
      </c>
      <c r="G235" s="16">
        <f t="shared" si="19"/>
        <v>-195256.87438583947</v>
      </c>
      <c r="I235" s="21">
        <f t="shared" si="21"/>
        <v>695256.87438583933</v>
      </c>
      <c r="J235" s="16">
        <f t="shared" si="22"/>
        <v>194385.9556983982</v>
      </c>
    </row>
    <row r="236" spans="2:10" hidden="1" outlineLevel="1" x14ac:dyDescent="0.2">
      <c r="B236" s="44">
        <v>51044</v>
      </c>
      <c r="C236" s="15">
        <f t="shared" si="20"/>
        <v>-195256.87438583947</v>
      </c>
      <c r="D236" s="16">
        <f t="shared" si="18"/>
        <v>-813.57030994099784</v>
      </c>
      <c r="E236" s="21">
        <f t="shared" si="23"/>
        <v>4767.5384436487202</v>
      </c>
      <c r="F236" s="162">
        <v>0</v>
      </c>
      <c r="G236" s="16">
        <f t="shared" si="19"/>
        <v>-200024.4128294882</v>
      </c>
      <c r="I236" s="21">
        <f t="shared" si="21"/>
        <v>700024.41282948805</v>
      </c>
      <c r="J236" s="16">
        <f t="shared" si="22"/>
        <v>193572.38538845722</v>
      </c>
    </row>
    <row r="237" spans="2:10" hidden="1" outlineLevel="1" x14ac:dyDescent="0.2">
      <c r="B237" s="44">
        <v>51075</v>
      </c>
      <c r="C237" s="15">
        <f t="shared" si="20"/>
        <v>-200024.4128294882</v>
      </c>
      <c r="D237" s="16">
        <f t="shared" si="18"/>
        <v>-833.43505345620076</v>
      </c>
      <c r="E237" s="21">
        <f t="shared" si="23"/>
        <v>4787.4031871639236</v>
      </c>
      <c r="F237" s="163">
        <v>0</v>
      </c>
      <c r="G237" s="16">
        <f t="shared" si="19"/>
        <v>-204811.81601665213</v>
      </c>
      <c r="I237" s="21">
        <f t="shared" si="21"/>
        <v>704811.81601665192</v>
      </c>
      <c r="J237" s="16">
        <f t="shared" si="22"/>
        <v>192738.95033500102</v>
      </c>
    </row>
    <row r="238" spans="2:10" hidden="1" outlineLevel="1" x14ac:dyDescent="0.2">
      <c r="B238" s="44">
        <v>51105</v>
      </c>
      <c r="C238" s="15">
        <f t="shared" si="20"/>
        <v>-204811.81601665213</v>
      </c>
      <c r="D238" s="16">
        <f t="shared" si="18"/>
        <v>-853.38256673605053</v>
      </c>
      <c r="E238" s="21">
        <f t="shared" si="23"/>
        <v>4807.3507004437733</v>
      </c>
      <c r="F238" s="162">
        <v>0</v>
      </c>
      <c r="G238" s="16">
        <f t="shared" si="19"/>
        <v>-209619.16671709591</v>
      </c>
      <c r="I238" s="21">
        <f t="shared" si="21"/>
        <v>709619.16671709565</v>
      </c>
      <c r="J238" s="16">
        <f t="shared" si="22"/>
        <v>191885.56776826497</v>
      </c>
    </row>
    <row r="239" spans="2:10" hidden="1" outlineLevel="1" x14ac:dyDescent="0.2">
      <c r="B239" s="44">
        <v>51136</v>
      </c>
      <c r="C239" s="15">
        <f t="shared" si="20"/>
        <v>-209619.16671709591</v>
      </c>
      <c r="D239" s="16">
        <f t="shared" si="18"/>
        <v>-873.41319465456627</v>
      </c>
      <c r="E239" s="21">
        <f t="shared" si="23"/>
        <v>4827.3813283622894</v>
      </c>
      <c r="F239" s="163">
        <v>0</v>
      </c>
      <c r="G239" s="16">
        <f t="shared" si="19"/>
        <v>-214446.54804545821</v>
      </c>
      <c r="I239" s="21">
        <f t="shared" si="21"/>
        <v>714446.54804545792</v>
      </c>
      <c r="J239" s="16">
        <f t="shared" si="22"/>
        <v>191012.1545736104</v>
      </c>
    </row>
    <row r="240" spans="2:10" hidden="1" outlineLevel="1" x14ac:dyDescent="0.2">
      <c r="B240" s="44">
        <v>51167</v>
      </c>
      <c r="C240" s="15">
        <f t="shared" si="20"/>
        <v>-214446.54804545821</v>
      </c>
      <c r="D240" s="16">
        <f t="shared" si="18"/>
        <v>-893.52728352274255</v>
      </c>
      <c r="E240" s="21">
        <f t="shared" si="23"/>
        <v>4847.4954172304651</v>
      </c>
      <c r="F240" s="162">
        <v>0</v>
      </c>
      <c r="G240" s="16">
        <f t="shared" si="19"/>
        <v>-219294.04346268869</v>
      </c>
      <c r="I240" s="21">
        <f t="shared" si="21"/>
        <v>719294.04346268834</v>
      </c>
      <c r="J240" s="16">
        <f t="shared" si="22"/>
        <v>190118.62729008766</v>
      </c>
    </row>
    <row r="241" spans="2:10" hidden="1" outlineLevel="1" x14ac:dyDescent="0.2">
      <c r="B241" s="44">
        <v>51196</v>
      </c>
      <c r="C241" s="15">
        <f t="shared" si="20"/>
        <v>-219294.04346268869</v>
      </c>
      <c r="D241" s="16">
        <f t="shared" si="18"/>
        <v>-913.7251810945362</v>
      </c>
      <c r="E241" s="21">
        <f t="shared" si="23"/>
        <v>4867.693314802259</v>
      </c>
      <c r="F241" s="163">
        <v>0</v>
      </c>
      <c r="G241" s="16">
        <f t="shared" si="19"/>
        <v>-224161.73677749094</v>
      </c>
      <c r="I241" s="21">
        <f t="shared" si="21"/>
        <v>724161.73677749059</v>
      </c>
      <c r="J241" s="16">
        <f t="shared" si="22"/>
        <v>189204.90210899312</v>
      </c>
    </row>
    <row r="242" spans="2:10" hidden="1" outlineLevel="1" x14ac:dyDescent="0.2">
      <c r="B242" s="44">
        <v>51227</v>
      </c>
      <c r="C242" s="15">
        <f t="shared" si="20"/>
        <v>-224161.73677749094</v>
      </c>
      <c r="D242" s="16">
        <f t="shared" si="18"/>
        <v>-934.00723657287892</v>
      </c>
      <c r="E242" s="21">
        <f t="shared" si="23"/>
        <v>4887.975370280602</v>
      </c>
      <c r="F242" s="162">
        <v>0</v>
      </c>
      <c r="G242" s="16">
        <f t="shared" si="19"/>
        <v>-229049.71214777153</v>
      </c>
      <c r="I242" s="21">
        <f t="shared" si="21"/>
        <v>729049.71214777115</v>
      </c>
      <c r="J242" s="16">
        <f t="shared" si="22"/>
        <v>188270.89487242023</v>
      </c>
    </row>
    <row r="243" spans="2:10" hidden="1" outlineLevel="1" x14ac:dyDescent="0.2">
      <c r="B243" s="44">
        <v>51257</v>
      </c>
      <c r="C243" s="15">
        <f t="shared" si="20"/>
        <v>-229049.71214777153</v>
      </c>
      <c r="D243" s="16">
        <f t="shared" si="18"/>
        <v>-954.37380061571469</v>
      </c>
      <c r="E243" s="21">
        <f t="shared" si="23"/>
        <v>4908.3419343234373</v>
      </c>
      <c r="F243" s="163">
        <v>0</v>
      </c>
      <c r="G243" s="16">
        <f t="shared" si="19"/>
        <v>-233958.05408209495</v>
      </c>
      <c r="I243" s="21">
        <f t="shared" si="21"/>
        <v>733958.05408209458</v>
      </c>
      <c r="J243" s="16">
        <f t="shared" si="22"/>
        <v>187316.52107180451</v>
      </c>
    </row>
    <row r="244" spans="2:10" hidden="1" outlineLevel="1" x14ac:dyDescent="0.2">
      <c r="B244" s="44">
        <v>51288</v>
      </c>
      <c r="C244" s="15">
        <f t="shared" si="20"/>
        <v>-233958.05408209495</v>
      </c>
      <c r="D244" s="16">
        <f t="shared" si="18"/>
        <v>-974.82522534206225</v>
      </c>
      <c r="E244" s="21">
        <f t="shared" si="23"/>
        <v>4928.7933590497851</v>
      </c>
      <c r="F244" s="162">
        <v>0</v>
      </c>
      <c r="G244" s="16">
        <f t="shared" si="19"/>
        <v>-238886.84744114475</v>
      </c>
      <c r="I244" s="21">
        <f t="shared" si="21"/>
        <v>738886.8474411444</v>
      </c>
      <c r="J244" s="16">
        <f t="shared" si="22"/>
        <v>186341.69584646245</v>
      </c>
    </row>
    <row r="245" spans="2:10" hidden="1" outlineLevel="1" x14ac:dyDescent="0.2">
      <c r="B245" s="44">
        <v>51318</v>
      </c>
      <c r="C245" s="15">
        <f t="shared" si="20"/>
        <v>-238886.84744114475</v>
      </c>
      <c r="D245" s="16">
        <f t="shared" si="18"/>
        <v>-995.36186433810315</v>
      </c>
      <c r="E245" s="21">
        <f t="shared" si="23"/>
        <v>4949.329998045826</v>
      </c>
      <c r="F245" s="163">
        <v>0</v>
      </c>
      <c r="G245" s="16">
        <f t="shared" si="19"/>
        <v>-243836.17743919059</v>
      </c>
      <c r="I245" s="21">
        <f t="shared" si="21"/>
        <v>743836.17743919021</v>
      </c>
      <c r="J245" s="16">
        <f t="shared" si="22"/>
        <v>185346.33398212434</v>
      </c>
    </row>
    <row r="246" spans="2:10" hidden="1" outlineLevel="1" x14ac:dyDescent="0.2">
      <c r="B246" s="44">
        <v>51349</v>
      </c>
      <c r="C246" s="15">
        <f t="shared" si="20"/>
        <v>-243836.17743919059</v>
      </c>
      <c r="D246" s="16">
        <f t="shared" si="18"/>
        <v>-1015.9840726632941</v>
      </c>
      <c r="E246" s="21">
        <f t="shared" si="23"/>
        <v>4969.9522063710165</v>
      </c>
      <c r="F246" s="162">
        <v>0</v>
      </c>
      <c r="G246" s="16">
        <f t="shared" si="19"/>
        <v>-248806.1296455616</v>
      </c>
      <c r="I246" s="21">
        <f t="shared" si="21"/>
        <v>748806.12964556122</v>
      </c>
      <c r="J246" s="16">
        <f t="shared" si="22"/>
        <v>184330.34990946105</v>
      </c>
    </row>
    <row r="247" spans="2:10" hidden="1" outlineLevel="1" x14ac:dyDescent="0.2">
      <c r="B247" s="44">
        <v>51380</v>
      </c>
      <c r="C247" s="15">
        <f t="shared" si="20"/>
        <v>-248806.1296455616</v>
      </c>
      <c r="D247" s="16">
        <f t="shared" si="18"/>
        <v>-1036.6922068565066</v>
      </c>
      <c r="E247" s="21">
        <f t="shared" si="23"/>
        <v>4990.660340564229</v>
      </c>
      <c r="F247" s="163">
        <v>0</v>
      </c>
      <c r="G247" s="16">
        <f t="shared" si="19"/>
        <v>-253796.78998612583</v>
      </c>
      <c r="I247" s="21">
        <f t="shared" si="21"/>
        <v>753796.78998612543</v>
      </c>
      <c r="J247" s="16">
        <f t="shared" si="22"/>
        <v>183293.65770260454</v>
      </c>
    </row>
    <row r="248" spans="2:10" hidden="1" outlineLevel="1" x14ac:dyDescent="0.2">
      <c r="B248" s="44">
        <v>51410</v>
      </c>
      <c r="C248" s="15">
        <f t="shared" si="20"/>
        <v>-253796.78998612583</v>
      </c>
      <c r="D248" s="16">
        <f t="shared" si="18"/>
        <v>-1057.4866249421909</v>
      </c>
      <c r="E248" s="21">
        <f t="shared" si="23"/>
        <v>5011.4547586499139</v>
      </c>
      <c r="F248" s="162">
        <v>0</v>
      </c>
      <c r="G248" s="16">
        <f t="shared" si="19"/>
        <v>-258808.24474477576</v>
      </c>
      <c r="I248" s="21">
        <f t="shared" si="21"/>
        <v>758808.24474477535</v>
      </c>
      <c r="J248" s="16">
        <f t="shared" si="22"/>
        <v>182236.17107766235</v>
      </c>
    </row>
    <row r="249" spans="2:10" hidden="1" outlineLevel="1" x14ac:dyDescent="0.2">
      <c r="B249" s="44">
        <v>51441</v>
      </c>
      <c r="C249" s="15">
        <f t="shared" si="20"/>
        <v>-258808.24474477576</v>
      </c>
      <c r="D249" s="16">
        <f t="shared" si="18"/>
        <v>-1078.3676864365657</v>
      </c>
      <c r="E249" s="21">
        <f t="shared" si="23"/>
        <v>5032.3358201442879</v>
      </c>
      <c r="F249" s="163">
        <v>0</v>
      </c>
      <c r="G249" s="16">
        <f t="shared" si="19"/>
        <v>-263840.58056492003</v>
      </c>
      <c r="I249" s="21">
        <f t="shared" si="21"/>
        <v>763840.58056491963</v>
      </c>
      <c r="J249" s="16">
        <f t="shared" si="22"/>
        <v>181157.80339122578</v>
      </c>
    </row>
    <row r="250" spans="2:10" hidden="1" outlineLevel="1" x14ac:dyDescent="0.2">
      <c r="B250" s="44">
        <v>51471</v>
      </c>
      <c r="C250" s="15">
        <f t="shared" si="20"/>
        <v>-263840.58056492003</v>
      </c>
      <c r="D250" s="16">
        <f t="shared" si="18"/>
        <v>-1099.3357523538334</v>
      </c>
      <c r="E250" s="21">
        <f t="shared" si="23"/>
        <v>5053.3038860615561</v>
      </c>
      <c r="F250" s="162">
        <v>0</v>
      </c>
      <c r="G250" s="16">
        <f t="shared" si="19"/>
        <v>-268893.88445098157</v>
      </c>
      <c r="I250" s="21">
        <f t="shared" si="21"/>
        <v>768893.88445098116</v>
      </c>
      <c r="J250" s="16">
        <f t="shared" si="22"/>
        <v>180058.46763887195</v>
      </c>
    </row>
    <row r="251" spans="2:10" hidden="1" outlineLevel="1" x14ac:dyDescent="0.2">
      <c r="B251" s="44">
        <v>51502</v>
      </c>
      <c r="C251" s="15">
        <f t="shared" si="20"/>
        <v>-268893.88445098157</v>
      </c>
      <c r="D251" s="16">
        <f t="shared" si="18"/>
        <v>-1120.3911852124231</v>
      </c>
      <c r="E251" s="21">
        <f t="shared" si="23"/>
        <v>5074.3593189201456</v>
      </c>
      <c r="F251" s="163">
        <v>0</v>
      </c>
      <c r="G251" s="16">
        <f t="shared" si="19"/>
        <v>-273968.24376990169</v>
      </c>
      <c r="I251" s="21">
        <f t="shared" si="21"/>
        <v>773968.24376990134</v>
      </c>
      <c r="J251" s="16">
        <f t="shared" si="22"/>
        <v>178938.07645365954</v>
      </c>
    </row>
    <row r="252" spans="2:10" hidden="1" outlineLevel="1" x14ac:dyDescent="0.2">
      <c r="B252" s="44">
        <v>51533</v>
      </c>
      <c r="C252" s="15">
        <f t="shared" si="20"/>
        <v>-273968.24376990169</v>
      </c>
      <c r="D252" s="16">
        <f t="shared" si="18"/>
        <v>-1141.534349041257</v>
      </c>
      <c r="E252" s="21">
        <f t="shared" si="23"/>
        <v>5095.5024827489797</v>
      </c>
      <c r="F252" s="162">
        <v>0</v>
      </c>
      <c r="G252" s="16">
        <f t="shared" si="19"/>
        <v>-279063.74625265069</v>
      </c>
      <c r="I252" s="21">
        <f t="shared" si="21"/>
        <v>779063.74625265028</v>
      </c>
      <c r="J252" s="16">
        <f t="shared" si="22"/>
        <v>177796.54210461827</v>
      </c>
    </row>
    <row r="253" spans="2:10" hidden="1" outlineLevel="1" x14ac:dyDescent="0.2">
      <c r="B253" s="44">
        <v>51561</v>
      </c>
      <c r="C253" s="15">
        <f t="shared" si="20"/>
        <v>-279063.74625265069</v>
      </c>
      <c r="D253" s="16">
        <f t="shared" si="18"/>
        <v>-1162.7656093860446</v>
      </c>
      <c r="E253" s="21">
        <f t="shared" si="23"/>
        <v>5116.7337430937678</v>
      </c>
      <c r="F253" s="163">
        <v>0</v>
      </c>
      <c r="G253" s="16">
        <f t="shared" si="19"/>
        <v>-284180.47999574448</v>
      </c>
      <c r="I253" s="21">
        <f t="shared" si="21"/>
        <v>784180.47999574407</v>
      </c>
      <c r="J253" s="16">
        <f t="shared" si="22"/>
        <v>176633.77649523222</v>
      </c>
    </row>
    <row r="254" spans="2:10" hidden="1" outlineLevel="1" x14ac:dyDescent="0.2">
      <c r="B254" s="44">
        <v>51592</v>
      </c>
      <c r="C254" s="15">
        <f t="shared" si="20"/>
        <v>-284180.47999574448</v>
      </c>
      <c r="D254" s="16">
        <f t="shared" si="18"/>
        <v>-1184.0853333156019</v>
      </c>
      <c r="E254" s="21">
        <f t="shared" si="23"/>
        <v>5138.0534670233246</v>
      </c>
      <c r="F254" s="162">
        <v>0</v>
      </c>
      <c r="G254" s="16">
        <f t="shared" si="19"/>
        <v>-289318.53346276778</v>
      </c>
      <c r="I254" s="21">
        <f t="shared" si="21"/>
        <v>789318.53346276737</v>
      </c>
      <c r="J254" s="16">
        <f t="shared" si="22"/>
        <v>175449.69116191662</v>
      </c>
    </row>
    <row r="255" spans="2:10" hidden="1" outlineLevel="1" x14ac:dyDescent="0.2">
      <c r="B255" s="44">
        <v>51622</v>
      </c>
      <c r="C255" s="15">
        <f t="shared" si="20"/>
        <v>-289318.53346276778</v>
      </c>
      <c r="D255" s="16">
        <f t="shared" si="18"/>
        <v>-1205.4938894281991</v>
      </c>
      <c r="E255" s="21">
        <f t="shared" si="23"/>
        <v>5159.4620231359222</v>
      </c>
      <c r="F255" s="163">
        <v>0</v>
      </c>
      <c r="G255" s="16">
        <f t="shared" si="19"/>
        <v>-294477.9954859037</v>
      </c>
      <c r="I255" s="21">
        <f t="shared" si="21"/>
        <v>794477.99548590335</v>
      </c>
      <c r="J255" s="16">
        <f t="shared" si="22"/>
        <v>174244.19727248841</v>
      </c>
    </row>
    <row r="256" spans="2:10" hidden="1" outlineLevel="1" x14ac:dyDescent="0.2">
      <c r="B256" s="44">
        <v>51653</v>
      </c>
      <c r="C256" s="15">
        <f t="shared" si="20"/>
        <v>-294477.9954859037</v>
      </c>
      <c r="D256" s="16">
        <f t="shared" si="18"/>
        <v>-1226.9916478579321</v>
      </c>
      <c r="E256" s="21">
        <f t="shared" si="23"/>
        <v>5180.9597815656543</v>
      </c>
      <c r="F256" s="162">
        <v>0</v>
      </c>
      <c r="G256" s="16">
        <f t="shared" si="19"/>
        <v>-299658.95526746934</v>
      </c>
      <c r="I256" s="21">
        <f t="shared" si="21"/>
        <v>799658.95526746905</v>
      </c>
      <c r="J256" s="16">
        <f t="shared" si="22"/>
        <v>173017.20562463047</v>
      </c>
    </row>
    <row r="257" spans="2:10" hidden="1" outlineLevel="1" x14ac:dyDescent="0.2">
      <c r="B257" s="44">
        <v>51683</v>
      </c>
      <c r="C257" s="15">
        <f t="shared" si="20"/>
        <v>-299658.95526746934</v>
      </c>
      <c r="D257" s="16">
        <f t="shared" si="18"/>
        <v>-1248.5789802811223</v>
      </c>
      <c r="E257" s="21">
        <f t="shared" si="23"/>
        <v>5202.547113988845</v>
      </c>
      <c r="F257" s="163">
        <v>0</v>
      </c>
      <c r="G257" s="16">
        <f t="shared" si="19"/>
        <v>-304861.50238145818</v>
      </c>
      <c r="I257" s="21">
        <f t="shared" si="21"/>
        <v>804861.50238145795</v>
      </c>
      <c r="J257" s="16">
        <f t="shared" si="22"/>
        <v>171768.62664434934</v>
      </c>
    </row>
    <row r="258" spans="2:10" hidden="1" outlineLevel="1" x14ac:dyDescent="0.2">
      <c r="B258" s="44">
        <v>51714</v>
      </c>
      <c r="C258" s="15">
        <f t="shared" si="20"/>
        <v>-304861.50238145818</v>
      </c>
      <c r="D258" s="16">
        <f t="shared" si="18"/>
        <v>-1270.2562599227424</v>
      </c>
      <c r="E258" s="21">
        <f t="shared" si="23"/>
        <v>5224.2243936304649</v>
      </c>
      <c r="F258" s="162">
        <v>0</v>
      </c>
      <c r="G258" s="16">
        <f t="shared" si="19"/>
        <v>-310085.72677508864</v>
      </c>
      <c r="I258" s="21">
        <f t="shared" si="21"/>
        <v>810085.72677508846</v>
      </c>
      <c r="J258" s="16">
        <f t="shared" si="22"/>
        <v>170498.37038442658</v>
      </c>
    </row>
    <row r="259" spans="2:10" hidden="1" outlineLevel="1" x14ac:dyDescent="0.2">
      <c r="B259" s="44">
        <v>51745</v>
      </c>
      <c r="C259" s="15">
        <f t="shared" si="20"/>
        <v>-310085.72677508864</v>
      </c>
      <c r="D259" s="16">
        <f t="shared" si="18"/>
        <v>-1292.0238615628693</v>
      </c>
      <c r="E259" s="21">
        <f t="shared" si="23"/>
        <v>5245.9919952705923</v>
      </c>
      <c r="F259" s="163">
        <v>0</v>
      </c>
      <c r="G259" s="16">
        <f t="shared" si="19"/>
        <v>-315331.71877035924</v>
      </c>
      <c r="I259" s="21">
        <f t="shared" si="21"/>
        <v>815331.71877035906</v>
      </c>
      <c r="J259" s="16">
        <f t="shared" si="22"/>
        <v>169206.34652286372</v>
      </c>
    </row>
    <row r="260" spans="2:10" hidden="1" outlineLevel="1" x14ac:dyDescent="0.2">
      <c r="B260" s="44">
        <v>51775</v>
      </c>
      <c r="C260" s="15">
        <f t="shared" si="20"/>
        <v>-315331.71877035924</v>
      </c>
      <c r="D260" s="16">
        <f t="shared" si="18"/>
        <v>-1313.8821615431634</v>
      </c>
      <c r="E260" s="21">
        <f t="shared" si="23"/>
        <v>5267.8502952508861</v>
      </c>
      <c r="F260" s="162">
        <v>0</v>
      </c>
      <c r="G260" s="16">
        <f t="shared" si="19"/>
        <v>-320599.56906561012</v>
      </c>
      <c r="I260" s="21">
        <f t="shared" si="21"/>
        <v>820599.56906560995</v>
      </c>
      <c r="J260" s="16">
        <f t="shared" si="22"/>
        <v>167892.46436132057</v>
      </c>
    </row>
    <row r="261" spans="2:10" hidden="1" outlineLevel="1" x14ac:dyDescent="0.2">
      <c r="B261" s="44">
        <v>51806</v>
      </c>
      <c r="C261" s="15">
        <f t="shared" si="20"/>
        <v>-320599.56906561012</v>
      </c>
      <c r="D261" s="16">
        <f t="shared" si="18"/>
        <v>-1335.8315377733754</v>
      </c>
      <c r="E261" s="21">
        <f t="shared" si="23"/>
        <v>5289.7996714810979</v>
      </c>
      <c r="F261" s="163">
        <v>0</v>
      </c>
      <c r="G261" s="16">
        <f t="shared" si="19"/>
        <v>-325889.36873709119</v>
      </c>
      <c r="I261" s="21">
        <f t="shared" si="21"/>
        <v>825889.36873709108</v>
      </c>
      <c r="J261" s="16">
        <f t="shared" si="22"/>
        <v>166556.6328235472</v>
      </c>
    </row>
    <row r="262" spans="2:10" hidden="1" outlineLevel="1" x14ac:dyDescent="0.2">
      <c r="B262" s="44">
        <v>51836</v>
      </c>
      <c r="C262" s="15">
        <f t="shared" si="20"/>
        <v>-325889.36873709119</v>
      </c>
      <c r="D262" s="16">
        <f t="shared" si="18"/>
        <v>-1357.87236973788</v>
      </c>
      <c r="E262" s="21">
        <f t="shared" si="23"/>
        <v>5311.8405034456027</v>
      </c>
      <c r="F262" s="162">
        <v>0</v>
      </c>
      <c r="G262" s="16">
        <f t="shared" si="19"/>
        <v>-331201.20924053679</v>
      </c>
      <c r="I262" s="21">
        <f t="shared" si="21"/>
        <v>831201.20924053667</v>
      </c>
      <c r="J262" s="16">
        <f t="shared" si="22"/>
        <v>165198.76045380931</v>
      </c>
    </row>
    <row r="263" spans="2:10" hidden="1" outlineLevel="1" x14ac:dyDescent="0.2">
      <c r="B263" s="44">
        <v>51867</v>
      </c>
      <c r="C263" s="15">
        <f t="shared" si="20"/>
        <v>-331201.20924053679</v>
      </c>
      <c r="D263" s="16">
        <f t="shared" ref="D263:D326" si="24">C263*E$6</f>
        <v>-1380.0050385022366</v>
      </c>
      <c r="E263" s="21">
        <f t="shared" si="23"/>
        <v>5333.9731722099596</v>
      </c>
      <c r="F263" s="163">
        <v>0</v>
      </c>
      <c r="G263" s="16">
        <f t="shared" si="19"/>
        <v>-336535.18241274677</v>
      </c>
      <c r="I263" s="21">
        <f t="shared" si="21"/>
        <v>836535.1824127466</v>
      </c>
      <c r="J263" s="16">
        <f t="shared" si="22"/>
        <v>163818.75541530707</v>
      </c>
    </row>
    <row r="264" spans="2:10" hidden="1" outlineLevel="1" x14ac:dyDescent="0.2">
      <c r="B264" s="44">
        <v>51898</v>
      </c>
      <c r="C264" s="15">
        <f t="shared" si="20"/>
        <v>-336535.18241274677</v>
      </c>
      <c r="D264" s="16">
        <f t="shared" si="24"/>
        <v>-1402.2299267197782</v>
      </c>
      <c r="E264" s="21">
        <f t="shared" si="23"/>
        <v>5356.1980604275013</v>
      </c>
      <c r="F264" s="162">
        <v>0</v>
      </c>
      <c r="G264" s="16">
        <f t="shared" si="19"/>
        <v>-341891.38047317427</v>
      </c>
      <c r="I264" s="21">
        <f t="shared" si="21"/>
        <v>841891.38047317415</v>
      </c>
      <c r="J264" s="16">
        <f t="shared" si="22"/>
        <v>162416.5254885873</v>
      </c>
    </row>
    <row r="265" spans="2:10" hidden="1" outlineLevel="1" x14ac:dyDescent="0.2">
      <c r="B265" s="44">
        <v>51926</v>
      </c>
      <c r="C265" s="15">
        <f t="shared" si="20"/>
        <v>-341891.38047317427</v>
      </c>
      <c r="D265" s="16">
        <f t="shared" si="24"/>
        <v>-1424.5474186382262</v>
      </c>
      <c r="E265" s="21">
        <f t="shared" si="23"/>
        <v>5378.5155523459489</v>
      </c>
      <c r="F265" s="163">
        <v>0</v>
      </c>
      <c r="G265" s="16">
        <f t="shared" si="19"/>
        <v>-347269.89602552023</v>
      </c>
      <c r="I265" s="21">
        <f t="shared" si="21"/>
        <v>847269.89602552005</v>
      </c>
      <c r="J265" s="16">
        <f t="shared" si="22"/>
        <v>160991.97806994908</v>
      </c>
    </row>
    <row r="266" spans="2:10" hidden="1" outlineLevel="1" x14ac:dyDescent="0.2">
      <c r="B266" s="44">
        <v>51957</v>
      </c>
      <c r="C266" s="15">
        <f t="shared" si="20"/>
        <v>-347269.89602552023</v>
      </c>
      <c r="D266" s="16">
        <f t="shared" si="24"/>
        <v>-1446.9579001063344</v>
      </c>
      <c r="E266" s="21">
        <f t="shared" si="23"/>
        <v>5400.9260338140575</v>
      </c>
      <c r="F266" s="162">
        <v>0</v>
      </c>
      <c r="G266" s="16">
        <f t="shared" si="19"/>
        <v>-352670.82205933426</v>
      </c>
      <c r="I266" s="21">
        <f t="shared" si="21"/>
        <v>852670.82205933414</v>
      </c>
      <c r="J266" s="16">
        <f t="shared" si="22"/>
        <v>159545.02016984276</v>
      </c>
    </row>
    <row r="267" spans="2:10" hidden="1" outlineLevel="1" x14ac:dyDescent="0.2">
      <c r="B267" s="44">
        <v>51987</v>
      </c>
      <c r="C267" s="15">
        <f t="shared" si="20"/>
        <v>-352670.82205933426</v>
      </c>
      <c r="D267" s="16">
        <f t="shared" si="24"/>
        <v>-1469.4617585805595</v>
      </c>
      <c r="E267" s="21">
        <f t="shared" si="23"/>
        <v>5423.4298922882826</v>
      </c>
      <c r="F267" s="163">
        <v>0</v>
      </c>
      <c r="G267" s="16">
        <f t="shared" ref="G267:G330" si="25">C267-E267-F267</f>
        <v>-358094.25195162254</v>
      </c>
      <c r="I267" s="21">
        <f t="shared" si="21"/>
        <v>858094.25195162243</v>
      </c>
      <c r="J267" s="16">
        <f t="shared" si="22"/>
        <v>158075.5584112622</v>
      </c>
    </row>
    <row r="268" spans="2:10" hidden="1" outlineLevel="1" x14ac:dyDescent="0.2">
      <c r="B268" s="44">
        <v>52018</v>
      </c>
      <c r="C268" s="15">
        <f t="shared" ref="C268:C331" si="26">G267</f>
        <v>-358094.25195162254</v>
      </c>
      <c r="D268" s="16">
        <f t="shared" si="24"/>
        <v>-1492.0593831317606</v>
      </c>
      <c r="E268" s="21">
        <f t="shared" si="23"/>
        <v>5446.0275168394837</v>
      </c>
      <c r="F268" s="162">
        <v>0</v>
      </c>
      <c r="G268" s="16">
        <f t="shared" si="25"/>
        <v>-363540.27946846205</v>
      </c>
      <c r="I268" s="21">
        <f t="shared" ref="I268:I331" si="27">I267+E268</f>
        <v>863540.27946846187</v>
      </c>
      <c r="J268" s="16">
        <f t="shared" ref="J268:J331" si="28">J267+D268</f>
        <v>156583.49902813043</v>
      </c>
    </row>
    <row r="269" spans="2:10" hidden="1" outlineLevel="1" x14ac:dyDescent="0.2">
      <c r="B269" s="44">
        <v>52048</v>
      </c>
      <c r="C269" s="15">
        <f t="shared" si="26"/>
        <v>-363540.27946846205</v>
      </c>
      <c r="D269" s="16">
        <f t="shared" si="24"/>
        <v>-1514.7511644519252</v>
      </c>
      <c r="E269" s="21">
        <f t="shared" ref="E269:E332" si="29">E$8-D269</f>
        <v>5468.7192981596481</v>
      </c>
      <c r="F269" s="163">
        <v>0</v>
      </c>
      <c r="G269" s="16">
        <f t="shared" si="25"/>
        <v>-369008.99876662169</v>
      </c>
      <c r="I269" s="21">
        <f t="shared" si="27"/>
        <v>869008.99876662157</v>
      </c>
      <c r="J269" s="16">
        <f t="shared" si="28"/>
        <v>155068.74786367852</v>
      </c>
    </row>
    <row r="270" spans="2:10" hidden="1" outlineLevel="1" x14ac:dyDescent="0.2">
      <c r="B270" s="44">
        <v>52079</v>
      </c>
      <c r="C270" s="15">
        <f t="shared" si="26"/>
        <v>-369008.99876662169</v>
      </c>
      <c r="D270" s="16">
        <f t="shared" si="24"/>
        <v>-1537.5374948609237</v>
      </c>
      <c r="E270" s="21">
        <f t="shared" si="29"/>
        <v>5491.505628568646</v>
      </c>
      <c r="F270" s="162">
        <v>0</v>
      </c>
      <c r="G270" s="16">
        <f t="shared" si="25"/>
        <v>-374500.50439519034</v>
      </c>
      <c r="I270" s="21">
        <f t="shared" si="27"/>
        <v>874500.50439519028</v>
      </c>
      <c r="J270" s="16">
        <f t="shared" si="28"/>
        <v>153531.21036881761</v>
      </c>
    </row>
    <row r="271" spans="2:10" hidden="1" outlineLevel="1" x14ac:dyDescent="0.2">
      <c r="B271" s="44">
        <v>52110</v>
      </c>
      <c r="C271" s="15">
        <f t="shared" si="26"/>
        <v>-374500.50439519034</v>
      </c>
      <c r="D271" s="16">
        <f t="shared" si="24"/>
        <v>-1560.418768313293</v>
      </c>
      <c r="E271" s="21">
        <f t="shared" si="29"/>
        <v>5514.3869020210159</v>
      </c>
      <c r="F271" s="163">
        <v>0</v>
      </c>
      <c r="G271" s="16">
        <f t="shared" si="25"/>
        <v>-380014.89129721135</v>
      </c>
      <c r="I271" s="21">
        <f t="shared" si="27"/>
        <v>880014.89129721129</v>
      </c>
      <c r="J271" s="16">
        <f t="shared" si="28"/>
        <v>151970.79160050431</v>
      </c>
    </row>
    <row r="272" spans="2:10" hidden="1" outlineLevel="1" x14ac:dyDescent="0.2">
      <c r="B272" s="44">
        <v>52140</v>
      </c>
      <c r="C272" s="15">
        <f t="shared" si="26"/>
        <v>-380014.89129721135</v>
      </c>
      <c r="D272" s="16">
        <f t="shared" si="24"/>
        <v>-1583.3953804050473</v>
      </c>
      <c r="E272" s="21">
        <f t="shared" si="29"/>
        <v>5537.3635141127697</v>
      </c>
      <c r="F272" s="162">
        <v>0</v>
      </c>
      <c r="G272" s="16">
        <f t="shared" si="25"/>
        <v>-385552.25481132412</v>
      </c>
      <c r="I272" s="21">
        <f t="shared" si="27"/>
        <v>885552.25481132406</v>
      </c>
      <c r="J272" s="16">
        <f t="shared" si="28"/>
        <v>150387.39622009927</v>
      </c>
    </row>
    <row r="273" spans="2:10" hidden="1" outlineLevel="1" x14ac:dyDescent="0.2">
      <c r="B273" s="44">
        <v>52171</v>
      </c>
      <c r="C273" s="15">
        <f t="shared" si="26"/>
        <v>-385552.25481132412</v>
      </c>
      <c r="D273" s="16">
        <f t="shared" si="24"/>
        <v>-1606.4677283805172</v>
      </c>
      <c r="E273" s="21">
        <f t="shared" si="29"/>
        <v>5560.4358620882394</v>
      </c>
      <c r="F273" s="163">
        <v>0</v>
      </c>
      <c r="G273" s="16">
        <f t="shared" si="25"/>
        <v>-391112.69067341235</v>
      </c>
      <c r="I273" s="21">
        <f t="shared" si="27"/>
        <v>891112.69067341229</v>
      </c>
      <c r="J273" s="16">
        <f t="shared" si="28"/>
        <v>148780.92849171875</v>
      </c>
    </row>
    <row r="274" spans="2:10" hidden="1" outlineLevel="1" x14ac:dyDescent="0.2">
      <c r="B274" s="44">
        <v>52201</v>
      </c>
      <c r="C274" s="15">
        <f t="shared" si="26"/>
        <v>-391112.69067341235</v>
      </c>
      <c r="D274" s="16">
        <f t="shared" si="24"/>
        <v>-1629.6362111392182</v>
      </c>
      <c r="E274" s="21">
        <f t="shared" si="29"/>
        <v>5583.6043448469409</v>
      </c>
      <c r="F274" s="162">
        <v>0</v>
      </c>
      <c r="G274" s="16">
        <f t="shared" si="25"/>
        <v>-396696.29501825926</v>
      </c>
      <c r="I274" s="21">
        <f t="shared" si="27"/>
        <v>896696.2950182592</v>
      </c>
      <c r="J274" s="16">
        <f t="shared" si="28"/>
        <v>147151.29228057954</v>
      </c>
    </row>
    <row r="275" spans="2:10" hidden="1" outlineLevel="1" x14ac:dyDescent="0.2">
      <c r="B275" s="44">
        <v>52232</v>
      </c>
      <c r="C275" s="15">
        <f t="shared" si="26"/>
        <v>-396696.29501825926</v>
      </c>
      <c r="D275" s="16">
        <f t="shared" si="24"/>
        <v>-1652.9012292427469</v>
      </c>
      <c r="E275" s="21">
        <f t="shared" si="29"/>
        <v>5606.8693629504696</v>
      </c>
      <c r="F275" s="163">
        <v>0</v>
      </c>
      <c r="G275" s="16">
        <f t="shared" si="25"/>
        <v>-402303.1643812097</v>
      </c>
      <c r="I275" s="21">
        <f t="shared" si="27"/>
        <v>902303.16438120964</v>
      </c>
      <c r="J275" s="16">
        <f t="shared" si="28"/>
        <v>145498.3910513368</v>
      </c>
    </row>
    <row r="276" spans="2:10" hidden="1" outlineLevel="1" x14ac:dyDescent="0.2">
      <c r="B276" s="44">
        <v>52263</v>
      </c>
      <c r="C276" s="15">
        <f t="shared" si="26"/>
        <v>-402303.1643812097</v>
      </c>
      <c r="D276" s="16">
        <f t="shared" si="24"/>
        <v>-1676.2631849217071</v>
      </c>
      <c r="E276" s="21">
        <f t="shared" si="29"/>
        <v>5630.2313186294296</v>
      </c>
      <c r="F276" s="162">
        <v>0</v>
      </c>
      <c r="G276" s="16">
        <f t="shared" si="25"/>
        <v>-407933.39569983911</v>
      </c>
      <c r="I276" s="21">
        <f t="shared" si="27"/>
        <v>907933.39569983911</v>
      </c>
      <c r="J276" s="16">
        <f t="shared" si="28"/>
        <v>143822.1278664151</v>
      </c>
    </row>
    <row r="277" spans="2:10" hidden="1" outlineLevel="1" x14ac:dyDescent="0.2">
      <c r="B277" s="44">
        <v>52291</v>
      </c>
      <c r="C277" s="15">
        <f t="shared" si="26"/>
        <v>-407933.39569983911</v>
      </c>
      <c r="D277" s="16">
        <f t="shared" si="24"/>
        <v>-1699.722482082663</v>
      </c>
      <c r="E277" s="21">
        <f t="shared" si="29"/>
        <v>5653.6906157903859</v>
      </c>
      <c r="F277" s="163">
        <v>0</v>
      </c>
      <c r="G277" s="16">
        <f t="shared" si="25"/>
        <v>-413587.08631562948</v>
      </c>
      <c r="I277" s="21">
        <f t="shared" si="27"/>
        <v>913587.08631562954</v>
      </c>
      <c r="J277" s="16">
        <f t="shared" si="28"/>
        <v>142122.40538433244</v>
      </c>
    </row>
    <row r="278" spans="2:10" hidden="1" outlineLevel="1" x14ac:dyDescent="0.2">
      <c r="B278" s="44">
        <v>52322</v>
      </c>
      <c r="C278" s="15">
        <f t="shared" si="26"/>
        <v>-413587.08631562948</v>
      </c>
      <c r="D278" s="16">
        <f t="shared" si="24"/>
        <v>-1723.2795263151229</v>
      </c>
      <c r="E278" s="21">
        <f t="shared" si="29"/>
        <v>5677.2476600228456</v>
      </c>
      <c r="F278" s="162">
        <v>0</v>
      </c>
      <c r="G278" s="16">
        <f t="shared" si="25"/>
        <v>-419264.33397565235</v>
      </c>
      <c r="I278" s="21">
        <f t="shared" si="27"/>
        <v>919264.33397565235</v>
      </c>
      <c r="J278" s="16">
        <f t="shared" si="28"/>
        <v>140399.1258580173</v>
      </c>
    </row>
    <row r="279" spans="2:10" hidden="1" outlineLevel="1" x14ac:dyDescent="0.2">
      <c r="B279" s="44">
        <v>52352</v>
      </c>
      <c r="C279" s="15">
        <f t="shared" si="26"/>
        <v>-419264.33397565235</v>
      </c>
      <c r="D279" s="16">
        <f t="shared" si="24"/>
        <v>-1746.9347248985514</v>
      </c>
      <c r="E279" s="21">
        <f t="shared" si="29"/>
        <v>5700.9028586062741</v>
      </c>
      <c r="F279" s="163">
        <v>0</v>
      </c>
      <c r="G279" s="16">
        <f t="shared" si="25"/>
        <v>-424965.2368342586</v>
      </c>
      <c r="I279" s="21">
        <f t="shared" si="27"/>
        <v>924965.23683425866</v>
      </c>
      <c r="J279" s="16">
        <f t="shared" si="28"/>
        <v>138652.19113311876</v>
      </c>
    </row>
    <row r="280" spans="2:10" hidden="1" outlineLevel="1" x14ac:dyDescent="0.2">
      <c r="B280" s="44">
        <v>52383</v>
      </c>
      <c r="C280" s="15">
        <f t="shared" si="26"/>
        <v>-424965.2368342586</v>
      </c>
      <c r="D280" s="16">
        <f t="shared" si="24"/>
        <v>-1770.6884868094107</v>
      </c>
      <c r="E280" s="21">
        <f t="shared" si="29"/>
        <v>5724.656620517133</v>
      </c>
      <c r="F280" s="162">
        <v>0</v>
      </c>
      <c r="G280" s="16">
        <f t="shared" si="25"/>
        <v>-430689.89345477574</v>
      </c>
      <c r="I280" s="21">
        <f t="shared" si="27"/>
        <v>930689.8934547758</v>
      </c>
      <c r="J280" s="16">
        <f t="shared" si="28"/>
        <v>136881.50264630935</v>
      </c>
    </row>
    <row r="281" spans="2:10" hidden="1" outlineLevel="1" x14ac:dyDescent="0.2">
      <c r="B281" s="44">
        <v>52413</v>
      </c>
      <c r="C281" s="15">
        <f t="shared" si="26"/>
        <v>-430689.89345477574</v>
      </c>
      <c r="D281" s="16">
        <f t="shared" si="24"/>
        <v>-1794.5412227282322</v>
      </c>
      <c r="E281" s="21">
        <f t="shared" si="29"/>
        <v>5748.5093564359549</v>
      </c>
      <c r="F281" s="163">
        <v>0</v>
      </c>
      <c r="G281" s="16">
        <f t="shared" si="25"/>
        <v>-436438.40281121171</v>
      </c>
      <c r="I281" s="21">
        <f t="shared" si="27"/>
        <v>936438.40281121177</v>
      </c>
      <c r="J281" s="16">
        <f t="shared" si="28"/>
        <v>135086.96142358112</v>
      </c>
    </row>
    <row r="282" spans="2:10" hidden="1" outlineLevel="1" x14ac:dyDescent="0.2">
      <c r="B282" s="44">
        <v>52444</v>
      </c>
      <c r="C282" s="15">
        <f t="shared" si="26"/>
        <v>-436438.40281121171</v>
      </c>
      <c r="D282" s="16">
        <f t="shared" si="24"/>
        <v>-1818.4933450467154</v>
      </c>
      <c r="E282" s="21">
        <f t="shared" si="29"/>
        <v>5772.4614787544378</v>
      </c>
      <c r="F282" s="162">
        <v>0</v>
      </c>
      <c r="G282" s="16">
        <f t="shared" si="25"/>
        <v>-442210.86428996612</v>
      </c>
      <c r="I282" s="21">
        <f t="shared" si="27"/>
        <v>942210.86428996618</v>
      </c>
      <c r="J282" s="16">
        <f t="shared" si="28"/>
        <v>133268.46807853441</v>
      </c>
    </row>
    <row r="283" spans="2:10" hidden="1" outlineLevel="1" x14ac:dyDescent="0.2">
      <c r="B283" s="44">
        <v>52475</v>
      </c>
      <c r="C283" s="15">
        <f t="shared" si="26"/>
        <v>-442210.86428996612</v>
      </c>
      <c r="D283" s="16">
        <f t="shared" si="24"/>
        <v>-1842.5452678748588</v>
      </c>
      <c r="E283" s="21">
        <f t="shared" si="29"/>
        <v>5796.5134015825815</v>
      </c>
      <c r="F283" s="163">
        <v>0</v>
      </c>
      <c r="G283" s="16">
        <f t="shared" si="25"/>
        <v>-448007.37769154873</v>
      </c>
      <c r="I283" s="21">
        <f t="shared" si="27"/>
        <v>948007.37769154878</v>
      </c>
      <c r="J283" s="16">
        <f t="shared" si="28"/>
        <v>131425.92281065954</v>
      </c>
    </row>
    <row r="284" spans="2:10" hidden="1" outlineLevel="1" x14ac:dyDescent="0.2">
      <c r="B284" s="44">
        <v>52505</v>
      </c>
      <c r="C284" s="15">
        <f t="shared" si="26"/>
        <v>-448007.37769154873</v>
      </c>
      <c r="D284" s="16">
        <f t="shared" si="24"/>
        <v>-1866.6974070481197</v>
      </c>
      <c r="E284" s="21">
        <f t="shared" si="29"/>
        <v>5820.6655407558428</v>
      </c>
      <c r="F284" s="162">
        <v>0</v>
      </c>
      <c r="G284" s="16">
        <f t="shared" si="25"/>
        <v>-453828.04323230457</v>
      </c>
      <c r="I284" s="21">
        <f t="shared" si="27"/>
        <v>953828.04323230463</v>
      </c>
      <c r="J284" s="16">
        <f t="shared" si="28"/>
        <v>129559.22540361142</v>
      </c>
    </row>
    <row r="285" spans="2:10" hidden="1" outlineLevel="1" x14ac:dyDescent="0.2">
      <c r="B285" s="44">
        <v>52536</v>
      </c>
      <c r="C285" s="15">
        <f t="shared" si="26"/>
        <v>-453828.04323230457</v>
      </c>
      <c r="D285" s="16">
        <f t="shared" si="24"/>
        <v>-1890.9501801346023</v>
      </c>
      <c r="E285" s="21">
        <f t="shared" si="29"/>
        <v>5844.918313842325</v>
      </c>
      <c r="F285" s="163">
        <v>0</v>
      </c>
      <c r="G285" s="16">
        <f t="shared" si="25"/>
        <v>-459672.96154614689</v>
      </c>
      <c r="I285" s="21">
        <f t="shared" si="27"/>
        <v>959672.96154614701</v>
      </c>
      <c r="J285" s="16">
        <f t="shared" si="28"/>
        <v>127668.27522347681</v>
      </c>
    </row>
    <row r="286" spans="2:10" hidden="1" outlineLevel="1" x14ac:dyDescent="0.2">
      <c r="B286" s="44">
        <v>52566</v>
      </c>
      <c r="C286" s="15">
        <f t="shared" si="26"/>
        <v>-459672.96154614689</v>
      </c>
      <c r="D286" s="16">
        <f t="shared" si="24"/>
        <v>-1915.3040064422787</v>
      </c>
      <c r="E286" s="21">
        <f t="shared" si="29"/>
        <v>5869.2721401500012</v>
      </c>
      <c r="F286" s="162">
        <v>0</v>
      </c>
      <c r="G286" s="16">
        <f t="shared" si="25"/>
        <v>-465542.23368629691</v>
      </c>
      <c r="I286" s="21">
        <f t="shared" si="27"/>
        <v>965542.23368629697</v>
      </c>
      <c r="J286" s="16">
        <f t="shared" si="28"/>
        <v>125752.97121703453</v>
      </c>
    </row>
    <row r="287" spans="2:10" hidden="1" outlineLevel="1" x14ac:dyDescent="0.2">
      <c r="B287" s="44">
        <v>52597</v>
      </c>
      <c r="C287" s="15">
        <f t="shared" si="26"/>
        <v>-465542.23368629691</v>
      </c>
      <c r="D287" s="16">
        <f t="shared" si="24"/>
        <v>-1939.7593070262371</v>
      </c>
      <c r="E287" s="21">
        <f t="shared" si="29"/>
        <v>5893.7274407339601</v>
      </c>
      <c r="F287" s="163">
        <v>0</v>
      </c>
      <c r="G287" s="16">
        <f t="shared" si="25"/>
        <v>-471435.9611270309</v>
      </c>
      <c r="I287" s="21">
        <f t="shared" si="27"/>
        <v>971435.9611270309</v>
      </c>
      <c r="J287" s="16">
        <f t="shared" si="28"/>
        <v>123813.21191000829</v>
      </c>
    </row>
    <row r="288" spans="2:10" hidden="1" outlineLevel="1" x14ac:dyDescent="0.2">
      <c r="B288" s="44">
        <v>52628</v>
      </c>
      <c r="C288" s="15">
        <f t="shared" si="26"/>
        <v>-471435.9611270309</v>
      </c>
      <c r="D288" s="16">
        <f t="shared" si="24"/>
        <v>-1964.3165046959621</v>
      </c>
      <c r="E288" s="21">
        <f t="shared" si="29"/>
        <v>5918.2846384036848</v>
      </c>
      <c r="F288" s="162">
        <v>0</v>
      </c>
      <c r="G288" s="16">
        <f t="shared" si="25"/>
        <v>-477354.24576543458</v>
      </c>
      <c r="I288" s="21">
        <f t="shared" si="27"/>
        <v>977354.24576543458</v>
      </c>
      <c r="J288" s="16">
        <f t="shared" si="28"/>
        <v>121848.89540531233</v>
      </c>
    </row>
    <row r="289" spans="2:10" hidden="1" outlineLevel="1" x14ac:dyDescent="0.2">
      <c r="B289" s="44">
        <v>52657</v>
      </c>
      <c r="C289" s="15">
        <f t="shared" si="26"/>
        <v>-477354.24576543458</v>
      </c>
      <c r="D289" s="16">
        <f t="shared" si="24"/>
        <v>-1988.976024022644</v>
      </c>
      <c r="E289" s="21">
        <f t="shared" si="29"/>
        <v>5942.9441577303669</v>
      </c>
      <c r="F289" s="163">
        <v>0</v>
      </c>
      <c r="G289" s="16">
        <f t="shared" si="25"/>
        <v>-483297.18992316496</v>
      </c>
      <c r="I289" s="21">
        <f t="shared" si="27"/>
        <v>983297.1899231649</v>
      </c>
      <c r="J289" s="16">
        <f t="shared" si="28"/>
        <v>119859.91938128968</v>
      </c>
    </row>
    <row r="290" spans="2:10" hidden="1" outlineLevel="1" x14ac:dyDescent="0.2">
      <c r="B290" s="44">
        <v>52688</v>
      </c>
      <c r="C290" s="15">
        <f t="shared" si="26"/>
        <v>-483297.18992316496</v>
      </c>
      <c r="D290" s="16">
        <f t="shared" si="24"/>
        <v>-2013.7382913465206</v>
      </c>
      <c r="E290" s="21">
        <f t="shared" si="29"/>
        <v>5967.7064250542435</v>
      </c>
      <c r="F290" s="162">
        <v>0</v>
      </c>
      <c r="G290" s="16">
        <f t="shared" si="25"/>
        <v>-489264.89634821919</v>
      </c>
      <c r="I290" s="21">
        <f t="shared" si="27"/>
        <v>989264.89634821913</v>
      </c>
      <c r="J290" s="16">
        <f t="shared" si="28"/>
        <v>117846.18108994316</v>
      </c>
    </row>
    <row r="291" spans="2:10" hidden="1" outlineLevel="1" x14ac:dyDescent="0.2">
      <c r="B291" s="44">
        <v>52718</v>
      </c>
      <c r="C291" s="15">
        <f t="shared" si="26"/>
        <v>-489264.89634821919</v>
      </c>
      <c r="D291" s="16">
        <f t="shared" si="24"/>
        <v>-2038.6037347842466</v>
      </c>
      <c r="E291" s="21">
        <f t="shared" si="29"/>
        <v>5992.5718684919693</v>
      </c>
      <c r="F291" s="163">
        <v>0</v>
      </c>
      <c r="G291" s="16">
        <f t="shared" si="25"/>
        <v>-495257.46821671113</v>
      </c>
      <c r="I291" s="21">
        <f t="shared" si="27"/>
        <v>995257.46821671107</v>
      </c>
      <c r="J291" s="16">
        <f t="shared" si="28"/>
        <v>115807.57735515891</v>
      </c>
    </row>
    <row r="292" spans="2:10" hidden="1" outlineLevel="1" x14ac:dyDescent="0.2">
      <c r="B292" s="44">
        <v>52749</v>
      </c>
      <c r="C292" s="15">
        <f t="shared" si="26"/>
        <v>-495257.46821671113</v>
      </c>
      <c r="D292" s="16">
        <f t="shared" si="24"/>
        <v>-2063.5727842362962</v>
      </c>
      <c r="E292" s="21">
        <f t="shared" si="29"/>
        <v>6017.5409179440194</v>
      </c>
      <c r="F292" s="162">
        <v>0</v>
      </c>
      <c r="G292" s="16">
        <f t="shared" si="25"/>
        <v>-501275.00913465518</v>
      </c>
      <c r="I292" s="21">
        <f t="shared" si="27"/>
        <v>1001275.0091346551</v>
      </c>
      <c r="J292" s="16">
        <f t="shared" si="28"/>
        <v>113744.00457092261</v>
      </c>
    </row>
    <row r="293" spans="2:10" hidden="1" outlineLevel="1" x14ac:dyDescent="0.2">
      <c r="B293" s="44">
        <v>52779</v>
      </c>
      <c r="C293" s="15">
        <f t="shared" si="26"/>
        <v>-501275.00913465518</v>
      </c>
      <c r="D293" s="16">
        <f t="shared" si="24"/>
        <v>-2088.6458713943966</v>
      </c>
      <c r="E293" s="21">
        <f t="shared" si="29"/>
        <v>6042.6140051021193</v>
      </c>
      <c r="F293" s="163">
        <v>0</v>
      </c>
      <c r="G293" s="16">
        <f t="shared" si="25"/>
        <v>-507317.62313975731</v>
      </c>
      <c r="I293" s="21">
        <f t="shared" si="27"/>
        <v>1007317.6231397572</v>
      </c>
      <c r="J293" s="16">
        <f t="shared" si="28"/>
        <v>111655.35869952821</v>
      </c>
    </row>
    <row r="294" spans="2:10" hidden="1" outlineLevel="1" x14ac:dyDescent="0.2">
      <c r="B294" s="44">
        <v>52810</v>
      </c>
      <c r="C294" s="15">
        <f t="shared" si="26"/>
        <v>-507317.62313975731</v>
      </c>
      <c r="D294" s="16">
        <f t="shared" si="24"/>
        <v>-2113.8234297489889</v>
      </c>
      <c r="E294" s="21">
        <f t="shared" si="29"/>
        <v>6067.7915634567116</v>
      </c>
      <c r="F294" s="162">
        <v>0</v>
      </c>
      <c r="G294" s="16">
        <f t="shared" si="25"/>
        <v>-513385.41470321402</v>
      </c>
      <c r="I294" s="21">
        <f t="shared" si="27"/>
        <v>1013385.414703214</v>
      </c>
      <c r="J294" s="16">
        <f t="shared" si="28"/>
        <v>109541.53526977923</v>
      </c>
    </row>
    <row r="295" spans="2:10" hidden="1" outlineLevel="1" x14ac:dyDescent="0.2">
      <c r="B295" s="44">
        <v>52841</v>
      </c>
      <c r="C295" s="15">
        <f t="shared" si="26"/>
        <v>-513385.41470321402</v>
      </c>
      <c r="D295" s="16">
        <f t="shared" si="24"/>
        <v>-2139.1058945967252</v>
      </c>
      <c r="E295" s="21">
        <f t="shared" si="29"/>
        <v>6093.0740283044479</v>
      </c>
      <c r="F295" s="163">
        <v>0</v>
      </c>
      <c r="G295" s="16">
        <f t="shared" si="25"/>
        <v>-519478.48873151845</v>
      </c>
      <c r="I295" s="21">
        <f t="shared" si="27"/>
        <v>1019478.4887315184</v>
      </c>
      <c r="J295" s="16">
        <f t="shared" si="28"/>
        <v>107402.4293751825</v>
      </c>
    </row>
    <row r="296" spans="2:10" hidden="1" outlineLevel="1" x14ac:dyDescent="0.2">
      <c r="B296" s="44">
        <v>52871</v>
      </c>
      <c r="C296" s="15">
        <f t="shared" si="26"/>
        <v>-519478.48873151845</v>
      </c>
      <c r="D296" s="16">
        <f t="shared" si="24"/>
        <v>-2164.4937030479937</v>
      </c>
      <c r="E296" s="21">
        <f t="shared" si="29"/>
        <v>6118.4618367557159</v>
      </c>
      <c r="F296" s="162">
        <v>0</v>
      </c>
      <c r="G296" s="16">
        <f t="shared" si="25"/>
        <v>-525596.95056827413</v>
      </c>
      <c r="I296" s="21">
        <f t="shared" si="27"/>
        <v>1025596.9505682741</v>
      </c>
      <c r="J296" s="16">
        <f t="shared" si="28"/>
        <v>105237.93567213451</v>
      </c>
    </row>
    <row r="297" spans="2:10" hidden="1" outlineLevel="1" x14ac:dyDescent="0.2">
      <c r="B297" s="44">
        <v>52902</v>
      </c>
      <c r="C297" s="15">
        <f t="shared" si="26"/>
        <v>-525596.95056827413</v>
      </c>
      <c r="D297" s="16">
        <f t="shared" si="24"/>
        <v>-2189.9872940344753</v>
      </c>
      <c r="E297" s="21">
        <f t="shared" si="29"/>
        <v>6143.9554277421976</v>
      </c>
      <c r="F297" s="163">
        <v>0</v>
      </c>
      <c r="G297" s="16">
        <f t="shared" si="25"/>
        <v>-531740.90599601634</v>
      </c>
      <c r="I297" s="21">
        <f t="shared" si="27"/>
        <v>1031740.9059960163</v>
      </c>
      <c r="J297" s="16">
        <f t="shared" si="28"/>
        <v>103047.94837810003</v>
      </c>
    </row>
    <row r="298" spans="2:10" hidden="1" outlineLevel="1" x14ac:dyDescent="0.2">
      <c r="B298" s="44">
        <v>52932</v>
      </c>
      <c r="C298" s="15">
        <f t="shared" si="26"/>
        <v>-531740.90599601634</v>
      </c>
      <c r="D298" s="16">
        <f t="shared" si="24"/>
        <v>-2215.5871083167349</v>
      </c>
      <c r="E298" s="21">
        <f t="shared" si="29"/>
        <v>6169.5552420244576</v>
      </c>
      <c r="F298" s="162">
        <v>0</v>
      </c>
      <c r="G298" s="16">
        <f t="shared" si="25"/>
        <v>-537910.46123804082</v>
      </c>
      <c r="I298" s="21">
        <f t="shared" si="27"/>
        <v>1037910.4612380408</v>
      </c>
      <c r="J298" s="16">
        <f t="shared" si="28"/>
        <v>100832.3612697833</v>
      </c>
    </row>
    <row r="299" spans="2:10" hidden="1" outlineLevel="1" x14ac:dyDescent="0.2">
      <c r="B299" s="44">
        <v>52963</v>
      </c>
      <c r="C299" s="15">
        <f t="shared" si="26"/>
        <v>-537910.46123804082</v>
      </c>
      <c r="D299" s="16">
        <f t="shared" si="24"/>
        <v>-2241.2935884918365</v>
      </c>
      <c r="E299" s="21">
        <f t="shared" si="29"/>
        <v>6195.2617221995588</v>
      </c>
      <c r="F299" s="163">
        <v>0</v>
      </c>
      <c r="G299" s="16">
        <f t="shared" si="25"/>
        <v>-544105.72296024032</v>
      </c>
      <c r="I299" s="21">
        <f t="shared" si="27"/>
        <v>1044105.7229602403</v>
      </c>
      <c r="J299" s="16">
        <f t="shared" si="28"/>
        <v>98591.067681291461</v>
      </c>
    </row>
    <row r="300" spans="2:10" hidden="1" outlineLevel="1" x14ac:dyDescent="0.2">
      <c r="B300" s="44">
        <v>52994</v>
      </c>
      <c r="C300" s="15">
        <f t="shared" si="26"/>
        <v>-544105.72296024032</v>
      </c>
      <c r="D300" s="16">
        <f t="shared" si="24"/>
        <v>-2267.1071790010014</v>
      </c>
      <c r="E300" s="21">
        <f t="shared" si="29"/>
        <v>6221.0753127087246</v>
      </c>
      <c r="F300" s="162">
        <v>0</v>
      </c>
      <c r="G300" s="16">
        <f t="shared" si="25"/>
        <v>-550326.79827294906</v>
      </c>
      <c r="I300" s="21">
        <f t="shared" si="27"/>
        <v>1050326.7982729489</v>
      </c>
      <c r="J300" s="16">
        <f t="shared" si="28"/>
        <v>96323.960502290458</v>
      </c>
    </row>
    <row r="301" spans="2:10" hidden="1" outlineLevel="1" x14ac:dyDescent="0.2">
      <c r="B301" s="44">
        <v>53022</v>
      </c>
      <c r="C301" s="15">
        <f t="shared" si="26"/>
        <v>-550326.79827294906</v>
      </c>
      <c r="D301" s="16">
        <f t="shared" si="24"/>
        <v>-2293.0283261372879</v>
      </c>
      <c r="E301" s="21">
        <f t="shared" si="29"/>
        <v>6246.9964598450106</v>
      </c>
      <c r="F301" s="163">
        <v>0</v>
      </c>
      <c r="G301" s="16">
        <f t="shared" si="25"/>
        <v>-556573.79473279405</v>
      </c>
      <c r="I301" s="21">
        <f t="shared" si="27"/>
        <v>1056573.7947327939</v>
      </c>
      <c r="J301" s="16">
        <f t="shared" si="28"/>
        <v>94030.932176153176</v>
      </c>
    </row>
    <row r="302" spans="2:10" hidden="1" outlineLevel="1" x14ac:dyDescent="0.2">
      <c r="B302" s="44">
        <v>53053</v>
      </c>
      <c r="C302" s="15">
        <f t="shared" si="26"/>
        <v>-556573.79473279405</v>
      </c>
      <c r="D302" s="16">
        <f t="shared" si="24"/>
        <v>-2319.0574780533084</v>
      </c>
      <c r="E302" s="21">
        <f t="shared" si="29"/>
        <v>6273.0256117610315</v>
      </c>
      <c r="F302" s="162">
        <v>0</v>
      </c>
      <c r="G302" s="16">
        <f t="shared" si="25"/>
        <v>-562846.82034455508</v>
      </c>
      <c r="I302" s="21">
        <f t="shared" si="27"/>
        <v>1062846.820344555</v>
      </c>
      <c r="J302" s="16">
        <f t="shared" si="28"/>
        <v>91711.874698099869</v>
      </c>
    </row>
    <row r="303" spans="2:10" hidden="1" outlineLevel="1" x14ac:dyDescent="0.2">
      <c r="B303" s="44">
        <v>53083</v>
      </c>
      <c r="C303" s="15">
        <f t="shared" si="26"/>
        <v>-562846.82034455508</v>
      </c>
      <c r="D303" s="16">
        <f t="shared" si="24"/>
        <v>-2345.1950847689795</v>
      </c>
      <c r="E303" s="21">
        <f t="shared" si="29"/>
        <v>6299.1632184767022</v>
      </c>
      <c r="F303" s="163">
        <v>0</v>
      </c>
      <c r="G303" s="16">
        <f t="shared" si="25"/>
        <v>-569145.98356303177</v>
      </c>
      <c r="I303" s="21">
        <f t="shared" si="27"/>
        <v>1069145.9835630318</v>
      </c>
      <c r="J303" s="16">
        <f t="shared" si="28"/>
        <v>89366.679613330896</v>
      </c>
    </row>
    <row r="304" spans="2:10" hidden="1" outlineLevel="1" x14ac:dyDescent="0.2">
      <c r="B304" s="44">
        <v>53114</v>
      </c>
      <c r="C304" s="15">
        <f t="shared" si="26"/>
        <v>-569145.98356303177</v>
      </c>
      <c r="D304" s="16">
        <f t="shared" si="24"/>
        <v>-2371.441598179299</v>
      </c>
      <c r="E304" s="21">
        <f t="shared" si="29"/>
        <v>6325.4097318870217</v>
      </c>
      <c r="F304" s="162">
        <v>0</v>
      </c>
      <c r="G304" s="16">
        <f t="shared" si="25"/>
        <v>-575471.39329491882</v>
      </c>
      <c r="I304" s="21">
        <f t="shared" si="27"/>
        <v>1075471.3932949188</v>
      </c>
      <c r="J304" s="16">
        <f t="shared" si="28"/>
        <v>86995.238015151597</v>
      </c>
    </row>
    <row r="305" spans="2:10" hidden="1" outlineLevel="1" x14ac:dyDescent="0.2">
      <c r="B305" s="44">
        <v>53144</v>
      </c>
      <c r="C305" s="15">
        <f t="shared" si="26"/>
        <v>-575471.39329491882</v>
      </c>
      <c r="D305" s="16">
        <f t="shared" si="24"/>
        <v>-2397.7974720621619</v>
      </c>
      <c r="E305" s="21">
        <f t="shared" si="29"/>
        <v>6351.7656057698841</v>
      </c>
      <c r="F305" s="163">
        <v>0</v>
      </c>
      <c r="G305" s="16">
        <f t="shared" si="25"/>
        <v>-581823.15890068875</v>
      </c>
      <c r="I305" s="21">
        <f t="shared" si="27"/>
        <v>1081823.1589006886</v>
      </c>
      <c r="J305" s="16">
        <f t="shared" si="28"/>
        <v>84597.44054308944</v>
      </c>
    </row>
    <row r="306" spans="2:10" hidden="1" outlineLevel="1" x14ac:dyDescent="0.2">
      <c r="B306" s="44">
        <v>53175</v>
      </c>
      <c r="C306" s="15">
        <f t="shared" si="26"/>
        <v>-581823.15890068875</v>
      </c>
      <c r="D306" s="16">
        <f t="shared" si="24"/>
        <v>-2424.263162086203</v>
      </c>
      <c r="E306" s="21">
        <f t="shared" si="29"/>
        <v>6378.2312957939257</v>
      </c>
      <c r="F306" s="162">
        <v>0</v>
      </c>
      <c r="G306" s="16">
        <f t="shared" si="25"/>
        <v>-588201.39019648265</v>
      </c>
      <c r="I306" s="21">
        <f t="shared" si="27"/>
        <v>1088201.3901964827</v>
      </c>
      <c r="J306" s="16">
        <f t="shared" si="28"/>
        <v>82173.177381003232</v>
      </c>
    </row>
    <row r="307" spans="2:10" hidden="1" outlineLevel="1" x14ac:dyDescent="0.2">
      <c r="B307" s="44">
        <v>53206</v>
      </c>
      <c r="C307" s="15">
        <f t="shared" si="26"/>
        <v>-588201.39019648265</v>
      </c>
      <c r="D307" s="16">
        <f t="shared" si="24"/>
        <v>-2450.8391258186775</v>
      </c>
      <c r="E307" s="21">
        <f t="shared" si="29"/>
        <v>6404.8072595264002</v>
      </c>
      <c r="F307" s="163">
        <v>0</v>
      </c>
      <c r="G307" s="16">
        <f t="shared" si="25"/>
        <v>-594606.1974560091</v>
      </c>
      <c r="I307" s="21">
        <f t="shared" si="27"/>
        <v>1094606.197456009</v>
      </c>
      <c r="J307" s="16">
        <f t="shared" si="28"/>
        <v>79722.338255184557</v>
      </c>
    </row>
    <row r="308" spans="2:10" hidden="1" outlineLevel="1" x14ac:dyDescent="0.2">
      <c r="B308" s="44">
        <v>53236</v>
      </c>
      <c r="C308" s="15">
        <f t="shared" si="26"/>
        <v>-594606.1974560091</v>
      </c>
      <c r="D308" s="16">
        <f t="shared" si="24"/>
        <v>-2477.5258227333711</v>
      </c>
      <c r="E308" s="21">
        <f t="shared" si="29"/>
        <v>6431.4939564410943</v>
      </c>
      <c r="F308" s="162">
        <v>0</v>
      </c>
      <c r="G308" s="16">
        <f t="shared" si="25"/>
        <v>-601037.69141245016</v>
      </c>
      <c r="I308" s="21">
        <f t="shared" si="27"/>
        <v>1101037.69141245</v>
      </c>
      <c r="J308" s="16">
        <f t="shared" si="28"/>
        <v>77244.812432451188</v>
      </c>
    </row>
    <row r="309" spans="2:10" hidden="1" outlineLevel="1" x14ac:dyDescent="0.2">
      <c r="B309" s="44">
        <v>53267</v>
      </c>
      <c r="C309" s="15">
        <f t="shared" si="26"/>
        <v>-601037.69141245016</v>
      </c>
      <c r="D309" s="16">
        <f t="shared" si="24"/>
        <v>-2504.3237142185421</v>
      </c>
      <c r="E309" s="21">
        <f t="shared" si="29"/>
        <v>6458.2918479262644</v>
      </c>
      <c r="F309" s="163">
        <v>0</v>
      </c>
      <c r="G309" s="16">
        <f t="shared" si="25"/>
        <v>-607495.98326037638</v>
      </c>
      <c r="I309" s="21">
        <f t="shared" si="27"/>
        <v>1107495.9832603764</v>
      </c>
      <c r="J309" s="16">
        <f t="shared" si="28"/>
        <v>74740.488718232649</v>
      </c>
    </row>
    <row r="310" spans="2:10" hidden="1" outlineLevel="1" x14ac:dyDescent="0.2">
      <c r="B310" s="44">
        <v>53297</v>
      </c>
      <c r="C310" s="15">
        <f t="shared" si="26"/>
        <v>-607495.98326037638</v>
      </c>
      <c r="D310" s="16">
        <f t="shared" si="24"/>
        <v>-2531.2332635849016</v>
      </c>
      <c r="E310" s="21">
        <f t="shared" si="29"/>
        <v>6485.2013972926243</v>
      </c>
      <c r="F310" s="162">
        <v>0</v>
      </c>
      <c r="G310" s="16">
        <f t="shared" si="25"/>
        <v>-613981.18465766904</v>
      </c>
      <c r="I310" s="21">
        <f t="shared" si="27"/>
        <v>1113981.1846576689</v>
      </c>
      <c r="J310" s="16">
        <f t="shared" si="28"/>
        <v>72209.255454647748</v>
      </c>
    </row>
    <row r="311" spans="2:10" hidden="1" outlineLevel="1" x14ac:dyDescent="0.2">
      <c r="B311" s="44">
        <v>53328</v>
      </c>
      <c r="C311" s="15">
        <f t="shared" si="26"/>
        <v>-613981.18465766904</v>
      </c>
      <c r="D311" s="16">
        <f t="shared" si="24"/>
        <v>-2558.2549360736211</v>
      </c>
      <c r="E311" s="21">
        <f t="shared" si="29"/>
        <v>6512.2230697813438</v>
      </c>
      <c r="F311" s="163">
        <v>0</v>
      </c>
      <c r="G311" s="16">
        <f t="shared" si="25"/>
        <v>-620493.40772745037</v>
      </c>
      <c r="I311" s="21">
        <f t="shared" si="27"/>
        <v>1120493.4077274504</v>
      </c>
      <c r="J311" s="16">
        <f t="shared" si="28"/>
        <v>69651.000518574132</v>
      </c>
    </row>
    <row r="312" spans="2:10" hidden="1" outlineLevel="1" x14ac:dyDescent="0.2">
      <c r="B312" s="44">
        <v>53359</v>
      </c>
      <c r="C312" s="15">
        <f t="shared" si="26"/>
        <v>-620493.40772745037</v>
      </c>
      <c r="D312" s="16">
        <f t="shared" si="24"/>
        <v>-2585.3891988643763</v>
      </c>
      <c r="E312" s="21">
        <f t="shared" si="29"/>
        <v>6539.357332572099</v>
      </c>
      <c r="F312" s="162">
        <v>0</v>
      </c>
      <c r="G312" s="16">
        <f t="shared" si="25"/>
        <v>-627032.76506002247</v>
      </c>
      <c r="I312" s="21">
        <f t="shared" si="27"/>
        <v>1127032.7650600225</v>
      </c>
      <c r="J312" s="16">
        <f t="shared" si="28"/>
        <v>67065.611319709758</v>
      </c>
    </row>
    <row r="313" spans="2:10" hidden="1" outlineLevel="1" x14ac:dyDescent="0.2">
      <c r="B313" s="44">
        <v>53387</v>
      </c>
      <c r="C313" s="15">
        <f t="shared" si="26"/>
        <v>-627032.76506002247</v>
      </c>
      <c r="D313" s="16">
        <f t="shared" si="24"/>
        <v>-2612.6365210834269</v>
      </c>
      <c r="E313" s="21">
        <f t="shared" si="29"/>
        <v>6566.6046547911501</v>
      </c>
      <c r="F313" s="163">
        <v>0</v>
      </c>
      <c r="G313" s="16">
        <f t="shared" si="25"/>
        <v>-633599.36971481366</v>
      </c>
      <c r="I313" s="21">
        <f t="shared" si="27"/>
        <v>1133599.3697148135</v>
      </c>
      <c r="J313" s="16">
        <f t="shared" si="28"/>
        <v>64452.974798626332</v>
      </c>
    </row>
    <row r="314" spans="2:10" hidden="1" outlineLevel="1" x14ac:dyDescent="0.2">
      <c r="B314" s="44">
        <v>53418</v>
      </c>
      <c r="C314" s="15">
        <f t="shared" si="26"/>
        <v>-633599.36971481366</v>
      </c>
      <c r="D314" s="16">
        <f t="shared" si="24"/>
        <v>-2639.9973738117237</v>
      </c>
      <c r="E314" s="21">
        <f t="shared" si="29"/>
        <v>6593.965507519446</v>
      </c>
      <c r="F314" s="162">
        <v>0</v>
      </c>
      <c r="G314" s="16">
        <f t="shared" si="25"/>
        <v>-640193.33522233309</v>
      </c>
      <c r="I314" s="21">
        <f t="shared" si="27"/>
        <v>1140193.335222333</v>
      </c>
      <c r="J314" s="16">
        <f t="shared" si="28"/>
        <v>61812.977424814606</v>
      </c>
    </row>
    <row r="315" spans="2:10" hidden="1" outlineLevel="1" x14ac:dyDescent="0.2">
      <c r="B315" s="44">
        <v>53448</v>
      </c>
      <c r="C315" s="15">
        <f t="shared" si="26"/>
        <v>-640193.33522233309</v>
      </c>
      <c r="D315" s="16">
        <f t="shared" si="24"/>
        <v>-2667.4722300930543</v>
      </c>
      <c r="E315" s="21">
        <f t="shared" si="29"/>
        <v>6621.440363800777</v>
      </c>
      <c r="F315" s="163">
        <v>0</v>
      </c>
      <c r="G315" s="16">
        <f t="shared" si="25"/>
        <v>-646814.77558613382</v>
      </c>
      <c r="I315" s="21">
        <f t="shared" si="27"/>
        <v>1146814.7755861338</v>
      </c>
      <c r="J315" s="16">
        <f t="shared" si="28"/>
        <v>59145.505194721554</v>
      </c>
    </row>
    <row r="316" spans="2:10" hidden="1" outlineLevel="1" x14ac:dyDescent="0.2">
      <c r="B316" s="44">
        <v>53479</v>
      </c>
      <c r="C316" s="15">
        <f t="shared" si="26"/>
        <v>-646814.77558613382</v>
      </c>
      <c r="D316" s="16">
        <f t="shared" si="24"/>
        <v>-2695.0615649422243</v>
      </c>
      <c r="E316" s="21">
        <f t="shared" si="29"/>
        <v>6649.029698649947</v>
      </c>
      <c r="F316" s="162">
        <v>0</v>
      </c>
      <c r="G316" s="16">
        <f t="shared" si="25"/>
        <v>-653463.80528478383</v>
      </c>
      <c r="I316" s="21">
        <f t="shared" si="27"/>
        <v>1153463.8052847837</v>
      </c>
      <c r="J316" s="16">
        <f t="shared" si="28"/>
        <v>56450.443629779329</v>
      </c>
    </row>
    <row r="317" spans="2:10" hidden="1" outlineLevel="1" x14ac:dyDescent="0.2">
      <c r="B317" s="44">
        <v>53509</v>
      </c>
      <c r="C317" s="15">
        <f t="shared" si="26"/>
        <v>-653463.80528478383</v>
      </c>
      <c r="D317" s="16">
        <f t="shared" si="24"/>
        <v>-2722.765855353266</v>
      </c>
      <c r="E317" s="21">
        <f t="shared" si="29"/>
        <v>6676.7339890609892</v>
      </c>
      <c r="F317" s="163">
        <v>0</v>
      </c>
      <c r="G317" s="16">
        <f t="shared" si="25"/>
        <v>-660140.5392738448</v>
      </c>
      <c r="I317" s="21">
        <f t="shared" si="27"/>
        <v>1160140.5392738448</v>
      </c>
      <c r="J317" s="16">
        <f t="shared" si="28"/>
        <v>53727.677774426062</v>
      </c>
    </row>
    <row r="318" spans="2:10" hidden="1" outlineLevel="1" x14ac:dyDescent="0.2">
      <c r="B318" s="44">
        <v>53540</v>
      </c>
      <c r="C318" s="15">
        <f t="shared" si="26"/>
        <v>-660140.5392738448</v>
      </c>
      <c r="D318" s="16">
        <f t="shared" si="24"/>
        <v>-2750.5855803076865</v>
      </c>
      <c r="E318" s="21">
        <f t="shared" si="29"/>
        <v>6704.5537140154092</v>
      </c>
      <c r="F318" s="162">
        <v>0</v>
      </c>
      <c r="G318" s="16">
        <f t="shared" si="25"/>
        <v>-666845.0929878602</v>
      </c>
      <c r="I318" s="21">
        <f t="shared" si="27"/>
        <v>1166845.0929878603</v>
      </c>
      <c r="J318" s="16">
        <f t="shared" si="28"/>
        <v>50977.092194118377</v>
      </c>
    </row>
    <row r="319" spans="2:10" hidden="1" outlineLevel="1" x14ac:dyDescent="0.2">
      <c r="B319" s="44">
        <v>53571</v>
      </c>
      <c r="C319" s="15">
        <f t="shared" si="26"/>
        <v>-666845.0929878602</v>
      </c>
      <c r="D319" s="16">
        <f t="shared" si="24"/>
        <v>-2778.5212207827508</v>
      </c>
      <c r="E319" s="21">
        <f t="shared" si="29"/>
        <v>6732.4893544904735</v>
      </c>
      <c r="F319" s="163">
        <v>0</v>
      </c>
      <c r="G319" s="16">
        <f t="shared" si="25"/>
        <v>-673577.58234235062</v>
      </c>
      <c r="I319" s="21">
        <f t="shared" si="27"/>
        <v>1173577.5823423509</v>
      </c>
      <c r="J319" s="16">
        <f t="shared" si="28"/>
        <v>48198.570973335627</v>
      </c>
    </row>
    <row r="320" spans="2:10" hidden="1" outlineLevel="1" x14ac:dyDescent="0.2">
      <c r="B320" s="44">
        <v>53601</v>
      </c>
      <c r="C320" s="15">
        <f t="shared" si="26"/>
        <v>-673577.58234235062</v>
      </c>
      <c r="D320" s="16">
        <f t="shared" si="24"/>
        <v>-2806.5732597597944</v>
      </c>
      <c r="E320" s="21">
        <f t="shared" si="29"/>
        <v>6760.5413934675171</v>
      </c>
      <c r="F320" s="162">
        <v>0</v>
      </c>
      <c r="G320" s="16">
        <f t="shared" si="25"/>
        <v>-680338.1237358182</v>
      </c>
      <c r="I320" s="21">
        <f t="shared" si="27"/>
        <v>1180338.1237358183</v>
      </c>
      <c r="J320" s="16">
        <f t="shared" si="28"/>
        <v>45391.997713575831</v>
      </c>
    </row>
    <row r="321" spans="2:10" hidden="1" outlineLevel="1" x14ac:dyDescent="0.2">
      <c r="B321" s="44">
        <v>53632</v>
      </c>
      <c r="C321" s="15">
        <f t="shared" si="26"/>
        <v>-680338.1237358182</v>
      </c>
      <c r="D321" s="16">
        <f t="shared" si="24"/>
        <v>-2834.7421822325759</v>
      </c>
      <c r="E321" s="21">
        <f t="shared" si="29"/>
        <v>6788.7103159402986</v>
      </c>
      <c r="F321" s="163">
        <v>0</v>
      </c>
      <c r="G321" s="16">
        <f t="shared" si="25"/>
        <v>-687126.83405175852</v>
      </c>
      <c r="I321" s="21">
        <f t="shared" si="27"/>
        <v>1187126.8340517585</v>
      </c>
      <c r="J321" s="16">
        <f t="shared" si="28"/>
        <v>42557.255531343253</v>
      </c>
    </row>
    <row r="322" spans="2:10" hidden="1" outlineLevel="1" x14ac:dyDescent="0.2">
      <c r="B322" s="44">
        <v>53662</v>
      </c>
      <c r="C322" s="15">
        <f t="shared" si="26"/>
        <v>-687126.83405175852</v>
      </c>
      <c r="D322" s="16">
        <f t="shared" si="24"/>
        <v>-2863.0284752156604</v>
      </c>
      <c r="E322" s="21">
        <f t="shared" si="29"/>
        <v>6816.9966089233831</v>
      </c>
      <c r="F322" s="162">
        <v>0</v>
      </c>
      <c r="G322" s="16">
        <f t="shared" si="25"/>
        <v>-693943.83066068194</v>
      </c>
      <c r="I322" s="21">
        <f t="shared" si="27"/>
        <v>1193943.8306606819</v>
      </c>
      <c r="J322" s="16">
        <f t="shared" si="28"/>
        <v>39694.227056127595</v>
      </c>
    </row>
    <row r="323" spans="2:10" hidden="1" outlineLevel="1" x14ac:dyDescent="0.2">
      <c r="B323" s="44">
        <v>53693</v>
      </c>
      <c r="C323" s="15">
        <f t="shared" si="26"/>
        <v>-693943.83066068194</v>
      </c>
      <c r="D323" s="16">
        <f t="shared" si="24"/>
        <v>-2891.4326277528412</v>
      </c>
      <c r="E323" s="21">
        <f t="shared" si="29"/>
        <v>6845.4007614605634</v>
      </c>
      <c r="F323" s="163">
        <v>0</v>
      </c>
      <c r="G323" s="16">
        <f t="shared" si="25"/>
        <v>-700789.23142214247</v>
      </c>
      <c r="I323" s="21">
        <f t="shared" si="27"/>
        <v>1200789.2314221426</v>
      </c>
      <c r="J323" s="16">
        <f t="shared" si="28"/>
        <v>36802.794428374757</v>
      </c>
    </row>
    <row r="324" spans="2:10" hidden="1" outlineLevel="1" x14ac:dyDescent="0.2">
      <c r="B324" s="44">
        <v>53724</v>
      </c>
      <c r="C324" s="15">
        <f t="shared" si="26"/>
        <v>-700789.23142214247</v>
      </c>
      <c r="D324" s="16">
        <f t="shared" si="24"/>
        <v>-2919.9551309255935</v>
      </c>
      <c r="E324" s="21">
        <f t="shared" si="29"/>
        <v>6873.9232646333166</v>
      </c>
      <c r="F324" s="162">
        <v>0</v>
      </c>
      <c r="G324" s="16">
        <f t="shared" si="25"/>
        <v>-707663.15468677576</v>
      </c>
      <c r="I324" s="21">
        <f t="shared" si="27"/>
        <v>1207663.154686776</v>
      </c>
      <c r="J324" s="16">
        <f t="shared" si="28"/>
        <v>33882.839297449165</v>
      </c>
    </row>
    <row r="325" spans="2:10" hidden="1" outlineLevel="1" x14ac:dyDescent="0.2">
      <c r="B325" s="44">
        <v>53752</v>
      </c>
      <c r="C325" s="15">
        <f t="shared" si="26"/>
        <v>-707663.15468677576</v>
      </c>
      <c r="D325" s="16">
        <f t="shared" si="24"/>
        <v>-2948.5964778615657</v>
      </c>
      <c r="E325" s="21">
        <f t="shared" si="29"/>
        <v>6902.5646115692889</v>
      </c>
      <c r="F325" s="163">
        <v>0</v>
      </c>
      <c r="G325" s="16">
        <f t="shared" si="25"/>
        <v>-714565.71929834504</v>
      </c>
      <c r="I325" s="21">
        <f t="shared" si="27"/>
        <v>1214565.7192983453</v>
      </c>
      <c r="J325" s="16">
        <f t="shared" si="28"/>
        <v>30934.242819587598</v>
      </c>
    </row>
    <row r="326" spans="2:10" hidden="1" outlineLevel="1" x14ac:dyDescent="0.2">
      <c r="B326" s="44">
        <v>53783</v>
      </c>
      <c r="C326" s="15">
        <f t="shared" si="26"/>
        <v>-714565.71929834504</v>
      </c>
      <c r="D326" s="16">
        <f t="shared" si="24"/>
        <v>-2977.3571637431041</v>
      </c>
      <c r="E326" s="21">
        <f t="shared" si="29"/>
        <v>6931.3252974508268</v>
      </c>
      <c r="F326" s="162">
        <v>0</v>
      </c>
      <c r="G326" s="16">
        <f t="shared" si="25"/>
        <v>-721497.04459579592</v>
      </c>
      <c r="I326" s="21">
        <f t="shared" si="27"/>
        <v>1221497.0445957961</v>
      </c>
      <c r="J326" s="16">
        <f t="shared" si="28"/>
        <v>27956.885655844493</v>
      </c>
    </row>
    <row r="327" spans="2:10" hidden="1" outlineLevel="1" x14ac:dyDescent="0.2">
      <c r="B327" s="44">
        <v>53813</v>
      </c>
      <c r="C327" s="15">
        <f t="shared" si="26"/>
        <v>-721497.04459579592</v>
      </c>
      <c r="D327" s="16">
        <f t="shared" ref="D327:D370" si="30">C327*E$6</f>
        <v>-3006.2376858158163</v>
      </c>
      <c r="E327" s="21">
        <f t="shared" si="29"/>
        <v>6960.2058195235386</v>
      </c>
      <c r="F327" s="163">
        <v>0</v>
      </c>
      <c r="G327" s="16">
        <f t="shared" si="25"/>
        <v>-728457.25041531946</v>
      </c>
      <c r="I327" s="21">
        <f t="shared" si="27"/>
        <v>1228457.2504153196</v>
      </c>
      <c r="J327" s="16">
        <f t="shared" si="28"/>
        <v>24950.647970028676</v>
      </c>
    </row>
    <row r="328" spans="2:10" hidden="1" outlineLevel="1" x14ac:dyDescent="0.2">
      <c r="B328" s="44">
        <v>53844</v>
      </c>
      <c r="C328" s="15">
        <f t="shared" si="26"/>
        <v>-728457.25041531946</v>
      </c>
      <c r="D328" s="16">
        <f t="shared" si="30"/>
        <v>-3035.2385433971644</v>
      </c>
      <c r="E328" s="21">
        <f t="shared" si="29"/>
        <v>6989.2066771048867</v>
      </c>
      <c r="F328" s="162">
        <v>0</v>
      </c>
      <c r="G328" s="16">
        <f t="shared" si="25"/>
        <v>-735446.45709242439</v>
      </c>
      <c r="I328" s="21">
        <f t="shared" si="27"/>
        <v>1235446.4570924244</v>
      </c>
      <c r="J328" s="16">
        <f t="shared" si="28"/>
        <v>21915.409426631511</v>
      </c>
    </row>
    <row r="329" spans="2:10" hidden="1" outlineLevel="1" x14ac:dyDescent="0.2">
      <c r="B329" s="44">
        <v>53874</v>
      </c>
      <c r="C329" s="15">
        <f t="shared" si="26"/>
        <v>-735446.45709242439</v>
      </c>
      <c r="D329" s="16">
        <f t="shared" si="30"/>
        <v>-3064.3602378851015</v>
      </c>
      <c r="E329" s="21">
        <f t="shared" si="29"/>
        <v>7018.3283715928246</v>
      </c>
      <c r="F329" s="163">
        <v>0</v>
      </c>
      <c r="G329" s="16">
        <f t="shared" si="25"/>
        <v>-742464.78546401719</v>
      </c>
      <c r="I329" s="21">
        <f t="shared" si="27"/>
        <v>1242464.7854640172</v>
      </c>
      <c r="J329" s="16">
        <f t="shared" si="28"/>
        <v>18851.049188746409</v>
      </c>
    </row>
    <row r="330" spans="2:10" hidden="1" outlineLevel="1" x14ac:dyDescent="0.2">
      <c r="B330" s="44">
        <v>53905</v>
      </c>
      <c r="C330" s="15">
        <f t="shared" si="26"/>
        <v>-742464.78546401719</v>
      </c>
      <c r="D330" s="16">
        <f t="shared" si="30"/>
        <v>-3093.6032727667384</v>
      </c>
      <c r="E330" s="21">
        <f t="shared" si="29"/>
        <v>7047.5714064744607</v>
      </c>
      <c r="F330" s="162">
        <v>0</v>
      </c>
      <c r="G330" s="16">
        <f t="shared" si="25"/>
        <v>-749512.35687049164</v>
      </c>
      <c r="I330" s="21">
        <f t="shared" si="27"/>
        <v>1249512.3568704918</v>
      </c>
      <c r="J330" s="16">
        <f t="shared" si="28"/>
        <v>15757.44591597967</v>
      </c>
    </row>
    <row r="331" spans="2:10" hidden="1" outlineLevel="1" x14ac:dyDescent="0.2">
      <c r="B331" s="44">
        <v>53936</v>
      </c>
      <c r="C331" s="15">
        <f t="shared" si="26"/>
        <v>-749512.35687049164</v>
      </c>
      <c r="D331" s="16">
        <f t="shared" si="30"/>
        <v>-3122.9681536270487</v>
      </c>
      <c r="E331" s="21">
        <f t="shared" si="29"/>
        <v>7076.9362873347709</v>
      </c>
      <c r="F331" s="163">
        <v>0</v>
      </c>
      <c r="G331" s="16">
        <f t="shared" ref="G331:G370" si="31">C331-E331-F331</f>
        <v>-756589.29315782641</v>
      </c>
      <c r="I331" s="21">
        <f t="shared" si="27"/>
        <v>1256589.2931578266</v>
      </c>
      <c r="J331" s="16">
        <f t="shared" si="28"/>
        <v>12634.477762352621</v>
      </c>
    </row>
    <row r="332" spans="2:10" hidden="1" outlineLevel="1" x14ac:dyDescent="0.2">
      <c r="B332" s="44">
        <v>53966</v>
      </c>
      <c r="C332" s="15">
        <f t="shared" ref="C332:C370" si="32">G331</f>
        <v>-756589.29315782641</v>
      </c>
      <c r="D332" s="16">
        <f t="shared" si="30"/>
        <v>-3152.4553881576098</v>
      </c>
      <c r="E332" s="21">
        <f t="shared" si="29"/>
        <v>7106.4235218653321</v>
      </c>
      <c r="F332" s="162">
        <v>0</v>
      </c>
      <c r="G332" s="16">
        <f t="shared" si="31"/>
        <v>-763695.71667969169</v>
      </c>
      <c r="I332" s="21">
        <f t="shared" ref="I332:I370" si="33">I331+E332</f>
        <v>1263695.716679692</v>
      </c>
      <c r="J332" s="16">
        <f t="shared" ref="J332:J370" si="34">J331+D332</f>
        <v>9482.0223741950103</v>
      </c>
    </row>
    <row r="333" spans="2:10" hidden="1" outlineLevel="1" x14ac:dyDescent="0.2">
      <c r="B333" s="44">
        <v>53997</v>
      </c>
      <c r="C333" s="15">
        <f t="shared" si="32"/>
        <v>-763695.71667969169</v>
      </c>
      <c r="D333" s="16">
        <f t="shared" si="30"/>
        <v>-3182.065486165382</v>
      </c>
      <c r="E333" s="21">
        <f t="shared" ref="E333:E370" si="35">E$8-D333</f>
        <v>7136.0336198731047</v>
      </c>
      <c r="F333" s="163">
        <v>0</v>
      </c>
      <c r="G333" s="16">
        <f t="shared" si="31"/>
        <v>-770831.7502995648</v>
      </c>
      <c r="I333" s="21">
        <f t="shared" si="33"/>
        <v>1270831.750299565</v>
      </c>
      <c r="J333" s="16">
        <f t="shared" si="34"/>
        <v>6299.9568880296283</v>
      </c>
    </row>
    <row r="334" spans="2:10" hidden="1" outlineLevel="1" x14ac:dyDescent="0.2">
      <c r="B334" s="44">
        <v>54027</v>
      </c>
      <c r="C334" s="15">
        <f t="shared" si="32"/>
        <v>-770831.7502995648</v>
      </c>
      <c r="D334" s="16">
        <f t="shared" si="30"/>
        <v>-3211.7989595815197</v>
      </c>
      <c r="E334" s="21">
        <f t="shared" si="35"/>
        <v>7165.7670932892424</v>
      </c>
      <c r="F334" s="162">
        <v>0</v>
      </c>
      <c r="G334" s="16">
        <f t="shared" si="31"/>
        <v>-777997.51739285409</v>
      </c>
      <c r="I334" s="21">
        <f t="shared" si="33"/>
        <v>1277997.5173928542</v>
      </c>
      <c r="J334" s="16">
        <f t="shared" si="34"/>
        <v>3088.1579284481086</v>
      </c>
    </row>
    <row r="335" spans="2:10" hidden="1" outlineLevel="1" x14ac:dyDescent="0.2">
      <c r="B335" s="44">
        <v>54058</v>
      </c>
      <c r="C335" s="15">
        <f t="shared" si="32"/>
        <v>-777997.51739285409</v>
      </c>
      <c r="D335" s="16">
        <f t="shared" si="30"/>
        <v>-3241.6563224702254</v>
      </c>
      <c r="E335" s="21">
        <f t="shared" si="35"/>
        <v>7195.6244561779476</v>
      </c>
      <c r="F335" s="163">
        <v>0</v>
      </c>
      <c r="G335" s="16">
        <f t="shared" si="31"/>
        <v>-785193.14184903202</v>
      </c>
      <c r="I335" s="21">
        <f t="shared" si="33"/>
        <v>1285193.1418490321</v>
      </c>
      <c r="J335" s="16">
        <f t="shared" si="34"/>
        <v>-153.49839402211683</v>
      </c>
    </row>
    <row r="336" spans="2:10" hidden="1" outlineLevel="1" x14ac:dyDescent="0.2">
      <c r="B336" s="44">
        <v>54089</v>
      </c>
      <c r="C336" s="15">
        <f t="shared" si="32"/>
        <v>-785193.14184903202</v>
      </c>
      <c r="D336" s="16">
        <f t="shared" si="30"/>
        <v>-3271.6380910376333</v>
      </c>
      <c r="E336" s="21">
        <f t="shared" si="35"/>
        <v>7225.6062247453556</v>
      </c>
      <c r="F336" s="162">
        <v>0</v>
      </c>
      <c r="G336" s="16">
        <f t="shared" si="31"/>
        <v>-792418.74807377742</v>
      </c>
      <c r="I336" s="21">
        <f t="shared" si="33"/>
        <v>1292418.7480737774</v>
      </c>
      <c r="J336" s="16">
        <f t="shared" si="34"/>
        <v>-3425.1364850597502</v>
      </c>
    </row>
    <row r="337" spans="2:10" hidden="1" outlineLevel="1" x14ac:dyDescent="0.2">
      <c r="B337" s="44">
        <v>54118</v>
      </c>
      <c r="C337" s="15">
        <f t="shared" si="32"/>
        <v>-792418.74807377742</v>
      </c>
      <c r="D337" s="16">
        <f t="shared" si="30"/>
        <v>-3301.7447836407391</v>
      </c>
      <c r="E337" s="21">
        <f t="shared" si="35"/>
        <v>7255.7129173484618</v>
      </c>
      <c r="F337" s="163">
        <v>0</v>
      </c>
      <c r="G337" s="16">
        <f t="shared" si="31"/>
        <v>-799674.4609911259</v>
      </c>
      <c r="I337" s="21">
        <f t="shared" si="33"/>
        <v>1299674.4609911258</v>
      </c>
      <c r="J337" s="16">
        <f t="shared" si="34"/>
        <v>-6726.8812687004893</v>
      </c>
    </row>
    <row r="338" spans="2:10" hidden="1" outlineLevel="1" x14ac:dyDescent="0.2">
      <c r="B338" s="44">
        <v>54149</v>
      </c>
      <c r="C338" s="15">
        <f t="shared" si="32"/>
        <v>-799674.4609911259</v>
      </c>
      <c r="D338" s="16">
        <f t="shared" si="30"/>
        <v>-3331.9769207963577</v>
      </c>
      <c r="E338" s="21">
        <f t="shared" si="35"/>
        <v>7285.94505450408</v>
      </c>
      <c r="F338" s="162">
        <v>0</v>
      </c>
      <c r="G338" s="16">
        <f t="shared" si="31"/>
        <v>-806960.40604562999</v>
      </c>
      <c r="I338" s="21">
        <f t="shared" si="33"/>
        <v>1306960.4060456299</v>
      </c>
      <c r="J338" s="16">
        <f t="shared" si="34"/>
        <v>-10058.858189496847</v>
      </c>
    </row>
    <row r="339" spans="2:10" hidden="1" outlineLevel="1" x14ac:dyDescent="0.2">
      <c r="B339" s="44">
        <v>54179</v>
      </c>
      <c r="C339" s="15">
        <f t="shared" si="32"/>
        <v>-806960.40604562999</v>
      </c>
      <c r="D339" s="16">
        <f t="shared" si="30"/>
        <v>-3362.3350251901247</v>
      </c>
      <c r="E339" s="21">
        <f t="shared" si="35"/>
        <v>7316.3031588978474</v>
      </c>
      <c r="F339" s="163">
        <v>0</v>
      </c>
      <c r="G339" s="16">
        <f t="shared" si="31"/>
        <v>-814276.70920452778</v>
      </c>
      <c r="I339" s="21">
        <f t="shared" si="33"/>
        <v>1314276.7092045278</v>
      </c>
      <c r="J339" s="16">
        <f t="shared" si="34"/>
        <v>-13421.193214686971</v>
      </c>
    </row>
    <row r="340" spans="2:10" hidden="1" outlineLevel="1" x14ac:dyDescent="0.2">
      <c r="B340" s="44">
        <v>54210</v>
      </c>
      <c r="C340" s="15">
        <f t="shared" si="32"/>
        <v>-814276.70920452778</v>
      </c>
      <c r="D340" s="16">
        <f t="shared" si="30"/>
        <v>-3392.8196216855322</v>
      </c>
      <c r="E340" s="21">
        <f t="shared" si="35"/>
        <v>7346.7877553932549</v>
      </c>
      <c r="F340" s="162">
        <v>0</v>
      </c>
      <c r="G340" s="16">
        <f t="shared" si="31"/>
        <v>-821623.49695992109</v>
      </c>
      <c r="I340" s="21">
        <f t="shared" si="33"/>
        <v>1321623.496959921</v>
      </c>
      <c r="J340" s="16">
        <f t="shared" si="34"/>
        <v>-16814.012836372502</v>
      </c>
    </row>
    <row r="341" spans="2:10" hidden="1" outlineLevel="1" x14ac:dyDescent="0.2">
      <c r="B341" s="44">
        <v>54240</v>
      </c>
      <c r="C341" s="15">
        <f t="shared" si="32"/>
        <v>-821623.49695992109</v>
      </c>
      <c r="D341" s="16">
        <f t="shared" si="30"/>
        <v>-3423.4312373330044</v>
      </c>
      <c r="E341" s="21">
        <f t="shared" si="35"/>
        <v>7377.3993710407267</v>
      </c>
      <c r="F341" s="163">
        <v>0</v>
      </c>
      <c r="G341" s="16">
        <f t="shared" si="31"/>
        <v>-829000.89633096184</v>
      </c>
      <c r="I341" s="21">
        <f t="shared" si="33"/>
        <v>1329000.8963309617</v>
      </c>
      <c r="J341" s="16">
        <f t="shared" si="34"/>
        <v>-20237.444073705505</v>
      </c>
    </row>
    <row r="342" spans="2:10" hidden="1" outlineLevel="1" x14ac:dyDescent="0.2">
      <c r="B342" s="44">
        <v>54271</v>
      </c>
      <c r="C342" s="15">
        <f t="shared" si="32"/>
        <v>-829000.89633096184</v>
      </c>
      <c r="D342" s="16">
        <f t="shared" si="30"/>
        <v>-3454.1704013790077</v>
      </c>
      <c r="E342" s="21">
        <f t="shared" si="35"/>
        <v>7408.1385350867304</v>
      </c>
      <c r="F342" s="162">
        <v>0</v>
      </c>
      <c r="G342" s="16">
        <f t="shared" si="31"/>
        <v>-836409.03486604861</v>
      </c>
      <c r="I342" s="21">
        <f t="shared" si="33"/>
        <v>1336409.0348660485</v>
      </c>
      <c r="J342" s="16">
        <f t="shared" si="34"/>
        <v>-23691.614475084512</v>
      </c>
    </row>
    <row r="343" spans="2:10" hidden="1" outlineLevel="1" x14ac:dyDescent="0.2">
      <c r="B343" s="44">
        <v>54302</v>
      </c>
      <c r="C343" s="15">
        <f t="shared" si="32"/>
        <v>-836409.03486604861</v>
      </c>
      <c r="D343" s="16">
        <f t="shared" si="30"/>
        <v>-3485.0376452752025</v>
      </c>
      <c r="E343" s="21">
        <f t="shared" si="35"/>
        <v>7439.0057789829252</v>
      </c>
      <c r="F343" s="163">
        <v>0</v>
      </c>
      <c r="G343" s="16">
        <f t="shared" si="31"/>
        <v>-843848.04064503149</v>
      </c>
      <c r="I343" s="21">
        <f t="shared" si="33"/>
        <v>1343848.0406450315</v>
      </c>
      <c r="J343" s="16">
        <f t="shared" si="34"/>
        <v>-27176.652120359715</v>
      </c>
    </row>
    <row r="344" spans="2:10" hidden="1" outlineLevel="1" x14ac:dyDescent="0.2">
      <c r="B344" s="44">
        <v>54332</v>
      </c>
      <c r="C344" s="15">
        <f t="shared" si="32"/>
        <v>-843848.04064503149</v>
      </c>
      <c r="D344" s="16">
        <f t="shared" si="30"/>
        <v>-3516.033502687631</v>
      </c>
      <c r="E344" s="21">
        <f t="shared" si="35"/>
        <v>7470.0016363953537</v>
      </c>
      <c r="F344" s="162">
        <v>0</v>
      </c>
      <c r="G344" s="16">
        <f t="shared" si="31"/>
        <v>-851318.04228142684</v>
      </c>
      <c r="I344" s="21">
        <f t="shared" si="33"/>
        <v>1351318.042281427</v>
      </c>
      <c r="J344" s="16">
        <f t="shared" si="34"/>
        <v>-30692.685623047346</v>
      </c>
    </row>
    <row r="345" spans="2:10" hidden="1" outlineLevel="1" x14ac:dyDescent="0.2">
      <c r="B345" s="44">
        <v>54363</v>
      </c>
      <c r="C345" s="15">
        <f t="shared" si="32"/>
        <v>-851318.04228142684</v>
      </c>
      <c r="D345" s="16">
        <f t="shared" si="30"/>
        <v>-3547.1585095059449</v>
      </c>
      <c r="E345" s="21">
        <f t="shared" si="35"/>
        <v>7501.1266432136672</v>
      </c>
      <c r="F345" s="163">
        <v>0</v>
      </c>
      <c r="G345" s="16">
        <f t="shared" si="31"/>
        <v>-858819.16892464051</v>
      </c>
      <c r="I345" s="21">
        <f t="shared" si="33"/>
        <v>1358819.1689246406</v>
      </c>
      <c r="J345" s="16">
        <f t="shared" si="34"/>
        <v>-34239.844132553291</v>
      </c>
    </row>
    <row r="346" spans="2:10" hidden="1" outlineLevel="1" x14ac:dyDescent="0.2">
      <c r="B346" s="44">
        <v>54393</v>
      </c>
      <c r="C346" s="15">
        <f t="shared" si="32"/>
        <v>-858819.16892464051</v>
      </c>
      <c r="D346" s="16">
        <f t="shared" si="30"/>
        <v>-3578.4132038526686</v>
      </c>
      <c r="E346" s="21">
        <f t="shared" si="35"/>
        <v>7532.3813375603913</v>
      </c>
      <c r="F346" s="162">
        <v>0</v>
      </c>
      <c r="G346" s="16">
        <f t="shared" si="31"/>
        <v>-866351.55026220088</v>
      </c>
      <c r="I346" s="21">
        <f t="shared" si="33"/>
        <v>1366351.5502622011</v>
      </c>
      <c r="J346" s="16">
        <f t="shared" si="34"/>
        <v>-37818.257336405957</v>
      </c>
    </row>
    <row r="347" spans="2:10" hidden="1" outlineLevel="1" x14ac:dyDescent="0.2">
      <c r="B347" s="44">
        <v>54424</v>
      </c>
      <c r="C347" s="15">
        <f t="shared" si="32"/>
        <v>-866351.55026220088</v>
      </c>
      <c r="D347" s="16">
        <f t="shared" si="30"/>
        <v>-3609.7981260925035</v>
      </c>
      <c r="E347" s="21">
        <f t="shared" si="35"/>
        <v>7563.7662598002262</v>
      </c>
      <c r="F347" s="163">
        <v>0</v>
      </c>
      <c r="G347" s="16">
        <f t="shared" si="31"/>
        <v>-873915.31652200106</v>
      </c>
      <c r="I347" s="21">
        <f t="shared" si="33"/>
        <v>1373915.3165220013</v>
      </c>
      <c r="J347" s="16">
        <f t="shared" si="34"/>
        <v>-41428.055462498458</v>
      </c>
    </row>
    <row r="348" spans="2:10" hidden="1" outlineLevel="1" x14ac:dyDescent="0.2">
      <c r="B348" s="44">
        <v>54455</v>
      </c>
      <c r="C348" s="15">
        <f t="shared" si="32"/>
        <v>-873915.31652200106</v>
      </c>
      <c r="D348" s="16">
        <f t="shared" si="30"/>
        <v>-3641.313818841671</v>
      </c>
      <c r="E348" s="21">
        <f t="shared" si="35"/>
        <v>7595.2819525493942</v>
      </c>
      <c r="F348" s="162">
        <v>0</v>
      </c>
      <c r="G348" s="16">
        <f t="shared" si="31"/>
        <v>-881510.59847455041</v>
      </c>
      <c r="I348" s="21">
        <f t="shared" si="33"/>
        <v>1381510.5984745508</v>
      </c>
      <c r="J348" s="16">
        <f t="shared" si="34"/>
        <v>-45069.369281340129</v>
      </c>
    </row>
    <row r="349" spans="2:10" hidden="1" outlineLevel="1" x14ac:dyDescent="0.2">
      <c r="B349" s="44">
        <v>54483</v>
      </c>
      <c r="C349" s="15">
        <f t="shared" si="32"/>
        <v>-881510.59847455041</v>
      </c>
      <c r="D349" s="16">
        <f t="shared" si="30"/>
        <v>-3672.9608269772934</v>
      </c>
      <c r="E349" s="21">
        <f t="shared" si="35"/>
        <v>7626.9289606850161</v>
      </c>
      <c r="F349" s="163">
        <v>0</v>
      </c>
      <c r="G349" s="16">
        <f t="shared" si="31"/>
        <v>-889137.52743523545</v>
      </c>
      <c r="I349" s="21">
        <f t="shared" si="33"/>
        <v>1389137.5274352357</v>
      </c>
      <c r="J349" s="16">
        <f t="shared" si="34"/>
        <v>-48742.330108317423</v>
      </c>
    </row>
    <row r="350" spans="2:10" hidden="1" outlineLevel="1" x14ac:dyDescent="0.2">
      <c r="B350" s="44">
        <v>54514</v>
      </c>
      <c r="C350" s="15">
        <f t="shared" si="32"/>
        <v>-889137.52743523545</v>
      </c>
      <c r="D350" s="16">
        <f t="shared" si="30"/>
        <v>-3704.7396976468144</v>
      </c>
      <c r="E350" s="21">
        <f t="shared" si="35"/>
        <v>7658.7078313545371</v>
      </c>
      <c r="F350" s="162">
        <v>0</v>
      </c>
      <c r="G350" s="16">
        <f t="shared" si="31"/>
        <v>-896796.23526659003</v>
      </c>
      <c r="I350" s="21">
        <f t="shared" si="33"/>
        <v>1396796.2352665903</v>
      </c>
      <c r="J350" s="16">
        <f t="shared" si="34"/>
        <v>-52447.069805964238</v>
      </c>
    </row>
    <row r="351" spans="2:10" hidden="1" outlineLevel="1" x14ac:dyDescent="0.2">
      <c r="B351" s="44">
        <v>54544</v>
      </c>
      <c r="C351" s="15">
        <f t="shared" si="32"/>
        <v>-896796.23526659003</v>
      </c>
      <c r="D351" s="16">
        <f t="shared" si="30"/>
        <v>-3736.6509802774585</v>
      </c>
      <c r="E351" s="21">
        <f t="shared" si="35"/>
        <v>7690.6191139851817</v>
      </c>
      <c r="F351" s="163">
        <v>0</v>
      </c>
      <c r="G351" s="16">
        <f t="shared" si="31"/>
        <v>-904486.85438057524</v>
      </c>
      <c r="I351" s="21">
        <f t="shared" si="33"/>
        <v>1404486.8543805755</v>
      </c>
      <c r="J351" s="16">
        <f t="shared" si="34"/>
        <v>-56183.720786241698</v>
      </c>
    </row>
    <row r="352" spans="2:10" hidden="1" outlineLevel="1" x14ac:dyDescent="0.2">
      <c r="B352" s="44">
        <v>54575</v>
      </c>
      <c r="C352" s="15">
        <f t="shared" si="32"/>
        <v>-904486.85438057524</v>
      </c>
      <c r="D352" s="16">
        <f t="shared" si="30"/>
        <v>-3768.6952265857303</v>
      </c>
      <c r="E352" s="21">
        <f t="shared" si="35"/>
        <v>7722.6633602934526</v>
      </c>
      <c r="F352" s="162">
        <v>0</v>
      </c>
      <c r="G352" s="16">
        <f t="shared" si="31"/>
        <v>-912209.51774086873</v>
      </c>
      <c r="I352" s="21">
        <f t="shared" si="33"/>
        <v>1412209.517740869</v>
      </c>
      <c r="J352" s="16">
        <f t="shared" si="34"/>
        <v>-59952.416012827431</v>
      </c>
    </row>
    <row r="353" spans="2:10" hidden="1" outlineLevel="1" x14ac:dyDescent="0.2">
      <c r="B353" s="44">
        <v>54605</v>
      </c>
      <c r="C353" s="15">
        <f t="shared" si="32"/>
        <v>-912209.51774086873</v>
      </c>
      <c r="D353" s="16">
        <f t="shared" si="30"/>
        <v>-3800.8729905869532</v>
      </c>
      <c r="E353" s="21">
        <f t="shared" si="35"/>
        <v>7754.8411242946759</v>
      </c>
      <c r="F353" s="163">
        <v>0</v>
      </c>
      <c r="G353" s="16">
        <f t="shared" si="31"/>
        <v>-919964.35886516341</v>
      </c>
      <c r="I353" s="21">
        <f t="shared" si="33"/>
        <v>1419964.3588651638</v>
      </c>
      <c r="J353" s="16">
        <f t="shared" si="34"/>
        <v>-63753.289003414386</v>
      </c>
    </row>
    <row r="354" spans="2:10" hidden="1" outlineLevel="1" x14ac:dyDescent="0.2">
      <c r="B354" s="44">
        <v>54636</v>
      </c>
      <c r="C354" s="15">
        <f t="shared" si="32"/>
        <v>-919964.35886516341</v>
      </c>
      <c r="D354" s="16">
        <f t="shared" si="30"/>
        <v>-3833.1848286048476</v>
      </c>
      <c r="E354" s="21">
        <f t="shared" si="35"/>
        <v>7787.1529623125698</v>
      </c>
      <c r="F354" s="162">
        <v>0</v>
      </c>
      <c r="G354" s="16">
        <f t="shared" si="31"/>
        <v>-927751.51182747597</v>
      </c>
      <c r="I354" s="21">
        <f t="shared" si="33"/>
        <v>1427751.5118274763</v>
      </c>
      <c r="J354" s="16">
        <f t="shared" si="34"/>
        <v>-67586.473832019226</v>
      </c>
    </row>
    <row r="355" spans="2:10" hidden="1" outlineLevel="1" x14ac:dyDescent="0.2">
      <c r="B355" s="44">
        <v>54667</v>
      </c>
      <c r="C355" s="15">
        <f t="shared" si="32"/>
        <v>-927751.51182747597</v>
      </c>
      <c r="D355" s="16">
        <f t="shared" si="30"/>
        <v>-3865.6312992811499</v>
      </c>
      <c r="E355" s="21">
        <f t="shared" si="35"/>
        <v>7819.5994329888726</v>
      </c>
      <c r="F355" s="163">
        <v>0</v>
      </c>
      <c r="G355" s="16">
        <f t="shared" si="31"/>
        <v>-935571.11126046488</v>
      </c>
      <c r="I355" s="21">
        <f t="shared" si="33"/>
        <v>1435571.1112604651</v>
      </c>
      <c r="J355" s="16">
        <f t="shared" si="34"/>
        <v>-71452.10513130037</v>
      </c>
    </row>
    <row r="356" spans="2:10" hidden="1" outlineLevel="1" x14ac:dyDescent="0.2">
      <c r="B356" s="44">
        <v>54697</v>
      </c>
      <c r="C356" s="15">
        <f t="shared" si="32"/>
        <v>-935571.11126046488</v>
      </c>
      <c r="D356" s="16">
        <f t="shared" si="30"/>
        <v>-3898.2129635852702</v>
      </c>
      <c r="E356" s="21">
        <f t="shared" si="35"/>
        <v>7852.1810972929925</v>
      </c>
      <c r="F356" s="162">
        <v>0</v>
      </c>
      <c r="G356" s="16">
        <f t="shared" si="31"/>
        <v>-943423.29235775792</v>
      </c>
      <c r="I356" s="21">
        <f t="shared" si="33"/>
        <v>1443423.2923577582</v>
      </c>
      <c r="J356" s="16">
        <f t="shared" si="34"/>
        <v>-75350.318094885646</v>
      </c>
    </row>
    <row r="357" spans="2:10" hidden="1" outlineLevel="1" x14ac:dyDescent="0.2">
      <c r="B357" s="44">
        <v>54728</v>
      </c>
      <c r="C357" s="15">
        <f t="shared" si="32"/>
        <v>-943423.29235775792</v>
      </c>
      <c r="D357" s="16">
        <f t="shared" si="30"/>
        <v>-3930.9303848239911</v>
      </c>
      <c r="E357" s="21">
        <f t="shared" si="35"/>
        <v>7884.8985185317142</v>
      </c>
      <c r="F357" s="163">
        <v>0</v>
      </c>
      <c r="G357" s="16">
        <f t="shared" si="31"/>
        <v>-951308.19087628962</v>
      </c>
      <c r="I357" s="21">
        <f t="shared" si="33"/>
        <v>1451308.19087629</v>
      </c>
      <c r="J357" s="16">
        <f t="shared" si="34"/>
        <v>-79281.24847970964</v>
      </c>
    </row>
    <row r="358" spans="2:10" hidden="1" outlineLevel="1" x14ac:dyDescent="0.2">
      <c r="B358" s="44">
        <v>54758</v>
      </c>
      <c r="C358" s="15">
        <f t="shared" si="32"/>
        <v>-951308.19087628962</v>
      </c>
      <c r="D358" s="16">
        <f t="shared" si="30"/>
        <v>-3963.7841286512066</v>
      </c>
      <c r="E358" s="21">
        <f t="shared" si="35"/>
        <v>7917.7522623589293</v>
      </c>
      <c r="F358" s="162">
        <v>0</v>
      </c>
      <c r="G358" s="16">
        <f t="shared" si="31"/>
        <v>-959225.94313864852</v>
      </c>
      <c r="I358" s="21">
        <f t="shared" si="33"/>
        <v>1459225.943138649</v>
      </c>
      <c r="J358" s="16">
        <f t="shared" si="34"/>
        <v>-83245.032608360852</v>
      </c>
    </row>
    <row r="359" spans="2:10" hidden="1" outlineLevel="1" x14ac:dyDescent="0.2">
      <c r="B359" s="44">
        <v>54789</v>
      </c>
      <c r="C359" s="15">
        <f t="shared" si="32"/>
        <v>-959225.94313864852</v>
      </c>
      <c r="D359" s="16">
        <f t="shared" si="30"/>
        <v>-3996.7747630777021</v>
      </c>
      <c r="E359" s="21">
        <f t="shared" si="35"/>
        <v>7950.7428967854248</v>
      </c>
      <c r="F359" s="163">
        <v>0</v>
      </c>
      <c r="G359" s="16">
        <f t="shared" si="31"/>
        <v>-967176.6860354339</v>
      </c>
      <c r="I359" s="21">
        <f t="shared" si="33"/>
        <v>1467176.6860354345</v>
      </c>
      <c r="J359" s="16">
        <f t="shared" si="34"/>
        <v>-87241.807371438554</v>
      </c>
    </row>
    <row r="360" spans="2:10" hidden="1" outlineLevel="1" x14ac:dyDescent="0.2">
      <c r="B360" s="44">
        <v>54820</v>
      </c>
      <c r="C360" s="15">
        <f t="shared" si="32"/>
        <v>-967176.6860354339</v>
      </c>
      <c r="D360" s="16">
        <f t="shared" si="30"/>
        <v>-4029.9028584809744</v>
      </c>
      <c r="E360" s="21">
        <f t="shared" si="35"/>
        <v>7983.8709921886966</v>
      </c>
      <c r="F360" s="162">
        <v>0</v>
      </c>
      <c r="G360" s="16">
        <f t="shared" si="31"/>
        <v>-975160.55702762259</v>
      </c>
      <c r="I360" s="21">
        <f t="shared" si="33"/>
        <v>1475160.5570276233</v>
      </c>
      <c r="J360" s="16">
        <f t="shared" si="34"/>
        <v>-91271.710229919525</v>
      </c>
    </row>
    <row r="361" spans="2:10" hidden="1" outlineLevel="1" x14ac:dyDescent="0.2">
      <c r="B361" s="44">
        <v>54848</v>
      </c>
      <c r="C361" s="15">
        <f t="shared" si="32"/>
        <v>-975160.55702762259</v>
      </c>
      <c r="D361" s="16">
        <f t="shared" si="30"/>
        <v>-4063.168987615094</v>
      </c>
      <c r="E361" s="21">
        <f t="shared" si="35"/>
        <v>8017.1371213228167</v>
      </c>
      <c r="F361" s="163">
        <v>0</v>
      </c>
      <c r="G361" s="16">
        <f t="shared" si="31"/>
        <v>-983177.69414894539</v>
      </c>
      <c r="I361" s="21">
        <f t="shared" si="33"/>
        <v>1483177.6941489461</v>
      </c>
      <c r="J361" s="16">
        <f t="shared" si="34"/>
        <v>-95334.879217534617</v>
      </c>
    </row>
    <row r="362" spans="2:10" hidden="1" outlineLevel="1" x14ac:dyDescent="0.2">
      <c r="B362" s="44">
        <v>54879</v>
      </c>
      <c r="C362" s="15">
        <f t="shared" si="32"/>
        <v>-983177.69414894539</v>
      </c>
      <c r="D362" s="16">
        <f t="shared" si="30"/>
        <v>-4096.5737256206057</v>
      </c>
      <c r="E362" s="21">
        <f t="shared" si="35"/>
        <v>8050.5418593283284</v>
      </c>
      <c r="F362" s="162">
        <v>0</v>
      </c>
      <c r="G362" s="16">
        <f t="shared" si="31"/>
        <v>-991228.23600827367</v>
      </c>
      <c r="I362" s="21">
        <f t="shared" si="33"/>
        <v>1491228.2360082744</v>
      </c>
      <c r="J362" s="16">
        <f t="shared" si="34"/>
        <v>-99431.452943155222</v>
      </c>
    </row>
    <row r="363" spans="2:10" hidden="1" outlineLevel="1" x14ac:dyDescent="0.2">
      <c r="B363" s="44">
        <v>54909</v>
      </c>
      <c r="C363" s="15">
        <f t="shared" si="32"/>
        <v>-991228.23600827367</v>
      </c>
      <c r="D363" s="16">
        <f t="shared" si="30"/>
        <v>-4130.1176500344736</v>
      </c>
      <c r="E363" s="21">
        <f t="shared" si="35"/>
        <v>8084.0857837421963</v>
      </c>
      <c r="F363" s="163">
        <v>0</v>
      </c>
      <c r="G363" s="16">
        <f t="shared" si="31"/>
        <v>-999312.32179201592</v>
      </c>
      <c r="I363" s="21">
        <f t="shared" si="33"/>
        <v>1499312.3217920165</v>
      </c>
      <c r="J363" s="16">
        <f t="shared" si="34"/>
        <v>-103561.5705931897</v>
      </c>
    </row>
    <row r="364" spans="2:10" hidden="1" outlineLevel="1" x14ac:dyDescent="0.2">
      <c r="B364" s="44">
        <v>54940</v>
      </c>
      <c r="C364" s="15">
        <f t="shared" si="32"/>
        <v>-999312.32179201592</v>
      </c>
      <c r="D364" s="16">
        <f t="shared" si="30"/>
        <v>-4163.8013408000661</v>
      </c>
      <c r="E364" s="21">
        <f t="shared" si="35"/>
        <v>8117.7694745077888</v>
      </c>
      <c r="F364" s="162">
        <v>0</v>
      </c>
      <c r="G364" s="16">
        <f t="shared" si="31"/>
        <v>-1007430.0912665237</v>
      </c>
      <c r="I364" s="21">
        <f t="shared" si="33"/>
        <v>1507430.0912665243</v>
      </c>
      <c r="J364" s="16">
        <f t="shared" si="34"/>
        <v>-107725.37193398977</v>
      </c>
    </row>
    <row r="365" spans="2:10" hidden="1" outlineLevel="1" x14ac:dyDescent="0.2">
      <c r="B365" s="44">
        <v>54970</v>
      </c>
      <c r="C365" s="15">
        <f t="shared" si="32"/>
        <v>-1007430.0912665237</v>
      </c>
      <c r="D365" s="16">
        <f t="shared" si="30"/>
        <v>-4197.6253802771816</v>
      </c>
      <c r="E365" s="21">
        <f t="shared" si="35"/>
        <v>8151.5935139849043</v>
      </c>
      <c r="F365" s="163">
        <v>0</v>
      </c>
      <c r="G365" s="16">
        <f t="shared" si="31"/>
        <v>-1015581.6847805086</v>
      </c>
      <c r="I365" s="21">
        <f t="shared" si="33"/>
        <v>1515581.6847805092</v>
      </c>
      <c r="J365" s="16">
        <f t="shared" si="34"/>
        <v>-111922.99731426695</v>
      </c>
    </row>
    <row r="366" spans="2:10" hidden="1" outlineLevel="1" x14ac:dyDescent="0.2">
      <c r="B366" s="44">
        <v>55001</v>
      </c>
      <c r="C366" s="15">
        <f t="shared" si="32"/>
        <v>-1015581.6847805086</v>
      </c>
      <c r="D366" s="16">
        <f t="shared" si="30"/>
        <v>-4231.5903532521188</v>
      </c>
      <c r="E366" s="21">
        <f t="shared" si="35"/>
        <v>8185.5584869598415</v>
      </c>
      <c r="F366" s="162">
        <v>0</v>
      </c>
      <c r="G366" s="16">
        <f t="shared" si="31"/>
        <v>-1023767.2432674685</v>
      </c>
      <c r="I366" s="21">
        <f t="shared" si="33"/>
        <v>1523767.2432674691</v>
      </c>
      <c r="J366" s="16">
        <f t="shared" si="34"/>
        <v>-116154.58766751907</v>
      </c>
    </row>
    <row r="367" spans="2:10" hidden="1" outlineLevel="1" x14ac:dyDescent="0.2">
      <c r="B367" s="44">
        <v>55032</v>
      </c>
      <c r="C367" s="15">
        <f t="shared" si="32"/>
        <v>-1023767.2432674685</v>
      </c>
      <c r="D367" s="16">
        <f t="shared" si="30"/>
        <v>-4265.6968469477852</v>
      </c>
      <c r="E367" s="21">
        <f t="shared" si="35"/>
        <v>8219.664980655507</v>
      </c>
      <c r="F367" s="163">
        <v>0</v>
      </c>
      <c r="G367" s="16">
        <f t="shared" si="31"/>
        <v>-1031986.9082481241</v>
      </c>
      <c r="I367" s="21">
        <f t="shared" si="33"/>
        <v>1531986.9082481246</v>
      </c>
      <c r="J367" s="16">
        <f t="shared" si="34"/>
        <v>-120420.28451446685</v>
      </c>
    </row>
    <row r="368" spans="2:10" hidden="1" outlineLevel="1" x14ac:dyDescent="0.2">
      <c r="B368" s="44">
        <v>55062</v>
      </c>
      <c r="C368" s="15">
        <f t="shared" si="32"/>
        <v>-1031986.9082481241</v>
      </c>
      <c r="D368" s="16">
        <f t="shared" si="30"/>
        <v>-4299.9454510338501</v>
      </c>
      <c r="E368" s="21">
        <f t="shared" si="35"/>
        <v>8253.9135847415728</v>
      </c>
      <c r="F368" s="162">
        <v>0</v>
      </c>
      <c r="G368" s="16">
        <f t="shared" si="31"/>
        <v>-1040240.8218328656</v>
      </c>
      <c r="I368" s="21">
        <f t="shared" si="33"/>
        <v>1540240.8218328662</v>
      </c>
      <c r="J368" s="16">
        <f t="shared" si="34"/>
        <v>-124720.22996550071</v>
      </c>
    </row>
    <row r="369" spans="1:10" hidden="1" outlineLevel="1" x14ac:dyDescent="0.2">
      <c r="B369" s="44">
        <v>55093</v>
      </c>
      <c r="C369" s="15">
        <f t="shared" si="32"/>
        <v>-1040240.8218328656</v>
      </c>
      <c r="D369" s="16">
        <f t="shared" si="30"/>
        <v>-4334.3367576369401</v>
      </c>
      <c r="E369" s="21">
        <f t="shared" si="35"/>
        <v>8288.3048913446619</v>
      </c>
      <c r="F369" s="163">
        <v>0</v>
      </c>
      <c r="G369" s="16">
        <f t="shared" si="31"/>
        <v>-1048529.1267242102</v>
      </c>
      <c r="I369" s="21">
        <f t="shared" si="33"/>
        <v>1548529.1267242108</v>
      </c>
      <c r="J369" s="16">
        <f t="shared" si="34"/>
        <v>-129054.56672313764</v>
      </c>
    </row>
    <row r="370" spans="1:10" collapsed="1" x14ac:dyDescent="0.2">
      <c r="A370" t="s">
        <v>532</v>
      </c>
      <c r="B370" s="44">
        <v>55123</v>
      </c>
      <c r="C370" s="15">
        <f t="shared" si="32"/>
        <v>-1048529.1267242102</v>
      </c>
      <c r="D370" s="16">
        <f t="shared" si="30"/>
        <v>-4368.8713613508762</v>
      </c>
      <c r="E370" s="21">
        <f t="shared" si="35"/>
        <v>8322.8394950585989</v>
      </c>
      <c r="F370" s="162">
        <v>0</v>
      </c>
      <c r="G370" s="16">
        <f t="shared" si="31"/>
        <v>-1056851.9662192687</v>
      </c>
      <c r="I370" s="21">
        <f t="shared" si="33"/>
        <v>1556851.9662192694</v>
      </c>
      <c r="J370" s="16">
        <f t="shared" si="34"/>
        <v>-133423.43808448853</v>
      </c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311"/>
  <sheetViews>
    <sheetView zoomScale="145" zoomScaleNormal="145" workbookViewId="0">
      <selection activeCell="D13" sqref="D13"/>
    </sheetView>
  </sheetViews>
  <sheetFormatPr baseColWidth="10" defaultColWidth="8.83203125" defaultRowHeight="15" outlineLevelRow="1" x14ac:dyDescent="0.2"/>
  <cols>
    <col min="1" max="1" width="18.1640625" customWidth="1"/>
    <col min="3" max="3" width="14.6640625" customWidth="1"/>
    <col min="4" max="4" width="10.1640625" customWidth="1"/>
    <col min="5" max="5" width="13.33203125" bestFit="1" customWidth="1"/>
    <col min="6" max="6" width="10.5" bestFit="1" customWidth="1"/>
    <col min="7" max="7" width="13.83203125" customWidth="1"/>
    <col min="8" max="8" width="4.5" customWidth="1"/>
    <col min="9" max="10" width="15.6640625" customWidth="1"/>
    <col min="12" max="12" width="12.83203125" bestFit="1" customWidth="1"/>
  </cols>
  <sheetData>
    <row r="1" spans="1:12" x14ac:dyDescent="0.2">
      <c r="A1" s="34" t="s">
        <v>526</v>
      </c>
    </row>
    <row r="3" spans="1:12" x14ac:dyDescent="0.2">
      <c r="A3" t="s">
        <v>519</v>
      </c>
      <c r="E3" s="47">
        <v>500000</v>
      </c>
    </row>
    <row r="4" spans="1:12" x14ac:dyDescent="0.2">
      <c r="A4" t="s">
        <v>520</v>
      </c>
      <c r="E4" s="12">
        <f>25*12</f>
        <v>300</v>
      </c>
      <c r="F4" t="s">
        <v>533</v>
      </c>
    </row>
    <row r="5" spans="1:12" x14ac:dyDescent="0.2">
      <c r="A5" t="s">
        <v>311</v>
      </c>
      <c r="E5" s="51">
        <v>0.05</v>
      </c>
      <c r="G5" s="164"/>
      <c r="L5" s="170"/>
    </row>
    <row r="6" spans="1:12" x14ac:dyDescent="0.2">
      <c r="A6" t="s">
        <v>522</v>
      </c>
      <c r="E6" s="81">
        <f>E5/2</f>
        <v>2.5000000000000001E-2</v>
      </c>
      <c r="G6" s="164"/>
      <c r="L6" s="170"/>
    </row>
    <row r="7" spans="1:12" ht="26.25" customHeight="1" x14ac:dyDescent="0.2">
      <c r="A7" t="s">
        <v>523</v>
      </c>
      <c r="E7" s="6">
        <f>(1+E5/2)^2-1</f>
        <v>5.062499999999992E-2</v>
      </c>
      <c r="G7" s="164"/>
      <c r="L7" s="171"/>
    </row>
    <row r="8" spans="1:12" ht="25.5" customHeight="1" x14ac:dyDescent="0.2">
      <c r="A8" t="s">
        <v>525</v>
      </c>
      <c r="E8" s="6">
        <f>(1+E7)^(1/12)-1</f>
        <v>4.1239154651442345E-3</v>
      </c>
      <c r="G8" s="172" t="s">
        <v>524</v>
      </c>
    </row>
    <row r="9" spans="1:12" x14ac:dyDescent="0.2">
      <c r="A9" t="s">
        <v>137</v>
      </c>
      <c r="E9" s="50">
        <f>-PMT(E8,E4,E3)</f>
        <v>2908.0249251850778</v>
      </c>
    </row>
    <row r="10" spans="1:12" ht="23.25" customHeight="1" x14ac:dyDescent="0.2">
      <c r="E10" s="49"/>
    </row>
    <row r="11" spans="1:12" ht="32" x14ac:dyDescent="0.2">
      <c r="B11" s="3" t="s">
        <v>136</v>
      </c>
      <c r="C11" s="48" t="s">
        <v>135</v>
      </c>
      <c r="D11" s="48" t="s">
        <v>133</v>
      </c>
      <c r="E11" s="48" t="s">
        <v>134</v>
      </c>
      <c r="F11" s="161" t="s">
        <v>132</v>
      </c>
      <c r="G11" s="48" t="s">
        <v>131</v>
      </c>
      <c r="H11" s="3"/>
      <c r="I11" s="48" t="s">
        <v>130</v>
      </c>
      <c r="J11" s="48" t="s">
        <v>129</v>
      </c>
    </row>
    <row r="12" spans="1:12" x14ac:dyDescent="0.2">
      <c r="B12" s="44">
        <v>44197</v>
      </c>
      <c r="C12" s="160">
        <f>E3</f>
        <v>500000</v>
      </c>
      <c r="D12" s="16">
        <f>C12*E$8</f>
        <v>2061.957732572117</v>
      </c>
      <c r="E12" s="21">
        <f t="shared" ref="E12:E75" si="0">E$9-D12</f>
        <v>846.06719261296075</v>
      </c>
      <c r="F12" s="162">
        <v>0</v>
      </c>
      <c r="G12" s="16">
        <f t="shared" ref="G12:G71" si="1">C12-E12-F12</f>
        <v>499153.93280738703</v>
      </c>
      <c r="I12" s="21">
        <f>E12</f>
        <v>846.06719261296075</v>
      </c>
      <c r="J12" s="16">
        <f>D12</f>
        <v>2061.957732572117</v>
      </c>
    </row>
    <row r="13" spans="1:12" x14ac:dyDescent="0.2">
      <c r="B13" s="44">
        <v>44228</v>
      </c>
      <c r="C13" s="15">
        <f t="shared" ref="C13:C71" si="2">G12</f>
        <v>499153.93280738703</v>
      </c>
      <c r="D13" s="16">
        <f>C13*E$8</f>
        <v>2058.4686229919494</v>
      </c>
      <c r="E13" s="21">
        <f t="shared" si="0"/>
        <v>849.55630219312843</v>
      </c>
      <c r="F13" s="163">
        <v>0</v>
      </c>
      <c r="G13" s="16">
        <f t="shared" si="1"/>
        <v>498304.37650519388</v>
      </c>
      <c r="I13" s="21">
        <f t="shared" ref="I13:I71" si="3">I12+E13</f>
        <v>1695.6234948060892</v>
      </c>
      <c r="J13" s="16">
        <f t="shared" ref="J13:J71" si="4">J12+D13</f>
        <v>4120.4263555640664</v>
      </c>
    </row>
    <row r="14" spans="1:12" x14ac:dyDescent="0.2">
      <c r="B14" s="44">
        <v>44256</v>
      </c>
      <c r="C14" s="15">
        <f t="shared" si="2"/>
        <v>498304.37650519388</v>
      </c>
      <c r="D14" s="16">
        <f t="shared" ref="D14:D71" si="5">C14*E$8</f>
        <v>2054.9651246188246</v>
      </c>
      <c r="E14" s="21">
        <f t="shared" si="0"/>
        <v>853.05980056625322</v>
      </c>
      <c r="F14" s="163">
        <v>0</v>
      </c>
      <c r="G14" s="16">
        <f t="shared" si="1"/>
        <v>497451.31670462765</v>
      </c>
      <c r="I14" s="21">
        <f t="shared" si="3"/>
        <v>2548.6832953723424</v>
      </c>
      <c r="J14" s="16">
        <f t="shared" si="4"/>
        <v>6175.3914801828905</v>
      </c>
    </row>
    <row r="15" spans="1:12" x14ac:dyDescent="0.2">
      <c r="B15" s="44">
        <v>44287</v>
      </c>
      <c r="C15" s="15">
        <f t="shared" si="2"/>
        <v>497451.31670462765</v>
      </c>
      <c r="D15" s="16">
        <f t="shared" si="5"/>
        <v>2051.4471781145762</v>
      </c>
      <c r="E15" s="21">
        <f t="shared" si="0"/>
        <v>856.57774707050157</v>
      </c>
      <c r="F15" s="163">
        <v>0</v>
      </c>
      <c r="G15" s="16">
        <f t="shared" si="1"/>
        <v>496594.73895755713</v>
      </c>
      <c r="I15" s="21">
        <f t="shared" si="3"/>
        <v>3405.261042442844</v>
      </c>
      <c r="J15" s="16">
        <f t="shared" si="4"/>
        <v>8226.8386582974672</v>
      </c>
    </row>
    <row r="16" spans="1:12" x14ac:dyDescent="0.2">
      <c r="B16" s="44">
        <v>44317</v>
      </c>
      <c r="C16" s="15">
        <f t="shared" si="2"/>
        <v>496594.73895755713</v>
      </c>
      <c r="D16" s="16">
        <f t="shared" si="5"/>
        <v>2047.914723896334</v>
      </c>
      <c r="E16" s="21">
        <f t="shared" si="0"/>
        <v>860.11020128874384</v>
      </c>
      <c r="F16" s="163">
        <v>0</v>
      </c>
      <c r="G16" s="16">
        <f t="shared" si="1"/>
        <v>495734.62875626836</v>
      </c>
      <c r="I16" s="21">
        <f t="shared" si="3"/>
        <v>4265.371243731588</v>
      </c>
      <c r="J16" s="16">
        <f t="shared" si="4"/>
        <v>10274.753382193801</v>
      </c>
    </row>
    <row r="17" spans="2:10" x14ac:dyDescent="0.2">
      <c r="B17" s="44">
        <v>44348</v>
      </c>
      <c r="C17" s="15">
        <f t="shared" si="2"/>
        <v>495734.62875626836</v>
      </c>
      <c r="D17" s="16">
        <f t="shared" si="5"/>
        <v>2044.3677021355109</v>
      </c>
      <c r="E17" s="21">
        <f t="shared" si="0"/>
        <v>863.65722304956694</v>
      </c>
      <c r="F17" s="163">
        <v>0</v>
      </c>
      <c r="G17" s="16">
        <f t="shared" si="1"/>
        <v>494870.97153321881</v>
      </c>
      <c r="I17" s="21">
        <f t="shared" si="3"/>
        <v>5129.0284667811547</v>
      </c>
      <c r="J17" s="16">
        <f t="shared" si="4"/>
        <v>12319.121084329312</v>
      </c>
    </row>
    <row r="18" spans="2:10" x14ac:dyDescent="0.2">
      <c r="B18" s="44">
        <v>44378</v>
      </c>
      <c r="C18" s="15">
        <f t="shared" si="2"/>
        <v>494870.97153321881</v>
      </c>
      <c r="D18" s="16">
        <f t="shared" si="5"/>
        <v>2040.8060527567932</v>
      </c>
      <c r="E18" s="21">
        <f t="shared" si="0"/>
        <v>867.21887242828461</v>
      </c>
      <c r="F18" s="163">
        <v>0</v>
      </c>
      <c r="G18" s="16">
        <f t="shared" si="1"/>
        <v>494003.75266079052</v>
      </c>
      <c r="I18" s="21">
        <f t="shared" si="3"/>
        <v>5996.2473392094398</v>
      </c>
      <c r="J18" s="16">
        <f t="shared" si="4"/>
        <v>14359.927137086106</v>
      </c>
    </row>
    <row r="19" spans="2:10" x14ac:dyDescent="0.2">
      <c r="B19" s="44">
        <v>44409</v>
      </c>
      <c r="C19" s="15">
        <f t="shared" si="2"/>
        <v>494003.75266079052</v>
      </c>
      <c r="D19" s="16">
        <f t="shared" si="5"/>
        <v>2037.2297154371213</v>
      </c>
      <c r="E19" s="21">
        <f t="shared" si="0"/>
        <v>870.79520974795651</v>
      </c>
      <c r="F19" s="163">
        <v>0</v>
      </c>
      <c r="G19" s="16">
        <f t="shared" si="1"/>
        <v>493132.95745104254</v>
      </c>
      <c r="I19" s="21">
        <f t="shared" si="3"/>
        <v>6867.0425489573963</v>
      </c>
      <c r="J19" s="16">
        <f t="shared" si="4"/>
        <v>16397.156852523229</v>
      </c>
    </row>
    <row r="20" spans="2:10" x14ac:dyDescent="0.2">
      <c r="B20" s="44">
        <v>44440</v>
      </c>
      <c r="C20" s="15">
        <f t="shared" si="2"/>
        <v>493132.95745104254</v>
      </c>
      <c r="D20" s="16">
        <f t="shared" si="5"/>
        <v>2033.638629604668</v>
      </c>
      <c r="E20" s="21">
        <f t="shared" si="0"/>
        <v>874.38629558040975</v>
      </c>
      <c r="F20" s="163">
        <v>0</v>
      </c>
      <c r="G20" s="16">
        <f t="shared" si="1"/>
        <v>492258.57115546212</v>
      </c>
      <c r="I20" s="21">
        <f t="shared" si="3"/>
        <v>7741.4288445378061</v>
      </c>
      <c r="J20" s="16">
        <f t="shared" si="4"/>
        <v>18430.795482127898</v>
      </c>
    </row>
    <row r="21" spans="2:10" x14ac:dyDescent="0.2">
      <c r="B21" s="44">
        <v>44470</v>
      </c>
      <c r="C21" s="15">
        <f t="shared" si="2"/>
        <v>492258.57115546212</v>
      </c>
      <c r="D21" s="16">
        <f t="shared" si="5"/>
        <v>2030.0327344378138</v>
      </c>
      <c r="E21" s="21">
        <f t="shared" si="0"/>
        <v>877.99219074726398</v>
      </c>
      <c r="F21" s="163">
        <v>0</v>
      </c>
      <c r="G21" s="16">
        <f t="shared" si="1"/>
        <v>491380.57896471483</v>
      </c>
      <c r="I21" s="21">
        <f t="shared" si="3"/>
        <v>8619.4210352850696</v>
      </c>
      <c r="J21" s="16">
        <f t="shared" si="4"/>
        <v>20460.828216565711</v>
      </c>
    </row>
    <row r="22" spans="2:10" x14ac:dyDescent="0.2">
      <c r="B22" s="44">
        <v>44501</v>
      </c>
      <c r="C22" s="15">
        <f t="shared" si="2"/>
        <v>491380.57896471483</v>
      </c>
      <c r="D22" s="16">
        <f t="shared" si="5"/>
        <v>2026.4119688641151</v>
      </c>
      <c r="E22" s="21">
        <f t="shared" si="0"/>
        <v>881.61295632096267</v>
      </c>
      <c r="F22" s="163">
        <v>0</v>
      </c>
      <c r="G22" s="16">
        <f t="shared" si="1"/>
        <v>490498.96600839385</v>
      </c>
      <c r="I22" s="21">
        <f t="shared" si="3"/>
        <v>9501.0339916060329</v>
      </c>
      <c r="J22" s="16">
        <f t="shared" si="4"/>
        <v>22487.240185429826</v>
      </c>
    </row>
    <row r="23" spans="2:10" x14ac:dyDescent="0.2">
      <c r="B23" s="165">
        <v>44531</v>
      </c>
      <c r="C23" s="93">
        <f t="shared" si="2"/>
        <v>490498.96600839385</v>
      </c>
      <c r="D23" s="166">
        <f t="shared" si="5"/>
        <v>2022.7762715592717</v>
      </c>
      <c r="E23" s="167">
        <f t="shared" si="0"/>
        <v>885.24865362580613</v>
      </c>
      <c r="F23" s="168">
        <v>0</v>
      </c>
      <c r="G23" s="166">
        <f t="shared" si="1"/>
        <v>489613.71735476807</v>
      </c>
      <c r="H23" s="3"/>
      <c r="I23" s="167">
        <f t="shared" si="3"/>
        <v>10386.282645231839</v>
      </c>
      <c r="J23" s="166">
        <f t="shared" si="4"/>
        <v>24510.016456989099</v>
      </c>
    </row>
    <row r="24" spans="2:10" hidden="1" outlineLevel="1" x14ac:dyDescent="0.2">
      <c r="B24" s="44">
        <v>44562</v>
      </c>
      <c r="C24" s="15">
        <f t="shared" si="2"/>
        <v>489613.71735476807</v>
      </c>
      <c r="D24" s="16">
        <f t="shared" si="5"/>
        <v>2019.1255809460861</v>
      </c>
      <c r="E24" s="21">
        <f t="shared" si="0"/>
        <v>888.89934423899172</v>
      </c>
      <c r="F24" s="163">
        <v>0</v>
      </c>
      <c r="G24" s="16">
        <f t="shared" si="1"/>
        <v>488724.8180105291</v>
      </c>
      <c r="I24" s="21">
        <f t="shared" si="3"/>
        <v>11275.18198947083</v>
      </c>
      <c r="J24" s="16">
        <f t="shared" si="4"/>
        <v>26529.142037935184</v>
      </c>
    </row>
    <row r="25" spans="2:10" hidden="1" outlineLevel="1" x14ac:dyDescent="0.2">
      <c r="B25" s="44">
        <v>44593</v>
      </c>
      <c r="C25" s="15">
        <f t="shared" si="2"/>
        <v>488724.8180105291</v>
      </c>
      <c r="D25" s="16">
        <f t="shared" si="5"/>
        <v>2015.4598351934224</v>
      </c>
      <c r="E25" s="21">
        <f t="shared" si="0"/>
        <v>892.56508999165544</v>
      </c>
      <c r="F25" s="163">
        <v>0</v>
      </c>
      <c r="G25" s="16">
        <f t="shared" si="1"/>
        <v>487832.25292053743</v>
      </c>
      <c r="I25" s="21">
        <f t="shared" si="3"/>
        <v>12167.747079462486</v>
      </c>
      <c r="J25" s="16">
        <f t="shared" si="4"/>
        <v>28544.601873128606</v>
      </c>
    </row>
    <row r="26" spans="2:10" hidden="1" outlineLevel="1" x14ac:dyDescent="0.2">
      <c r="B26" s="44">
        <v>44621</v>
      </c>
      <c r="C26" s="15">
        <f t="shared" si="2"/>
        <v>487832.25292053743</v>
      </c>
      <c r="D26" s="16">
        <f t="shared" si="5"/>
        <v>2011.7789722151579</v>
      </c>
      <c r="E26" s="21">
        <f t="shared" si="0"/>
        <v>896.24595296991993</v>
      </c>
      <c r="F26" s="163">
        <v>0</v>
      </c>
      <c r="G26" s="16">
        <f t="shared" si="1"/>
        <v>486936.00696756749</v>
      </c>
      <c r="I26" s="21">
        <f t="shared" si="3"/>
        <v>13063.993032432405</v>
      </c>
      <c r="J26" s="16">
        <f t="shared" si="4"/>
        <v>30556.380845343763</v>
      </c>
    </row>
    <row r="27" spans="2:10" hidden="1" outlineLevel="1" x14ac:dyDescent="0.2">
      <c r="B27" s="44">
        <v>44652</v>
      </c>
      <c r="C27" s="15">
        <f t="shared" si="2"/>
        <v>486936.00696756749</v>
      </c>
      <c r="D27" s="16">
        <f t="shared" si="5"/>
        <v>2008.0829296691322</v>
      </c>
      <c r="E27" s="21">
        <f t="shared" si="0"/>
        <v>899.94199551594556</v>
      </c>
      <c r="F27" s="163">
        <v>0</v>
      </c>
      <c r="G27" s="16">
        <f t="shared" si="1"/>
        <v>486036.06497205154</v>
      </c>
      <c r="I27" s="21">
        <f t="shared" si="3"/>
        <v>13963.935027948351</v>
      </c>
      <c r="J27" s="16">
        <f t="shared" si="4"/>
        <v>32564.463775012897</v>
      </c>
    </row>
    <row r="28" spans="2:10" hidden="1" outlineLevel="1" x14ac:dyDescent="0.2">
      <c r="B28" s="44">
        <v>44682</v>
      </c>
      <c r="C28" s="15">
        <f t="shared" si="2"/>
        <v>486036.06497205154</v>
      </c>
      <c r="D28" s="16">
        <f t="shared" si="5"/>
        <v>2004.3716449560914</v>
      </c>
      <c r="E28" s="21">
        <f t="shared" si="0"/>
        <v>903.65328022898643</v>
      </c>
      <c r="F28" s="163">
        <v>0</v>
      </c>
      <c r="G28" s="16">
        <f t="shared" si="1"/>
        <v>485132.41169182258</v>
      </c>
      <c r="I28" s="21">
        <f t="shared" si="3"/>
        <v>14867.588308177337</v>
      </c>
      <c r="J28" s="16">
        <f t="shared" si="4"/>
        <v>34568.835419968986</v>
      </c>
    </row>
    <row r="29" spans="2:10" hidden="1" outlineLevel="1" x14ac:dyDescent="0.2">
      <c r="B29" s="44">
        <v>44713</v>
      </c>
      <c r="C29" s="15">
        <f t="shared" si="2"/>
        <v>485132.41169182258</v>
      </c>
      <c r="D29" s="16">
        <f t="shared" si="5"/>
        <v>2000.6450552186268</v>
      </c>
      <c r="E29" s="21">
        <f t="shared" si="0"/>
        <v>907.379869966451</v>
      </c>
      <c r="F29" s="163">
        <v>0</v>
      </c>
      <c r="G29" s="16">
        <f t="shared" si="1"/>
        <v>484225.0318218561</v>
      </c>
      <c r="I29" s="21">
        <f t="shared" si="3"/>
        <v>15774.968178143788</v>
      </c>
      <c r="J29" s="16">
        <f t="shared" si="4"/>
        <v>36569.480475187615</v>
      </c>
    </row>
    <row r="30" spans="2:10" hidden="1" outlineLevel="1" x14ac:dyDescent="0.2">
      <c r="B30" s="44">
        <v>44743</v>
      </c>
      <c r="C30" s="15">
        <f t="shared" si="2"/>
        <v>484225.0318218561</v>
      </c>
      <c r="D30" s="16">
        <f t="shared" si="5"/>
        <v>1996.9030973401113</v>
      </c>
      <c r="E30" s="21">
        <f t="shared" si="0"/>
        <v>911.12182784496645</v>
      </c>
      <c r="F30" s="163">
        <v>0</v>
      </c>
      <c r="G30" s="16">
        <f t="shared" si="1"/>
        <v>483313.90999401116</v>
      </c>
      <c r="I30" s="21">
        <f t="shared" si="3"/>
        <v>16686.090005988754</v>
      </c>
      <c r="J30" s="16">
        <f t="shared" si="4"/>
        <v>38566.383572527724</v>
      </c>
    </row>
    <row r="31" spans="2:10" hidden="1" outlineLevel="1" x14ac:dyDescent="0.2">
      <c r="B31" s="44">
        <v>44774</v>
      </c>
      <c r="C31" s="15">
        <f t="shared" si="2"/>
        <v>483313.90999401116</v>
      </c>
      <c r="D31" s="16">
        <f t="shared" si="5"/>
        <v>1993.1457079436311</v>
      </c>
      <c r="E31" s="21">
        <f t="shared" si="0"/>
        <v>914.87921724144667</v>
      </c>
      <c r="F31" s="163">
        <v>0</v>
      </c>
      <c r="G31" s="16">
        <f t="shared" si="1"/>
        <v>482399.03077676974</v>
      </c>
      <c r="I31" s="21">
        <f t="shared" si="3"/>
        <v>17600.9692232302</v>
      </c>
      <c r="J31" s="16">
        <f t="shared" si="4"/>
        <v>40559.529280471354</v>
      </c>
    </row>
    <row r="32" spans="2:10" hidden="1" outlineLevel="1" x14ac:dyDescent="0.2">
      <c r="B32" s="44">
        <v>44805</v>
      </c>
      <c r="C32" s="15">
        <f t="shared" si="2"/>
        <v>482399.03077676974</v>
      </c>
      <c r="D32" s="16">
        <f t="shared" si="5"/>
        <v>1989.3728233909103</v>
      </c>
      <c r="E32" s="21">
        <f t="shared" si="0"/>
        <v>918.65210179416749</v>
      </c>
      <c r="F32" s="163">
        <v>0</v>
      </c>
      <c r="G32" s="16">
        <f t="shared" si="1"/>
        <v>481480.3786749756</v>
      </c>
      <c r="I32" s="21">
        <f t="shared" si="3"/>
        <v>18519.621325024367</v>
      </c>
      <c r="J32" s="16">
        <f t="shared" si="4"/>
        <v>42548.902103862267</v>
      </c>
    </row>
    <row r="33" spans="2:10" hidden="1" outlineLevel="1" x14ac:dyDescent="0.2">
      <c r="B33" s="44">
        <v>44835</v>
      </c>
      <c r="C33" s="15">
        <f t="shared" si="2"/>
        <v>481480.3786749756</v>
      </c>
      <c r="D33" s="16">
        <f t="shared" si="5"/>
        <v>1985.584379781234</v>
      </c>
      <c r="E33" s="21">
        <f t="shared" si="0"/>
        <v>922.44054540384377</v>
      </c>
      <c r="F33" s="163">
        <v>0</v>
      </c>
      <c r="G33" s="16">
        <f t="shared" si="1"/>
        <v>480557.93812957173</v>
      </c>
      <c r="I33" s="21">
        <f t="shared" si="3"/>
        <v>19442.06187042821</v>
      </c>
      <c r="J33" s="16">
        <f t="shared" si="4"/>
        <v>44534.486483643501</v>
      </c>
    </row>
    <row r="34" spans="2:10" hidden="1" outlineLevel="1" x14ac:dyDescent="0.2">
      <c r="B34" s="44">
        <v>44866</v>
      </c>
      <c r="C34" s="15">
        <f t="shared" si="2"/>
        <v>480557.93812957173</v>
      </c>
      <c r="D34" s="16">
        <f t="shared" si="5"/>
        <v>1981.780312950367</v>
      </c>
      <c r="E34" s="21">
        <f t="shared" si="0"/>
        <v>926.24461223471076</v>
      </c>
      <c r="F34" s="163">
        <v>0</v>
      </c>
      <c r="G34" s="16">
        <f t="shared" si="1"/>
        <v>479631.69351733703</v>
      </c>
      <c r="I34" s="21">
        <f t="shared" si="3"/>
        <v>20368.30648266292</v>
      </c>
      <c r="J34" s="16">
        <f t="shared" si="4"/>
        <v>46516.266796593867</v>
      </c>
    </row>
    <row r="35" spans="2:10" hidden="1" outlineLevel="1" x14ac:dyDescent="0.2">
      <c r="B35" s="44">
        <v>44896</v>
      </c>
      <c r="C35" s="15">
        <f t="shared" si="2"/>
        <v>479631.69351733703</v>
      </c>
      <c r="D35" s="16">
        <f t="shared" si="5"/>
        <v>1977.9605584694659</v>
      </c>
      <c r="E35" s="21">
        <f t="shared" si="0"/>
        <v>930.06436671561187</v>
      </c>
      <c r="F35" s="163">
        <v>0</v>
      </c>
      <c r="G35" s="16">
        <f t="shared" si="1"/>
        <v>478701.62915062142</v>
      </c>
      <c r="I35" s="21">
        <f t="shared" si="3"/>
        <v>21298.370849378531</v>
      </c>
      <c r="J35" s="16">
        <f t="shared" si="4"/>
        <v>48494.227355063333</v>
      </c>
    </row>
    <row r="36" spans="2:10" hidden="1" outlineLevel="1" x14ac:dyDescent="0.2">
      <c r="B36" s="44">
        <v>44927</v>
      </c>
      <c r="C36" s="15">
        <f t="shared" si="2"/>
        <v>478701.62915062142</v>
      </c>
      <c r="D36" s="16">
        <f t="shared" si="5"/>
        <v>1974.1250516439877</v>
      </c>
      <c r="E36" s="21">
        <f t="shared" si="0"/>
        <v>933.89987354109007</v>
      </c>
      <c r="F36" s="163">
        <v>0</v>
      </c>
      <c r="G36" s="16">
        <f t="shared" si="1"/>
        <v>477767.72927708033</v>
      </c>
      <c r="I36" s="21">
        <f t="shared" si="3"/>
        <v>22232.27072291962</v>
      </c>
      <c r="J36" s="16">
        <f t="shared" si="4"/>
        <v>50468.352406707323</v>
      </c>
    </row>
    <row r="37" spans="2:10" hidden="1" outlineLevel="1" x14ac:dyDescent="0.2">
      <c r="B37" s="44">
        <v>44958</v>
      </c>
      <c r="C37" s="15">
        <f t="shared" si="2"/>
        <v>477767.72927708033</v>
      </c>
      <c r="D37" s="16">
        <f t="shared" si="5"/>
        <v>1970.2737275125953</v>
      </c>
      <c r="E37" s="21">
        <f t="shared" si="0"/>
        <v>937.75119767248248</v>
      </c>
      <c r="F37" s="163">
        <v>0</v>
      </c>
      <c r="G37" s="16">
        <f t="shared" si="1"/>
        <v>476829.97807940783</v>
      </c>
      <c r="I37" s="21">
        <f t="shared" si="3"/>
        <v>23170.021920592102</v>
      </c>
      <c r="J37" s="16">
        <f t="shared" si="4"/>
        <v>52438.626134219921</v>
      </c>
    </row>
    <row r="38" spans="2:10" hidden="1" outlineLevel="1" x14ac:dyDescent="0.2">
      <c r="B38" s="44">
        <v>44986</v>
      </c>
      <c r="C38" s="15">
        <f t="shared" si="2"/>
        <v>476829.97807940783</v>
      </c>
      <c r="D38" s="16">
        <f t="shared" si="5"/>
        <v>1966.4065208460563</v>
      </c>
      <c r="E38" s="21">
        <f t="shared" si="0"/>
        <v>941.61840433902148</v>
      </c>
      <c r="F38" s="163">
        <v>0</v>
      </c>
      <c r="G38" s="16">
        <f t="shared" si="1"/>
        <v>475888.35967506882</v>
      </c>
      <c r="I38" s="21">
        <f t="shared" si="3"/>
        <v>24111.640324931122</v>
      </c>
      <c r="J38" s="16">
        <f t="shared" si="4"/>
        <v>54405.032655065981</v>
      </c>
    </row>
    <row r="39" spans="2:10" hidden="1" outlineLevel="1" x14ac:dyDescent="0.2">
      <c r="B39" s="44">
        <v>45017</v>
      </c>
      <c r="C39" s="15">
        <f t="shared" si="2"/>
        <v>475888.35967506882</v>
      </c>
      <c r="D39" s="16">
        <f t="shared" si="5"/>
        <v>1962.5233661461382</v>
      </c>
      <c r="E39" s="21">
        <f t="shared" si="0"/>
        <v>945.5015590389396</v>
      </c>
      <c r="F39" s="163">
        <v>0</v>
      </c>
      <c r="G39" s="16">
        <f t="shared" si="1"/>
        <v>474942.85811602988</v>
      </c>
      <c r="I39" s="21">
        <f t="shared" si="3"/>
        <v>25057.141883970064</v>
      </c>
      <c r="J39" s="16">
        <f t="shared" si="4"/>
        <v>56367.55602121212</v>
      </c>
    </row>
    <row r="40" spans="2:10" hidden="1" outlineLevel="1" x14ac:dyDescent="0.2">
      <c r="B40" s="44">
        <v>45047</v>
      </c>
      <c r="C40" s="15">
        <f t="shared" si="2"/>
        <v>474942.85811602988</v>
      </c>
      <c r="D40" s="16">
        <f t="shared" si="5"/>
        <v>1958.6241976444994</v>
      </c>
      <c r="E40" s="21">
        <f t="shared" si="0"/>
        <v>949.40072754057837</v>
      </c>
      <c r="F40" s="163">
        <v>0</v>
      </c>
      <c r="G40" s="16">
        <f t="shared" si="1"/>
        <v>473993.45738848927</v>
      </c>
      <c r="I40" s="21">
        <f t="shared" si="3"/>
        <v>26006.542611510642</v>
      </c>
      <c r="J40" s="16">
        <f t="shared" si="4"/>
        <v>58326.180218856622</v>
      </c>
    </row>
    <row r="41" spans="2:10" hidden="1" outlineLevel="1" x14ac:dyDescent="0.2">
      <c r="B41" s="44">
        <v>45078</v>
      </c>
      <c r="C41" s="15">
        <f t="shared" si="2"/>
        <v>473993.45738848927</v>
      </c>
      <c r="D41" s="16">
        <f t="shared" si="5"/>
        <v>1954.7089493015756</v>
      </c>
      <c r="E41" s="21">
        <f t="shared" si="0"/>
        <v>953.31597588350223</v>
      </c>
      <c r="F41" s="163">
        <v>0</v>
      </c>
      <c r="G41" s="16">
        <f t="shared" si="1"/>
        <v>473040.14141260576</v>
      </c>
      <c r="I41" s="21">
        <f t="shared" si="3"/>
        <v>26959.858587394145</v>
      </c>
      <c r="J41" s="16">
        <f t="shared" si="4"/>
        <v>60280.889168158195</v>
      </c>
    </row>
    <row r="42" spans="2:10" hidden="1" outlineLevel="1" x14ac:dyDescent="0.2">
      <c r="B42" s="44">
        <v>45108</v>
      </c>
      <c r="C42" s="15">
        <f t="shared" si="2"/>
        <v>473040.14141260576</v>
      </c>
      <c r="D42" s="16">
        <f t="shared" si="5"/>
        <v>1950.7775548054606</v>
      </c>
      <c r="E42" s="21">
        <f t="shared" si="0"/>
        <v>957.24737037961722</v>
      </c>
      <c r="F42" s="163">
        <v>0</v>
      </c>
      <c r="G42" s="16">
        <f t="shared" si="1"/>
        <v>472082.89404222614</v>
      </c>
      <c r="I42" s="21">
        <f t="shared" si="3"/>
        <v>27917.105957773761</v>
      </c>
      <c r="J42" s="16">
        <f t="shared" si="4"/>
        <v>62231.666722963659</v>
      </c>
    </row>
    <row r="43" spans="2:10" hidden="1" outlineLevel="1" x14ac:dyDescent="0.2">
      <c r="B43" s="44">
        <v>45139</v>
      </c>
      <c r="C43" s="15">
        <f t="shared" si="2"/>
        <v>472082.89404222614</v>
      </c>
      <c r="D43" s="16">
        <f t="shared" si="5"/>
        <v>1946.8299475707834</v>
      </c>
      <c r="E43" s="21">
        <f t="shared" si="0"/>
        <v>961.19497761429443</v>
      </c>
      <c r="F43" s="163">
        <v>0</v>
      </c>
      <c r="G43" s="16">
        <f t="shared" si="1"/>
        <v>471121.69906461186</v>
      </c>
      <c r="I43" s="21">
        <f t="shared" si="3"/>
        <v>28878.300935388055</v>
      </c>
      <c r="J43" s="16">
        <f t="shared" si="4"/>
        <v>64178.496670534441</v>
      </c>
    </row>
    <row r="44" spans="2:10" hidden="1" outlineLevel="1" x14ac:dyDescent="0.2">
      <c r="B44" s="44">
        <v>45170</v>
      </c>
      <c r="C44" s="15">
        <f t="shared" si="2"/>
        <v>471121.69906461186</v>
      </c>
      <c r="D44" s="16">
        <f t="shared" si="5"/>
        <v>1942.8660607375809</v>
      </c>
      <c r="E44" s="21">
        <f t="shared" si="0"/>
        <v>965.15886444749685</v>
      </c>
      <c r="F44" s="163">
        <v>0</v>
      </c>
      <c r="G44" s="16">
        <f t="shared" si="1"/>
        <v>470156.54020016437</v>
      </c>
      <c r="I44" s="21">
        <f t="shared" si="3"/>
        <v>29843.459799835553</v>
      </c>
      <c r="J44" s="16">
        <f t="shared" si="4"/>
        <v>66121.36273127202</v>
      </c>
    </row>
    <row r="45" spans="2:10" hidden="1" outlineLevel="1" x14ac:dyDescent="0.2">
      <c r="B45" s="44">
        <v>45200</v>
      </c>
      <c r="C45" s="15">
        <f t="shared" si="2"/>
        <v>470156.54020016437</v>
      </c>
      <c r="D45" s="16">
        <f t="shared" si="5"/>
        <v>1938.8858271701647</v>
      </c>
      <c r="E45" s="21">
        <f t="shared" si="0"/>
        <v>969.13909801491309</v>
      </c>
      <c r="F45" s="163">
        <v>0</v>
      </c>
      <c r="G45" s="16">
        <f t="shared" si="1"/>
        <v>469187.40110214945</v>
      </c>
      <c r="I45" s="21">
        <f t="shared" si="3"/>
        <v>30812.598897850465</v>
      </c>
      <c r="J45" s="16">
        <f t="shared" si="4"/>
        <v>68060.248558442181</v>
      </c>
    </row>
    <row r="46" spans="2:10" hidden="1" outlineLevel="1" x14ac:dyDescent="0.2">
      <c r="B46" s="44">
        <v>45231</v>
      </c>
      <c r="C46" s="15">
        <f t="shared" si="2"/>
        <v>469187.40110214945</v>
      </c>
      <c r="D46" s="16">
        <f t="shared" si="5"/>
        <v>1934.8891794559852</v>
      </c>
      <c r="E46" s="21">
        <f t="shared" si="0"/>
        <v>973.1357457290926</v>
      </c>
      <c r="F46" s="163">
        <v>0</v>
      </c>
      <c r="G46" s="16">
        <f t="shared" si="1"/>
        <v>468214.26535642036</v>
      </c>
      <c r="I46" s="21">
        <f t="shared" si="3"/>
        <v>31785.734643579559</v>
      </c>
      <c r="J46" s="16">
        <f t="shared" si="4"/>
        <v>69995.137737898171</v>
      </c>
    </row>
    <row r="47" spans="2:10" hidden="1" outlineLevel="1" x14ac:dyDescent="0.2">
      <c r="B47" s="44">
        <v>45261</v>
      </c>
      <c r="C47" s="15">
        <f t="shared" si="2"/>
        <v>468214.26535642036</v>
      </c>
      <c r="D47" s="16">
        <f t="shared" si="5"/>
        <v>1930.8760499044884</v>
      </c>
      <c r="E47" s="21">
        <f t="shared" si="0"/>
        <v>977.14887528058944</v>
      </c>
      <c r="F47" s="163">
        <v>0</v>
      </c>
      <c r="G47" s="16">
        <f t="shared" si="1"/>
        <v>467237.11648113979</v>
      </c>
      <c r="I47" s="21">
        <f t="shared" si="3"/>
        <v>32762.883518860148</v>
      </c>
      <c r="J47" s="16">
        <f t="shared" si="4"/>
        <v>71926.013787802658</v>
      </c>
    </row>
    <row r="48" spans="2:10" hidden="1" outlineLevel="1" x14ac:dyDescent="0.2">
      <c r="B48" s="44">
        <v>45292</v>
      </c>
      <c r="C48" s="15">
        <f t="shared" si="2"/>
        <v>467237.11648113979</v>
      </c>
      <c r="D48" s="16">
        <f t="shared" si="5"/>
        <v>1926.8463705459706</v>
      </c>
      <c r="E48" s="21">
        <f t="shared" si="0"/>
        <v>981.17855463910723</v>
      </c>
      <c r="F48" s="163">
        <v>0</v>
      </c>
      <c r="G48" s="16">
        <f t="shared" si="1"/>
        <v>466255.93792650069</v>
      </c>
      <c r="I48" s="21">
        <f t="shared" si="3"/>
        <v>33744.062073499255</v>
      </c>
      <c r="J48" s="16">
        <f t="shared" si="4"/>
        <v>73852.860158348631</v>
      </c>
    </row>
    <row r="49" spans="2:10" hidden="1" outlineLevel="1" x14ac:dyDescent="0.2">
      <c r="B49" s="44">
        <v>45323</v>
      </c>
      <c r="C49" s="15">
        <f t="shared" si="2"/>
        <v>466255.93792650069</v>
      </c>
      <c r="D49" s="16">
        <f t="shared" si="5"/>
        <v>1922.8000731304264</v>
      </c>
      <c r="E49" s="21">
        <f t="shared" si="0"/>
        <v>985.22485205465136</v>
      </c>
      <c r="F49" s="163">
        <v>0</v>
      </c>
      <c r="G49" s="16">
        <f t="shared" si="1"/>
        <v>465270.71307444602</v>
      </c>
      <c r="I49" s="21">
        <f t="shared" si="3"/>
        <v>34729.286925553904</v>
      </c>
      <c r="J49" s="16">
        <f t="shared" si="4"/>
        <v>75775.660231479051</v>
      </c>
    </row>
    <row r="50" spans="2:10" hidden="1" outlineLevel="1" x14ac:dyDescent="0.2">
      <c r="B50" s="44">
        <v>45352</v>
      </c>
      <c r="C50" s="15">
        <f t="shared" si="2"/>
        <v>465270.71307444602</v>
      </c>
      <c r="D50" s="16">
        <f t="shared" si="5"/>
        <v>1918.7370891263936</v>
      </c>
      <c r="E50" s="21">
        <f t="shared" si="0"/>
        <v>989.28783605868421</v>
      </c>
      <c r="F50" s="163">
        <v>0</v>
      </c>
      <c r="G50" s="16">
        <f t="shared" si="1"/>
        <v>464281.42523838731</v>
      </c>
      <c r="I50" s="21">
        <f t="shared" si="3"/>
        <v>35718.574761612588</v>
      </c>
      <c r="J50" s="16">
        <f t="shared" si="4"/>
        <v>77694.397320605451</v>
      </c>
    </row>
    <row r="51" spans="2:10" hidden="1" outlineLevel="1" x14ac:dyDescent="0.2">
      <c r="B51" s="44">
        <v>45383</v>
      </c>
      <c r="C51" s="15">
        <f t="shared" si="2"/>
        <v>464281.42523838731</v>
      </c>
      <c r="D51" s="16">
        <f t="shared" si="5"/>
        <v>1914.6573497197921</v>
      </c>
      <c r="E51" s="21">
        <f t="shared" si="0"/>
        <v>993.36757546528565</v>
      </c>
      <c r="F51" s="163">
        <v>0</v>
      </c>
      <c r="G51" s="16">
        <f t="shared" si="1"/>
        <v>463288.05766292202</v>
      </c>
      <c r="I51" s="21">
        <f t="shared" si="3"/>
        <v>36711.942337077875</v>
      </c>
      <c r="J51" s="16">
        <f t="shared" si="4"/>
        <v>79609.054670325248</v>
      </c>
    </row>
    <row r="52" spans="2:10" hidden="1" outlineLevel="1" x14ac:dyDescent="0.2">
      <c r="B52" s="44">
        <v>45413</v>
      </c>
      <c r="C52" s="15">
        <f t="shared" si="2"/>
        <v>463288.05766292202</v>
      </c>
      <c r="D52" s="16">
        <f t="shared" si="5"/>
        <v>1910.560785812758</v>
      </c>
      <c r="E52" s="21">
        <f t="shared" si="0"/>
        <v>997.46413937231978</v>
      </c>
      <c r="F52" s="163">
        <v>0</v>
      </c>
      <c r="G52" s="16">
        <f t="shared" si="1"/>
        <v>462290.59352354967</v>
      </c>
      <c r="I52" s="21">
        <f t="shared" si="3"/>
        <v>37709.406476450196</v>
      </c>
      <c r="J52" s="16">
        <f t="shared" si="4"/>
        <v>81519.61545613801</v>
      </c>
    </row>
    <row r="53" spans="2:10" hidden="1" outlineLevel="1" x14ac:dyDescent="0.2">
      <c r="B53" s="44">
        <v>45444</v>
      </c>
      <c r="C53" s="15">
        <f t="shared" si="2"/>
        <v>462290.59352354967</v>
      </c>
      <c r="D53" s="16">
        <f t="shared" si="5"/>
        <v>1906.4473280224736</v>
      </c>
      <c r="E53" s="21">
        <f t="shared" si="0"/>
        <v>1001.5775971626042</v>
      </c>
      <c r="F53" s="163">
        <v>0</v>
      </c>
      <c r="G53" s="16">
        <f t="shared" si="1"/>
        <v>461289.01592638704</v>
      </c>
      <c r="I53" s="21">
        <f t="shared" si="3"/>
        <v>38710.984073612803</v>
      </c>
      <c r="J53" s="16">
        <f t="shared" si="4"/>
        <v>83426.062784160487</v>
      </c>
    </row>
    <row r="54" spans="2:10" hidden="1" outlineLevel="1" x14ac:dyDescent="0.2">
      <c r="B54" s="44">
        <v>45474</v>
      </c>
      <c r="C54" s="15">
        <f t="shared" si="2"/>
        <v>461289.01592638704</v>
      </c>
      <c r="D54" s="16">
        <f t="shared" si="5"/>
        <v>1902.3169066799926</v>
      </c>
      <c r="E54" s="21">
        <f t="shared" si="0"/>
        <v>1005.7080185050852</v>
      </c>
      <c r="F54" s="163">
        <v>0</v>
      </c>
      <c r="G54" s="16">
        <f t="shared" si="1"/>
        <v>460283.30790788197</v>
      </c>
      <c r="I54" s="21">
        <f t="shared" si="3"/>
        <v>39716.69209211789</v>
      </c>
      <c r="J54" s="16">
        <f t="shared" si="4"/>
        <v>85328.379690840477</v>
      </c>
    </row>
    <row r="55" spans="2:10" hidden="1" outlineLevel="1" x14ac:dyDescent="0.2">
      <c r="B55" s="44">
        <v>45505</v>
      </c>
      <c r="C55" s="15">
        <f t="shared" si="2"/>
        <v>460283.30790788197</v>
      </c>
      <c r="D55" s="16">
        <f t="shared" si="5"/>
        <v>1898.1694518290599</v>
      </c>
      <c r="E55" s="21">
        <f t="shared" si="0"/>
        <v>1009.8554733560179</v>
      </c>
      <c r="F55" s="163">
        <v>0</v>
      </c>
      <c r="G55" s="16">
        <f t="shared" si="1"/>
        <v>459273.45243452594</v>
      </c>
      <c r="I55" s="21">
        <f t="shared" si="3"/>
        <v>40726.547565473906</v>
      </c>
      <c r="J55" s="16">
        <f t="shared" si="4"/>
        <v>87226.549142669537</v>
      </c>
    </row>
    <row r="56" spans="2:10" hidden="1" outlineLevel="1" x14ac:dyDescent="0.2">
      <c r="B56" s="44">
        <v>45536</v>
      </c>
      <c r="C56" s="15">
        <f t="shared" si="2"/>
        <v>459273.45243452594</v>
      </c>
      <c r="D56" s="16">
        <f t="shared" si="5"/>
        <v>1894.0048932249265</v>
      </c>
      <c r="E56" s="21">
        <f t="shared" si="0"/>
        <v>1014.0200319601513</v>
      </c>
      <c r="F56" s="163">
        <v>0</v>
      </c>
      <c r="G56" s="16">
        <f t="shared" si="1"/>
        <v>458259.43240256578</v>
      </c>
      <c r="I56" s="21">
        <f t="shared" si="3"/>
        <v>41740.567597434056</v>
      </c>
      <c r="J56" s="16">
        <f t="shared" si="4"/>
        <v>89120.554035894456</v>
      </c>
    </row>
    <row r="57" spans="2:10" hidden="1" outlineLevel="1" x14ac:dyDescent="0.2">
      <c r="B57" s="44">
        <v>45566</v>
      </c>
      <c r="C57" s="15">
        <f t="shared" si="2"/>
        <v>458259.43240256578</v>
      </c>
      <c r="D57" s="16">
        <f t="shared" si="5"/>
        <v>1889.8231603331599</v>
      </c>
      <c r="E57" s="21">
        <f t="shared" si="0"/>
        <v>1018.2017648519179</v>
      </c>
      <c r="F57" s="163">
        <v>0</v>
      </c>
      <c r="G57" s="16">
        <f t="shared" si="1"/>
        <v>457241.23063771386</v>
      </c>
      <c r="I57" s="21">
        <f t="shared" si="3"/>
        <v>42758.769362285973</v>
      </c>
      <c r="J57" s="16">
        <f t="shared" si="4"/>
        <v>91010.377196227622</v>
      </c>
    </row>
    <row r="58" spans="2:10" hidden="1" outlineLevel="1" x14ac:dyDescent="0.2">
      <c r="B58" s="44">
        <v>45597</v>
      </c>
      <c r="C58" s="15">
        <f t="shared" si="2"/>
        <v>457241.23063771386</v>
      </c>
      <c r="D58" s="16">
        <f t="shared" si="5"/>
        <v>1885.6241823284499</v>
      </c>
      <c r="E58" s="21">
        <f t="shared" si="0"/>
        <v>1022.4007428566279</v>
      </c>
      <c r="F58" s="163">
        <v>0</v>
      </c>
      <c r="G58" s="16">
        <f t="shared" si="1"/>
        <v>456218.82989485725</v>
      </c>
      <c r="I58" s="21">
        <f t="shared" si="3"/>
        <v>43781.170105142599</v>
      </c>
      <c r="J58" s="16">
        <f t="shared" si="4"/>
        <v>92896.001378556073</v>
      </c>
    </row>
    <row r="59" spans="2:10" hidden="1" outlineLevel="1" x14ac:dyDescent="0.2">
      <c r="B59" s="44">
        <v>45627</v>
      </c>
      <c r="C59" s="15">
        <f t="shared" si="2"/>
        <v>456218.82989485725</v>
      </c>
      <c r="D59" s="16">
        <f t="shared" si="5"/>
        <v>1881.4078880934087</v>
      </c>
      <c r="E59" s="21">
        <f t="shared" si="0"/>
        <v>1026.6170370916691</v>
      </c>
      <c r="F59" s="163">
        <v>0</v>
      </c>
      <c r="G59" s="16">
        <f t="shared" si="1"/>
        <v>455192.21285776555</v>
      </c>
      <c r="I59" s="21">
        <f t="shared" si="3"/>
        <v>44807.787142234265</v>
      </c>
      <c r="J59" s="16">
        <f t="shared" si="4"/>
        <v>94777.409266649483</v>
      </c>
    </row>
    <row r="60" spans="2:10" hidden="1" outlineLevel="1" x14ac:dyDescent="0.2">
      <c r="B60" s="44">
        <v>45658</v>
      </c>
      <c r="C60" s="15">
        <f t="shared" si="2"/>
        <v>455192.21285776555</v>
      </c>
      <c r="D60" s="16">
        <f t="shared" si="5"/>
        <v>1877.1742062173655</v>
      </c>
      <c r="E60" s="21">
        <f t="shared" si="0"/>
        <v>1030.8507189677123</v>
      </c>
      <c r="F60" s="163">
        <v>0</v>
      </c>
      <c r="G60" s="16">
        <f t="shared" si="1"/>
        <v>454161.36213879782</v>
      </c>
      <c r="I60" s="21">
        <f t="shared" si="3"/>
        <v>45838.637861201976</v>
      </c>
      <c r="J60" s="16">
        <f t="shared" si="4"/>
        <v>96654.583472866856</v>
      </c>
    </row>
    <row r="61" spans="2:10" hidden="1" outlineLevel="1" x14ac:dyDescent="0.2">
      <c r="B61" s="44">
        <v>45689</v>
      </c>
      <c r="C61" s="15">
        <f t="shared" si="2"/>
        <v>454161.36213879782</v>
      </c>
      <c r="D61" s="16">
        <f t="shared" si="5"/>
        <v>1872.9230649951596</v>
      </c>
      <c r="E61" s="21">
        <f t="shared" si="0"/>
        <v>1035.1018601899182</v>
      </c>
      <c r="F61" s="163">
        <v>0</v>
      </c>
      <c r="G61" s="16">
        <f t="shared" si="1"/>
        <v>453126.26027860789</v>
      </c>
      <c r="I61" s="21">
        <f t="shared" si="3"/>
        <v>46873.739721391896</v>
      </c>
      <c r="J61" s="16">
        <f t="shared" si="4"/>
        <v>98527.50653786202</v>
      </c>
    </row>
    <row r="62" spans="2:10" hidden="1" outlineLevel="1" x14ac:dyDescent="0.2">
      <c r="B62" s="44">
        <v>45717</v>
      </c>
      <c r="C62" s="15">
        <f t="shared" si="2"/>
        <v>453126.26027860789</v>
      </c>
      <c r="D62" s="16">
        <f t="shared" si="5"/>
        <v>1868.6543924259227</v>
      </c>
      <c r="E62" s="21">
        <f t="shared" si="0"/>
        <v>1039.3705327591551</v>
      </c>
      <c r="F62" s="163">
        <v>0</v>
      </c>
      <c r="G62" s="16">
        <f t="shared" si="1"/>
        <v>452086.88974584872</v>
      </c>
      <c r="I62" s="21">
        <f t="shared" si="3"/>
        <v>47913.110254151048</v>
      </c>
      <c r="J62" s="16">
        <f t="shared" si="4"/>
        <v>100396.16093028794</v>
      </c>
    </row>
    <row r="63" spans="2:10" hidden="1" outlineLevel="1" x14ac:dyDescent="0.2">
      <c r="B63" s="44">
        <v>45748</v>
      </c>
      <c r="C63" s="15">
        <f t="shared" si="2"/>
        <v>452086.88974584872</v>
      </c>
      <c r="D63" s="16">
        <f t="shared" si="5"/>
        <v>1864.3681162118619</v>
      </c>
      <c r="E63" s="21">
        <f t="shared" si="0"/>
        <v>1043.6568089732159</v>
      </c>
      <c r="F63" s="163">
        <v>0</v>
      </c>
      <c r="G63" s="16">
        <f t="shared" si="1"/>
        <v>451043.23293687549</v>
      </c>
      <c r="I63" s="21">
        <f t="shared" si="3"/>
        <v>48956.767063124265</v>
      </c>
      <c r="J63" s="16">
        <f t="shared" si="4"/>
        <v>102260.5290464998</v>
      </c>
    </row>
    <row r="64" spans="2:10" hidden="1" outlineLevel="1" x14ac:dyDescent="0.2">
      <c r="B64" s="44">
        <v>45778</v>
      </c>
      <c r="C64" s="15">
        <f t="shared" si="2"/>
        <v>451043.23293687549</v>
      </c>
      <c r="D64" s="16">
        <f t="shared" si="5"/>
        <v>1860.0641637570341</v>
      </c>
      <c r="E64" s="21">
        <f t="shared" si="0"/>
        <v>1047.9607614280437</v>
      </c>
      <c r="F64" s="163">
        <v>0</v>
      </c>
      <c r="G64" s="16">
        <f t="shared" si="1"/>
        <v>449995.27217544743</v>
      </c>
      <c r="I64" s="21">
        <f t="shared" si="3"/>
        <v>50004.727824552312</v>
      </c>
      <c r="J64" s="16">
        <f t="shared" si="4"/>
        <v>104120.59321025683</v>
      </c>
    </row>
    <row r="65" spans="1:10" hidden="1" outlineLevel="1" x14ac:dyDescent="0.2">
      <c r="B65" s="44">
        <v>45809</v>
      </c>
      <c r="C65" s="15">
        <f t="shared" si="2"/>
        <v>449995.27217544743</v>
      </c>
      <c r="D65" s="16">
        <f t="shared" si="5"/>
        <v>1855.7424621661166</v>
      </c>
      <c r="E65" s="21">
        <f t="shared" si="0"/>
        <v>1052.2824630189612</v>
      </c>
      <c r="F65" s="163">
        <v>0</v>
      </c>
      <c r="G65" s="16">
        <f t="shared" si="1"/>
        <v>448942.98971242848</v>
      </c>
      <c r="I65" s="21">
        <f t="shared" si="3"/>
        <v>51057.010287571276</v>
      </c>
      <c r="J65" s="16">
        <f t="shared" si="4"/>
        <v>105976.33567242295</v>
      </c>
    </row>
    <row r="66" spans="1:10" hidden="1" outlineLevel="1" x14ac:dyDescent="0.2">
      <c r="B66" s="44">
        <v>45839</v>
      </c>
      <c r="C66" s="15">
        <f t="shared" si="2"/>
        <v>448942.98971242848</v>
      </c>
      <c r="D66" s="16">
        <f t="shared" si="5"/>
        <v>1851.4029382431727</v>
      </c>
      <c r="E66" s="21">
        <f t="shared" si="0"/>
        <v>1056.6219869419051</v>
      </c>
      <c r="F66" s="163">
        <v>0</v>
      </c>
      <c r="G66" s="16">
        <f t="shared" si="1"/>
        <v>447886.36772548658</v>
      </c>
      <c r="I66" s="21">
        <f t="shared" si="3"/>
        <v>52113.632274513184</v>
      </c>
      <c r="J66" s="16">
        <f t="shared" si="4"/>
        <v>107827.73861066613</v>
      </c>
    </row>
    <row r="67" spans="1:10" hidden="1" outlineLevel="1" x14ac:dyDescent="0.2">
      <c r="B67" s="44">
        <v>45870</v>
      </c>
      <c r="C67" s="15">
        <f t="shared" si="2"/>
        <v>447886.36772548658</v>
      </c>
      <c r="D67" s="16">
        <f t="shared" si="5"/>
        <v>1847.0455184904117</v>
      </c>
      <c r="E67" s="21">
        <f t="shared" si="0"/>
        <v>1060.9794066946661</v>
      </c>
      <c r="F67" s="163">
        <v>0</v>
      </c>
      <c r="G67" s="16">
        <f t="shared" si="1"/>
        <v>446825.38831879193</v>
      </c>
      <c r="I67" s="21">
        <f t="shared" si="3"/>
        <v>53174.611681207847</v>
      </c>
      <c r="J67" s="16">
        <f t="shared" si="4"/>
        <v>109674.78412915654</v>
      </c>
    </row>
    <row r="68" spans="1:10" hidden="1" outlineLevel="1" x14ac:dyDescent="0.2">
      <c r="B68" s="44">
        <v>45901</v>
      </c>
      <c r="C68" s="15">
        <f t="shared" si="2"/>
        <v>446825.38831879193</v>
      </c>
      <c r="D68" s="16">
        <f t="shared" si="5"/>
        <v>1842.6701291069439</v>
      </c>
      <c r="E68" s="21">
        <f t="shared" si="0"/>
        <v>1065.3547960781339</v>
      </c>
      <c r="F68" s="163">
        <v>0</v>
      </c>
      <c r="G68" s="16">
        <f t="shared" si="1"/>
        <v>445760.03352271381</v>
      </c>
      <c r="I68" s="21">
        <f t="shared" si="3"/>
        <v>54239.966477285983</v>
      </c>
      <c r="J68" s="16">
        <f t="shared" si="4"/>
        <v>111517.45425826349</v>
      </c>
    </row>
    <row r="69" spans="1:10" hidden="1" outlineLevel="1" x14ac:dyDescent="0.2">
      <c r="B69" s="44">
        <v>45931</v>
      </c>
      <c r="C69" s="15">
        <f t="shared" si="2"/>
        <v>445760.03352271381</v>
      </c>
      <c r="D69" s="16">
        <f t="shared" si="5"/>
        <v>1838.2766959875319</v>
      </c>
      <c r="E69" s="21">
        <f t="shared" si="0"/>
        <v>1069.7482291975459</v>
      </c>
      <c r="F69" s="163">
        <v>0</v>
      </c>
      <c r="G69" s="16">
        <f t="shared" si="1"/>
        <v>444690.2852935163</v>
      </c>
      <c r="I69" s="21">
        <f t="shared" si="3"/>
        <v>55309.71470648353</v>
      </c>
      <c r="J69" s="16">
        <f t="shared" si="4"/>
        <v>113355.73095425102</v>
      </c>
    </row>
    <row r="70" spans="1:10" hidden="1" outlineLevel="1" x14ac:dyDescent="0.2">
      <c r="B70" s="44">
        <v>45962</v>
      </c>
      <c r="C70" s="15">
        <f t="shared" si="2"/>
        <v>444690.2852935163</v>
      </c>
      <c r="D70" s="16">
        <f t="shared" si="5"/>
        <v>1833.8651447213335</v>
      </c>
      <c r="E70" s="21">
        <f t="shared" si="0"/>
        <v>1074.1597804637443</v>
      </c>
      <c r="F70" s="163">
        <v>0</v>
      </c>
      <c r="G70" s="16">
        <f t="shared" si="1"/>
        <v>443616.12551305257</v>
      </c>
      <c r="I70" s="21">
        <f t="shared" si="3"/>
        <v>56383.874486947272</v>
      </c>
      <c r="J70" s="16">
        <f t="shared" si="4"/>
        <v>115189.59609897235</v>
      </c>
    </row>
    <row r="71" spans="1:10" collapsed="1" x14ac:dyDescent="0.2">
      <c r="A71" t="s">
        <v>128</v>
      </c>
      <c r="B71" s="165">
        <v>45992</v>
      </c>
      <c r="C71" s="93">
        <f t="shared" si="2"/>
        <v>443616.12551305257</v>
      </c>
      <c r="D71" s="166">
        <f t="shared" si="5"/>
        <v>1829.4354005906432</v>
      </c>
      <c r="E71" s="167">
        <f t="shared" si="0"/>
        <v>1078.5895245944346</v>
      </c>
      <c r="F71" s="169">
        <v>0</v>
      </c>
      <c r="G71" s="166">
        <f t="shared" si="1"/>
        <v>442537.53598845814</v>
      </c>
      <c r="H71" s="3"/>
      <c r="I71" s="167">
        <f t="shared" si="3"/>
        <v>57462.464011541706</v>
      </c>
      <c r="J71" s="166">
        <f t="shared" si="4"/>
        <v>117019.031499563</v>
      </c>
    </row>
    <row r="72" spans="1:10" hidden="1" outlineLevel="1" x14ac:dyDescent="0.2">
      <c r="B72" s="44">
        <v>46023</v>
      </c>
      <c r="C72" s="15">
        <f t="shared" ref="C72:C135" si="6">G71</f>
        <v>442537.53598845814</v>
      </c>
      <c r="D72" s="16">
        <f t="shared" ref="D72:D135" si="7">C72*E$8</f>
        <v>1824.9873885696259</v>
      </c>
      <c r="E72" s="21">
        <f t="shared" si="0"/>
        <v>1083.0375366154519</v>
      </c>
      <c r="F72" s="163">
        <v>0</v>
      </c>
      <c r="G72" s="16">
        <f t="shared" ref="G72:G135" si="8">C72-E72-F72</f>
        <v>441454.49845184269</v>
      </c>
      <c r="I72" s="21">
        <f t="shared" ref="I72:I135" si="9">I71+E72</f>
        <v>58545.501548157161</v>
      </c>
      <c r="J72" s="16">
        <f t="shared" ref="J72:J135" si="10">J71+D72</f>
        <v>118844.01888813263</v>
      </c>
    </row>
    <row r="73" spans="1:10" hidden="1" outlineLevel="1" x14ac:dyDescent="0.2">
      <c r="B73" s="44">
        <v>46054</v>
      </c>
      <c r="C73" s="15">
        <f t="shared" si="6"/>
        <v>441454.49845184269</v>
      </c>
      <c r="D73" s="16">
        <f t="shared" si="7"/>
        <v>1820.5210333230457</v>
      </c>
      <c r="E73" s="21">
        <f t="shared" si="0"/>
        <v>1087.5038918620321</v>
      </c>
      <c r="F73" s="163">
        <v>0</v>
      </c>
      <c r="G73" s="16">
        <f t="shared" si="8"/>
        <v>440366.99455998064</v>
      </c>
      <c r="I73" s="21">
        <f t="shared" si="9"/>
        <v>59633.005440019195</v>
      </c>
      <c r="J73" s="16">
        <f t="shared" si="10"/>
        <v>120664.53992145568</v>
      </c>
    </row>
    <row r="74" spans="1:10" hidden="1" outlineLevel="1" x14ac:dyDescent="0.2">
      <c r="B74" s="44">
        <v>46082</v>
      </c>
      <c r="C74" s="15">
        <f t="shared" si="6"/>
        <v>440366.99455998064</v>
      </c>
      <c r="D74" s="16">
        <f t="shared" si="7"/>
        <v>1816.0362592049912</v>
      </c>
      <c r="E74" s="21">
        <f t="shared" si="0"/>
        <v>1091.9886659800866</v>
      </c>
      <c r="F74" s="162">
        <v>0</v>
      </c>
      <c r="G74" s="16">
        <f t="shared" si="8"/>
        <v>439275.00589400053</v>
      </c>
      <c r="I74" s="21">
        <f t="shared" si="9"/>
        <v>60724.994105999278</v>
      </c>
      <c r="J74" s="16">
        <f t="shared" si="10"/>
        <v>122480.57618066068</v>
      </c>
    </row>
    <row r="75" spans="1:10" hidden="1" outlineLevel="1" x14ac:dyDescent="0.2">
      <c r="B75" s="44">
        <v>46113</v>
      </c>
      <c r="C75" s="15">
        <f t="shared" si="6"/>
        <v>439275.00589400053</v>
      </c>
      <c r="D75" s="16">
        <f t="shared" si="7"/>
        <v>1811.5329902575936</v>
      </c>
      <c r="E75" s="21">
        <f t="shared" si="0"/>
        <v>1096.4919349274842</v>
      </c>
      <c r="F75" s="163">
        <v>0</v>
      </c>
      <c r="G75" s="16">
        <f t="shared" si="8"/>
        <v>438178.51395907305</v>
      </c>
      <c r="I75" s="21">
        <f t="shared" si="9"/>
        <v>61821.486040926764</v>
      </c>
      <c r="J75" s="16">
        <f t="shared" si="10"/>
        <v>124292.10917091827</v>
      </c>
    </row>
    <row r="76" spans="1:10" hidden="1" outlineLevel="1" x14ac:dyDescent="0.2">
      <c r="B76" s="44">
        <v>46143</v>
      </c>
      <c r="C76" s="15">
        <f t="shared" si="6"/>
        <v>438178.51395907305</v>
      </c>
      <c r="D76" s="16">
        <f t="shared" si="7"/>
        <v>1807.0111502097402</v>
      </c>
      <c r="E76" s="21">
        <f t="shared" ref="E76:E139" si="11">E$9-D76</f>
        <v>1101.0137749753376</v>
      </c>
      <c r="F76" s="163">
        <v>0</v>
      </c>
      <c r="G76" s="16">
        <f t="shared" si="8"/>
        <v>437077.50018409773</v>
      </c>
      <c r="I76" s="21">
        <f t="shared" si="9"/>
        <v>62922.499815902105</v>
      </c>
      <c r="J76" s="16">
        <f t="shared" si="10"/>
        <v>126099.12032112801</v>
      </c>
    </row>
    <row r="77" spans="1:10" hidden="1" outlineLevel="1" x14ac:dyDescent="0.2">
      <c r="B77" s="44">
        <v>46174</v>
      </c>
      <c r="C77" s="15">
        <f t="shared" si="6"/>
        <v>437077.50018409773</v>
      </c>
      <c r="D77" s="16">
        <f t="shared" si="7"/>
        <v>1802.4706624757825</v>
      </c>
      <c r="E77" s="21">
        <f t="shared" si="11"/>
        <v>1105.5542627092952</v>
      </c>
      <c r="F77" s="162">
        <v>0</v>
      </c>
      <c r="G77" s="16">
        <f t="shared" si="8"/>
        <v>435971.94592138845</v>
      </c>
      <c r="I77" s="21">
        <f t="shared" si="9"/>
        <v>64028.0540786114</v>
      </c>
      <c r="J77" s="16">
        <f t="shared" si="10"/>
        <v>127901.59098360379</v>
      </c>
    </row>
    <row r="78" spans="1:10" hidden="1" outlineLevel="1" x14ac:dyDescent="0.2">
      <c r="B78" s="44">
        <v>46204</v>
      </c>
      <c r="C78" s="15">
        <f t="shared" si="6"/>
        <v>435971.94592138845</v>
      </c>
      <c r="D78" s="16">
        <f t="shared" si="7"/>
        <v>1797.9114501542397</v>
      </c>
      <c r="E78" s="21">
        <f t="shared" si="11"/>
        <v>1110.1134750308381</v>
      </c>
      <c r="F78" s="163">
        <v>0</v>
      </c>
      <c r="G78" s="16">
        <f t="shared" si="8"/>
        <v>434861.83244635764</v>
      </c>
      <c r="I78" s="21">
        <f t="shared" si="9"/>
        <v>65138.167553642241</v>
      </c>
      <c r="J78" s="16">
        <f t="shared" si="10"/>
        <v>129699.50243375803</v>
      </c>
    </row>
    <row r="79" spans="1:10" hidden="1" outlineLevel="1" x14ac:dyDescent="0.2">
      <c r="B79" s="44">
        <v>46235</v>
      </c>
      <c r="C79" s="15">
        <f t="shared" si="6"/>
        <v>434861.83244635764</v>
      </c>
      <c r="D79" s="16">
        <f t="shared" si="7"/>
        <v>1793.3334360264951</v>
      </c>
      <c r="E79" s="21">
        <f t="shared" si="11"/>
        <v>1114.6914891585827</v>
      </c>
      <c r="F79" s="163">
        <v>0</v>
      </c>
      <c r="G79" s="16">
        <f t="shared" si="8"/>
        <v>433747.14095719904</v>
      </c>
      <c r="I79" s="21">
        <f t="shared" si="9"/>
        <v>66252.859042800817</v>
      </c>
      <c r="J79" s="16">
        <f t="shared" si="10"/>
        <v>131492.83586978453</v>
      </c>
    </row>
    <row r="80" spans="1:10" hidden="1" outlineLevel="1" x14ac:dyDescent="0.2">
      <c r="B80" s="44">
        <v>46266</v>
      </c>
      <c r="C80" s="15">
        <f t="shared" si="6"/>
        <v>433747.14095719904</v>
      </c>
      <c r="D80" s="16">
        <f t="shared" si="7"/>
        <v>1788.7365425554892</v>
      </c>
      <c r="E80" s="21">
        <f t="shared" si="11"/>
        <v>1119.2883826295886</v>
      </c>
      <c r="F80" s="162">
        <v>0</v>
      </c>
      <c r="G80" s="16">
        <f t="shared" si="8"/>
        <v>432627.85257456946</v>
      </c>
      <c r="I80" s="21">
        <f t="shared" si="9"/>
        <v>67372.147425430405</v>
      </c>
      <c r="J80" s="16">
        <f t="shared" si="10"/>
        <v>133281.57241234003</v>
      </c>
    </row>
    <row r="81" spans="2:10" hidden="1" outlineLevel="1" x14ac:dyDescent="0.2">
      <c r="B81" s="44">
        <v>46296</v>
      </c>
      <c r="C81" s="15">
        <f t="shared" si="6"/>
        <v>432627.85257456946</v>
      </c>
      <c r="D81" s="16">
        <f t="shared" si="7"/>
        <v>1784.1206918844068</v>
      </c>
      <c r="E81" s="21">
        <f t="shared" si="11"/>
        <v>1123.904233300671</v>
      </c>
      <c r="F81" s="163">
        <v>0</v>
      </c>
      <c r="G81" s="16">
        <f t="shared" si="8"/>
        <v>431503.94834126881</v>
      </c>
      <c r="I81" s="21">
        <f t="shared" si="9"/>
        <v>68496.05165873107</v>
      </c>
      <c r="J81" s="16">
        <f t="shared" si="10"/>
        <v>135065.69310422443</v>
      </c>
    </row>
    <row r="82" spans="2:10" hidden="1" outlineLevel="1" x14ac:dyDescent="0.2">
      <c r="B82" s="44">
        <v>46327</v>
      </c>
      <c r="C82" s="15">
        <f t="shared" si="6"/>
        <v>431503.94834126881</v>
      </c>
      <c r="D82" s="16">
        <f t="shared" si="7"/>
        <v>1779.4858058353573</v>
      </c>
      <c r="E82" s="21">
        <f t="shared" si="11"/>
        <v>1128.5391193497205</v>
      </c>
      <c r="F82" s="163">
        <v>0</v>
      </c>
      <c r="G82" s="16">
        <f t="shared" si="8"/>
        <v>430375.40922191908</v>
      </c>
      <c r="I82" s="21">
        <f t="shared" si="9"/>
        <v>69624.59077808079</v>
      </c>
      <c r="J82" s="16">
        <f t="shared" si="10"/>
        <v>136845.1789100598</v>
      </c>
    </row>
    <row r="83" spans="2:10" hidden="1" outlineLevel="1" x14ac:dyDescent="0.2">
      <c r="B83" s="44">
        <v>46357</v>
      </c>
      <c r="C83" s="15">
        <f t="shared" si="6"/>
        <v>430375.40922191908</v>
      </c>
      <c r="D83" s="16">
        <f t="shared" si="7"/>
        <v>1774.8318059080507</v>
      </c>
      <c r="E83" s="21">
        <f t="shared" si="11"/>
        <v>1133.1931192770271</v>
      </c>
      <c r="F83" s="162">
        <v>0</v>
      </c>
      <c r="G83" s="16">
        <f t="shared" si="8"/>
        <v>429242.21610264207</v>
      </c>
      <c r="I83" s="21">
        <f t="shared" si="9"/>
        <v>70757.783897357818</v>
      </c>
      <c r="J83" s="16">
        <f t="shared" si="10"/>
        <v>138620.01071596786</v>
      </c>
    </row>
    <row r="84" spans="2:10" hidden="1" outlineLevel="1" x14ac:dyDescent="0.2">
      <c r="B84" s="44">
        <v>46388</v>
      </c>
      <c r="C84" s="15">
        <f t="shared" si="6"/>
        <v>429242.21610264207</v>
      </c>
      <c r="D84" s="16">
        <f t="shared" si="7"/>
        <v>1770.1586132784691</v>
      </c>
      <c r="E84" s="21">
        <f t="shared" si="11"/>
        <v>1137.8663119066086</v>
      </c>
      <c r="F84" s="163">
        <v>0</v>
      </c>
      <c r="G84" s="16">
        <f t="shared" si="8"/>
        <v>428104.34979073546</v>
      </c>
      <c r="I84" s="21">
        <f t="shared" si="9"/>
        <v>71895.650209264422</v>
      </c>
      <c r="J84" s="16">
        <f t="shared" si="10"/>
        <v>140390.16932924633</v>
      </c>
    </row>
    <row r="85" spans="2:10" hidden="1" outlineLevel="1" x14ac:dyDescent="0.2">
      <c r="B85" s="44">
        <v>46419</v>
      </c>
      <c r="C85" s="15">
        <f t="shared" si="6"/>
        <v>428104.34979073546</v>
      </c>
      <c r="D85" s="16">
        <f t="shared" si="7"/>
        <v>1765.4661487975309</v>
      </c>
      <c r="E85" s="21">
        <f t="shared" si="11"/>
        <v>1142.5587763875469</v>
      </c>
      <c r="F85" s="163">
        <v>0</v>
      </c>
      <c r="G85" s="16">
        <f t="shared" si="8"/>
        <v>426961.79101434792</v>
      </c>
      <c r="I85" s="21">
        <f t="shared" si="9"/>
        <v>73038.208985651974</v>
      </c>
      <c r="J85" s="16">
        <f t="shared" si="10"/>
        <v>142155.63547804387</v>
      </c>
    </row>
    <row r="86" spans="2:10" hidden="1" outlineLevel="1" x14ac:dyDescent="0.2">
      <c r="B86" s="44">
        <v>46447</v>
      </c>
      <c r="C86" s="15">
        <f t="shared" si="6"/>
        <v>426961.79101434792</v>
      </c>
      <c r="D86" s="16">
        <f t="shared" si="7"/>
        <v>1760.7543329897501</v>
      </c>
      <c r="E86" s="21">
        <f t="shared" si="11"/>
        <v>1147.2705921953277</v>
      </c>
      <c r="F86" s="162">
        <v>0</v>
      </c>
      <c r="G86" s="16">
        <f t="shared" si="8"/>
        <v>425814.52042215259</v>
      </c>
      <c r="I86" s="21">
        <f t="shared" si="9"/>
        <v>74185.479577847305</v>
      </c>
      <c r="J86" s="16">
        <f t="shared" si="10"/>
        <v>143916.38981103362</v>
      </c>
    </row>
    <row r="87" spans="2:10" hidden="1" outlineLevel="1" x14ac:dyDescent="0.2">
      <c r="B87" s="44">
        <v>46478</v>
      </c>
      <c r="C87" s="15">
        <f t="shared" si="6"/>
        <v>425814.52042215259</v>
      </c>
      <c r="D87" s="16">
        <f t="shared" si="7"/>
        <v>1756.0230860518905</v>
      </c>
      <c r="E87" s="21">
        <f t="shared" si="11"/>
        <v>1152.0018391331873</v>
      </c>
      <c r="F87" s="163">
        <v>0</v>
      </c>
      <c r="G87" s="16">
        <f t="shared" si="8"/>
        <v>424662.51858301938</v>
      </c>
      <c r="I87" s="21">
        <f t="shared" si="9"/>
        <v>75337.481416980489</v>
      </c>
      <c r="J87" s="16">
        <f t="shared" si="10"/>
        <v>145672.41289708551</v>
      </c>
    </row>
    <row r="88" spans="2:10" hidden="1" outlineLevel="1" x14ac:dyDescent="0.2">
      <c r="B88" s="44">
        <v>46508</v>
      </c>
      <c r="C88" s="15">
        <f t="shared" si="6"/>
        <v>424662.51858301938</v>
      </c>
      <c r="D88" s="16">
        <f t="shared" si="7"/>
        <v>1751.2723278516146</v>
      </c>
      <c r="E88" s="21">
        <f t="shared" si="11"/>
        <v>1156.7525973334632</v>
      </c>
      <c r="F88" s="163">
        <v>0</v>
      </c>
      <c r="G88" s="16">
        <f t="shared" si="8"/>
        <v>423505.76598568592</v>
      </c>
      <c r="I88" s="21">
        <f t="shared" si="9"/>
        <v>76494.234014313959</v>
      </c>
      <c r="J88" s="16">
        <f t="shared" si="10"/>
        <v>147423.68522493713</v>
      </c>
    </row>
    <row r="89" spans="2:10" hidden="1" outlineLevel="1" x14ac:dyDescent="0.2">
      <c r="B89" s="44">
        <v>46539</v>
      </c>
      <c r="C89" s="15">
        <f t="shared" si="6"/>
        <v>423505.76598568592</v>
      </c>
      <c r="D89" s="16">
        <f t="shared" si="7"/>
        <v>1746.5019779261254</v>
      </c>
      <c r="E89" s="21">
        <f t="shared" si="11"/>
        <v>1161.5229472589524</v>
      </c>
      <c r="F89" s="162">
        <v>0</v>
      </c>
      <c r="G89" s="16">
        <f t="shared" si="8"/>
        <v>422344.24303842697</v>
      </c>
      <c r="I89" s="21">
        <f t="shared" si="9"/>
        <v>77655.756961572915</v>
      </c>
      <c r="J89" s="16">
        <f t="shared" si="10"/>
        <v>149170.18720286325</v>
      </c>
    </row>
    <row r="90" spans="2:10" hidden="1" outlineLevel="1" x14ac:dyDescent="0.2">
      <c r="B90" s="44">
        <v>46569</v>
      </c>
      <c r="C90" s="15">
        <f t="shared" si="6"/>
        <v>422344.24303842697</v>
      </c>
      <c r="D90" s="16">
        <f t="shared" si="7"/>
        <v>1741.7119554808041</v>
      </c>
      <c r="E90" s="21">
        <f t="shared" si="11"/>
        <v>1166.3129697042737</v>
      </c>
      <c r="F90" s="163">
        <v>0</v>
      </c>
      <c r="G90" s="16">
        <f t="shared" si="8"/>
        <v>421177.93006872269</v>
      </c>
      <c r="I90" s="21">
        <f t="shared" si="9"/>
        <v>78822.06993127719</v>
      </c>
      <c r="J90" s="16">
        <f t="shared" si="10"/>
        <v>150911.89915834405</v>
      </c>
    </row>
    <row r="91" spans="2:10" hidden="1" outlineLevel="1" x14ac:dyDescent="0.2">
      <c r="B91" s="44">
        <v>46600</v>
      </c>
      <c r="C91" s="15">
        <f t="shared" si="6"/>
        <v>421177.93006872269</v>
      </c>
      <c r="D91" s="16">
        <f t="shared" si="7"/>
        <v>1736.9021793878424</v>
      </c>
      <c r="E91" s="21">
        <f t="shared" si="11"/>
        <v>1171.1227457972354</v>
      </c>
      <c r="F91" s="163">
        <v>0</v>
      </c>
      <c r="G91" s="16">
        <f t="shared" si="8"/>
        <v>420006.80732292548</v>
      </c>
      <c r="I91" s="21">
        <f t="shared" si="9"/>
        <v>79993.192677074432</v>
      </c>
      <c r="J91" s="16">
        <f t="shared" si="10"/>
        <v>152648.80133773189</v>
      </c>
    </row>
    <row r="92" spans="2:10" hidden="1" outlineLevel="1" x14ac:dyDescent="0.2">
      <c r="B92" s="44">
        <v>46631</v>
      </c>
      <c r="C92" s="15">
        <f t="shared" si="6"/>
        <v>420006.80732292548</v>
      </c>
      <c r="D92" s="16">
        <f t="shared" si="7"/>
        <v>1732.0725681848671</v>
      </c>
      <c r="E92" s="21">
        <f t="shared" si="11"/>
        <v>1175.9523570002107</v>
      </c>
      <c r="F92" s="162">
        <v>0</v>
      </c>
      <c r="G92" s="16">
        <f t="shared" si="8"/>
        <v>418830.85496592527</v>
      </c>
      <c r="I92" s="21">
        <f t="shared" si="9"/>
        <v>81169.145034074638</v>
      </c>
      <c r="J92" s="16">
        <f t="shared" si="10"/>
        <v>154380.87390591676</v>
      </c>
    </row>
    <row r="93" spans="2:10" hidden="1" outlineLevel="1" x14ac:dyDescent="0.2">
      <c r="B93" s="44">
        <v>46661</v>
      </c>
      <c r="C93" s="15">
        <f t="shared" si="6"/>
        <v>418830.85496592527</v>
      </c>
      <c r="D93" s="16">
        <f t="shared" si="7"/>
        <v>1727.2230400735612</v>
      </c>
      <c r="E93" s="21">
        <f t="shared" si="11"/>
        <v>1180.8018851115166</v>
      </c>
      <c r="F93" s="163">
        <v>0</v>
      </c>
      <c r="G93" s="16">
        <f t="shared" si="8"/>
        <v>417650.05308081378</v>
      </c>
      <c r="I93" s="21">
        <f t="shared" si="9"/>
        <v>82349.946919186157</v>
      </c>
      <c r="J93" s="16">
        <f t="shared" si="10"/>
        <v>156108.09694599031</v>
      </c>
    </row>
    <row r="94" spans="2:10" hidden="1" outlineLevel="1" x14ac:dyDescent="0.2">
      <c r="B94" s="44">
        <v>46692</v>
      </c>
      <c r="C94" s="15">
        <f t="shared" si="6"/>
        <v>417650.05308081378</v>
      </c>
      <c r="D94" s="16">
        <f t="shared" si="7"/>
        <v>1722.3535129182783</v>
      </c>
      <c r="E94" s="21">
        <f t="shared" si="11"/>
        <v>1185.6714122667995</v>
      </c>
      <c r="F94" s="163">
        <v>0</v>
      </c>
      <c r="G94" s="16">
        <f t="shared" si="8"/>
        <v>416464.38166854699</v>
      </c>
      <c r="I94" s="21">
        <f t="shared" si="9"/>
        <v>83535.618331452963</v>
      </c>
      <c r="J94" s="16">
        <f t="shared" si="10"/>
        <v>157830.4504589086</v>
      </c>
    </row>
    <row r="95" spans="2:10" hidden="1" outlineLevel="1" x14ac:dyDescent="0.2">
      <c r="B95" s="44">
        <v>46722</v>
      </c>
      <c r="C95" s="15">
        <f t="shared" si="6"/>
        <v>416464.38166854699</v>
      </c>
      <c r="D95" s="16">
        <f t="shared" si="7"/>
        <v>1717.463904244652</v>
      </c>
      <c r="E95" s="21">
        <f t="shared" si="11"/>
        <v>1190.5610209404258</v>
      </c>
      <c r="F95" s="162">
        <v>0</v>
      </c>
      <c r="G95" s="16">
        <f t="shared" si="8"/>
        <v>415273.82064760657</v>
      </c>
      <c r="I95" s="21">
        <f t="shared" si="9"/>
        <v>84726.179352393388</v>
      </c>
      <c r="J95" s="16">
        <f t="shared" si="10"/>
        <v>159547.91436315325</v>
      </c>
    </row>
    <row r="96" spans="2:10" hidden="1" outlineLevel="1" x14ac:dyDescent="0.2">
      <c r="B96" s="44">
        <v>46753</v>
      </c>
      <c r="C96" s="15">
        <f t="shared" si="6"/>
        <v>415273.82064760657</v>
      </c>
      <c r="D96" s="16">
        <f t="shared" si="7"/>
        <v>1712.5541312381979</v>
      </c>
      <c r="E96" s="21">
        <f t="shared" si="11"/>
        <v>1195.4707939468799</v>
      </c>
      <c r="F96" s="163">
        <v>0</v>
      </c>
      <c r="G96" s="16">
        <f t="shared" si="8"/>
        <v>414078.34985365969</v>
      </c>
      <c r="I96" s="21">
        <f t="shared" si="9"/>
        <v>85921.650146340267</v>
      </c>
      <c r="J96" s="16">
        <f t="shared" si="10"/>
        <v>161260.46849439145</v>
      </c>
    </row>
    <row r="97" spans="2:10" hidden="1" outlineLevel="1" x14ac:dyDescent="0.2">
      <c r="B97" s="44">
        <v>46784</v>
      </c>
      <c r="C97" s="15">
        <f t="shared" si="6"/>
        <v>414078.34985365969</v>
      </c>
      <c r="D97" s="16">
        <f t="shared" si="7"/>
        <v>1707.6241107429121</v>
      </c>
      <c r="E97" s="21">
        <f t="shared" si="11"/>
        <v>1200.4008144421657</v>
      </c>
      <c r="F97" s="163">
        <v>0</v>
      </c>
      <c r="G97" s="16">
        <f t="shared" si="8"/>
        <v>412877.94903921755</v>
      </c>
      <c r="I97" s="21">
        <f t="shared" si="9"/>
        <v>87122.050960782435</v>
      </c>
      <c r="J97" s="16">
        <f t="shared" si="10"/>
        <v>162968.09260513436</v>
      </c>
    </row>
    <row r="98" spans="2:10" hidden="1" outlineLevel="1" x14ac:dyDescent="0.2">
      <c r="B98" s="44">
        <v>46813</v>
      </c>
      <c r="C98" s="15">
        <f t="shared" si="6"/>
        <v>412877.94903921755</v>
      </c>
      <c r="D98" s="16">
        <f t="shared" si="7"/>
        <v>1702.6737592598624</v>
      </c>
      <c r="E98" s="21">
        <f t="shared" si="11"/>
        <v>1205.3511659252154</v>
      </c>
      <c r="F98" s="162">
        <v>0</v>
      </c>
      <c r="G98" s="16">
        <f t="shared" si="8"/>
        <v>411672.59787329234</v>
      </c>
      <c r="I98" s="21">
        <f t="shared" si="9"/>
        <v>88327.402126707646</v>
      </c>
      <c r="J98" s="16">
        <f t="shared" si="10"/>
        <v>164670.76636439422</v>
      </c>
    </row>
    <row r="99" spans="2:10" hidden="1" outlineLevel="1" x14ac:dyDescent="0.2">
      <c r="B99" s="44">
        <v>46844</v>
      </c>
      <c r="C99" s="15">
        <f t="shared" si="6"/>
        <v>411672.59787329234</v>
      </c>
      <c r="D99" s="16">
        <f t="shared" si="7"/>
        <v>1697.7029929457738</v>
      </c>
      <c r="E99" s="21">
        <f t="shared" si="11"/>
        <v>1210.321932239304</v>
      </c>
      <c r="F99" s="163">
        <v>0</v>
      </c>
      <c r="G99" s="16">
        <f t="shared" si="8"/>
        <v>410462.27594105306</v>
      </c>
      <c r="I99" s="21">
        <f t="shared" si="9"/>
        <v>89537.724058946944</v>
      </c>
      <c r="J99" s="16">
        <f t="shared" si="10"/>
        <v>166368.46935733999</v>
      </c>
    </row>
    <row r="100" spans="2:10" hidden="1" outlineLevel="1" x14ac:dyDescent="0.2">
      <c r="B100" s="44">
        <v>46874</v>
      </c>
      <c r="C100" s="15">
        <f t="shared" si="6"/>
        <v>410462.27594105306</v>
      </c>
      <c r="D100" s="16">
        <f t="shared" si="7"/>
        <v>1692.7117276116089</v>
      </c>
      <c r="E100" s="21">
        <f t="shared" si="11"/>
        <v>1215.3131975734689</v>
      </c>
      <c r="F100" s="163">
        <v>0</v>
      </c>
      <c r="G100" s="16">
        <f t="shared" si="8"/>
        <v>409246.96274347958</v>
      </c>
      <c r="I100" s="21">
        <f t="shared" si="9"/>
        <v>90753.037256520416</v>
      </c>
      <c r="J100" s="16">
        <f t="shared" si="10"/>
        <v>168061.18108495159</v>
      </c>
    </row>
    <row r="101" spans="2:10" hidden="1" outlineLevel="1" x14ac:dyDescent="0.2">
      <c r="B101" s="44">
        <v>46905</v>
      </c>
      <c r="C101" s="15">
        <f t="shared" si="6"/>
        <v>409246.96274347958</v>
      </c>
      <c r="D101" s="16">
        <f t="shared" si="7"/>
        <v>1687.6998787211419</v>
      </c>
      <c r="E101" s="21">
        <f t="shared" si="11"/>
        <v>1220.3250464639359</v>
      </c>
      <c r="F101" s="162">
        <v>0</v>
      </c>
      <c r="G101" s="16">
        <f t="shared" si="8"/>
        <v>408026.63769701566</v>
      </c>
      <c r="I101" s="21">
        <f t="shared" si="9"/>
        <v>91973.362302984358</v>
      </c>
      <c r="J101" s="16">
        <f t="shared" si="10"/>
        <v>169748.88096367274</v>
      </c>
    </row>
    <row r="102" spans="2:10" hidden="1" outlineLevel="1" x14ac:dyDescent="0.2">
      <c r="B102" s="44">
        <v>46935</v>
      </c>
      <c r="C102" s="15">
        <f t="shared" si="6"/>
        <v>408026.63769701566</v>
      </c>
      <c r="D102" s="16">
        <f t="shared" si="7"/>
        <v>1682.6673613895264</v>
      </c>
      <c r="E102" s="21">
        <f t="shared" si="11"/>
        <v>1225.3575637955514</v>
      </c>
      <c r="F102" s="163">
        <v>0</v>
      </c>
      <c r="G102" s="16">
        <f t="shared" si="8"/>
        <v>406801.28013322008</v>
      </c>
      <c r="I102" s="21">
        <f t="shared" si="9"/>
        <v>93198.719866779909</v>
      </c>
      <c r="J102" s="16">
        <f t="shared" si="10"/>
        <v>171431.54832506226</v>
      </c>
    </row>
    <row r="103" spans="2:10" hidden="1" outlineLevel="1" x14ac:dyDescent="0.2">
      <c r="B103" s="44">
        <v>46966</v>
      </c>
      <c r="C103" s="15">
        <f t="shared" si="6"/>
        <v>406801.28013322008</v>
      </c>
      <c r="D103" s="16">
        <f t="shared" si="7"/>
        <v>1677.6140903818582</v>
      </c>
      <c r="E103" s="21">
        <f t="shared" si="11"/>
        <v>1230.4108348032196</v>
      </c>
      <c r="F103" s="163">
        <v>0</v>
      </c>
      <c r="G103" s="16">
        <f t="shared" si="8"/>
        <v>405570.86929841683</v>
      </c>
      <c r="I103" s="21">
        <f t="shared" si="9"/>
        <v>94429.130701583126</v>
      </c>
      <c r="J103" s="16">
        <f t="shared" si="10"/>
        <v>173109.16241544412</v>
      </c>
    </row>
    <row r="104" spans="2:10" hidden="1" outlineLevel="1" x14ac:dyDescent="0.2">
      <c r="B104" s="44">
        <v>46997</v>
      </c>
      <c r="C104" s="15">
        <f t="shared" si="6"/>
        <v>405570.86929841683</v>
      </c>
      <c r="D104" s="16">
        <f t="shared" si="7"/>
        <v>1672.5399801117321</v>
      </c>
      <c r="E104" s="21">
        <f t="shared" si="11"/>
        <v>1235.4849450733457</v>
      </c>
      <c r="F104" s="162">
        <v>0</v>
      </c>
      <c r="G104" s="16">
        <f t="shared" si="8"/>
        <v>404335.38435334346</v>
      </c>
      <c r="I104" s="21">
        <f t="shared" si="9"/>
        <v>95664.615646656472</v>
      </c>
      <c r="J104" s="16">
        <f t="shared" si="10"/>
        <v>174781.70239555585</v>
      </c>
    </row>
    <row r="105" spans="2:10" hidden="1" outlineLevel="1" x14ac:dyDescent="0.2">
      <c r="B105" s="44">
        <v>47027</v>
      </c>
      <c r="C105" s="15">
        <f t="shared" si="6"/>
        <v>404335.38435334346</v>
      </c>
      <c r="D105" s="16">
        <f t="shared" si="7"/>
        <v>1667.4449446397912</v>
      </c>
      <c r="E105" s="21">
        <f t="shared" si="11"/>
        <v>1240.5799805452866</v>
      </c>
      <c r="F105" s="163">
        <v>0</v>
      </c>
      <c r="G105" s="16">
        <f t="shared" si="8"/>
        <v>403094.80437279819</v>
      </c>
      <c r="I105" s="21">
        <f t="shared" si="9"/>
        <v>96905.195627201756</v>
      </c>
      <c r="J105" s="16">
        <f t="shared" si="10"/>
        <v>176449.14734019563</v>
      </c>
    </row>
    <row r="106" spans="2:10" hidden="1" outlineLevel="1" x14ac:dyDescent="0.2">
      <c r="B106" s="44">
        <v>47058</v>
      </c>
      <c r="C106" s="15">
        <f t="shared" si="6"/>
        <v>403094.80437279819</v>
      </c>
      <c r="D106" s="16">
        <f t="shared" si="7"/>
        <v>1662.3288976722722</v>
      </c>
      <c r="E106" s="21">
        <f t="shared" si="11"/>
        <v>1245.6960275128056</v>
      </c>
      <c r="F106" s="163">
        <v>0</v>
      </c>
      <c r="G106" s="16">
        <f t="shared" si="8"/>
        <v>401849.10834528541</v>
      </c>
      <c r="I106" s="21">
        <f t="shared" si="9"/>
        <v>98150.891654714564</v>
      </c>
      <c r="J106" s="16">
        <f t="shared" si="10"/>
        <v>178111.4762378679</v>
      </c>
    </row>
    <row r="107" spans="2:10" hidden="1" outlineLevel="1" x14ac:dyDescent="0.2">
      <c r="B107" s="44">
        <v>47088</v>
      </c>
      <c r="C107" s="15">
        <f t="shared" si="6"/>
        <v>401849.10834528541</v>
      </c>
      <c r="D107" s="16">
        <f t="shared" si="7"/>
        <v>1657.1917525595436</v>
      </c>
      <c r="E107" s="21">
        <f t="shared" si="11"/>
        <v>1250.8331726255342</v>
      </c>
      <c r="F107" s="162">
        <v>0</v>
      </c>
      <c r="G107" s="16">
        <f t="shared" si="8"/>
        <v>400598.27517265989</v>
      </c>
      <c r="I107" s="21">
        <f t="shared" si="9"/>
        <v>99401.724827340091</v>
      </c>
      <c r="J107" s="16">
        <f t="shared" si="10"/>
        <v>179768.66799042744</v>
      </c>
    </row>
    <row r="108" spans="2:10" hidden="1" outlineLevel="1" x14ac:dyDescent="0.2">
      <c r="B108" s="44">
        <v>47119</v>
      </c>
      <c r="C108" s="15">
        <f t="shared" si="6"/>
        <v>400598.27517265989</v>
      </c>
      <c r="D108" s="16">
        <f t="shared" si="7"/>
        <v>1652.0334222946378</v>
      </c>
      <c r="E108" s="21">
        <f t="shared" si="11"/>
        <v>1255.99150289044</v>
      </c>
      <c r="F108" s="163">
        <v>0</v>
      </c>
      <c r="G108" s="16">
        <f t="shared" si="8"/>
        <v>399342.28366976947</v>
      </c>
      <c r="I108" s="21">
        <f t="shared" si="9"/>
        <v>100657.71633023053</v>
      </c>
      <c r="J108" s="16">
        <f t="shared" si="10"/>
        <v>181420.70141272206</v>
      </c>
    </row>
    <row r="109" spans="2:10" hidden="1" outlineLevel="1" x14ac:dyDescent="0.2">
      <c r="B109" s="44">
        <v>47150</v>
      </c>
      <c r="C109" s="15">
        <f t="shared" si="6"/>
        <v>399342.28366976947</v>
      </c>
      <c r="D109" s="16">
        <f t="shared" si="7"/>
        <v>1646.8538195117783</v>
      </c>
      <c r="E109" s="21">
        <f t="shared" si="11"/>
        <v>1261.1711056732995</v>
      </c>
      <c r="F109" s="163">
        <v>0</v>
      </c>
      <c r="G109" s="16">
        <f t="shared" si="8"/>
        <v>398081.11256409617</v>
      </c>
      <c r="I109" s="21">
        <f t="shared" si="9"/>
        <v>101918.88743590383</v>
      </c>
      <c r="J109" s="16">
        <f t="shared" si="10"/>
        <v>183067.55523223383</v>
      </c>
    </row>
    <row r="110" spans="2:10" hidden="1" outlineLevel="1" x14ac:dyDescent="0.2">
      <c r="B110" s="44">
        <v>47178</v>
      </c>
      <c r="C110" s="15">
        <f t="shared" si="6"/>
        <v>398081.11256409617</v>
      </c>
      <c r="D110" s="16">
        <f t="shared" si="7"/>
        <v>1641.6528564848991</v>
      </c>
      <c r="E110" s="21">
        <f t="shared" si="11"/>
        <v>1266.3720687001787</v>
      </c>
      <c r="F110" s="162">
        <v>0</v>
      </c>
      <c r="G110" s="16">
        <f t="shared" si="8"/>
        <v>396814.74049539596</v>
      </c>
      <c r="I110" s="21">
        <f t="shared" si="9"/>
        <v>103185.25950460401</v>
      </c>
      <c r="J110" s="16">
        <f t="shared" si="10"/>
        <v>184709.20808871873</v>
      </c>
    </row>
    <row r="111" spans="2:10" hidden="1" outlineLevel="1" x14ac:dyDescent="0.2">
      <c r="B111" s="44">
        <v>47209</v>
      </c>
      <c r="C111" s="15">
        <f t="shared" si="6"/>
        <v>396814.74049539596</v>
      </c>
      <c r="D111" s="16">
        <f t="shared" si="7"/>
        <v>1636.4304451261596</v>
      </c>
      <c r="E111" s="21">
        <f t="shared" si="11"/>
        <v>1271.5944800589182</v>
      </c>
      <c r="F111" s="163">
        <v>0</v>
      </c>
      <c r="G111" s="16">
        <f t="shared" si="8"/>
        <v>395543.14601533703</v>
      </c>
      <c r="I111" s="21">
        <f t="shared" si="9"/>
        <v>104456.85398466293</v>
      </c>
      <c r="J111" s="16">
        <f t="shared" si="10"/>
        <v>186345.6385338449</v>
      </c>
    </row>
    <row r="112" spans="2:10" hidden="1" outlineLevel="1" x14ac:dyDescent="0.2">
      <c r="B112" s="44">
        <v>47239</v>
      </c>
      <c r="C112" s="15">
        <f t="shared" si="6"/>
        <v>395543.14601533703</v>
      </c>
      <c r="D112" s="16">
        <f t="shared" si="7"/>
        <v>1631.1864969844526</v>
      </c>
      <c r="E112" s="21">
        <f t="shared" si="11"/>
        <v>1276.8384282006252</v>
      </c>
      <c r="F112" s="163">
        <v>0</v>
      </c>
      <c r="G112" s="16">
        <f t="shared" si="8"/>
        <v>394266.3075871364</v>
      </c>
      <c r="I112" s="21">
        <f t="shared" si="9"/>
        <v>105733.69241286356</v>
      </c>
      <c r="J112" s="16">
        <f t="shared" si="10"/>
        <v>187976.82503082935</v>
      </c>
    </row>
    <row r="113" spans="2:10" hidden="1" outlineLevel="1" x14ac:dyDescent="0.2">
      <c r="B113" s="44">
        <v>47270</v>
      </c>
      <c r="C113" s="15">
        <f t="shared" si="6"/>
        <v>394266.3075871364</v>
      </c>
      <c r="D113" s="16">
        <f t="shared" si="7"/>
        <v>1625.9209232439055</v>
      </c>
      <c r="E113" s="21">
        <f t="shared" si="11"/>
        <v>1282.1040019411723</v>
      </c>
      <c r="F113" s="162">
        <v>0</v>
      </c>
      <c r="G113" s="16">
        <f t="shared" si="8"/>
        <v>392984.20358519524</v>
      </c>
      <c r="I113" s="21">
        <f t="shared" si="9"/>
        <v>107015.79641480473</v>
      </c>
      <c r="J113" s="16">
        <f t="shared" si="10"/>
        <v>189602.74595407327</v>
      </c>
    </row>
    <row r="114" spans="2:10" hidden="1" outlineLevel="1" x14ac:dyDescent="0.2">
      <c r="B114" s="44">
        <v>47300</v>
      </c>
      <c r="C114" s="15">
        <f t="shared" si="6"/>
        <v>392984.20358519524</v>
      </c>
      <c r="D114" s="16">
        <f t="shared" si="7"/>
        <v>1620.6336347223769</v>
      </c>
      <c r="E114" s="21">
        <f t="shared" si="11"/>
        <v>1287.3912904627009</v>
      </c>
      <c r="F114" s="163">
        <v>0</v>
      </c>
      <c r="G114" s="16">
        <f t="shared" si="8"/>
        <v>391696.81229473255</v>
      </c>
      <c r="I114" s="21">
        <f t="shared" si="9"/>
        <v>108303.18770526744</v>
      </c>
      <c r="J114" s="16">
        <f t="shared" si="10"/>
        <v>191223.37958879565</v>
      </c>
    </row>
    <row r="115" spans="2:10" hidden="1" outlineLevel="1" x14ac:dyDescent="0.2">
      <c r="B115" s="44">
        <v>47331</v>
      </c>
      <c r="C115" s="15">
        <f t="shared" si="6"/>
        <v>391696.81229473255</v>
      </c>
      <c r="D115" s="16">
        <f t="shared" si="7"/>
        <v>1615.324541869946</v>
      </c>
      <c r="E115" s="21">
        <f t="shared" si="11"/>
        <v>1292.7003833151318</v>
      </c>
      <c r="F115" s="163">
        <v>0</v>
      </c>
      <c r="G115" s="16">
        <f t="shared" si="8"/>
        <v>390404.11191141739</v>
      </c>
      <c r="I115" s="21">
        <f t="shared" si="9"/>
        <v>109595.88808858256</v>
      </c>
      <c r="J115" s="16">
        <f t="shared" si="10"/>
        <v>192838.7041306656</v>
      </c>
    </row>
    <row r="116" spans="2:10" hidden="1" outlineLevel="1" x14ac:dyDescent="0.2">
      <c r="B116" s="44">
        <v>47362</v>
      </c>
      <c r="C116" s="15">
        <f t="shared" si="6"/>
        <v>390404.11191141739</v>
      </c>
      <c r="D116" s="16">
        <f t="shared" si="7"/>
        <v>1609.9935547673947</v>
      </c>
      <c r="E116" s="21">
        <f t="shared" si="11"/>
        <v>1298.0313704176831</v>
      </c>
      <c r="F116" s="162">
        <v>0</v>
      </c>
      <c r="G116" s="16">
        <f t="shared" si="8"/>
        <v>389106.08054099971</v>
      </c>
      <c r="I116" s="21">
        <f t="shared" si="9"/>
        <v>110893.91945900024</v>
      </c>
      <c r="J116" s="16">
        <f t="shared" si="10"/>
        <v>194448.697685433</v>
      </c>
    </row>
    <row r="117" spans="2:10" hidden="1" outlineLevel="1" x14ac:dyDescent="0.2">
      <c r="B117" s="44">
        <v>47392</v>
      </c>
      <c r="C117" s="15">
        <f t="shared" si="6"/>
        <v>389106.08054099971</v>
      </c>
      <c r="D117" s="16">
        <f t="shared" si="7"/>
        <v>1604.6405831246868</v>
      </c>
      <c r="E117" s="21">
        <f t="shared" si="11"/>
        <v>1303.384342060391</v>
      </c>
      <c r="F117" s="163">
        <v>0</v>
      </c>
      <c r="G117" s="16">
        <f t="shared" si="8"/>
        <v>387802.69619893935</v>
      </c>
      <c r="I117" s="21">
        <f t="shared" si="9"/>
        <v>112197.30380106064</v>
      </c>
      <c r="J117" s="16">
        <f t="shared" si="10"/>
        <v>196053.33826855768</v>
      </c>
    </row>
    <row r="118" spans="2:10" hidden="1" outlineLevel="1" x14ac:dyDescent="0.2">
      <c r="B118" s="44">
        <v>47423</v>
      </c>
      <c r="C118" s="15">
        <f t="shared" si="6"/>
        <v>387802.69619893935</v>
      </c>
      <c r="D118" s="16">
        <f t="shared" si="7"/>
        <v>1599.2655362794371</v>
      </c>
      <c r="E118" s="21">
        <f t="shared" si="11"/>
        <v>1308.7593889056407</v>
      </c>
      <c r="F118" s="163">
        <v>0</v>
      </c>
      <c r="G118" s="16">
        <f t="shared" si="8"/>
        <v>386493.93681003369</v>
      </c>
      <c r="I118" s="21">
        <f t="shared" si="9"/>
        <v>113506.06318996628</v>
      </c>
      <c r="J118" s="16">
        <f t="shared" si="10"/>
        <v>197652.60380483713</v>
      </c>
    </row>
    <row r="119" spans="2:10" hidden="1" outlineLevel="1" x14ac:dyDescent="0.2">
      <c r="B119" s="44">
        <v>47453</v>
      </c>
      <c r="C119" s="15">
        <f t="shared" si="6"/>
        <v>386493.93681003369</v>
      </c>
      <c r="D119" s="16">
        <f t="shared" si="7"/>
        <v>1593.8683231953764</v>
      </c>
      <c r="E119" s="21">
        <f t="shared" si="11"/>
        <v>1314.1566019897014</v>
      </c>
      <c r="F119" s="162">
        <v>0</v>
      </c>
      <c r="G119" s="16">
        <f t="shared" si="8"/>
        <v>385179.78020804399</v>
      </c>
      <c r="I119" s="21">
        <f t="shared" si="9"/>
        <v>114820.21979195598</v>
      </c>
      <c r="J119" s="16">
        <f t="shared" si="10"/>
        <v>199246.4721280325</v>
      </c>
    </row>
    <row r="120" spans="2:10" hidden="1" outlineLevel="1" x14ac:dyDescent="0.2">
      <c r="B120" s="44">
        <v>47484</v>
      </c>
      <c r="C120" s="15">
        <f t="shared" si="6"/>
        <v>385179.78020804399</v>
      </c>
      <c r="D120" s="16">
        <f t="shared" si="7"/>
        <v>1588.4488524608098</v>
      </c>
      <c r="E120" s="21">
        <f t="shared" si="11"/>
        <v>1319.576072724268</v>
      </c>
      <c r="F120" s="163">
        <v>0</v>
      </c>
      <c r="G120" s="16">
        <f t="shared" si="8"/>
        <v>383860.20413531974</v>
      </c>
      <c r="I120" s="21">
        <f t="shared" si="9"/>
        <v>116139.79586468026</v>
      </c>
      <c r="J120" s="16">
        <f t="shared" si="10"/>
        <v>200834.92098049331</v>
      </c>
    </row>
    <row r="121" spans="2:10" hidden="1" outlineLevel="1" x14ac:dyDescent="0.2">
      <c r="B121" s="44">
        <v>47515</v>
      </c>
      <c r="C121" s="15">
        <f t="shared" si="6"/>
        <v>383860.20413531974</v>
      </c>
      <c r="D121" s="16">
        <f t="shared" si="7"/>
        <v>1583.0070322870679</v>
      </c>
      <c r="E121" s="21">
        <f t="shared" si="11"/>
        <v>1325.0178928980099</v>
      </c>
      <c r="F121" s="163">
        <v>0</v>
      </c>
      <c r="G121" s="16">
        <f t="shared" si="8"/>
        <v>382535.18624242174</v>
      </c>
      <c r="I121" s="21">
        <f t="shared" si="9"/>
        <v>117464.81375757827</v>
      </c>
      <c r="J121" s="16">
        <f t="shared" si="10"/>
        <v>202417.92801278038</v>
      </c>
    </row>
    <row r="122" spans="2:10" hidden="1" outlineLevel="1" x14ac:dyDescent="0.2">
      <c r="B122" s="44">
        <v>47543</v>
      </c>
      <c r="C122" s="15">
        <f t="shared" si="6"/>
        <v>382535.18624242174</v>
      </c>
      <c r="D122" s="16">
        <f t="shared" si="7"/>
        <v>1577.542770506953</v>
      </c>
      <c r="E122" s="21">
        <f t="shared" si="11"/>
        <v>1330.4821546781247</v>
      </c>
      <c r="F122" s="162">
        <v>0</v>
      </c>
      <c r="G122" s="16">
        <f t="shared" si="8"/>
        <v>381204.70408774359</v>
      </c>
      <c r="I122" s="21">
        <f t="shared" si="9"/>
        <v>118795.29591225641</v>
      </c>
      <c r="J122" s="16">
        <f t="shared" si="10"/>
        <v>203995.47078328734</v>
      </c>
    </row>
    <row r="123" spans="2:10" hidden="1" outlineLevel="1" x14ac:dyDescent="0.2">
      <c r="B123" s="44">
        <v>47574</v>
      </c>
      <c r="C123" s="15">
        <f t="shared" si="6"/>
        <v>381204.70408774359</v>
      </c>
      <c r="D123" s="16">
        <f t="shared" si="7"/>
        <v>1572.0559745731773</v>
      </c>
      <c r="E123" s="21">
        <f t="shared" si="11"/>
        <v>1335.9689506119005</v>
      </c>
      <c r="F123" s="163">
        <v>0</v>
      </c>
      <c r="G123" s="16">
        <f t="shared" si="8"/>
        <v>379868.73513713171</v>
      </c>
      <c r="I123" s="21">
        <f t="shared" si="9"/>
        <v>120131.26486286831</v>
      </c>
      <c r="J123" s="16">
        <f t="shared" si="10"/>
        <v>205567.52675786053</v>
      </c>
    </row>
    <row r="124" spans="2:10" hidden="1" outlineLevel="1" x14ac:dyDescent="0.2">
      <c r="B124" s="44">
        <v>47604</v>
      </c>
      <c r="C124" s="15">
        <f t="shared" si="6"/>
        <v>379868.73513713171</v>
      </c>
      <c r="D124" s="16">
        <f t="shared" si="7"/>
        <v>1566.5465515567964</v>
      </c>
      <c r="E124" s="21">
        <f t="shared" si="11"/>
        <v>1341.4783736282814</v>
      </c>
      <c r="F124" s="163">
        <v>0</v>
      </c>
      <c r="G124" s="16">
        <f t="shared" si="8"/>
        <v>378527.25676350342</v>
      </c>
      <c r="I124" s="21">
        <f t="shared" si="9"/>
        <v>121472.74323649659</v>
      </c>
      <c r="J124" s="16">
        <f t="shared" si="10"/>
        <v>207134.07330941732</v>
      </c>
    </row>
    <row r="125" spans="2:10" hidden="1" outlineLevel="1" x14ac:dyDescent="0.2">
      <c r="B125" s="44">
        <v>47635</v>
      </c>
      <c r="C125" s="15">
        <f t="shared" si="6"/>
        <v>378527.25676350342</v>
      </c>
      <c r="D125" s="16">
        <f t="shared" si="7"/>
        <v>1561.0144081456342</v>
      </c>
      <c r="E125" s="21">
        <f t="shared" si="11"/>
        <v>1347.0105170394436</v>
      </c>
      <c r="F125" s="162">
        <v>0</v>
      </c>
      <c r="G125" s="16">
        <f t="shared" si="8"/>
        <v>377180.24624646397</v>
      </c>
      <c r="I125" s="21">
        <f t="shared" si="9"/>
        <v>122819.75375353603</v>
      </c>
      <c r="J125" s="16">
        <f t="shared" si="10"/>
        <v>208695.08771756294</v>
      </c>
    </row>
    <row r="126" spans="2:10" hidden="1" outlineLevel="1" x14ac:dyDescent="0.2">
      <c r="B126" s="44">
        <v>47665</v>
      </c>
      <c r="C126" s="15">
        <f t="shared" si="6"/>
        <v>377180.24624646397</v>
      </c>
      <c r="D126" s="16">
        <f t="shared" si="7"/>
        <v>1555.4594506427034</v>
      </c>
      <c r="E126" s="21">
        <f t="shared" si="11"/>
        <v>1352.5654745423744</v>
      </c>
      <c r="F126" s="163">
        <v>0</v>
      </c>
      <c r="G126" s="16">
        <f t="shared" si="8"/>
        <v>375827.68077192159</v>
      </c>
      <c r="I126" s="21">
        <f t="shared" si="9"/>
        <v>124172.31922807841</v>
      </c>
      <c r="J126" s="16">
        <f t="shared" si="10"/>
        <v>210250.54716820564</v>
      </c>
    </row>
    <row r="127" spans="2:10" hidden="1" outlineLevel="1" x14ac:dyDescent="0.2">
      <c r="B127" s="44">
        <v>47696</v>
      </c>
      <c r="C127" s="15">
        <f t="shared" si="6"/>
        <v>375827.68077192159</v>
      </c>
      <c r="D127" s="16">
        <f t="shared" si="7"/>
        <v>1549.8815849646178</v>
      </c>
      <c r="E127" s="21">
        <f t="shared" si="11"/>
        <v>1358.14334022046</v>
      </c>
      <c r="F127" s="163">
        <v>0</v>
      </c>
      <c r="G127" s="16">
        <f t="shared" si="8"/>
        <v>374469.53743170114</v>
      </c>
      <c r="I127" s="21">
        <f t="shared" si="9"/>
        <v>125530.46256829887</v>
      </c>
      <c r="J127" s="16">
        <f t="shared" si="10"/>
        <v>211800.42875317024</v>
      </c>
    </row>
    <row r="128" spans="2:10" hidden="1" outlineLevel="1" x14ac:dyDescent="0.2">
      <c r="B128" s="44">
        <v>47727</v>
      </c>
      <c r="C128" s="15">
        <f t="shared" si="6"/>
        <v>374469.53743170114</v>
      </c>
      <c r="D128" s="16">
        <f t="shared" si="7"/>
        <v>1544.28071664</v>
      </c>
      <c r="E128" s="21">
        <f t="shared" si="11"/>
        <v>1363.7442085450778</v>
      </c>
      <c r="F128" s="162">
        <v>0</v>
      </c>
      <c r="G128" s="16">
        <f t="shared" si="8"/>
        <v>373105.79322315607</v>
      </c>
      <c r="I128" s="21">
        <f t="shared" si="9"/>
        <v>126894.20677684394</v>
      </c>
      <c r="J128" s="16">
        <f t="shared" si="10"/>
        <v>213344.70946981024</v>
      </c>
    </row>
    <row r="129" spans="1:10" hidden="1" outlineLevel="1" x14ac:dyDescent="0.2">
      <c r="B129" s="44">
        <v>47757</v>
      </c>
      <c r="C129" s="15">
        <f t="shared" si="6"/>
        <v>373105.79322315607</v>
      </c>
      <c r="D129" s="16">
        <f t="shared" si="7"/>
        <v>1538.6567508078801</v>
      </c>
      <c r="E129" s="21">
        <f t="shared" si="11"/>
        <v>1369.3681743771976</v>
      </c>
      <c r="F129" s="163">
        <v>0</v>
      </c>
      <c r="G129" s="16">
        <f t="shared" si="8"/>
        <v>371736.42504877888</v>
      </c>
      <c r="I129" s="21">
        <f t="shared" si="9"/>
        <v>128263.57495122115</v>
      </c>
      <c r="J129" s="16">
        <f t="shared" si="10"/>
        <v>214883.36622061813</v>
      </c>
    </row>
    <row r="130" spans="1:10" hidden="1" outlineLevel="1" x14ac:dyDescent="0.2">
      <c r="B130" s="44">
        <v>47788</v>
      </c>
      <c r="C130" s="15">
        <f t="shared" si="6"/>
        <v>371736.42504877888</v>
      </c>
      <c r="D130" s="16">
        <f t="shared" si="7"/>
        <v>1533.0095922160899</v>
      </c>
      <c r="E130" s="21">
        <f t="shared" si="11"/>
        <v>1375.0153329689879</v>
      </c>
      <c r="F130" s="163">
        <v>0</v>
      </c>
      <c r="G130" s="16">
        <f t="shared" si="8"/>
        <v>370361.40971580992</v>
      </c>
      <c r="I130" s="21">
        <f t="shared" si="9"/>
        <v>129638.59028419014</v>
      </c>
      <c r="J130" s="16">
        <f t="shared" si="10"/>
        <v>216416.37581283422</v>
      </c>
    </row>
    <row r="131" spans="1:10" hidden="1" outlineLevel="1" x14ac:dyDescent="0.2">
      <c r="A131" t="s">
        <v>521</v>
      </c>
      <c r="B131" s="165">
        <v>47818</v>
      </c>
      <c r="C131" s="93">
        <f t="shared" si="6"/>
        <v>370361.40971580992</v>
      </c>
      <c r="D131" s="166">
        <f t="shared" si="7"/>
        <v>1527.3391452196486</v>
      </c>
      <c r="E131" s="167">
        <f t="shared" si="11"/>
        <v>1380.6857799654292</v>
      </c>
      <c r="F131" s="169">
        <v>0</v>
      </c>
      <c r="G131" s="166">
        <f t="shared" si="8"/>
        <v>368980.72393584449</v>
      </c>
      <c r="H131" s="3"/>
      <c r="I131" s="167">
        <f t="shared" si="9"/>
        <v>131019.27606415557</v>
      </c>
      <c r="J131" s="166">
        <f t="shared" si="10"/>
        <v>217943.71495805387</v>
      </c>
    </row>
    <row r="132" spans="1:10" hidden="1" outlineLevel="1" x14ac:dyDescent="0.2">
      <c r="B132" s="44">
        <v>47849</v>
      </c>
      <c r="C132" s="15">
        <f t="shared" si="6"/>
        <v>368980.72393584449</v>
      </c>
      <c r="D132" s="16">
        <f t="shared" si="7"/>
        <v>1521.6453137791445</v>
      </c>
      <c r="E132" s="21">
        <f t="shared" si="11"/>
        <v>1386.3796114059332</v>
      </c>
      <c r="F132" s="163">
        <v>0</v>
      </c>
      <c r="G132" s="16">
        <f t="shared" si="8"/>
        <v>367594.34432443854</v>
      </c>
      <c r="I132" s="21">
        <f t="shared" si="9"/>
        <v>132405.65567556149</v>
      </c>
      <c r="J132" s="16">
        <f t="shared" si="10"/>
        <v>219465.36027183302</v>
      </c>
    </row>
    <row r="133" spans="1:10" hidden="1" outlineLevel="1" x14ac:dyDescent="0.2">
      <c r="B133" s="44">
        <v>47880</v>
      </c>
      <c r="C133" s="15">
        <f t="shared" si="6"/>
        <v>367594.34432443854</v>
      </c>
      <c r="D133" s="16">
        <f t="shared" si="7"/>
        <v>1515.9280014591068</v>
      </c>
      <c r="E133" s="21">
        <f t="shared" si="11"/>
        <v>1392.096923725971</v>
      </c>
      <c r="F133" s="163">
        <v>0</v>
      </c>
      <c r="G133" s="16">
        <f t="shared" si="8"/>
        <v>366202.24740071257</v>
      </c>
      <c r="I133" s="21">
        <f t="shared" si="9"/>
        <v>133797.75259928746</v>
      </c>
      <c r="J133" s="16">
        <f t="shared" si="10"/>
        <v>220981.28827329213</v>
      </c>
    </row>
    <row r="134" spans="1:10" hidden="1" outlineLevel="1" x14ac:dyDescent="0.2">
      <c r="B134" s="44">
        <v>47908</v>
      </c>
      <c r="C134" s="15">
        <f t="shared" si="6"/>
        <v>366202.24740071257</v>
      </c>
      <c r="D134" s="16">
        <f t="shared" si="7"/>
        <v>1510.1871114263736</v>
      </c>
      <c r="E134" s="21">
        <f t="shared" si="11"/>
        <v>1397.8378137587042</v>
      </c>
      <c r="F134" s="162">
        <v>0</v>
      </c>
      <c r="G134" s="16">
        <f t="shared" si="8"/>
        <v>364804.40958695387</v>
      </c>
      <c r="I134" s="21">
        <f t="shared" si="9"/>
        <v>135195.59041304616</v>
      </c>
      <c r="J134" s="16">
        <f t="shared" si="10"/>
        <v>222491.47538471851</v>
      </c>
    </row>
    <row r="135" spans="1:10" hidden="1" outlineLevel="1" x14ac:dyDescent="0.2">
      <c r="B135" s="44">
        <v>47939</v>
      </c>
      <c r="C135" s="15">
        <f t="shared" si="6"/>
        <v>364804.40958695387</v>
      </c>
      <c r="D135" s="16">
        <f t="shared" si="7"/>
        <v>1504.4225464484507</v>
      </c>
      <c r="E135" s="21">
        <f t="shared" si="11"/>
        <v>1403.6023787366271</v>
      </c>
      <c r="F135" s="163">
        <v>0</v>
      </c>
      <c r="G135" s="16">
        <f t="shared" si="8"/>
        <v>363400.80720821727</v>
      </c>
      <c r="I135" s="21">
        <f t="shared" si="9"/>
        <v>136599.19279178279</v>
      </c>
      <c r="J135" s="16">
        <f t="shared" si="10"/>
        <v>223995.89793116695</v>
      </c>
    </row>
    <row r="136" spans="1:10" hidden="1" outlineLevel="1" x14ac:dyDescent="0.2">
      <c r="B136" s="44">
        <v>47969</v>
      </c>
      <c r="C136" s="15">
        <f t="shared" ref="C136:C199" si="12">G135</f>
        <v>363400.80720821727</v>
      </c>
      <c r="D136" s="16">
        <f t="shared" ref="D136:D199" si="13">C136*E$8</f>
        <v>1498.6342088918657</v>
      </c>
      <c r="E136" s="21">
        <f t="shared" si="11"/>
        <v>1409.3907162932121</v>
      </c>
      <c r="F136" s="163">
        <v>0</v>
      </c>
      <c r="G136" s="16">
        <f t="shared" ref="G136:G199" si="14">C136-E136-F136</f>
        <v>361991.41649192409</v>
      </c>
      <c r="I136" s="21">
        <f t="shared" ref="I136:I199" si="15">I135+E136</f>
        <v>138008.583508076</v>
      </c>
      <c r="J136" s="16">
        <f t="shared" ref="J136:J199" si="16">J135+D136</f>
        <v>225494.53214005881</v>
      </c>
    </row>
    <row r="137" spans="1:10" hidden="1" outlineLevel="1" x14ac:dyDescent="0.2">
      <c r="B137" s="44">
        <v>48000</v>
      </c>
      <c r="C137" s="15">
        <f t="shared" si="12"/>
        <v>361991.41649192409</v>
      </c>
      <c r="D137" s="16">
        <f t="shared" si="13"/>
        <v>1492.8220007205134</v>
      </c>
      <c r="E137" s="21">
        <f t="shared" si="11"/>
        <v>1415.2029244645644</v>
      </c>
      <c r="F137" s="162">
        <v>0</v>
      </c>
      <c r="G137" s="16">
        <f t="shared" si="14"/>
        <v>360576.21356745955</v>
      </c>
      <c r="I137" s="21">
        <f t="shared" si="15"/>
        <v>139423.78643254057</v>
      </c>
      <c r="J137" s="16">
        <f t="shared" si="16"/>
        <v>226987.35414077932</v>
      </c>
    </row>
    <row r="138" spans="1:10" hidden="1" outlineLevel="1" x14ac:dyDescent="0.2">
      <c r="B138" s="44">
        <v>48030</v>
      </c>
      <c r="C138" s="15">
        <f t="shared" si="12"/>
        <v>360576.21356745955</v>
      </c>
      <c r="D138" s="16">
        <f t="shared" si="13"/>
        <v>1486.9858234939968</v>
      </c>
      <c r="E138" s="21">
        <f t="shared" si="11"/>
        <v>1421.039101691081</v>
      </c>
      <c r="F138" s="163">
        <v>0</v>
      </c>
      <c r="G138" s="16">
        <f t="shared" si="14"/>
        <v>359155.17446576845</v>
      </c>
      <c r="I138" s="21">
        <f t="shared" si="15"/>
        <v>140844.82553423164</v>
      </c>
      <c r="J138" s="16">
        <f t="shared" si="16"/>
        <v>228474.33996427333</v>
      </c>
    </row>
    <row r="139" spans="1:10" hidden="1" outlineLevel="1" x14ac:dyDescent="0.2">
      <c r="B139" s="44">
        <v>48061</v>
      </c>
      <c r="C139" s="15">
        <f t="shared" si="12"/>
        <v>359155.17446576845</v>
      </c>
      <c r="D139" s="16">
        <f t="shared" si="13"/>
        <v>1481.1255783659581</v>
      </c>
      <c r="E139" s="21">
        <f t="shared" si="11"/>
        <v>1426.8993468191197</v>
      </c>
      <c r="F139" s="163">
        <v>0</v>
      </c>
      <c r="G139" s="16">
        <f t="shared" si="14"/>
        <v>357728.2751189493</v>
      </c>
      <c r="I139" s="21">
        <f t="shared" si="15"/>
        <v>142271.72488105076</v>
      </c>
      <c r="J139" s="16">
        <f t="shared" si="16"/>
        <v>229955.46554263929</v>
      </c>
    </row>
    <row r="140" spans="1:10" hidden="1" outlineLevel="1" x14ac:dyDescent="0.2">
      <c r="B140" s="44">
        <v>48092</v>
      </c>
      <c r="C140" s="15">
        <f t="shared" si="12"/>
        <v>357728.2751189493</v>
      </c>
      <c r="D140" s="16">
        <f t="shared" si="13"/>
        <v>1475.2411660824064</v>
      </c>
      <c r="E140" s="21">
        <f t="shared" ref="E140:E203" si="17">E$9-D140</f>
        <v>1432.7837591026714</v>
      </c>
      <c r="F140" s="162">
        <v>0</v>
      </c>
      <c r="G140" s="16">
        <f t="shared" si="14"/>
        <v>356295.49135984661</v>
      </c>
      <c r="I140" s="21">
        <f t="shared" si="15"/>
        <v>143704.50864015342</v>
      </c>
      <c r="J140" s="16">
        <f t="shared" si="16"/>
        <v>231430.7067087217</v>
      </c>
    </row>
    <row r="141" spans="1:10" hidden="1" outlineLevel="1" x14ac:dyDescent="0.2">
      <c r="B141" s="44">
        <v>48122</v>
      </c>
      <c r="C141" s="15">
        <f t="shared" si="12"/>
        <v>356295.49135984661</v>
      </c>
      <c r="D141" s="16">
        <f t="shared" si="13"/>
        <v>1469.3324869800354</v>
      </c>
      <c r="E141" s="21">
        <f t="shared" si="17"/>
        <v>1438.6924382050424</v>
      </c>
      <c r="F141" s="163">
        <v>0</v>
      </c>
      <c r="G141" s="16">
        <f t="shared" si="14"/>
        <v>354856.79892164154</v>
      </c>
      <c r="I141" s="21">
        <f t="shared" si="15"/>
        <v>145143.20107835846</v>
      </c>
      <c r="J141" s="16">
        <f t="shared" si="16"/>
        <v>232900.03919570174</v>
      </c>
    </row>
    <row r="142" spans="1:10" hidden="1" outlineLevel="1" x14ac:dyDescent="0.2">
      <c r="B142" s="44">
        <v>48153</v>
      </c>
      <c r="C142" s="15">
        <f t="shared" si="12"/>
        <v>354856.79892164154</v>
      </c>
      <c r="D142" s="16">
        <f t="shared" si="13"/>
        <v>1463.3994409845354</v>
      </c>
      <c r="E142" s="21">
        <f t="shared" si="17"/>
        <v>1444.6254842005424</v>
      </c>
      <c r="F142" s="163">
        <v>0</v>
      </c>
      <c r="G142" s="16">
        <f t="shared" si="14"/>
        <v>353412.173437441</v>
      </c>
      <c r="I142" s="21">
        <f t="shared" si="15"/>
        <v>146587.826562559</v>
      </c>
      <c r="J142" s="16">
        <f t="shared" si="16"/>
        <v>234363.43863668627</v>
      </c>
    </row>
    <row r="143" spans="1:10" hidden="1" outlineLevel="1" x14ac:dyDescent="0.2">
      <c r="B143" s="44">
        <v>48183</v>
      </c>
      <c r="C143" s="15">
        <f t="shared" si="12"/>
        <v>353412.173437441</v>
      </c>
      <c r="D143" s="16">
        <f t="shared" si="13"/>
        <v>1457.4419276088993</v>
      </c>
      <c r="E143" s="21">
        <f t="shared" si="17"/>
        <v>1450.5829975761785</v>
      </c>
      <c r="F143" s="162">
        <v>0</v>
      </c>
      <c r="G143" s="16">
        <f t="shared" si="14"/>
        <v>351961.59043986484</v>
      </c>
      <c r="I143" s="21">
        <f t="shared" si="15"/>
        <v>148038.40956013519</v>
      </c>
      <c r="J143" s="16">
        <f t="shared" si="16"/>
        <v>235820.88056429516</v>
      </c>
    </row>
    <row r="144" spans="1:10" hidden="1" outlineLevel="1" x14ac:dyDescent="0.2">
      <c r="B144" s="44">
        <v>48214</v>
      </c>
      <c r="C144" s="15">
        <f t="shared" si="12"/>
        <v>351961.59043986484</v>
      </c>
      <c r="D144" s="16">
        <f t="shared" si="13"/>
        <v>1451.4598459517197</v>
      </c>
      <c r="E144" s="21">
        <f t="shared" si="17"/>
        <v>1456.5650792333581</v>
      </c>
      <c r="F144" s="163">
        <v>0</v>
      </c>
      <c r="G144" s="16">
        <f t="shared" si="14"/>
        <v>350505.02536063147</v>
      </c>
      <c r="I144" s="21">
        <f t="shared" si="15"/>
        <v>149494.97463936853</v>
      </c>
      <c r="J144" s="16">
        <f t="shared" si="16"/>
        <v>237272.34041024689</v>
      </c>
    </row>
    <row r="145" spans="2:10" hidden="1" outlineLevel="1" x14ac:dyDescent="0.2">
      <c r="B145" s="44">
        <v>48245</v>
      </c>
      <c r="C145" s="15">
        <f t="shared" si="12"/>
        <v>350505.02536063147</v>
      </c>
      <c r="D145" s="16">
        <f t="shared" si="13"/>
        <v>1445.4530946954801</v>
      </c>
      <c r="E145" s="21">
        <f t="shared" si="17"/>
        <v>1462.5718304895977</v>
      </c>
      <c r="F145" s="163">
        <v>0</v>
      </c>
      <c r="G145" s="16">
        <f t="shared" si="14"/>
        <v>349042.45353014185</v>
      </c>
      <c r="I145" s="21">
        <f t="shared" si="15"/>
        <v>150957.54646985812</v>
      </c>
      <c r="J145" s="16">
        <f t="shared" si="16"/>
        <v>238717.79350494238</v>
      </c>
    </row>
    <row r="146" spans="2:10" hidden="1" outlineLevel="1" x14ac:dyDescent="0.2">
      <c r="B146" s="44">
        <v>48274</v>
      </c>
      <c r="C146" s="15">
        <f t="shared" si="12"/>
        <v>349042.45353014185</v>
      </c>
      <c r="D146" s="16">
        <f t="shared" si="13"/>
        <v>1439.4215721048397</v>
      </c>
      <c r="E146" s="21">
        <f t="shared" si="17"/>
        <v>1468.6033530802381</v>
      </c>
      <c r="F146" s="162">
        <v>0</v>
      </c>
      <c r="G146" s="16">
        <f t="shared" si="14"/>
        <v>347573.85017706163</v>
      </c>
      <c r="I146" s="21">
        <f t="shared" si="15"/>
        <v>152426.14982293837</v>
      </c>
      <c r="J146" s="16">
        <f t="shared" si="16"/>
        <v>240157.21507704724</v>
      </c>
    </row>
    <row r="147" spans="2:10" hidden="1" outlineLevel="1" x14ac:dyDescent="0.2">
      <c r="B147" s="44">
        <v>48305</v>
      </c>
      <c r="C147" s="15">
        <f t="shared" si="12"/>
        <v>347573.85017706163</v>
      </c>
      <c r="D147" s="16">
        <f t="shared" si="13"/>
        <v>1433.3651760249095</v>
      </c>
      <c r="E147" s="21">
        <f t="shared" si="17"/>
        <v>1474.6597491601683</v>
      </c>
      <c r="F147" s="163">
        <v>0</v>
      </c>
      <c r="G147" s="16">
        <f t="shared" si="14"/>
        <v>346099.19042790146</v>
      </c>
      <c r="I147" s="21">
        <f t="shared" si="15"/>
        <v>153900.80957209854</v>
      </c>
      <c r="J147" s="16">
        <f t="shared" si="16"/>
        <v>241590.58025307214</v>
      </c>
    </row>
    <row r="148" spans="2:10" hidden="1" outlineLevel="1" x14ac:dyDescent="0.2">
      <c r="B148" s="44">
        <v>48335</v>
      </c>
      <c r="C148" s="15">
        <f t="shared" si="12"/>
        <v>346099.19042790146</v>
      </c>
      <c r="D148" s="16">
        <f t="shared" si="13"/>
        <v>1427.2838038795221</v>
      </c>
      <c r="E148" s="21">
        <f t="shared" si="17"/>
        <v>1480.7411213055557</v>
      </c>
      <c r="F148" s="163">
        <v>0</v>
      </c>
      <c r="G148" s="16">
        <f t="shared" si="14"/>
        <v>344618.4493065959</v>
      </c>
      <c r="I148" s="21">
        <f t="shared" si="15"/>
        <v>155381.5506934041</v>
      </c>
      <c r="J148" s="16">
        <f t="shared" si="16"/>
        <v>243017.86405695166</v>
      </c>
    </row>
    <row r="149" spans="2:10" hidden="1" outlineLevel="1" x14ac:dyDescent="0.2">
      <c r="B149" s="44">
        <v>48366</v>
      </c>
      <c r="C149" s="15">
        <f t="shared" si="12"/>
        <v>344618.4493065959</v>
      </c>
      <c r="D149" s="16">
        <f t="shared" si="13"/>
        <v>1421.1773526694951</v>
      </c>
      <c r="E149" s="21">
        <f t="shared" si="17"/>
        <v>1486.8475725155827</v>
      </c>
      <c r="F149" s="162">
        <v>0</v>
      </c>
      <c r="G149" s="16">
        <f t="shared" si="14"/>
        <v>343131.60173408029</v>
      </c>
      <c r="I149" s="21">
        <f t="shared" si="15"/>
        <v>156868.39826591968</v>
      </c>
      <c r="J149" s="16">
        <f t="shared" si="16"/>
        <v>244439.04140962116</v>
      </c>
    </row>
    <row r="150" spans="2:10" hidden="1" outlineLevel="1" x14ac:dyDescent="0.2">
      <c r="B150" s="44">
        <v>48396</v>
      </c>
      <c r="C150" s="15">
        <f t="shared" si="12"/>
        <v>343131.60173408029</v>
      </c>
      <c r="D150" s="16">
        <f t="shared" si="13"/>
        <v>1415.0457189708859</v>
      </c>
      <c r="E150" s="21">
        <f t="shared" si="17"/>
        <v>1492.9792062141919</v>
      </c>
      <c r="F150" s="163">
        <v>0</v>
      </c>
      <c r="G150" s="16">
        <f t="shared" si="14"/>
        <v>341638.6225278661</v>
      </c>
      <c r="I150" s="21">
        <f t="shared" si="15"/>
        <v>158361.37747213387</v>
      </c>
      <c r="J150" s="16">
        <f t="shared" si="16"/>
        <v>245854.08712859204</v>
      </c>
    </row>
    <row r="151" spans="2:10" hidden="1" outlineLevel="1" x14ac:dyDescent="0.2">
      <c r="B151" s="44">
        <v>48427</v>
      </c>
      <c r="C151" s="15">
        <f t="shared" si="12"/>
        <v>341638.6225278661</v>
      </c>
      <c r="D151" s="16">
        <f t="shared" si="13"/>
        <v>1408.8887989332404</v>
      </c>
      <c r="E151" s="21">
        <f t="shared" si="17"/>
        <v>1499.1361262518374</v>
      </c>
      <c r="F151" s="163">
        <v>0</v>
      </c>
      <c r="G151" s="16">
        <f t="shared" si="14"/>
        <v>340139.48640161427</v>
      </c>
      <c r="I151" s="21">
        <f t="shared" si="15"/>
        <v>159860.5135983857</v>
      </c>
      <c r="J151" s="16">
        <f t="shared" si="16"/>
        <v>247262.97592752529</v>
      </c>
    </row>
    <row r="152" spans="2:10" hidden="1" outlineLevel="1" x14ac:dyDescent="0.2">
      <c r="B152" s="44">
        <v>48458</v>
      </c>
      <c r="C152" s="15">
        <f t="shared" si="12"/>
        <v>340139.48640161427</v>
      </c>
      <c r="D152" s="16">
        <f t="shared" si="13"/>
        <v>1402.7064882778341</v>
      </c>
      <c r="E152" s="21">
        <f t="shared" si="17"/>
        <v>1505.3184369072437</v>
      </c>
      <c r="F152" s="162">
        <v>0</v>
      </c>
      <c r="G152" s="16">
        <f t="shared" si="14"/>
        <v>338634.16796470701</v>
      </c>
      <c r="I152" s="21">
        <f t="shared" si="15"/>
        <v>161365.83203529296</v>
      </c>
      <c r="J152" s="16">
        <f t="shared" si="16"/>
        <v>248665.68241580311</v>
      </c>
    </row>
    <row r="153" spans="2:10" hidden="1" outlineLevel="1" x14ac:dyDescent="0.2">
      <c r="B153" s="44">
        <v>48488</v>
      </c>
      <c r="C153" s="15">
        <f t="shared" si="12"/>
        <v>338634.16796470701</v>
      </c>
      <c r="D153" s="16">
        <f t="shared" si="13"/>
        <v>1396.4986822959056</v>
      </c>
      <c r="E153" s="21">
        <f t="shared" si="17"/>
        <v>1511.5262428891722</v>
      </c>
      <c r="F153" s="163">
        <v>0</v>
      </c>
      <c r="G153" s="16">
        <f t="shared" si="14"/>
        <v>337122.64172181784</v>
      </c>
      <c r="I153" s="21">
        <f t="shared" si="15"/>
        <v>162877.35827818213</v>
      </c>
      <c r="J153" s="16">
        <f t="shared" si="16"/>
        <v>250062.18109809901</v>
      </c>
    </row>
    <row r="154" spans="2:10" hidden="1" outlineLevel="1" x14ac:dyDescent="0.2">
      <c r="B154" s="44">
        <v>48519</v>
      </c>
      <c r="C154" s="15">
        <f t="shared" si="12"/>
        <v>337122.64172181784</v>
      </c>
      <c r="D154" s="16">
        <f t="shared" si="13"/>
        <v>1390.2652758468835</v>
      </c>
      <c r="E154" s="21">
        <f t="shared" si="17"/>
        <v>1517.7596493381943</v>
      </c>
      <c r="F154" s="163">
        <v>0</v>
      </c>
      <c r="G154" s="16">
        <f t="shared" si="14"/>
        <v>335604.88207247964</v>
      </c>
      <c r="I154" s="21">
        <f t="shared" si="15"/>
        <v>164395.11792752033</v>
      </c>
      <c r="J154" s="16">
        <f t="shared" si="16"/>
        <v>251452.44637394589</v>
      </c>
    </row>
    <row r="155" spans="2:10" hidden="1" outlineLevel="1" x14ac:dyDescent="0.2">
      <c r="B155" s="44">
        <v>48549</v>
      </c>
      <c r="C155" s="15">
        <f t="shared" si="12"/>
        <v>335604.88207247964</v>
      </c>
      <c r="D155" s="16">
        <f t="shared" si="13"/>
        <v>1384.0061633566058</v>
      </c>
      <c r="E155" s="21">
        <f t="shared" si="17"/>
        <v>1524.018761828472</v>
      </c>
      <c r="F155" s="162">
        <v>0</v>
      </c>
      <c r="G155" s="16">
        <f t="shared" si="14"/>
        <v>334080.86331065116</v>
      </c>
      <c r="I155" s="21">
        <f t="shared" si="15"/>
        <v>165919.13668934882</v>
      </c>
      <c r="J155" s="16">
        <f t="shared" si="16"/>
        <v>252836.45253730248</v>
      </c>
    </row>
    <row r="156" spans="2:10" hidden="1" outlineLevel="1" x14ac:dyDescent="0.2">
      <c r="B156" s="44">
        <v>48580</v>
      </c>
      <c r="C156" s="15">
        <f t="shared" si="12"/>
        <v>334080.86331065116</v>
      </c>
      <c r="D156" s="16">
        <f t="shared" si="13"/>
        <v>1377.7212388155315</v>
      </c>
      <c r="E156" s="21">
        <f t="shared" si="17"/>
        <v>1530.3036863695463</v>
      </c>
      <c r="F156" s="163">
        <v>0</v>
      </c>
      <c r="G156" s="16">
        <f t="shared" si="14"/>
        <v>332550.5596242816</v>
      </c>
      <c r="I156" s="21">
        <f t="shared" si="15"/>
        <v>167449.44037571838</v>
      </c>
      <c r="J156" s="16">
        <f t="shared" si="16"/>
        <v>254214.17377611803</v>
      </c>
    </row>
    <row r="157" spans="2:10" hidden="1" outlineLevel="1" x14ac:dyDescent="0.2">
      <c r="B157" s="44">
        <v>48611</v>
      </c>
      <c r="C157" s="15">
        <f t="shared" si="12"/>
        <v>332550.5596242816</v>
      </c>
      <c r="D157" s="16">
        <f t="shared" si="13"/>
        <v>1371.4103957769448</v>
      </c>
      <c r="E157" s="21">
        <f t="shared" si="17"/>
        <v>1536.614529408133</v>
      </c>
      <c r="F157" s="163">
        <v>0</v>
      </c>
      <c r="G157" s="16">
        <f t="shared" si="14"/>
        <v>331013.94509487349</v>
      </c>
      <c r="I157" s="21">
        <f t="shared" si="15"/>
        <v>168986.05490512651</v>
      </c>
      <c r="J157" s="16">
        <f t="shared" si="16"/>
        <v>255585.58417189497</v>
      </c>
    </row>
    <row r="158" spans="2:10" hidden="1" outlineLevel="1" x14ac:dyDescent="0.2">
      <c r="B158" s="44">
        <v>48639</v>
      </c>
      <c r="C158" s="15">
        <f t="shared" si="12"/>
        <v>331013.94509487349</v>
      </c>
      <c r="D158" s="16">
        <f t="shared" si="13"/>
        <v>1365.0735273551534</v>
      </c>
      <c r="E158" s="21">
        <f t="shared" si="17"/>
        <v>1542.9513978299244</v>
      </c>
      <c r="F158" s="162">
        <v>0</v>
      </c>
      <c r="G158" s="16">
        <f t="shared" si="14"/>
        <v>329470.99369704357</v>
      </c>
      <c r="I158" s="21">
        <f t="shared" si="15"/>
        <v>170529.00630295643</v>
      </c>
      <c r="J158" s="16">
        <f t="shared" si="16"/>
        <v>256950.65769925012</v>
      </c>
    </row>
    <row r="159" spans="2:10" hidden="1" outlineLevel="1" x14ac:dyDescent="0.2">
      <c r="B159" s="44">
        <v>48670</v>
      </c>
      <c r="C159" s="15">
        <f t="shared" si="12"/>
        <v>329470.99369704357</v>
      </c>
      <c r="D159" s="16">
        <f t="shared" si="13"/>
        <v>1358.7105262236767</v>
      </c>
      <c r="E159" s="21">
        <f t="shared" si="17"/>
        <v>1549.3143989614011</v>
      </c>
      <c r="F159" s="163">
        <v>0</v>
      </c>
      <c r="G159" s="16">
        <f t="shared" si="14"/>
        <v>327921.67929808219</v>
      </c>
      <c r="I159" s="21">
        <f t="shared" si="15"/>
        <v>172078.32070191784</v>
      </c>
      <c r="J159" s="16">
        <f t="shared" si="16"/>
        <v>258309.36822547379</v>
      </c>
    </row>
    <row r="160" spans="2:10" hidden="1" outlineLevel="1" x14ac:dyDescent="0.2">
      <c r="B160" s="44">
        <v>48700</v>
      </c>
      <c r="C160" s="15">
        <f t="shared" si="12"/>
        <v>327921.67929808219</v>
      </c>
      <c r="D160" s="16">
        <f t="shared" si="13"/>
        <v>1352.321284613429</v>
      </c>
      <c r="E160" s="21">
        <f t="shared" si="17"/>
        <v>1555.7036405716487</v>
      </c>
      <c r="F160" s="163">
        <v>0</v>
      </c>
      <c r="G160" s="16">
        <f t="shared" si="14"/>
        <v>326365.97565751057</v>
      </c>
      <c r="I160" s="21">
        <f t="shared" si="15"/>
        <v>173634.02434248949</v>
      </c>
      <c r="J160" s="16">
        <f t="shared" si="16"/>
        <v>259661.68951008722</v>
      </c>
    </row>
    <row r="161" spans="2:10" hidden="1" outlineLevel="1" x14ac:dyDescent="0.2">
      <c r="B161" s="44">
        <v>48731</v>
      </c>
      <c r="C161" s="15">
        <f t="shared" si="12"/>
        <v>326365.97565751057</v>
      </c>
      <c r="D161" s="16">
        <f t="shared" si="13"/>
        <v>1345.9056943108947</v>
      </c>
      <c r="E161" s="21">
        <f t="shared" si="17"/>
        <v>1562.1192308741831</v>
      </c>
      <c r="F161" s="162">
        <v>0</v>
      </c>
      <c r="G161" s="16">
        <f t="shared" si="14"/>
        <v>324803.8564266364</v>
      </c>
      <c r="I161" s="21">
        <f t="shared" si="15"/>
        <v>175196.14357336366</v>
      </c>
      <c r="J161" s="16">
        <f t="shared" si="16"/>
        <v>261007.59520439812</v>
      </c>
    </row>
    <row r="162" spans="2:10" hidden="1" outlineLevel="1" x14ac:dyDescent="0.2">
      <c r="B162" s="44">
        <v>48761</v>
      </c>
      <c r="C162" s="15">
        <f t="shared" si="12"/>
        <v>324803.8564266364</v>
      </c>
      <c r="D162" s="16">
        <f t="shared" si="13"/>
        <v>1339.4636466562933</v>
      </c>
      <c r="E162" s="21">
        <f t="shared" si="17"/>
        <v>1568.5612785287844</v>
      </c>
      <c r="F162" s="163">
        <v>0</v>
      </c>
      <c r="G162" s="16">
        <f t="shared" si="14"/>
        <v>323235.29514810763</v>
      </c>
      <c r="I162" s="21">
        <f t="shared" si="15"/>
        <v>176764.70485189246</v>
      </c>
      <c r="J162" s="16">
        <f t="shared" si="16"/>
        <v>262347.0588510544</v>
      </c>
    </row>
    <row r="163" spans="2:10" hidden="1" outlineLevel="1" x14ac:dyDescent="0.2">
      <c r="B163" s="44">
        <v>48792</v>
      </c>
      <c r="C163" s="15">
        <f t="shared" si="12"/>
        <v>323235.29514810763</v>
      </c>
      <c r="D163" s="16">
        <f t="shared" si="13"/>
        <v>1332.9950325417421</v>
      </c>
      <c r="E163" s="21">
        <f t="shared" si="17"/>
        <v>1575.0298926433356</v>
      </c>
      <c r="F163" s="163">
        <v>0</v>
      </c>
      <c r="G163" s="16">
        <f t="shared" si="14"/>
        <v>321660.2652554643</v>
      </c>
      <c r="I163" s="21">
        <f t="shared" si="15"/>
        <v>178339.73474453579</v>
      </c>
      <c r="J163" s="16">
        <f t="shared" si="16"/>
        <v>263680.05388359615</v>
      </c>
    </row>
    <row r="164" spans="2:10" hidden="1" outlineLevel="1" x14ac:dyDescent="0.2">
      <c r="B164" s="44">
        <v>48823</v>
      </c>
      <c r="C164" s="15">
        <f t="shared" si="12"/>
        <v>321660.2652554643</v>
      </c>
      <c r="D164" s="16">
        <f t="shared" si="13"/>
        <v>1326.4997424094058</v>
      </c>
      <c r="E164" s="21">
        <f t="shared" si="17"/>
        <v>1581.525182775672</v>
      </c>
      <c r="F164" s="162">
        <v>0</v>
      </c>
      <c r="G164" s="16">
        <f t="shared" si="14"/>
        <v>320078.74007268861</v>
      </c>
      <c r="I164" s="21">
        <f t="shared" si="15"/>
        <v>179921.25992731145</v>
      </c>
      <c r="J164" s="16">
        <f t="shared" si="16"/>
        <v>265006.55362600554</v>
      </c>
    </row>
    <row r="165" spans="2:10" hidden="1" outlineLevel="1" x14ac:dyDescent="0.2">
      <c r="B165" s="44">
        <v>48853</v>
      </c>
      <c r="C165" s="15">
        <f t="shared" si="12"/>
        <v>320078.74007268861</v>
      </c>
      <c r="D165" s="16">
        <f t="shared" si="13"/>
        <v>1319.9776662496422</v>
      </c>
      <c r="E165" s="21">
        <f t="shared" si="17"/>
        <v>1588.0472589354356</v>
      </c>
      <c r="F165" s="163">
        <v>0</v>
      </c>
      <c r="G165" s="16">
        <f t="shared" si="14"/>
        <v>318490.69281375315</v>
      </c>
      <c r="I165" s="21">
        <f t="shared" si="15"/>
        <v>181509.30718624688</v>
      </c>
      <c r="J165" s="16">
        <f t="shared" si="16"/>
        <v>266326.53129225515</v>
      </c>
    </row>
    <row r="166" spans="2:10" hidden="1" outlineLevel="1" x14ac:dyDescent="0.2">
      <c r="B166" s="44">
        <v>48884</v>
      </c>
      <c r="C166" s="15">
        <f t="shared" si="12"/>
        <v>318490.69281375315</v>
      </c>
      <c r="D166" s="16">
        <f t="shared" si="13"/>
        <v>1313.4286935991383</v>
      </c>
      <c r="E166" s="21">
        <f t="shared" si="17"/>
        <v>1594.5962315859394</v>
      </c>
      <c r="F166" s="163">
        <v>0</v>
      </c>
      <c r="G166" s="16">
        <f t="shared" si="14"/>
        <v>316896.0965821672</v>
      </c>
      <c r="I166" s="21">
        <f t="shared" si="15"/>
        <v>183103.90341783283</v>
      </c>
      <c r="J166" s="16">
        <f t="shared" si="16"/>
        <v>267639.95998585428</v>
      </c>
    </row>
    <row r="167" spans="2:10" hidden="1" outlineLevel="1" x14ac:dyDescent="0.2">
      <c r="B167" s="44">
        <v>48914</v>
      </c>
      <c r="C167" s="15">
        <f t="shared" si="12"/>
        <v>316896.0965821672</v>
      </c>
      <c r="D167" s="16">
        <f t="shared" si="13"/>
        <v>1306.8527135390402</v>
      </c>
      <c r="E167" s="21">
        <f t="shared" si="17"/>
        <v>1601.1722116460376</v>
      </c>
      <c r="F167" s="162">
        <v>0</v>
      </c>
      <c r="G167" s="16">
        <f t="shared" si="14"/>
        <v>315294.92437052116</v>
      </c>
      <c r="I167" s="21">
        <f t="shared" si="15"/>
        <v>184705.07562947887</v>
      </c>
      <c r="J167" s="16">
        <f t="shared" si="16"/>
        <v>268946.81269939331</v>
      </c>
    </row>
    <row r="168" spans="2:10" hidden="1" outlineLevel="1" x14ac:dyDescent="0.2">
      <c r="B168" s="44">
        <v>48945</v>
      </c>
      <c r="C168" s="15">
        <f t="shared" si="12"/>
        <v>315294.92437052116</v>
      </c>
      <c r="D168" s="16">
        <f t="shared" si="13"/>
        <v>1300.2496146930739</v>
      </c>
      <c r="E168" s="21">
        <f t="shared" si="17"/>
        <v>1607.7753104920039</v>
      </c>
      <c r="F168" s="163">
        <v>0</v>
      </c>
      <c r="G168" s="16">
        <f t="shared" si="14"/>
        <v>313687.14906002913</v>
      </c>
      <c r="I168" s="21">
        <f t="shared" si="15"/>
        <v>186312.85093997087</v>
      </c>
      <c r="J168" s="16">
        <f t="shared" si="16"/>
        <v>270247.06231408636</v>
      </c>
    </row>
    <row r="169" spans="2:10" hidden="1" outlineLevel="1" x14ac:dyDescent="0.2">
      <c r="B169" s="44">
        <v>48976</v>
      </c>
      <c r="C169" s="15">
        <f t="shared" si="12"/>
        <v>313687.14906002913</v>
      </c>
      <c r="D169" s="16">
        <f t="shared" si="13"/>
        <v>1293.6192852256588</v>
      </c>
      <c r="E169" s="21">
        <f t="shared" si="17"/>
        <v>1614.405639959419</v>
      </c>
      <c r="F169" s="163">
        <v>0</v>
      </c>
      <c r="G169" s="16">
        <f t="shared" si="14"/>
        <v>312072.74342006969</v>
      </c>
      <c r="I169" s="21">
        <f t="shared" si="15"/>
        <v>187927.25657993028</v>
      </c>
      <c r="J169" s="16">
        <f t="shared" si="16"/>
        <v>271540.681599312</v>
      </c>
    </row>
    <row r="170" spans="2:10" hidden="1" outlineLevel="1" x14ac:dyDescent="0.2">
      <c r="B170" s="44">
        <v>49004</v>
      </c>
      <c r="C170" s="15">
        <f t="shared" si="12"/>
        <v>312072.74342006969</v>
      </c>
      <c r="D170" s="16">
        <f t="shared" si="13"/>
        <v>1286.9616128400139</v>
      </c>
      <c r="E170" s="21">
        <f t="shared" si="17"/>
        <v>1621.0633123450639</v>
      </c>
      <c r="F170" s="162">
        <v>0</v>
      </c>
      <c r="G170" s="16">
        <f t="shared" si="14"/>
        <v>310451.68010772462</v>
      </c>
      <c r="I170" s="21">
        <f t="shared" si="15"/>
        <v>189548.31989227535</v>
      </c>
      <c r="J170" s="16">
        <f t="shared" si="16"/>
        <v>272827.643212152</v>
      </c>
    </row>
    <row r="171" spans="2:10" hidden="1" outlineLevel="1" x14ac:dyDescent="0.2">
      <c r="B171" s="44">
        <v>49035</v>
      </c>
      <c r="C171" s="15">
        <f t="shared" si="12"/>
        <v>310451.68010772462</v>
      </c>
      <c r="D171" s="16">
        <f t="shared" si="13"/>
        <v>1280.2764847762562</v>
      </c>
      <c r="E171" s="21">
        <f t="shared" si="17"/>
        <v>1627.7484404088216</v>
      </c>
      <c r="F171" s="163">
        <v>0</v>
      </c>
      <c r="G171" s="16">
        <f t="shared" si="14"/>
        <v>308823.93166731577</v>
      </c>
      <c r="I171" s="21">
        <f t="shared" si="15"/>
        <v>191176.06833268417</v>
      </c>
      <c r="J171" s="16">
        <f t="shared" si="16"/>
        <v>274107.91969692823</v>
      </c>
    </row>
    <row r="172" spans="2:10" hidden="1" outlineLevel="1" x14ac:dyDescent="0.2">
      <c r="B172" s="44">
        <v>49065</v>
      </c>
      <c r="C172" s="15">
        <f t="shared" si="12"/>
        <v>308823.93166731577</v>
      </c>
      <c r="D172" s="16">
        <f t="shared" si="13"/>
        <v>1273.5637878094899</v>
      </c>
      <c r="E172" s="21">
        <f t="shared" si="17"/>
        <v>1634.4611373755879</v>
      </c>
      <c r="F172" s="163">
        <v>0</v>
      </c>
      <c r="G172" s="16">
        <f t="shared" si="14"/>
        <v>307189.47052994021</v>
      </c>
      <c r="I172" s="21">
        <f t="shared" si="15"/>
        <v>192810.52947005976</v>
      </c>
      <c r="J172" s="16">
        <f t="shared" si="16"/>
        <v>275381.48348473775</v>
      </c>
    </row>
    <row r="173" spans="2:10" hidden="1" outlineLevel="1" x14ac:dyDescent="0.2">
      <c r="B173" s="44">
        <v>49096</v>
      </c>
      <c r="C173" s="15">
        <f t="shared" si="12"/>
        <v>307189.47052994021</v>
      </c>
      <c r="D173" s="16">
        <f t="shared" si="13"/>
        <v>1266.8234082478896</v>
      </c>
      <c r="E173" s="21">
        <f t="shared" si="17"/>
        <v>1641.2015169371882</v>
      </c>
      <c r="F173" s="162">
        <v>0</v>
      </c>
      <c r="G173" s="16">
        <f t="shared" si="14"/>
        <v>305548.26901300304</v>
      </c>
      <c r="I173" s="21">
        <f t="shared" si="15"/>
        <v>194451.73098699696</v>
      </c>
      <c r="J173" s="16">
        <f t="shared" si="16"/>
        <v>276648.30689298565</v>
      </c>
    </row>
    <row r="174" spans="2:10" hidden="1" outlineLevel="1" x14ac:dyDescent="0.2">
      <c r="B174" s="44">
        <v>49126</v>
      </c>
      <c r="C174" s="15">
        <f t="shared" si="12"/>
        <v>305548.26901300304</v>
      </c>
      <c r="D174" s="16">
        <f t="shared" si="13"/>
        <v>1260.0552319307742</v>
      </c>
      <c r="E174" s="21">
        <f t="shared" si="17"/>
        <v>1647.9696932543036</v>
      </c>
      <c r="F174" s="163">
        <v>0</v>
      </c>
      <c r="G174" s="16">
        <f t="shared" si="14"/>
        <v>303900.29931974871</v>
      </c>
      <c r="I174" s="21">
        <f t="shared" si="15"/>
        <v>196099.70068025126</v>
      </c>
      <c r="J174" s="16">
        <f t="shared" si="16"/>
        <v>277908.3621249164</v>
      </c>
    </row>
    <row r="175" spans="2:10" hidden="1" outlineLevel="1" x14ac:dyDescent="0.2">
      <c r="B175" s="44">
        <v>49157</v>
      </c>
      <c r="C175" s="15">
        <f t="shared" si="12"/>
        <v>303900.29931974871</v>
      </c>
      <c r="D175" s="16">
        <f t="shared" si="13"/>
        <v>1253.2591442266735</v>
      </c>
      <c r="E175" s="21">
        <f t="shared" si="17"/>
        <v>1654.7657809584043</v>
      </c>
      <c r="F175" s="163">
        <v>0</v>
      </c>
      <c r="G175" s="16">
        <f t="shared" si="14"/>
        <v>302245.5335387903</v>
      </c>
      <c r="I175" s="21">
        <f t="shared" si="15"/>
        <v>197754.46646120967</v>
      </c>
      <c r="J175" s="16">
        <f t="shared" si="16"/>
        <v>279161.62126914307</v>
      </c>
    </row>
    <row r="176" spans="2:10" hidden="1" outlineLevel="1" x14ac:dyDescent="0.2">
      <c r="B176" s="44">
        <v>49188</v>
      </c>
      <c r="C176" s="15">
        <f t="shared" si="12"/>
        <v>302245.5335387903</v>
      </c>
      <c r="D176" s="16">
        <f t="shared" si="13"/>
        <v>1246.4350300313877</v>
      </c>
      <c r="E176" s="21">
        <f t="shared" si="17"/>
        <v>1661.5898951536901</v>
      </c>
      <c r="F176" s="162">
        <v>0</v>
      </c>
      <c r="G176" s="16">
        <f t="shared" si="14"/>
        <v>300583.94364363659</v>
      </c>
      <c r="I176" s="21">
        <f t="shared" si="15"/>
        <v>199416.05635636335</v>
      </c>
      <c r="J176" s="16">
        <f t="shared" si="16"/>
        <v>280408.05629917444</v>
      </c>
    </row>
    <row r="177" spans="2:10" hidden="1" outlineLevel="1" x14ac:dyDescent="0.2">
      <c r="B177" s="44">
        <v>49218</v>
      </c>
      <c r="C177" s="15">
        <f t="shared" si="12"/>
        <v>300583.94364363659</v>
      </c>
      <c r="D177" s="16">
        <f t="shared" si="13"/>
        <v>1239.5827737660359</v>
      </c>
      <c r="E177" s="21">
        <f t="shared" si="17"/>
        <v>1668.4421514190419</v>
      </c>
      <c r="F177" s="163">
        <v>0</v>
      </c>
      <c r="G177" s="16">
        <f t="shared" si="14"/>
        <v>298915.50149221753</v>
      </c>
      <c r="I177" s="21">
        <f t="shared" si="15"/>
        <v>201084.49850778238</v>
      </c>
      <c r="J177" s="16">
        <f t="shared" si="16"/>
        <v>281647.63907294045</v>
      </c>
    </row>
    <row r="178" spans="2:10" hidden="1" outlineLevel="1" x14ac:dyDescent="0.2">
      <c r="B178" s="44">
        <v>49249</v>
      </c>
      <c r="C178" s="15">
        <f t="shared" si="12"/>
        <v>298915.50149221753</v>
      </c>
      <c r="D178" s="16">
        <f t="shared" si="13"/>
        <v>1232.7022593751003</v>
      </c>
      <c r="E178" s="21">
        <f t="shared" si="17"/>
        <v>1675.3226658099775</v>
      </c>
      <c r="F178" s="163">
        <v>0</v>
      </c>
      <c r="G178" s="16">
        <f t="shared" si="14"/>
        <v>297240.17882640753</v>
      </c>
      <c r="I178" s="21">
        <f t="shared" si="15"/>
        <v>202759.82117359235</v>
      </c>
      <c r="J178" s="16">
        <f t="shared" si="16"/>
        <v>282880.34133231553</v>
      </c>
    </row>
    <row r="179" spans="2:10" hidden="1" outlineLevel="1" x14ac:dyDescent="0.2">
      <c r="B179" s="44">
        <v>49279</v>
      </c>
      <c r="C179" s="15">
        <f t="shared" si="12"/>
        <v>297240.17882640753</v>
      </c>
      <c r="D179" s="16">
        <f t="shared" si="13"/>
        <v>1225.7933703244598</v>
      </c>
      <c r="E179" s="21">
        <f t="shared" si="17"/>
        <v>1682.231554860618</v>
      </c>
      <c r="F179" s="162">
        <v>0</v>
      </c>
      <c r="G179" s="16">
        <f t="shared" si="14"/>
        <v>295557.94727154693</v>
      </c>
      <c r="I179" s="21">
        <f t="shared" si="15"/>
        <v>204442.05272845298</v>
      </c>
      <c r="J179" s="16">
        <f t="shared" si="16"/>
        <v>284106.13470264</v>
      </c>
    </row>
    <row r="180" spans="2:10" hidden="1" outlineLevel="1" x14ac:dyDescent="0.2">
      <c r="B180" s="44">
        <v>49310</v>
      </c>
      <c r="C180" s="15">
        <f t="shared" si="12"/>
        <v>295557.94727154693</v>
      </c>
      <c r="D180" s="16">
        <f t="shared" si="13"/>
        <v>1218.8559895994165</v>
      </c>
      <c r="E180" s="21">
        <f t="shared" si="17"/>
        <v>1689.1689355856613</v>
      </c>
      <c r="F180" s="163">
        <v>0</v>
      </c>
      <c r="G180" s="16">
        <f t="shared" si="14"/>
        <v>293868.77833596128</v>
      </c>
      <c r="I180" s="21">
        <f t="shared" si="15"/>
        <v>206131.22166403863</v>
      </c>
      <c r="J180" s="16">
        <f t="shared" si="16"/>
        <v>285324.99069223943</v>
      </c>
    </row>
    <row r="181" spans="2:10" hidden="1" outlineLevel="1" x14ac:dyDescent="0.2">
      <c r="B181" s="44">
        <v>49341</v>
      </c>
      <c r="C181" s="15">
        <f t="shared" si="12"/>
        <v>293868.77833596128</v>
      </c>
      <c r="D181" s="16">
        <f t="shared" si="13"/>
        <v>1211.8899997027138</v>
      </c>
      <c r="E181" s="21">
        <f t="shared" si="17"/>
        <v>1696.134925482364</v>
      </c>
      <c r="F181" s="163">
        <v>0</v>
      </c>
      <c r="G181" s="16">
        <f t="shared" si="14"/>
        <v>292172.64341047889</v>
      </c>
      <c r="I181" s="21">
        <f t="shared" si="15"/>
        <v>207827.35658952099</v>
      </c>
      <c r="J181" s="16">
        <f t="shared" si="16"/>
        <v>286536.88069194212</v>
      </c>
    </row>
    <row r="182" spans="2:10" hidden="1" outlineLevel="1" x14ac:dyDescent="0.2">
      <c r="B182" s="44">
        <v>49369</v>
      </c>
      <c r="C182" s="15">
        <f t="shared" si="12"/>
        <v>292172.64341047889</v>
      </c>
      <c r="D182" s="16">
        <f t="shared" si="13"/>
        <v>1204.8952826525456</v>
      </c>
      <c r="E182" s="21">
        <f t="shared" si="17"/>
        <v>1703.1296425325322</v>
      </c>
      <c r="F182" s="162">
        <v>0</v>
      </c>
      <c r="G182" s="16">
        <f t="shared" si="14"/>
        <v>290469.51376794634</v>
      </c>
      <c r="I182" s="21">
        <f t="shared" si="15"/>
        <v>209530.48623205352</v>
      </c>
      <c r="J182" s="16">
        <f t="shared" si="16"/>
        <v>287741.77597459464</v>
      </c>
    </row>
    <row r="183" spans="2:10" hidden="1" outlineLevel="1" x14ac:dyDescent="0.2">
      <c r="B183" s="44">
        <v>49400</v>
      </c>
      <c r="C183" s="15">
        <f t="shared" si="12"/>
        <v>290469.51376794634</v>
      </c>
      <c r="D183" s="16">
        <f t="shared" si="13"/>
        <v>1197.8717199805601</v>
      </c>
      <c r="E183" s="21">
        <f t="shared" si="17"/>
        <v>1710.1532052045177</v>
      </c>
      <c r="F183" s="163">
        <v>0</v>
      </c>
      <c r="G183" s="16">
        <f t="shared" si="14"/>
        <v>288759.36056274181</v>
      </c>
      <c r="I183" s="21">
        <f t="shared" si="15"/>
        <v>211240.63943725804</v>
      </c>
      <c r="J183" s="16">
        <f t="shared" si="16"/>
        <v>288939.64769457519</v>
      </c>
    </row>
    <row r="184" spans="2:10" hidden="1" outlineLevel="1" x14ac:dyDescent="0.2">
      <c r="B184" s="44">
        <v>49430</v>
      </c>
      <c r="C184" s="15">
        <f t="shared" si="12"/>
        <v>288759.36056274181</v>
      </c>
      <c r="D184" s="16">
        <f t="shared" si="13"/>
        <v>1190.819192729851</v>
      </c>
      <c r="E184" s="21">
        <f t="shared" si="17"/>
        <v>1717.2057324552268</v>
      </c>
      <c r="F184" s="163">
        <v>0</v>
      </c>
      <c r="G184" s="16">
        <f t="shared" si="14"/>
        <v>287042.15483028657</v>
      </c>
      <c r="I184" s="21">
        <f t="shared" si="15"/>
        <v>212957.84516971326</v>
      </c>
      <c r="J184" s="16">
        <f t="shared" si="16"/>
        <v>290130.46688730503</v>
      </c>
    </row>
    <row r="185" spans="2:10" hidden="1" outlineLevel="1" x14ac:dyDescent="0.2">
      <c r="B185" s="44">
        <v>49461</v>
      </c>
      <c r="C185" s="15">
        <f t="shared" si="12"/>
        <v>287042.15483028657</v>
      </c>
      <c r="D185" s="16">
        <f t="shared" si="13"/>
        <v>1183.7375814529446</v>
      </c>
      <c r="E185" s="21">
        <f t="shared" si="17"/>
        <v>1724.2873437321332</v>
      </c>
      <c r="F185" s="162">
        <v>0</v>
      </c>
      <c r="G185" s="16">
        <f t="shared" si="14"/>
        <v>285317.86748655443</v>
      </c>
      <c r="I185" s="21">
        <f t="shared" si="15"/>
        <v>214682.13251344539</v>
      </c>
      <c r="J185" s="16">
        <f t="shared" si="16"/>
        <v>291314.20446875796</v>
      </c>
    </row>
    <row r="186" spans="2:10" hidden="1" outlineLevel="1" x14ac:dyDescent="0.2">
      <c r="B186" s="44">
        <v>49491</v>
      </c>
      <c r="C186" s="15">
        <f t="shared" si="12"/>
        <v>285317.86748655443</v>
      </c>
      <c r="D186" s="16">
        <f t="shared" si="13"/>
        <v>1176.6267662097753</v>
      </c>
      <c r="E186" s="21">
        <f t="shared" si="17"/>
        <v>1731.3981589753025</v>
      </c>
      <c r="F186" s="163">
        <v>0</v>
      </c>
      <c r="G186" s="16">
        <f t="shared" si="14"/>
        <v>283586.46932757914</v>
      </c>
      <c r="I186" s="21">
        <f t="shared" si="15"/>
        <v>216413.53067242069</v>
      </c>
      <c r="J186" s="16">
        <f t="shared" si="16"/>
        <v>292490.83123496774</v>
      </c>
    </row>
    <row r="187" spans="2:10" hidden="1" outlineLevel="1" x14ac:dyDescent="0.2">
      <c r="B187" s="44">
        <v>49522</v>
      </c>
      <c r="C187" s="15">
        <f t="shared" si="12"/>
        <v>283586.46932757914</v>
      </c>
      <c r="D187" s="16">
        <f t="shared" si="13"/>
        <v>1169.4866265656547</v>
      </c>
      <c r="E187" s="21">
        <f t="shared" si="17"/>
        <v>1738.5382986194231</v>
      </c>
      <c r="F187" s="163">
        <v>0</v>
      </c>
      <c r="G187" s="16">
        <f t="shared" si="14"/>
        <v>281847.93102895969</v>
      </c>
      <c r="I187" s="21">
        <f t="shared" si="15"/>
        <v>218152.06897104011</v>
      </c>
      <c r="J187" s="16">
        <f t="shared" si="16"/>
        <v>293660.31786153337</v>
      </c>
    </row>
    <row r="188" spans="2:10" hidden="1" outlineLevel="1" x14ac:dyDescent="0.2">
      <c r="B188" s="44">
        <v>49553</v>
      </c>
      <c r="C188" s="15">
        <f t="shared" si="12"/>
        <v>281847.93102895969</v>
      </c>
      <c r="D188" s="16">
        <f t="shared" si="13"/>
        <v>1162.3170415892323</v>
      </c>
      <c r="E188" s="21">
        <f t="shared" si="17"/>
        <v>1745.7078835958455</v>
      </c>
      <c r="F188" s="162">
        <v>0</v>
      </c>
      <c r="G188" s="16">
        <f t="shared" si="14"/>
        <v>280102.22314536385</v>
      </c>
      <c r="I188" s="21">
        <f t="shared" si="15"/>
        <v>219897.77685463594</v>
      </c>
      <c r="J188" s="16">
        <f t="shared" si="16"/>
        <v>294822.63490312261</v>
      </c>
    </row>
    <row r="189" spans="2:10" hidden="1" outlineLevel="1" x14ac:dyDescent="0.2">
      <c r="B189" s="44">
        <v>49583</v>
      </c>
      <c r="C189" s="15">
        <f t="shared" si="12"/>
        <v>280102.22314536385</v>
      </c>
      <c r="D189" s="16">
        <f t="shared" si="13"/>
        <v>1155.1178898504472</v>
      </c>
      <c r="E189" s="21">
        <f t="shared" si="17"/>
        <v>1752.9070353346306</v>
      </c>
      <c r="F189" s="163">
        <v>0</v>
      </c>
      <c r="G189" s="16">
        <f t="shared" si="14"/>
        <v>278349.31611002923</v>
      </c>
      <c r="I189" s="21">
        <f t="shared" si="15"/>
        <v>221650.68388997056</v>
      </c>
      <c r="J189" s="16">
        <f t="shared" si="16"/>
        <v>295977.75279297307</v>
      </c>
    </row>
    <row r="190" spans="2:10" hidden="1" outlineLevel="1" x14ac:dyDescent="0.2">
      <c r="B190" s="44">
        <v>49614</v>
      </c>
      <c r="C190" s="15">
        <f t="shared" si="12"/>
        <v>278349.31611002923</v>
      </c>
      <c r="D190" s="16">
        <f t="shared" si="13"/>
        <v>1147.8890494184707</v>
      </c>
      <c r="E190" s="21">
        <f t="shared" si="17"/>
        <v>1760.1358757666071</v>
      </c>
      <c r="F190" s="163">
        <v>0</v>
      </c>
      <c r="G190" s="16">
        <f t="shared" si="14"/>
        <v>276589.1802342626</v>
      </c>
      <c r="I190" s="21">
        <f t="shared" si="15"/>
        <v>223410.81976573716</v>
      </c>
      <c r="J190" s="16">
        <f t="shared" si="16"/>
        <v>297125.64184239152</v>
      </c>
    </row>
    <row r="191" spans="2:10" hidden="1" outlineLevel="1" x14ac:dyDescent="0.2">
      <c r="B191" s="44">
        <v>49644</v>
      </c>
      <c r="C191" s="15">
        <f t="shared" si="12"/>
        <v>276589.1802342626</v>
      </c>
      <c r="D191" s="16">
        <f t="shared" si="13"/>
        <v>1140.6303978596416</v>
      </c>
      <c r="E191" s="21">
        <f t="shared" si="17"/>
        <v>1767.3945273254362</v>
      </c>
      <c r="F191" s="162">
        <v>0</v>
      </c>
      <c r="G191" s="16">
        <f t="shared" si="14"/>
        <v>274821.78570693714</v>
      </c>
      <c r="I191" s="21">
        <f t="shared" si="15"/>
        <v>225178.2142930626</v>
      </c>
      <c r="J191" s="16">
        <f t="shared" si="16"/>
        <v>298266.27224025119</v>
      </c>
    </row>
    <row r="192" spans="2:10" hidden="1" outlineLevel="1" x14ac:dyDescent="0.2">
      <c r="B192" s="44">
        <v>49675</v>
      </c>
      <c r="C192" s="15">
        <f t="shared" si="12"/>
        <v>274821.78570693714</v>
      </c>
      <c r="D192" s="16">
        <f t="shared" si="13"/>
        <v>1133.3418122353928</v>
      </c>
      <c r="E192" s="21">
        <f t="shared" si="17"/>
        <v>1774.683112949685</v>
      </c>
      <c r="F192" s="163">
        <v>0</v>
      </c>
      <c r="G192" s="16">
        <f t="shared" si="14"/>
        <v>273047.10259398748</v>
      </c>
      <c r="I192" s="21">
        <f t="shared" si="15"/>
        <v>226952.89740601229</v>
      </c>
      <c r="J192" s="16">
        <f t="shared" si="16"/>
        <v>299399.61405248661</v>
      </c>
    </row>
    <row r="193" spans="2:10" hidden="1" outlineLevel="1" x14ac:dyDescent="0.2">
      <c r="B193" s="44">
        <v>49706</v>
      </c>
      <c r="C193" s="15">
        <f t="shared" si="12"/>
        <v>273047.10259398748</v>
      </c>
      <c r="D193" s="16">
        <f t="shared" si="13"/>
        <v>1126.0231691001693</v>
      </c>
      <c r="E193" s="21">
        <f t="shared" si="17"/>
        <v>1782.0017560849085</v>
      </c>
      <c r="F193" s="163">
        <v>0</v>
      </c>
      <c r="G193" s="16">
        <f t="shared" si="14"/>
        <v>271265.10083790257</v>
      </c>
      <c r="I193" s="21">
        <f t="shared" si="15"/>
        <v>228734.89916209719</v>
      </c>
      <c r="J193" s="16">
        <f t="shared" si="16"/>
        <v>300525.63722158677</v>
      </c>
    </row>
    <row r="194" spans="2:10" hidden="1" outlineLevel="1" x14ac:dyDescent="0.2">
      <c r="B194" s="44">
        <v>49735</v>
      </c>
      <c r="C194" s="15">
        <f t="shared" si="12"/>
        <v>271265.10083790257</v>
      </c>
      <c r="D194" s="16">
        <f t="shared" si="13"/>
        <v>1118.6743444993367</v>
      </c>
      <c r="E194" s="21">
        <f t="shared" si="17"/>
        <v>1789.3505806857411</v>
      </c>
      <c r="F194" s="162">
        <v>0</v>
      </c>
      <c r="G194" s="16">
        <f t="shared" si="14"/>
        <v>269475.75025721686</v>
      </c>
      <c r="I194" s="21">
        <f t="shared" si="15"/>
        <v>230524.24974278294</v>
      </c>
      <c r="J194" s="16">
        <f t="shared" si="16"/>
        <v>301644.31156608614</v>
      </c>
    </row>
    <row r="195" spans="2:10" hidden="1" outlineLevel="1" x14ac:dyDescent="0.2">
      <c r="B195" s="44">
        <v>49766</v>
      </c>
      <c r="C195" s="15">
        <f t="shared" si="12"/>
        <v>269475.75025721686</v>
      </c>
      <c r="D195" s="16">
        <f t="shared" si="13"/>
        <v>1111.295213967082</v>
      </c>
      <c r="E195" s="21">
        <f t="shared" si="17"/>
        <v>1796.7297112179958</v>
      </c>
      <c r="F195" s="163">
        <v>0</v>
      </c>
      <c r="G195" s="16">
        <f t="shared" si="14"/>
        <v>267679.02054599888</v>
      </c>
      <c r="I195" s="21">
        <f t="shared" si="15"/>
        <v>232320.97945400095</v>
      </c>
      <c r="J195" s="16">
        <f t="shared" si="16"/>
        <v>302755.60678005323</v>
      </c>
    </row>
    <row r="196" spans="2:10" hidden="1" outlineLevel="1" x14ac:dyDescent="0.2">
      <c r="B196" s="44">
        <v>49796</v>
      </c>
      <c r="C196" s="15">
        <f t="shared" si="12"/>
        <v>267679.02054599888</v>
      </c>
      <c r="D196" s="16">
        <f t="shared" si="13"/>
        <v>1103.8856525243061</v>
      </c>
      <c r="E196" s="21">
        <f t="shared" si="17"/>
        <v>1804.1392726607717</v>
      </c>
      <c r="F196" s="163">
        <v>0</v>
      </c>
      <c r="G196" s="16">
        <f t="shared" si="14"/>
        <v>265874.88127333811</v>
      </c>
      <c r="I196" s="21">
        <f t="shared" si="15"/>
        <v>234125.11872666172</v>
      </c>
      <c r="J196" s="16">
        <f t="shared" si="16"/>
        <v>303859.49243257754</v>
      </c>
    </row>
    <row r="197" spans="2:10" hidden="1" outlineLevel="1" x14ac:dyDescent="0.2">
      <c r="B197" s="44">
        <v>49827</v>
      </c>
      <c r="C197" s="15">
        <f t="shared" si="12"/>
        <v>265874.88127333811</v>
      </c>
      <c r="D197" s="16">
        <f t="shared" si="13"/>
        <v>1096.4455346765062</v>
      </c>
      <c r="E197" s="21">
        <f t="shared" si="17"/>
        <v>1811.5793905085716</v>
      </c>
      <c r="F197" s="162">
        <v>0</v>
      </c>
      <c r="G197" s="16">
        <f t="shared" si="14"/>
        <v>264063.30188282952</v>
      </c>
      <c r="I197" s="21">
        <f t="shared" si="15"/>
        <v>235936.69811717028</v>
      </c>
      <c r="J197" s="16">
        <f t="shared" si="16"/>
        <v>304955.93796725402</v>
      </c>
    </row>
    <row r="198" spans="2:10" hidden="1" outlineLevel="1" x14ac:dyDescent="0.2">
      <c r="B198" s="44">
        <v>49857</v>
      </c>
      <c r="C198" s="15">
        <f t="shared" si="12"/>
        <v>264063.30188282952</v>
      </c>
      <c r="D198" s="16">
        <f t="shared" si="13"/>
        <v>1088.9747344116513</v>
      </c>
      <c r="E198" s="21">
        <f t="shared" si="17"/>
        <v>1819.0501907734265</v>
      </c>
      <c r="F198" s="163">
        <v>0</v>
      </c>
      <c r="G198" s="16">
        <f t="shared" si="14"/>
        <v>262244.25169205607</v>
      </c>
      <c r="I198" s="21">
        <f t="shared" si="15"/>
        <v>237755.74830794369</v>
      </c>
      <c r="J198" s="16">
        <f t="shared" si="16"/>
        <v>306044.91270166566</v>
      </c>
    </row>
    <row r="199" spans="2:10" hidden="1" outlineLevel="1" x14ac:dyDescent="0.2">
      <c r="B199" s="44">
        <v>49888</v>
      </c>
      <c r="C199" s="15">
        <f t="shared" si="12"/>
        <v>262244.25169205607</v>
      </c>
      <c r="D199" s="16">
        <f t="shared" si="13"/>
        <v>1081.4731251980472</v>
      </c>
      <c r="E199" s="21">
        <f t="shared" si="17"/>
        <v>1826.5517999870306</v>
      </c>
      <c r="F199" s="163">
        <v>0</v>
      </c>
      <c r="G199" s="16">
        <f t="shared" si="14"/>
        <v>260417.69989206904</v>
      </c>
      <c r="I199" s="21">
        <f t="shared" si="15"/>
        <v>239582.30010793073</v>
      </c>
      <c r="J199" s="16">
        <f t="shared" si="16"/>
        <v>307126.3858268637</v>
      </c>
    </row>
    <row r="200" spans="2:10" hidden="1" outlineLevel="1" x14ac:dyDescent="0.2">
      <c r="B200" s="44">
        <v>49919</v>
      </c>
      <c r="C200" s="15">
        <f t="shared" ref="C200:C263" si="18">G199</f>
        <v>260417.69989206904</v>
      </c>
      <c r="D200" s="16">
        <f t="shared" ref="D200:D263" si="19">C200*E$8</f>
        <v>1073.9405799821936</v>
      </c>
      <c r="E200" s="21">
        <f t="shared" si="17"/>
        <v>1834.0843452028842</v>
      </c>
      <c r="F200" s="162">
        <v>0</v>
      </c>
      <c r="G200" s="16">
        <f t="shared" ref="G200:G263" si="20">C200-E200-F200</f>
        <v>258583.61554686615</v>
      </c>
      <c r="I200" s="21">
        <f t="shared" ref="I200:I263" si="21">I199+E200</f>
        <v>241416.38445313362</v>
      </c>
      <c r="J200" s="16">
        <f t="shared" ref="J200:J263" si="22">J199+D200</f>
        <v>308200.32640684588</v>
      </c>
    </row>
    <row r="201" spans="2:10" hidden="1" outlineLevel="1" x14ac:dyDescent="0.2">
      <c r="B201" s="44">
        <v>49949</v>
      </c>
      <c r="C201" s="15">
        <f t="shared" si="18"/>
        <v>258583.61554686615</v>
      </c>
      <c r="D201" s="16">
        <f t="shared" si="19"/>
        <v>1066.3769711866323</v>
      </c>
      <c r="E201" s="21">
        <f t="shared" si="17"/>
        <v>1841.6479539984455</v>
      </c>
      <c r="F201" s="163">
        <v>0</v>
      </c>
      <c r="G201" s="16">
        <f t="shared" si="20"/>
        <v>256741.9675928677</v>
      </c>
      <c r="I201" s="21">
        <f t="shared" si="21"/>
        <v>243258.03240713206</v>
      </c>
      <c r="J201" s="16">
        <f t="shared" si="22"/>
        <v>309266.70337803249</v>
      </c>
    </row>
    <row r="202" spans="2:10" hidden="1" outlineLevel="1" x14ac:dyDescent="0.2">
      <c r="B202" s="44">
        <v>49980</v>
      </c>
      <c r="C202" s="15">
        <f t="shared" si="18"/>
        <v>256741.9675928677</v>
      </c>
      <c r="D202" s="16">
        <f t="shared" si="19"/>
        <v>1058.7821707077869</v>
      </c>
      <c r="E202" s="21">
        <f t="shared" si="17"/>
        <v>1849.2427544772909</v>
      </c>
      <c r="F202" s="163">
        <v>0</v>
      </c>
      <c r="G202" s="16">
        <f t="shared" si="20"/>
        <v>254892.72483839042</v>
      </c>
      <c r="I202" s="21">
        <f t="shared" si="21"/>
        <v>245107.27516160934</v>
      </c>
      <c r="J202" s="16">
        <f t="shared" si="22"/>
        <v>310325.48554874025</v>
      </c>
    </row>
    <row r="203" spans="2:10" hidden="1" outlineLevel="1" x14ac:dyDescent="0.2">
      <c r="B203" s="44">
        <v>50010</v>
      </c>
      <c r="C203" s="15">
        <f t="shared" si="18"/>
        <v>254892.72483839042</v>
      </c>
      <c r="D203" s="16">
        <f t="shared" si="19"/>
        <v>1051.1560499137922</v>
      </c>
      <c r="E203" s="21">
        <f t="shared" si="17"/>
        <v>1856.8688752712856</v>
      </c>
      <c r="F203" s="162">
        <v>0</v>
      </c>
      <c r="G203" s="16">
        <f t="shared" si="20"/>
        <v>253035.85596311913</v>
      </c>
      <c r="I203" s="21">
        <f t="shared" si="21"/>
        <v>246964.14403688064</v>
      </c>
      <c r="J203" s="16">
        <f t="shared" si="22"/>
        <v>311376.64159865404</v>
      </c>
    </row>
    <row r="204" spans="2:10" hidden="1" outlineLevel="1" x14ac:dyDescent="0.2">
      <c r="B204" s="44">
        <v>50041</v>
      </c>
      <c r="C204" s="15">
        <f t="shared" si="18"/>
        <v>253035.85596311913</v>
      </c>
      <c r="D204" s="16">
        <f t="shared" si="19"/>
        <v>1043.4984796423159</v>
      </c>
      <c r="E204" s="21">
        <f t="shared" ref="E204:E267" si="23">E$9-D204</f>
        <v>1864.5264455427618</v>
      </c>
      <c r="F204" s="163">
        <v>0</v>
      </c>
      <c r="G204" s="16">
        <f t="shared" si="20"/>
        <v>251171.32951757638</v>
      </c>
      <c r="I204" s="21">
        <f t="shared" si="21"/>
        <v>248828.67048242339</v>
      </c>
      <c r="J204" s="16">
        <f t="shared" si="22"/>
        <v>312420.14007829636</v>
      </c>
    </row>
    <row r="205" spans="2:10" hidden="1" outlineLevel="1" x14ac:dyDescent="0.2">
      <c r="B205" s="44">
        <v>50072</v>
      </c>
      <c r="C205" s="15">
        <f t="shared" si="18"/>
        <v>251171.32951757638</v>
      </c>
      <c r="D205" s="16">
        <f t="shared" si="19"/>
        <v>1035.8093301983718</v>
      </c>
      <c r="E205" s="21">
        <f t="shared" si="23"/>
        <v>1872.215594986706</v>
      </c>
      <c r="F205" s="163">
        <v>0</v>
      </c>
      <c r="G205" s="16">
        <f t="shared" si="20"/>
        <v>249299.11392258966</v>
      </c>
      <c r="I205" s="21">
        <f t="shared" si="21"/>
        <v>250700.8860774101</v>
      </c>
      <c r="J205" s="16">
        <f t="shared" si="22"/>
        <v>313455.94940849475</v>
      </c>
    </row>
    <row r="206" spans="2:10" hidden="1" outlineLevel="1" x14ac:dyDescent="0.2">
      <c r="B206" s="44">
        <v>50100</v>
      </c>
      <c r="C206" s="15">
        <f t="shared" si="18"/>
        <v>249299.11392258966</v>
      </c>
      <c r="D206" s="16">
        <f t="shared" si="19"/>
        <v>1028.0884713521218</v>
      </c>
      <c r="E206" s="21">
        <f t="shared" si="23"/>
        <v>1879.936453832956</v>
      </c>
      <c r="F206" s="162">
        <v>0</v>
      </c>
      <c r="G206" s="16">
        <f t="shared" si="20"/>
        <v>247419.17746875671</v>
      </c>
      <c r="I206" s="21">
        <f t="shared" si="21"/>
        <v>252580.82253124306</v>
      </c>
      <c r="J206" s="16">
        <f t="shared" si="22"/>
        <v>314484.03787984687</v>
      </c>
    </row>
    <row r="207" spans="2:10" hidden="1" outlineLevel="1" x14ac:dyDescent="0.2">
      <c r="B207" s="44">
        <v>50131</v>
      </c>
      <c r="C207" s="15">
        <f t="shared" si="18"/>
        <v>247419.17746875671</v>
      </c>
      <c r="D207" s="16">
        <f t="shared" si="19"/>
        <v>1020.3357723366718</v>
      </c>
      <c r="E207" s="21">
        <f t="shared" si="23"/>
        <v>1887.6891528484061</v>
      </c>
      <c r="F207" s="163">
        <v>0</v>
      </c>
      <c r="G207" s="16">
        <f t="shared" si="20"/>
        <v>245531.4883159083</v>
      </c>
      <c r="I207" s="21">
        <f t="shared" si="21"/>
        <v>254468.51168409147</v>
      </c>
      <c r="J207" s="16">
        <f t="shared" si="22"/>
        <v>315504.37365218357</v>
      </c>
    </row>
    <row r="208" spans="2:10" hidden="1" outlineLevel="1" x14ac:dyDescent="0.2">
      <c r="B208" s="44">
        <v>50161</v>
      </c>
      <c r="C208" s="15">
        <f t="shared" si="18"/>
        <v>245531.4883159083</v>
      </c>
      <c r="D208" s="16">
        <f t="shared" si="19"/>
        <v>1012.5511018458551</v>
      </c>
      <c r="E208" s="21">
        <f t="shared" si="23"/>
        <v>1895.4738233392227</v>
      </c>
      <c r="F208" s="163">
        <v>0</v>
      </c>
      <c r="G208" s="16">
        <f t="shared" si="20"/>
        <v>243636.01449256908</v>
      </c>
      <c r="I208" s="21">
        <f t="shared" si="21"/>
        <v>256363.98550743068</v>
      </c>
      <c r="J208" s="16">
        <f t="shared" si="22"/>
        <v>316516.92475402943</v>
      </c>
    </row>
    <row r="209" spans="2:10" hidden="1" outlineLevel="1" x14ac:dyDescent="0.2">
      <c r="B209" s="44">
        <v>50192</v>
      </c>
      <c r="C209" s="15">
        <f t="shared" si="18"/>
        <v>243636.01449256908</v>
      </c>
      <c r="D209" s="16">
        <f t="shared" si="19"/>
        <v>1004.7343280320105</v>
      </c>
      <c r="E209" s="21">
        <f t="shared" si="23"/>
        <v>1903.2905971530672</v>
      </c>
      <c r="F209" s="162">
        <v>0</v>
      </c>
      <c r="G209" s="16">
        <f t="shared" si="20"/>
        <v>241732.72389541601</v>
      </c>
      <c r="I209" s="21">
        <f t="shared" si="21"/>
        <v>258267.27610458375</v>
      </c>
      <c r="J209" s="16">
        <f t="shared" si="22"/>
        <v>317521.65908206144</v>
      </c>
    </row>
    <row r="210" spans="2:10" hidden="1" outlineLevel="1" x14ac:dyDescent="0.2">
      <c r="B210" s="44">
        <v>50222</v>
      </c>
      <c r="C210" s="15">
        <f t="shared" si="18"/>
        <v>241732.72389541601</v>
      </c>
      <c r="D210" s="16">
        <f t="shared" si="19"/>
        <v>996.88531850374727</v>
      </c>
      <c r="E210" s="21">
        <f t="shared" si="23"/>
        <v>1911.1396066813304</v>
      </c>
      <c r="F210" s="163">
        <v>0</v>
      </c>
      <c r="G210" s="16">
        <f t="shared" si="20"/>
        <v>239821.58428873468</v>
      </c>
      <c r="I210" s="21">
        <f t="shared" si="21"/>
        <v>260178.41571126509</v>
      </c>
      <c r="J210" s="16">
        <f t="shared" si="22"/>
        <v>318518.54440056521</v>
      </c>
    </row>
    <row r="211" spans="2:10" hidden="1" outlineLevel="1" x14ac:dyDescent="0.2">
      <c r="B211" s="44">
        <v>50253</v>
      </c>
      <c r="C211" s="15">
        <f t="shared" si="18"/>
        <v>239821.58428873468</v>
      </c>
      <c r="D211" s="16">
        <f t="shared" si="19"/>
        <v>989.00394032370446</v>
      </c>
      <c r="E211" s="21">
        <f t="shared" si="23"/>
        <v>1919.0209848613733</v>
      </c>
      <c r="F211" s="163">
        <v>0</v>
      </c>
      <c r="G211" s="16">
        <f t="shared" si="20"/>
        <v>237902.56330387332</v>
      </c>
      <c r="I211" s="21">
        <f t="shared" si="21"/>
        <v>262097.43669612645</v>
      </c>
      <c r="J211" s="16">
        <f t="shared" si="22"/>
        <v>319507.54834088893</v>
      </c>
    </row>
    <row r="212" spans="2:10" hidden="1" outlineLevel="1" x14ac:dyDescent="0.2">
      <c r="B212" s="44">
        <v>50284</v>
      </c>
      <c r="C212" s="15">
        <f t="shared" si="18"/>
        <v>237902.56330387332</v>
      </c>
      <c r="D212" s="16">
        <f t="shared" si="19"/>
        <v>981.09006000629847</v>
      </c>
      <c r="E212" s="21">
        <f t="shared" si="23"/>
        <v>1926.9348651787793</v>
      </c>
      <c r="F212" s="162">
        <v>0</v>
      </c>
      <c r="G212" s="16">
        <f t="shared" si="20"/>
        <v>235975.62843869455</v>
      </c>
      <c r="I212" s="21">
        <f t="shared" si="21"/>
        <v>264024.37156130525</v>
      </c>
      <c r="J212" s="16">
        <f t="shared" si="22"/>
        <v>320488.63840089523</v>
      </c>
    </row>
    <row r="213" spans="2:10" hidden="1" outlineLevel="1" x14ac:dyDescent="0.2">
      <c r="B213" s="44">
        <v>50314</v>
      </c>
      <c r="C213" s="15">
        <f t="shared" si="18"/>
        <v>235975.62843869455</v>
      </c>
      <c r="D213" s="16">
        <f t="shared" si="19"/>
        <v>973.14354351546206</v>
      </c>
      <c r="E213" s="21">
        <f t="shared" si="23"/>
        <v>1934.8813816696156</v>
      </c>
      <c r="F213" s="163">
        <v>0</v>
      </c>
      <c r="G213" s="16">
        <f t="shared" si="20"/>
        <v>234040.74705702494</v>
      </c>
      <c r="I213" s="21">
        <f t="shared" si="21"/>
        <v>265959.25294297485</v>
      </c>
      <c r="J213" s="16">
        <f t="shared" si="22"/>
        <v>321461.7819444107</v>
      </c>
    </row>
    <row r="214" spans="2:10" hidden="1" outlineLevel="1" x14ac:dyDescent="0.2">
      <c r="B214" s="44">
        <v>50345</v>
      </c>
      <c r="C214" s="15">
        <f t="shared" si="18"/>
        <v>234040.74705702494</v>
      </c>
      <c r="D214" s="16">
        <f t="shared" si="19"/>
        <v>965.16425626237515</v>
      </c>
      <c r="E214" s="21">
        <f t="shared" si="23"/>
        <v>1942.8606689227026</v>
      </c>
      <c r="F214" s="163">
        <v>0</v>
      </c>
      <c r="G214" s="16">
        <f t="shared" si="20"/>
        <v>232097.88638810223</v>
      </c>
      <c r="I214" s="21">
        <f t="shared" si="21"/>
        <v>267902.11361189757</v>
      </c>
      <c r="J214" s="16">
        <f t="shared" si="22"/>
        <v>322426.94620067306</v>
      </c>
    </row>
    <row r="215" spans="2:10" hidden="1" outlineLevel="1" x14ac:dyDescent="0.2">
      <c r="B215" s="44">
        <v>50375</v>
      </c>
      <c r="C215" s="15">
        <f t="shared" si="18"/>
        <v>232097.88638810223</v>
      </c>
      <c r="D215" s="16">
        <f t="shared" si="19"/>
        <v>957.15206310318433</v>
      </c>
      <c r="E215" s="21">
        <f t="shared" si="23"/>
        <v>1950.8728620818933</v>
      </c>
      <c r="F215" s="162">
        <v>0</v>
      </c>
      <c r="G215" s="16">
        <f t="shared" si="20"/>
        <v>230147.01352602034</v>
      </c>
      <c r="I215" s="21">
        <f t="shared" si="21"/>
        <v>269852.98647397949</v>
      </c>
      <c r="J215" s="16">
        <f t="shared" si="22"/>
        <v>323384.09826377622</v>
      </c>
    </row>
    <row r="216" spans="2:10" hidden="1" outlineLevel="1" x14ac:dyDescent="0.2">
      <c r="B216" s="44">
        <v>50406</v>
      </c>
      <c r="C216" s="15">
        <f t="shared" si="18"/>
        <v>230147.01352602034</v>
      </c>
      <c r="D216" s="16">
        <f t="shared" si="19"/>
        <v>949.10682833671456</v>
      </c>
      <c r="E216" s="21">
        <f t="shared" si="23"/>
        <v>1958.9180968483633</v>
      </c>
      <c r="F216" s="163">
        <v>0</v>
      </c>
      <c r="G216" s="16">
        <f t="shared" si="20"/>
        <v>228188.09542917198</v>
      </c>
      <c r="I216" s="21">
        <f t="shared" si="21"/>
        <v>271811.90457082784</v>
      </c>
      <c r="J216" s="16">
        <f t="shared" si="22"/>
        <v>324333.20509211294</v>
      </c>
    </row>
    <row r="217" spans="2:10" hidden="1" outlineLevel="1" x14ac:dyDescent="0.2">
      <c r="B217" s="44">
        <v>50437</v>
      </c>
      <c r="C217" s="15">
        <f t="shared" si="18"/>
        <v>228188.09542917198</v>
      </c>
      <c r="D217" s="16">
        <f t="shared" si="19"/>
        <v>941.02841570217072</v>
      </c>
      <c r="E217" s="21">
        <f t="shared" si="23"/>
        <v>1966.9965094829072</v>
      </c>
      <c r="F217" s="163">
        <v>0</v>
      </c>
      <c r="G217" s="16">
        <f t="shared" si="20"/>
        <v>226221.09891968907</v>
      </c>
      <c r="I217" s="21">
        <f t="shared" si="21"/>
        <v>273778.90108031075</v>
      </c>
      <c r="J217" s="16">
        <f t="shared" si="22"/>
        <v>325274.23350781511</v>
      </c>
    </row>
    <row r="218" spans="2:10" hidden="1" outlineLevel="1" x14ac:dyDescent="0.2">
      <c r="B218" s="44">
        <v>50465</v>
      </c>
      <c r="C218" s="15">
        <f t="shared" si="18"/>
        <v>226221.09891968907</v>
      </c>
      <c r="D218" s="16">
        <f t="shared" si="19"/>
        <v>932.91668837682948</v>
      </c>
      <c r="E218" s="21">
        <f t="shared" si="23"/>
        <v>1975.1082368082484</v>
      </c>
      <c r="F218" s="162">
        <v>0</v>
      </c>
      <c r="G218" s="16">
        <f t="shared" si="20"/>
        <v>224245.99068288083</v>
      </c>
      <c r="I218" s="21">
        <f t="shared" si="21"/>
        <v>275754.00931711902</v>
      </c>
      <c r="J218" s="16">
        <f t="shared" si="22"/>
        <v>326207.15019619191</v>
      </c>
    </row>
    <row r="219" spans="2:10" hidden="1" outlineLevel="1" x14ac:dyDescent="0.2">
      <c r="B219" s="44">
        <v>50496</v>
      </c>
      <c r="C219" s="15">
        <f t="shared" si="18"/>
        <v>224245.99068288083</v>
      </c>
      <c r="D219" s="16">
        <f t="shared" si="19"/>
        <v>924.77150897372212</v>
      </c>
      <c r="E219" s="21">
        <f t="shared" si="23"/>
        <v>1983.2534162113557</v>
      </c>
      <c r="F219" s="163">
        <v>0</v>
      </c>
      <c r="G219" s="16">
        <f t="shared" si="20"/>
        <v>222262.73726666949</v>
      </c>
      <c r="I219" s="21">
        <f t="shared" si="21"/>
        <v>277737.26273333037</v>
      </c>
      <c r="J219" s="16">
        <f t="shared" si="22"/>
        <v>327131.92170516565</v>
      </c>
    </row>
    <row r="220" spans="2:10" hidden="1" outlineLevel="1" x14ac:dyDescent="0.2">
      <c r="B220" s="44">
        <v>50526</v>
      </c>
      <c r="C220" s="15">
        <f t="shared" si="18"/>
        <v>222262.73726666949</v>
      </c>
      <c r="D220" s="16">
        <f t="shared" si="19"/>
        <v>916.59273953930801</v>
      </c>
      <c r="E220" s="21">
        <f t="shared" si="23"/>
        <v>1991.4321856457698</v>
      </c>
      <c r="F220" s="163">
        <v>0</v>
      </c>
      <c r="G220" s="16">
        <f t="shared" si="20"/>
        <v>220271.30508102372</v>
      </c>
      <c r="I220" s="21">
        <f t="shared" si="21"/>
        <v>279728.69491897617</v>
      </c>
      <c r="J220" s="16">
        <f t="shared" si="22"/>
        <v>328048.51444470492</v>
      </c>
    </row>
    <row r="221" spans="2:10" hidden="1" outlineLevel="1" x14ac:dyDescent="0.2">
      <c r="B221" s="44">
        <v>50557</v>
      </c>
      <c r="C221" s="15">
        <f t="shared" si="18"/>
        <v>220271.30508102372</v>
      </c>
      <c r="D221" s="16">
        <f t="shared" si="19"/>
        <v>908.38024155113749</v>
      </c>
      <c r="E221" s="21">
        <f t="shared" si="23"/>
        <v>1999.6446836339403</v>
      </c>
      <c r="F221" s="162">
        <v>0</v>
      </c>
      <c r="G221" s="16">
        <f t="shared" si="20"/>
        <v>218271.66039738979</v>
      </c>
      <c r="I221" s="21">
        <f t="shared" si="21"/>
        <v>281728.3396026101</v>
      </c>
      <c r="J221" s="16">
        <f t="shared" si="22"/>
        <v>328956.89468625607</v>
      </c>
    </row>
    <row r="222" spans="2:10" hidden="1" outlineLevel="1" x14ac:dyDescent="0.2">
      <c r="B222" s="44">
        <v>50587</v>
      </c>
      <c r="C222" s="15">
        <f t="shared" si="18"/>
        <v>218271.66039738979</v>
      </c>
      <c r="D222" s="16">
        <f t="shared" si="19"/>
        <v>900.13387591550611</v>
      </c>
      <c r="E222" s="21">
        <f t="shared" si="23"/>
        <v>2007.8910492695718</v>
      </c>
      <c r="F222" s="163">
        <v>0</v>
      </c>
      <c r="G222" s="16">
        <f t="shared" si="20"/>
        <v>216263.76934812023</v>
      </c>
      <c r="I222" s="21">
        <f t="shared" si="21"/>
        <v>283736.23065187968</v>
      </c>
      <c r="J222" s="16">
        <f t="shared" si="22"/>
        <v>329857.02856217156</v>
      </c>
    </row>
    <row r="223" spans="2:10" hidden="1" outlineLevel="1" x14ac:dyDescent="0.2">
      <c r="B223" s="44">
        <v>50618</v>
      </c>
      <c r="C223" s="15">
        <f t="shared" si="18"/>
        <v>216263.76934812023</v>
      </c>
      <c r="D223" s="16">
        <f t="shared" si="19"/>
        <v>891.85350296509864</v>
      </c>
      <c r="E223" s="21">
        <f t="shared" si="23"/>
        <v>2016.1714222199791</v>
      </c>
      <c r="F223" s="163">
        <v>0</v>
      </c>
      <c r="G223" s="16">
        <f t="shared" si="20"/>
        <v>214247.59792590025</v>
      </c>
      <c r="I223" s="21">
        <f t="shared" si="21"/>
        <v>285752.40207409963</v>
      </c>
      <c r="J223" s="16">
        <f t="shared" si="22"/>
        <v>330748.88206513668</v>
      </c>
    </row>
    <row r="224" spans="2:10" hidden="1" outlineLevel="1" x14ac:dyDescent="0.2">
      <c r="B224" s="44">
        <v>50649</v>
      </c>
      <c r="C224" s="15">
        <f t="shared" si="18"/>
        <v>214247.59792590025</v>
      </c>
      <c r="D224" s="16">
        <f t="shared" si="19"/>
        <v>883.5389824566239</v>
      </c>
      <c r="E224" s="21">
        <f t="shared" si="23"/>
        <v>2024.4859427284539</v>
      </c>
      <c r="F224" s="162">
        <v>0</v>
      </c>
      <c r="G224" s="16">
        <f t="shared" si="20"/>
        <v>212223.11198317178</v>
      </c>
      <c r="I224" s="21">
        <f t="shared" si="21"/>
        <v>287776.8880168281</v>
      </c>
      <c r="J224" s="16">
        <f t="shared" si="22"/>
        <v>331632.42104759329</v>
      </c>
    </row>
    <row r="225" spans="2:10" hidden="1" outlineLevel="1" x14ac:dyDescent="0.2">
      <c r="B225" s="44">
        <v>50679</v>
      </c>
      <c r="C225" s="15">
        <f t="shared" si="18"/>
        <v>212223.11198317178</v>
      </c>
      <c r="D225" s="16">
        <f t="shared" si="19"/>
        <v>875.19017356843881</v>
      </c>
      <c r="E225" s="21">
        <f t="shared" si="23"/>
        <v>2032.8347516166391</v>
      </c>
      <c r="F225" s="163">
        <v>0</v>
      </c>
      <c r="G225" s="16">
        <f t="shared" si="20"/>
        <v>210190.27723155514</v>
      </c>
      <c r="I225" s="21">
        <f t="shared" si="21"/>
        <v>289809.72276844474</v>
      </c>
      <c r="J225" s="16">
        <f t="shared" si="22"/>
        <v>332507.61122116173</v>
      </c>
    </row>
    <row r="226" spans="2:10" hidden="1" outlineLevel="1" x14ac:dyDescent="0.2">
      <c r="B226" s="44">
        <v>50710</v>
      </c>
      <c r="C226" s="15">
        <f t="shared" si="18"/>
        <v>210190.27723155514</v>
      </c>
      <c r="D226" s="16">
        <f t="shared" si="19"/>
        <v>866.80693489816429</v>
      </c>
      <c r="E226" s="21">
        <f t="shared" si="23"/>
        <v>2041.2179902869134</v>
      </c>
      <c r="F226" s="163">
        <v>0</v>
      </c>
      <c r="G226" s="16">
        <f t="shared" si="20"/>
        <v>208149.05924126823</v>
      </c>
      <c r="I226" s="21">
        <f t="shared" si="21"/>
        <v>291850.94075873168</v>
      </c>
      <c r="J226" s="16">
        <f t="shared" si="22"/>
        <v>333374.41815605987</v>
      </c>
    </row>
    <row r="227" spans="2:10" hidden="1" outlineLevel="1" x14ac:dyDescent="0.2">
      <c r="B227" s="44">
        <v>50740</v>
      </c>
      <c r="C227" s="15">
        <f t="shared" si="18"/>
        <v>208149.05924126823</v>
      </c>
      <c r="D227" s="16">
        <f t="shared" si="19"/>
        <v>858.38912446028951</v>
      </c>
      <c r="E227" s="21">
        <f t="shared" si="23"/>
        <v>2049.6358007247882</v>
      </c>
      <c r="F227" s="162">
        <v>0</v>
      </c>
      <c r="G227" s="16">
        <f t="shared" si="20"/>
        <v>206099.42344054344</v>
      </c>
      <c r="I227" s="21">
        <f t="shared" si="21"/>
        <v>293900.57655945647</v>
      </c>
      <c r="J227" s="16">
        <f t="shared" si="22"/>
        <v>334232.80728052015</v>
      </c>
    </row>
    <row r="228" spans="2:10" hidden="1" outlineLevel="1" x14ac:dyDescent="0.2">
      <c r="B228" s="44">
        <v>50771</v>
      </c>
      <c r="C228" s="15">
        <f t="shared" si="18"/>
        <v>206099.42344054344</v>
      </c>
      <c r="D228" s="16">
        <f t="shared" si="19"/>
        <v>849.93659968376721</v>
      </c>
      <c r="E228" s="21">
        <f t="shared" si="23"/>
        <v>2058.0883255013105</v>
      </c>
      <c r="F228" s="163">
        <v>0</v>
      </c>
      <c r="G228" s="16">
        <f t="shared" si="20"/>
        <v>204041.33511504214</v>
      </c>
      <c r="I228" s="21">
        <f t="shared" si="21"/>
        <v>295958.66488495778</v>
      </c>
      <c r="J228" s="16">
        <f t="shared" si="22"/>
        <v>335082.74388020393</v>
      </c>
    </row>
    <row r="229" spans="2:10" hidden="1" outlineLevel="1" x14ac:dyDescent="0.2">
      <c r="B229" s="44">
        <v>50802</v>
      </c>
      <c r="C229" s="15">
        <f t="shared" si="18"/>
        <v>204041.33511504214</v>
      </c>
      <c r="D229" s="16">
        <f t="shared" si="19"/>
        <v>841.44921740959967</v>
      </c>
      <c r="E229" s="21">
        <f t="shared" si="23"/>
        <v>2066.5757077754779</v>
      </c>
      <c r="F229" s="163">
        <v>0</v>
      </c>
      <c r="G229" s="16">
        <f t="shared" si="20"/>
        <v>201974.75940726665</v>
      </c>
      <c r="I229" s="21">
        <f t="shared" si="21"/>
        <v>298025.24059273326</v>
      </c>
      <c r="J229" s="16">
        <f t="shared" si="22"/>
        <v>335924.19309761352</v>
      </c>
    </row>
    <row r="230" spans="2:10" hidden="1" outlineLevel="1" x14ac:dyDescent="0.2">
      <c r="B230" s="44">
        <v>50830</v>
      </c>
      <c r="C230" s="15">
        <f t="shared" si="18"/>
        <v>201974.75940726665</v>
      </c>
      <c r="D230" s="16">
        <f t="shared" si="19"/>
        <v>832.92683388841294</v>
      </c>
      <c r="E230" s="21">
        <f t="shared" si="23"/>
        <v>2075.0980912966647</v>
      </c>
      <c r="F230" s="162">
        <v>0</v>
      </c>
      <c r="G230" s="16">
        <f t="shared" si="20"/>
        <v>199899.66131596998</v>
      </c>
      <c r="I230" s="21">
        <f t="shared" si="21"/>
        <v>300100.33868402994</v>
      </c>
      <c r="J230" s="16">
        <f t="shared" si="22"/>
        <v>336757.11993150192</v>
      </c>
    </row>
    <row r="231" spans="2:10" hidden="1" outlineLevel="1" x14ac:dyDescent="0.2">
      <c r="B231" s="44">
        <v>50861</v>
      </c>
      <c r="C231" s="15">
        <f t="shared" si="18"/>
        <v>199899.66131596998</v>
      </c>
      <c r="D231" s="16">
        <f t="shared" si="19"/>
        <v>824.36930477802321</v>
      </c>
      <c r="E231" s="21">
        <f t="shared" si="23"/>
        <v>2083.6556204070548</v>
      </c>
      <c r="F231" s="163">
        <v>0</v>
      </c>
      <c r="G231" s="16">
        <f t="shared" si="20"/>
        <v>197816.00569556293</v>
      </c>
      <c r="I231" s="21">
        <f t="shared" si="21"/>
        <v>302183.99430443702</v>
      </c>
      <c r="J231" s="16">
        <f t="shared" si="22"/>
        <v>337581.48923627991</v>
      </c>
    </row>
    <row r="232" spans="2:10" hidden="1" outlineLevel="1" x14ac:dyDescent="0.2">
      <c r="B232" s="44">
        <v>50891</v>
      </c>
      <c r="C232" s="15">
        <f t="shared" si="18"/>
        <v>197816.00569556293</v>
      </c>
      <c r="D232" s="16">
        <f t="shared" si="19"/>
        <v>815.77648514099189</v>
      </c>
      <c r="E232" s="21">
        <f t="shared" si="23"/>
        <v>2092.2484400440858</v>
      </c>
      <c r="F232" s="163">
        <v>0</v>
      </c>
      <c r="G232" s="16">
        <f t="shared" si="20"/>
        <v>195723.75725551884</v>
      </c>
      <c r="I232" s="21">
        <f t="shared" si="21"/>
        <v>304276.24274448107</v>
      </c>
      <c r="J232" s="16">
        <f t="shared" si="22"/>
        <v>338397.26572142093</v>
      </c>
    </row>
    <row r="233" spans="2:10" hidden="1" outlineLevel="1" x14ac:dyDescent="0.2">
      <c r="B233" s="44">
        <v>50922</v>
      </c>
      <c r="C233" s="15">
        <f t="shared" si="18"/>
        <v>195723.75725551884</v>
      </c>
      <c r="D233" s="16">
        <f t="shared" si="19"/>
        <v>807.14822944217019</v>
      </c>
      <c r="E233" s="21">
        <f t="shared" si="23"/>
        <v>2100.8766957429075</v>
      </c>
      <c r="F233" s="162">
        <v>0</v>
      </c>
      <c r="G233" s="16">
        <f t="shared" si="20"/>
        <v>193622.88055977592</v>
      </c>
      <c r="I233" s="21">
        <f t="shared" si="21"/>
        <v>306377.11944022396</v>
      </c>
      <c r="J233" s="16">
        <f t="shared" si="22"/>
        <v>339204.41395086312</v>
      </c>
    </row>
    <row r="234" spans="2:10" hidden="1" outlineLevel="1" x14ac:dyDescent="0.2">
      <c r="B234" s="44">
        <v>50952</v>
      </c>
      <c r="C234" s="15">
        <f t="shared" si="18"/>
        <v>193622.88055977592</v>
      </c>
      <c r="D234" s="16">
        <f t="shared" si="19"/>
        <v>798.48439154623486</v>
      </c>
      <c r="E234" s="21">
        <f t="shared" si="23"/>
        <v>2109.540533638843</v>
      </c>
      <c r="F234" s="163">
        <v>0</v>
      </c>
      <c r="G234" s="16">
        <f t="shared" si="20"/>
        <v>191513.34002613707</v>
      </c>
      <c r="I234" s="21">
        <f t="shared" si="21"/>
        <v>308486.65997386281</v>
      </c>
      <c r="J234" s="16">
        <f t="shared" si="22"/>
        <v>340002.89834240935</v>
      </c>
    </row>
    <row r="235" spans="2:10" hidden="1" outlineLevel="1" x14ac:dyDescent="0.2">
      <c r="B235" s="44">
        <v>50983</v>
      </c>
      <c r="C235" s="15">
        <f t="shared" si="18"/>
        <v>191513.34002613707</v>
      </c>
      <c r="D235" s="16">
        <f t="shared" si="19"/>
        <v>789.78482471521295</v>
      </c>
      <c r="E235" s="21">
        <f t="shared" si="23"/>
        <v>2118.240100469865</v>
      </c>
      <c r="F235" s="163">
        <v>0</v>
      </c>
      <c r="G235" s="16">
        <f t="shared" si="20"/>
        <v>189395.09992566719</v>
      </c>
      <c r="I235" s="21">
        <f t="shared" si="21"/>
        <v>310604.90007433266</v>
      </c>
      <c r="J235" s="16">
        <f t="shared" si="22"/>
        <v>340792.68316712457</v>
      </c>
    </row>
    <row r="236" spans="2:10" hidden="1" outlineLevel="1" x14ac:dyDescent="0.2">
      <c r="B236" s="44">
        <v>51014</v>
      </c>
      <c r="C236" s="15">
        <f t="shared" si="18"/>
        <v>189395.09992566719</v>
      </c>
      <c r="D236" s="16">
        <f t="shared" si="19"/>
        <v>781.04938160599659</v>
      </c>
      <c r="E236" s="21">
        <f t="shared" si="23"/>
        <v>2126.9755435790812</v>
      </c>
      <c r="F236" s="162">
        <v>0</v>
      </c>
      <c r="G236" s="16">
        <f t="shared" si="20"/>
        <v>187268.12438208811</v>
      </c>
      <c r="I236" s="21">
        <f t="shared" si="21"/>
        <v>312731.87561791175</v>
      </c>
      <c r="J236" s="16">
        <f t="shared" si="22"/>
        <v>341573.73254873056</v>
      </c>
    </row>
    <row r="237" spans="2:10" hidden="1" outlineLevel="1" x14ac:dyDescent="0.2">
      <c r="B237" s="44">
        <v>51044</v>
      </c>
      <c r="C237" s="15">
        <f t="shared" si="18"/>
        <v>187268.12438208811</v>
      </c>
      <c r="D237" s="16">
        <f t="shared" si="19"/>
        <v>772.27791426784722</v>
      </c>
      <c r="E237" s="21">
        <f t="shared" si="23"/>
        <v>2135.7470109172305</v>
      </c>
      <c r="F237" s="163">
        <v>0</v>
      </c>
      <c r="G237" s="16">
        <f t="shared" si="20"/>
        <v>185132.37737117088</v>
      </c>
      <c r="I237" s="21">
        <f t="shared" si="21"/>
        <v>314867.62262882898</v>
      </c>
      <c r="J237" s="16">
        <f t="shared" si="22"/>
        <v>342346.01046299841</v>
      </c>
    </row>
    <row r="238" spans="2:10" hidden="1" outlineLevel="1" x14ac:dyDescent="0.2">
      <c r="B238" s="44">
        <v>51075</v>
      </c>
      <c r="C238" s="15">
        <f t="shared" si="18"/>
        <v>185132.37737117088</v>
      </c>
      <c r="D238" s="16">
        <f t="shared" si="19"/>
        <v>763.47027413989008</v>
      </c>
      <c r="E238" s="21">
        <f t="shared" si="23"/>
        <v>2144.5546510451877</v>
      </c>
      <c r="F238" s="163">
        <v>0</v>
      </c>
      <c r="G238" s="16">
        <f t="shared" si="20"/>
        <v>182987.8227201257</v>
      </c>
      <c r="I238" s="21">
        <f t="shared" si="21"/>
        <v>317012.17727987416</v>
      </c>
      <c r="J238" s="16">
        <f t="shared" si="22"/>
        <v>343109.48073713831</v>
      </c>
    </row>
    <row r="239" spans="2:10" hidden="1" outlineLevel="1" x14ac:dyDescent="0.2">
      <c r="B239" s="44">
        <v>51105</v>
      </c>
      <c r="C239" s="15">
        <f t="shared" si="18"/>
        <v>182987.8227201257</v>
      </c>
      <c r="D239" s="16">
        <f t="shared" si="19"/>
        <v>754.62631204859792</v>
      </c>
      <c r="E239" s="21">
        <f t="shared" si="23"/>
        <v>2153.39861313648</v>
      </c>
      <c r="F239" s="162">
        <v>0</v>
      </c>
      <c r="G239" s="16">
        <f t="shared" si="20"/>
        <v>180834.42410698923</v>
      </c>
      <c r="I239" s="21">
        <f t="shared" si="21"/>
        <v>319165.57589301065</v>
      </c>
      <c r="J239" s="16">
        <f t="shared" si="22"/>
        <v>343864.10704918689</v>
      </c>
    </row>
    <row r="240" spans="2:10" hidden="1" outlineLevel="1" x14ac:dyDescent="0.2">
      <c r="B240" s="44">
        <v>51136</v>
      </c>
      <c r="C240" s="15">
        <f t="shared" si="18"/>
        <v>180834.42410698923</v>
      </c>
      <c r="D240" s="16">
        <f t="shared" si="19"/>
        <v>745.74587820526426</v>
      </c>
      <c r="E240" s="21">
        <f t="shared" si="23"/>
        <v>2162.2790469798138</v>
      </c>
      <c r="F240" s="163">
        <v>0</v>
      </c>
      <c r="G240" s="16">
        <f t="shared" si="20"/>
        <v>178672.14506000941</v>
      </c>
      <c r="I240" s="21">
        <f t="shared" si="21"/>
        <v>321327.85493999044</v>
      </c>
      <c r="J240" s="16">
        <f t="shared" si="22"/>
        <v>344609.85292739217</v>
      </c>
    </row>
    <row r="241" spans="2:10" hidden="1" outlineLevel="1" x14ac:dyDescent="0.2">
      <c r="B241" s="44">
        <v>51167</v>
      </c>
      <c r="C241" s="15">
        <f t="shared" si="18"/>
        <v>178672.14506000941</v>
      </c>
      <c r="D241" s="16">
        <f t="shared" si="19"/>
        <v>736.82882220346687</v>
      </c>
      <c r="E241" s="21">
        <f t="shared" si="23"/>
        <v>2171.1961029816111</v>
      </c>
      <c r="F241" s="163">
        <v>0</v>
      </c>
      <c r="G241" s="16">
        <f t="shared" si="20"/>
        <v>176500.94895702781</v>
      </c>
      <c r="I241" s="21">
        <f t="shared" si="21"/>
        <v>323499.05104297207</v>
      </c>
      <c r="J241" s="16">
        <f t="shared" si="22"/>
        <v>345346.68174959562</v>
      </c>
    </row>
    <row r="242" spans="2:10" hidden="1" outlineLevel="1" x14ac:dyDescent="0.2">
      <c r="B242" s="44">
        <v>51196</v>
      </c>
      <c r="C242" s="15">
        <f t="shared" si="18"/>
        <v>176500.94895702781</v>
      </c>
      <c r="D242" s="16">
        <f t="shared" si="19"/>
        <v>727.87499301652008</v>
      </c>
      <c r="E242" s="21">
        <f t="shared" si="23"/>
        <v>2180.1499321685578</v>
      </c>
      <c r="F242" s="162">
        <v>0</v>
      </c>
      <c r="G242" s="16">
        <f t="shared" si="20"/>
        <v>174320.79902485924</v>
      </c>
      <c r="I242" s="21">
        <f t="shared" si="21"/>
        <v>325679.20097514061</v>
      </c>
      <c r="J242" s="16">
        <f t="shared" si="22"/>
        <v>346074.55674261216</v>
      </c>
    </row>
    <row r="243" spans="2:10" hidden="1" outlineLevel="1" x14ac:dyDescent="0.2">
      <c r="B243" s="44">
        <v>51227</v>
      </c>
      <c r="C243" s="15">
        <f t="shared" si="18"/>
        <v>174320.79902485924</v>
      </c>
      <c r="D243" s="16">
        <f t="shared" si="19"/>
        <v>718.88423899491704</v>
      </c>
      <c r="E243" s="21">
        <f t="shared" si="23"/>
        <v>2189.1406861901605</v>
      </c>
      <c r="F243" s="163">
        <v>0</v>
      </c>
      <c r="G243" s="16">
        <f t="shared" si="20"/>
        <v>172131.65833866908</v>
      </c>
      <c r="I243" s="21">
        <f t="shared" si="21"/>
        <v>327868.34166133078</v>
      </c>
      <c r="J243" s="16">
        <f t="shared" si="22"/>
        <v>346793.44098160707</v>
      </c>
    </row>
    <row r="244" spans="2:10" hidden="1" outlineLevel="1" x14ac:dyDescent="0.2">
      <c r="B244" s="44">
        <v>51257</v>
      </c>
      <c r="C244" s="15">
        <f t="shared" si="18"/>
        <v>172131.65833866908</v>
      </c>
      <c r="D244" s="16">
        <f t="shared" si="19"/>
        <v>709.85640786376098</v>
      </c>
      <c r="E244" s="21">
        <f t="shared" si="23"/>
        <v>2198.1685173213168</v>
      </c>
      <c r="F244" s="163">
        <v>0</v>
      </c>
      <c r="G244" s="16">
        <f t="shared" si="20"/>
        <v>169933.48982134776</v>
      </c>
      <c r="I244" s="21">
        <f t="shared" si="21"/>
        <v>330066.51017865207</v>
      </c>
      <c r="J244" s="16">
        <f t="shared" si="22"/>
        <v>347503.29738947086</v>
      </c>
    </row>
    <row r="245" spans="2:10" hidden="1" outlineLevel="1" x14ac:dyDescent="0.2">
      <c r="B245" s="44">
        <v>51288</v>
      </c>
      <c r="C245" s="15">
        <f t="shared" si="18"/>
        <v>169933.48982134776</v>
      </c>
      <c r="D245" s="16">
        <f t="shared" si="19"/>
        <v>700.79134672018643</v>
      </c>
      <c r="E245" s="21">
        <f t="shared" si="23"/>
        <v>2207.2335784648913</v>
      </c>
      <c r="F245" s="162">
        <v>0</v>
      </c>
      <c r="G245" s="16">
        <f t="shared" si="20"/>
        <v>167726.25624288287</v>
      </c>
      <c r="I245" s="21">
        <f t="shared" si="21"/>
        <v>332273.74375711696</v>
      </c>
      <c r="J245" s="16">
        <f t="shared" si="22"/>
        <v>348204.08873619104</v>
      </c>
    </row>
    <row r="246" spans="2:10" hidden="1" outlineLevel="1" x14ac:dyDescent="0.2">
      <c r="B246" s="44">
        <v>51318</v>
      </c>
      <c r="C246" s="15">
        <f t="shared" si="18"/>
        <v>167726.25624288287</v>
      </c>
      <c r="D246" s="16">
        <f t="shared" si="19"/>
        <v>691.68890203076933</v>
      </c>
      <c r="E246" s="21">
        <f t="shared" si="23"/>
        <v>2216.3360231543084</v>
      </c>
      <c r="F246" s="163">
        <v>0</v>
      </c>
      <c r="G246" s="16">
        <f t="shared" si="20"/>
        <v>165509.92021972855</v>
      </c>
      <c r="I246" s="21">
        <f t="shared" si="21"/>
        <v>334490.07978027128</v>
      </c>
      <c r="J246" s="16">
        <f t="shared" si="22"/>
        <v>348895.7776382218</v>
      </c>
    </row>
    <row r="247" spans="2:10" hidden="1" outlineLevel="1" x14ac:dyDescent="0.2">
      <c r="B247" s="44">
        <v>51349</v>
      </c>
      <c r="C247" s="15">
        <f t="shared" si="18"/>
        <v>165509.92021972855</v>
      </c>
      <c r="D247" s="16">
        <f t="shared" si="19"/>
        <v>682.54891962892702</v>
      </c>
      <c r="E247" s="21">
        <f t="shared" si="23"/>
        <v>2225.476005556151</v>
      </c>
      <c r="F247" s="163">
        <v>0</v>
      </c>
      <c r="G247" s="16">
        <f t="shared" si="20"/>
        <v>163284.4442141724</v>
      </c>
      <c r="I247" s="21">
        <f t="shared" si="21"/>
        <v>336715.55578582746</v>
      </c>
      <c r="J247" s="16">
        <f t="shared" si="22"/>
        <v>349578.3265578507</v>
      </c>
    </row>
    <row r="248" spans="2:10" hidden="1" outlineLevel="1" x14ac:dyDescent="0.2">
      <c r="B248" s="44">
        <v>51380</v>
      </c>
      <c r="C248" s="15">
        <f t="shared" si="18"/>
        <v>163284.4442141724</v>
      </c>
      <c r="D248" s="16">
        <f t="shared" si="19"/>
        <v>673.37124471230652</v>
      </c>
      <c r="E248" s="21">
        <f t="shared" si="23"/>
        <v>2234.6536804727712</v>
      </c>
      <c r="F248" s="162">
        <v>0</v>
      </c>
      <c r="G248" s="16">
        <f t="shared" si="20"/>
        <v>161049.79053369962</v>
      </c>
      <c r="I248" s="21">
        <f t="shared" si="21"/>
        <v>338950.20946630021</v>
      </c>
      <c r="J248" s="16">
        <f t="shared" si="22"/>
        <v>350251.69780256302</v>
      </c>
    </row>
    <row r="249" spans="2:10" hidden="1" outlineLevel="1" x14ac:dyDescent="0.2">
      <c r="B249" s="44">
        <v>51410</v>
      </c>
      <c r="C249" s="15">
        <f t="shared" si="18"/>
        <v>161049.79053369962</v>
      </c>
      <c r="D249" s="16">
        <f t="shared" si="19"/>
        <v>664.15572184016344</v>
      </c>
      <c r="E249" s="21">
        <f t="shared" si="23"/>
        <v>2243.8692033449142</v>
      </c>
      <c r="F249" s="163">
        <v>0</v>
      </c>
      <c r="G249" s="16">
        <f t="shared" si="20"/>
        <v>158805.9213303547</v>
      </c>
      <c r="I249" s="21">
        <f t="shared" si="21"/>
        <v>341194.07866964513</v>
      </c>
      <c r="J249" s="16">
        <f t="shared" si="22"/>
        <v>350915.85352440318</v>
      </c>
    </row>
    <row r="250" spans="2:10" hidden="1" outlineLevel="1" x14ac:dyDescent="0.2">
      <c r="B250" s="44">
        <v>51441</v>
      </c>
      <c r="C250" s="15">
        <f t="shared" si="18"/>
        <v>158805.9213303547</v>
      </c>
      <c r="D250" s="16">
        <f t="shared" si="19"/>
        <v>654.90219493072846</v>
      </c>
      <c r="E250" s="21">
        <f t="shared" si="23"/>
        <v>2253.1227302543493</v>
      </c>
      <c r="F250" s="163">
        <v>0</v>
      </c>
      <c r="G250" s="16">
        <f t="shared" si="20"/>
        <v>156552.79860010036</v>
      </c>
      <c r="I250" s="21">
        <f t="shared" si="21"/>
        <v>343447.2013998995</v>
      </c>
      <c r="J250" s="16">
        <f t="shared" si="22"/>
        <v>351570.75571933389</v>
      </c>
    </row>
    <row r="251" spans="2:10" hidden="1" outlineLevel="1" x14ac:dyDescent="0.2">
      <c r="B251" s="44">
        <v>51471</v>
      </c>
      <c r="C251" s="15">
        <f t="shared" si="18"/>
        <v>156552.79860010036</v>
      </c>
      <c r="D251" s="16">
        <f t="shared" si="19"/>
        <v>645.61050725856455</v>
      </c>
      <c r="E251" s="21">
        <f t="shared" si="23"/>
        <v>2262.4144179265131</v>
      </c>
      <c r="F251" s="162">
        <v>0</v>
      </c>
      <c r="G251" s="16">
        <f t="shared" si="20"/>
        <v>154290.38418217385</v>
      </c>
      <c r="I251" s="21">
        <f t="shared" si="21"/>
        <v>345709.61581782601</v>
      </c>
      <c r="J251" s="16">
        <f t="shared" si="22"/>
        <v>352216.36622659245</v>
      </c>
    </row>
    <row r="252" spans="2:10" hidden="1" outlineLevel="1" x14ac:dyDescent="0.2">
      <c r="B252" s="44">
        <v>51502</v>
      </c>
      <c r="C252" s="15">
        <f t="shared" si="18"/>
        <v>154290.38418217385</v>
      </c>
      <c r="D252" s="16">
        <f t="shared" si="19"/>
        <v>636.28050145191207</v>
      </c>
      <c r="E252" s="21">
        <f t="shared" si="23"/>
        <v>2271.7444237331656</v>
      </c>
      <c r="F252" s="163">
        <v>0</v>
      </c>
      <c r="G252" s="16">
        <f t="shared" si="20"/>
        <v>152018.63975844067</v>
      </c>
      <c r="I252" s="21">
        <f t="shared" si="21"/>
        <v>347981.36024155916</v>
      </c>
      <c r="J252" s="16">
        <f t="shared" si="22"/>
        <v>352852.64672804438</v>
      </c>
    </row>
    <row r="253" spans="2:10" hidden="1" outlineLevel="1" x14ac:dyDescent="0.2">
      <c r="B253" s="44">
        <v>51533</v>
      </c>
      <c r="C253" s="15">
        <f t="shared" si="18"/>
        <v>152018.63975844067</v>
      </c>
      <c r="D253" s="16">
        <f t="shared" si="19"/>
        <v>626.91201949002368</v>
      </c>
      <c r="E253" s="21">
        <f t="shared" si="23"/>
        <v>2281.112905695054</v>
      </c>
      <c r="F253" s="163">
        <v>0</v>
      </c>
      <c r="G253" s="16">
        <f t="shared" si="20"/>
        <v>149737.52685274562</v>
      </c>
      <c r="I253" s="21">
        <f t="shared" si="21"/>
        <v>350262.4731472542</v>
      </c>
      <c r="J253" s="16">
        <f t="shared" si="22"/>
        <v>353479.55874753441</v>
      </c>
    </row>
    <row r="254" spans="2:10" hidden="1" outlineLevel="1" x14ac:dyDescent="0.2">
      <c r="B254" s="44">
        <v>51561</v>
      </c>
      <c r="C254" s="15">
        <f t="shared" si="18"/>
        <v>149737.52685274562</v>
      </c>
      <c r="D254" s="16">
        <f t="shared" si="19"/>
        <v>617.50490270048772</v>
      </c>
      <c r="E254" s="21">
        <f t="shared" si="23"/>
        <v>2290.5200224845903</v>
      </c>
      <c r="F254" s="162">
        <v>0</v>
      </c>
      <c r="G254" s="16">
        <f t="shared" si="20"/>
        <v>147447.00683026103</v>
      </c>
      <c r="I254" s="21">
        <f t="shared" si="21"/>
        <v>352552.99316973879</v>
      </c>
      <c r="J254" s="16">
        <f t="shared" si="22"/>
        <v>354097.06365023489</v>
      </c>
    </row>
    <row r="255" spans="2:10" hidden="1" outlineLevel="1" x14ac:dyDescent="0.2">
      <c r="B255" s="44">
        <v>51592</v>
      </c>
      <c r="C255" s="15">
        <f t="shared" si="18"/>
        <v>147447.00683026103</v>
      </c>
      <c r="D255" s="16">
        <f t="shared" si="19"/>
        <v>608.05899175654099</v>
      </c>
      <c r="E255" s="21">
        <f t="shared" si="23"/>
        <v>2299.965933428537</v>
      </c>
      <c r="F255" s="163">
        <v>0</v>
      </c>
      <c r="G255" s="16">
        <f t="shared" si="20"/>
        <v>145147.04089683251</v>
      </c>
      <c r="I255" s="21">
        <f t="shared" si="21"/>
        <v>354852.95910316735</v>
      </c>
      <c r="J255" s="16">
        <f t="shared" si="22"/>
        <v>354705.12264199142</v>
      </c>
    </row>
    <row r="256" spans="2:10" hidden="1" outlineLevel="1" x14ac:dyDescent="0.2">
      <c r="B256" s="44">
        <v>51622</v>
      </c>
      <c r="C256" s="15">
        <f t="shared" si="18"/>
        <v>145147.04089683251</v>
      </c>
      <c r="D256" s="16">
        <f t="shared" si="19"/>
        <v>598.57412667437029</v>
      </c>
      <c r="E256" s="21">
        <f t="shared" si="23"/>
        <v>2309.4507985107075</v>
      </c>
      <c r="F256" s="163">
        <v>0</v>
      </c>
      <c r="G256" s="16">
        <f t="shared" si="20"/>
        <v>142837.59009832179</v>
      </c>
      <c r="I256" s="21">
        <f t="shared" si="21"/>
        <v>357162.40990167804</v>
      </c>
      <c r="J256" s="16">
        <f t="shared" si="22"/>
        <v>355303.6967686658</v>
      </c>
    </row>
    <row r="257" spans="2:10" hidden="1" outlineLevel="1" x14ac:dyDescent="0.2">
      <c r="B257" s="44">
        <v>51653</v>
      </c>
      <c r="C257" s="15">
        <f t="shared" si="18"/>
        <v>142837.59009832179</v>
      </c>
      <c r="D257" s="16">
        <f t="shared" si="19"/>
        <v>589.05014681040223</v>
      </c>
      <c r="E257" s="21">
        <f t="shared" si="23"/>
        <v>2318.9747783746757</v>
      </c>
      <c r="F257" s="162">
        <v>0</v>
      </c>
      <c r="G257" s="16">
        <f t="shared" si="20"/>
        <v>140518.6153199471</v>
      </c>
      <c r="I257" s="21">
        <f t="shared" si="21"/>
        <v>359481.3846800527</v>
      </c>
      <c r="J257" s="16">
        <f t="shared" si="22"/>
        <v>355892.74691547622</v>
      </c>
    </row>
    <row r="258" spans="2:10" hidden="1" outlineLevel="1" x14ac:dyDescent="0.2">
      <c r="B258" s="44">
        <v>51683</v>
      </c>
      <c r="C258" s="15">
        <f t="shared" si="18"/>
        <v>140518.6153199471</v>
      </c>
      <c r="D258" s="16">
        <f t="shared" si="19"/>
        <v>579.48689085858337</v>
      </c>
      <c r="E258" s="21">
        <f t="shared" si="23"/>
        <v>2328.5380343264942</v>
      </c>
      <c r="F258" s="163">
        <v>0</v>
      </c>
      <c r="G258" s="16">
        <f t="shared" si="20"/>
        <v>138190.07728562062</v>
      </c>
      <c r="I258" s="21">
        <f t="shared" si="21"/>
        <v>361809.92271437921</v>
      </c>
      <c r="J258" s="16">
        <f t="shared" si="22"/>
        <v>356472.23380633479</v>
      </c>
    </row>
    <row r="259" spans="2:10" hidden="1" outlineLevel="1" x14ac:dyDescent="0.2">
      <c r="B259" s="44">
        <v>51714</v>
      </c>
      <c r="C259" s="15">
        <f t="shared" si="18"/>
        <v>138190.07728562062</v>
      </c>
      <c r="D259" s="16">
        <f t="shared" si="19"/>
        <v>569.8841968476479</v>
      </c>
      <c r="E259" s="21">
        <f t="shared" si="23"/>
        <v>2338.1407283374301</v>
      </c>
      <c r="F259" s="163">
        <v>0</v>
      </c>
      <c r="G259" s="16">
        <f t="shared" si="20"/>
        <v>135851.93655728319</v>
      </c>
      <c r="I259" s="21">
        <f t="shared" si="21"/>
        <v>364148.06344271667</v>
      </c>
      <c r="J259" s="16">
        <f t="shared" si="22"/>
        <v>357042.1180031824</v>
      </c>
    </row>
    <row r="260" spans="2:10" hidden="1" outlineLevel="1" x14ac:dyDescent="0.2">
      <c r="B260" s="44">
        <v>51745</v>
      </c>
      <c r="C260" s="15">
        <f t="shared" si="18"/>
        <v>135851.93655728319</v>
      </c>
      <c r="D260" s="16">
        <f t="shared" si="19"/>
        <v>560.24190213837358</v>
      </c>
      <c r="E260" s="21">
        <f t="shared" si="23"/>
        <v>2347.7830230467043</v>
      </c>
      <c r="F260" s="162">
        <v>0</v>
      </c>
      <c r="G260" s="16">
        <f t="shared" si="20"/>
        <v>133504.15353423648</v>
      </c>
      <c r="I260" s="21">
        <f t="shared" si="21"/>
        <v>366495.84646576334</v>
      </c>
      <c r="J260" s="16">
        <f t="shared" si="22"/>
        <v>357602.3599053208</v>
      </c>
    </row>
    <row r="261" spans="2:10" hidden="1" outlineLevel="1" x14ac:dyDescent="0.2">
      <c r="B261" s="44">
        <v>51775</v>
      </c>
      <c r="C261" s="15">
        <f t="shared" si="18"/>
        <v>133504.15353423648</v>
      </c>
      <c r="D261" s="16">
        <f t="shared" si="19"/>
        <v>550.55984342082809</v>
      </c>
      <c r="E261" s="21">
        <f t="shared" si="23"/>
        <v>2357.4650817642496</v>
      </c>
      <c r="F261" s="163">
        <v>0</v>
      </c>
      <c r="G261" s="16">
        <f t="shared" si="20"/>
        <v>131146.68845247224</v>
      </c>
      <c r="I261" s="21">
        <f t="shared" si="21"/>
        <v>368853.31154752761</v>
      </c>
      <c r="J261" s="16">
        <f t="shared" si="22"/>
        <v>358152.91974874161</v>
      </c>
    </row>
    <row r="262" spans="2:10" hidden="1" outlineLevel="1" x14ac:dyDescent="0.2">
      <c r="B262" s="44">
        <v>51806</v>
      </c>
      <c r="C262" s="15">
        <f t="shared" si="18"/>
        <v>131146.68845247224</v>
      </c>
      <c r="D262" s="16">
        <f t="shared" si="19"/>
        <v>540.83785671160308</v>
      </c>
      <c r="E262" s="21">
        <f t="shared" si="23"/>
        <v>2367.1870684734749</v>
      </c>
      <c r="F262" s="163">
        <v>0</v>
      </c>
      <c r="G262" s="16">
        <f t="shared" si="20"/>
        <v>128779.50138399877</v>
      </c>
      <c r="I262" s="21">
        <f t="shared" si="21"/>
        <v>371220.4986160011</v>
      </c>
      <c r="J262" s="16">
        <f t="shared" si="22"/>
        <v>358693.7576054532</v>
      </c>
    </row>
    <row r="263" spans="2:10" hidden="1" outlineLevel="1" x14ac:dyDescent="0.2">
      <c r="B263" s="44">
        <v>51836</v>
      </c>
      <c r="C263" s="15">
        <f t="shared" si="18"/>
        <v>128779.50138399877</v>
      </c>
      <c r="D263" s="16">
        <f t="shared" si="19"/>
        <v>531.07577735103587</v>
      </c>
      <c r="E263" s="21">
        <f t="shared" si="23"/>
        <v>2376.9491478340419</v>
      </c>
      <c r="F263" s="162">
        <v>0</v>
      </c>
      <c r="G263" s="16">
        <f t="shared" si="20"/>
        <v>126402.55223616473</v>
      </c>
      <c r="I263" s="21">
        <f t="shared" si="21"/>
        <v>373597.44776383514</v>
      </c>
      <c r="J263" s="16">
        <f t="shared" si="22"/>
        <v>359224.83338280424</v>
      </c>
    </row>
    <row r="264" spans="2:10" hidden="1" outlineLevel="1" x14ac:dyDescent="0.2">
      <c r="B264" s="44">
        <v>51867</v>
      </c>
      <c r="C264" s="15">
        <f t="shared" ref="C264:C270" si="24">G263</f>
        <v>126402.55223616473</v>
      </c>
      <c r="D264" s="16">
        <f t="shared" ref="D264:D270" si="25">C264*E$8</f>
        <v>521.27344000042172</v>
      </c>
      <c r="E264" s="21">
        <f t="shared" si="23"/>
        <v>2386.7514851846563</v>
      </c>
      <c r="F264" s="163">
        <v>0</v>
      </c>
      <c r="G264" s="16">
        <f t="shared" ref="G264:G270" si="26">C264-E264-F264</f>
        <v>124015.80075098008</v>
      </c>
      <c r="I264" s="21">
        <f t="shared" ref="I264:I270" si="27">I263+E264</f>
        <v>375984.19924901979</v>
      </c>
      <c r="J264" s="16">
        <f t="shared" ref="J264:J270" si="28">J263+D264</f>
        <v>359746.10682280466</v>
      </c>
    </row>
    <row r="265" spans="2:10" hidden="1" outlineLevel="1" x14ac:dyDescent="0.2">
      <c r="B265" s="44">
        <v>51898</v>
      </c>
      <c r="C265" s="15">
        <f t="shared" si="24"/>
        <v>124015.80075098008</v>
      </c>
      <c r="D265" s="16">
        <f t="shared" si="25"/>
        <v>511.43067863921272</v>
      </c>
      <c r="E265" s="21">
        <f t="shared" si="23"/>
        <v>2396.5942465458652</v>
      </c>
      <c r="F265" s="163">
        <v>0</v>
      </c>
      <c r="G265" s="16">
        <f t="shared" si="26"/>
        <v>121619.20650443422</v>
      </c>
      <c r="I265" s="21">
        <f t="shared" si="27"/>
        <v>378380.79349556565</v>
      </c>
      <c r="J265" s="16">
        <f t="shared" si="28"/>
        <v>360257.53750144388</v>
      </c>
    </row>
    <row r="266" spans="2:10" hidden="1" outlineLevel="1" x14ac:dyDescent="0.2">
      <c r="B266" s="44">
        <v>51926</v>
      </c>
      <c r="C266" s="15">
        <f t="shared" si="24"/>
        <v>121619.20650443422</v>
      </c>
      <c r="D266" s="16">
        <f t="shared" si="25"/>
        <v>501.54732656220654</v>
      </c>
      <c r="E266" s="21">
        <f t="shared" si="23"/>
        <v>2406.4775986228715</v>
      </c>
      <c r="F266" s="162">
        <v>0</v>
      </c>
      <c r="G266" s="16">
        <f t="shared" si="26"/>
        <v>119212.72890581134</v>
      </c>
      <c r="I266" s="21">
        <f t="shared" si="27"/>
        <v>380787.2710941885</v>
      </c>
      <c r="J266" s="16">
        <f t="shared" si="28"/>
        <v>360759.0848280061</v>
      </c>
    </row>
    <row r="267" spans="2:10" hidden="1" outlineLevel="1" x14ac:dyDescent="0.2">
      <c r="B267" s="44">
        <v>51957</v>
      </c>
      <c r="C267" s="15">
        <f t="shared" si="24"/>
        <v>119212.72890581134</v>
      </c>
      <c r="D267" s="16">
        <f t="shared" si="25"/>
        <v>491.6232163767225</v>
      </c>
      <c r="E267" s="21">
        <f t="shared" si="23"/>
        <v>2416.4017088083551</v>
      </c>
      <c r="F267" s="163">
        <v>0</v>
      </c>
      <c r="G267" s="16">
        <f t="shared" si="26"/>
        <v>116796.32719700299</v>
      </c>
      <c r="I267" s="21">
        <f t="shared" si="27"/>
        <v>383203.67280299688</v>
      </c>
      <c r="J267" s="16">
        <f t="shared" si="28"/>
        <v>361250.7080443828</v>
      </c>
    </row>
    <row r="268" spans="2:10" hidden="1" outlineLevel="1" x14ac:dyDescent="0.2">
      <c r="B268" s="44">
        <v>51987</v>
      </c>
      <c r="C268" s="15">
        <f t="shared" si="24"/>
        <v>116796.32719700299</v>
      </c>
      <c r="D268" s="16">
        <f t="shared" si="25"/>
        <v>481.65817999976679</v>
      </c>
      <c r="E268" s="21">
        <f t="shared" ref="E268:E311" si="29">E$9-D268</f>
        <v>2426.3667451853112</v>
      </c>
      <c r="F268" s="163">
        <v>0</v>
      </c>
      <c r="G268" s="16">
        <f t="shared" si="26"/>
        <v>114369.96045181768</v>
      </c>
      <c r="I268" s="21">
        <f t="shared" si="27"/>
        <v>385630.03954818222</v>
      </c>
      <c r="J268" s="16">
        <f t="shared" si="28"/>
        <v>361732.3662243826</v>
      </c>
    </row>
    <row r="269" spans="2:10" hidden="1" outlineLevel="1" x14ac:dyDescent="0.2">
      <c r="B269" s="44">
        <v>52018</v>
      </c>
      <c r="C269" s="15">
        <f t="shared" si="24"/>
        <v>114369.96045181768</v>
      </c>
      <c r="D269" s="16">
        <f t="shared" si="25"/>
        <v>471.65204865518541</v>
      </c>
      <c r="E269" s="21">
        <f t="shared" si="29"/>
        <v>2436.3728765298924</v>
      </c>
      <c r="F269" s="162">
        <v>0</v>
      </c>
      <c r="G269" s="16">
        <f t="shared" si="26"/>
        <v>111933.58757528779</v>
      </c>
      <c r="I269" s="21">
        <f t="shared" si="27"/>
        <v>388066.41242471209</v>
      </c>
      <c r="J269" s="16">
        <f t="shared" si="28"/>
        <v>362204.0182730378</v>
      </c>
    </row>
    <row r="270" spans="2:10" hidden="1" outlineLevel="1" x14ac:dyDescent="0.2">
      <c r="B270" s="44">
        <v>52048</v>
      </c>
      <c r="C270" s="15">
        <f t="shared" si="24"/>
        <v>111933.58757528779</v>
      </c>
      <c r="D270" s="16">
        <f t="shared" si="25"/>
        <v>461.60465287080586</v>
      </c>
      <c r="E270" s="21">
        <f t="shared" si="29"/>
        <v>2446.4202723142721</v>
      </c>
      <c r="F270" s="163">
        <v>0</v>
      </c>
      <c r="G270" s="16">
        <f t="shared" si="26"/>
        <v>109487.16730297352</v>
      </c>
      <c r="I270" s="21">
        <f t="shared" si="27"/>
        <v>390512.83269702637</v>
      </c>
      <c r="J270" s="16">
        <f t="shared" si="28"/>
        <v>362665.6229259086</v>
      </c>
    </row>
    <row r="271" spans="2:10" hidden="1" outlineLevel="1" x14ac:dyDescent="0.2">
      <c r="B271" s="44">
        <v>52079</v>
      </c>
      <c r="C271" s="15">
        <f t="shared" ref="C271:C311" si="30">G270</f>
        <v>109487.16730297352</v>
      </c>
      <c r="D271" s="16">
        <f t="shared" ref="D271:D311" si="31">C271*E$8</f>
        <v>451.51582247556667</v>
      </c>
      <c r="E271" s="21">
        <f t="shared" si="29"/>
        <v>2456.5091027095114</v>
      </c>
      <c r="F271" s="163">
        <v>0</v>
      </c>
      <c r="G271" s="16">
        <f t="shared" ref="G271:G311" si="32">C271-E271-F271</f>
        <v>107030.65820026401</v>
      </c>
      <c r="I271" s="21">
        <f t="shared" ref="I271:I311" si="33">I270+E271</f>
        <v>392969.34179973591</v>
      </c>
      <c r="J271" s="16">
        <f t="shared" ref="J271:J311" si="34">J270+D271</f>
        <v>363117.13874838414</v>
      </c>
    </row>
    <row r="272" spans="2:10" hidden="1" outlineLevel="1" x14ac:dyDescent="0.2">
      <c r="B272" s="44">
        <v>52110</v>
      </c>
      <c r="C272" s="15">
        <f t="shared" si="30"/>
        <v>107030.65820026401</v>
      </c>
      <c r="D272" s="16">
        <f t="shared" si="31"/>
        <v>441.38538659663533</v>
      </c>
      <c r="E272" s="21">
        <f t="shared" si="29"/>
        <v>2466.6395385884425</v>
      </c>
      <c r="F272" s="162">
        <v>0</v>
      </c>
      <c r="G272" s="16">
        <f t="shared" si="32"/>
        <v>104564.01866167557</v>
      </c>
      <c r="I272" s="21">
        <f t="shared" si="33"/>
        <v>395435.98133832437</v>
      </c>
      <c r="J272" s="16">
        <f t="shared" si="34"/>
        <v>363558.52413498075</v>
      </c>
    </row>
    <row r="273" spans="2:10" hidden="1" outlineLevel="1" x14ac:dyDescent="0.2">
      <c r="B273" s="44">
        <v>52140</v>
      </c>
      <c r="C273" s="15">
        <f t="shared" si="30"/>
        <v>104564.01866167557</v>
      </c>
      <c r="D273" s="16">
        <f t="shared" si="31"/>
        <v>431.21317365651419</v>
      </c>
      <c r="E273" s="21">
        <f t="shared" si="29"/>
        <v>2476.8117515285635</v>
      </c>
      <c r="F273" s="163">
        <v>0</v>
      </c>
      <c r="G273" s="16">
        <f t="shared" si="32"/>
        <v>102087.206910147</v>
      </c>
      <c r="I273" s="21">
        <f t="shared" si="33"/>
        <v>397912.79308985296</v>
      </c>
      <c r="J273" s="16">
        <f t="shared" si="34"/>
        <v>363989.73730863724</v>
      </c>
    </row>
    <row r="274" spans="2:10" hidden="1" outlineLevel="1" x14ac:dyDescent="0.2">
      <c r="B274" s="44">
        <v>52171</v>
      </c>
      <c r="C274" s="15">
        <f t="shared" si="30"/>
        <v>102087.206910147</v>
      </c>
      <c r="D274" s="16">
        <f t="shared" si="31"/>
        <v>420.99901137013455</v>
      </c>
      <c r="E274" s="21">
        <f t="shared" si="29"/>
        <v>2487.0259138149431</v>
      </c>
      <c r="F274" s="163">
        <v>0</v>
      </c>
      <c r="G274" s="16">
        <f t="shared" si="32"/>
        <v>99600.180996332056</v>
      </c>
      <c r="I274" s="21">
        <f t="shared" si="33"/>
        <v>400399.81900366792</v>
      </c>
      <c r="J274" s="16">
        <f t="shared" si="34"/>
        <v>364410.73632000736</v>
      </c>
    </row>
    <row r="275" spans="2:10" hidden="1" outlineLevel="1" x14ac:dyDescent="0.2">
      <c r="B275" s="44">
        <v>52201</v>
      </c>
      <c r="C275" s="15">
        <f t="shared" si="30"/>
        <v>99600.180996332056</v>
      </c>
      <c r="D275" s="16">
        <f t="shared" si="31"/>
        <v>410.74272674193867</v>
      </c>
      <c r="E275" s="21">
        <f t="shared" si="29"/>
        <v>2497.2821984431394</v>
      </c>
      <c r="F275" s="162">
        <v>0</v>
      </c>
      <c r="G275" s="16">
        <f t="shared" si="32"/>
        <v>97102.89879788892</v>
      </c>
      <c r="I275" s="21">
        <f t="shared" si="33"/>
        <v>402897.10120211105</v>
      </c>
      <c r="J275" s="16">
        <f t="shared" si="34"/>
        <v>364821.4790467493</v>
      </c>
    </row>
    <row r="276" spans="2:10" hidden="1" outlineLevel="1" x14ac:dyDescent="0.2">
      <c r="B276" s="44">
        <v>52232</v>
      </c>
      <c r="C276" s="15">
        <f t="shared" si="30"/>
        <v>97102.89879788892</v>
      </c>
      <c r="D276" s="16">
        <f t="shared" si="31"/>
        <v>400.44414606294959</v>
      </c>
      <c r="E276" s="21">
        <f t="shared" si="29"/>
        <v>2507.5807791221282</v>
      </c>
      <c r="F276" s="163">
        <v>0</v>
      </c>
      <c r="G276" s="16">
        <f t="shared" si="32"/>
        <v>94595.318018766789</v>
      </c>
      <c r="I276" s="21">
        <f t="shared" si="33"/>
        <v>405404.68198123318</v>
      </c>
      <c r="J276" s="16">
        <f t="shared" si="34"/>
        <v>365221.92319281225</v>
      </c>
    </row>
    <row r="277" spans="2:10" hidden="1" outlineLevel="1" x14ac:dyDescent="0.2">
      <c r="B277" s="44">
        <v>52263</v>
      </c>
      <c r="C277" s="15">
        <f t="shared" si="30"/>
        <v>94595.318018766789</v>
      </c>
      <c r="D277" s="16">
        <f t="shared" si="31"/>
        <v>390.10309490782942</v>
      </c>
      <c r="E277" s="21">
        <f t="shared" si="29"/>
        <v>2517.9218302772483</v>
      </c>
      <c r="F277" s="163">
        <v>0</v>
      </c>
      <c r="G277" s="16">
        <f t="shared" si="32"/>
        <v>92077.39618848954</v>
      </c>
      <c r="I277" s="21">
        <f t="shared" si="33"/>
        <v>407922.60381151043</v>
      </c>
      <c r="J277" s="16">
        <f t="shared" si="34"/>
        <v>365612.02628772007</v>
      </c>
    </row>
    <row r="278" spans="2:10" hidden="1" outlineLevel="1" x14ac:dyDescent="0.2">
      <c r="B278" s="44">
        <v>52291</v>
      </c>
      <c r="C278" s="15">
        <f t="shared" si="30"/>
        <v>92077.39618848954</v>
      </c>
      <c r="D278" s="16">
        <f t="shared" si="31"/>
        <v>379.71939813192478</v>
      </c>
      <c r="E278" s="21">
        <f t="shared" si="29"/>
        <v>2528.3055270531531</v>
      </c>
      <c r="F278" s="162">
        <v>0</v>
      </c>
      <c r="G278" s="16">
        <f t="shared" si="32"/>
        <v>89549.090661436392</v>
      </c>
      <c r="I278" s="21">
        <f t="shared" si="33"/>
        <v>410450.90933856356</v>
      </c>
      <c r="J278" s="16">
        <f t="shared" si="34"/>
        <v>365991.74568585202</v>
      </c>
    </row>
    <row r="279" spans="2:10" hidden="1" outlineLevel="1" x14ac:dyDescent="0.2">
      <c r="B279" s="44">
        <v>52322</v>
      </c>
      <c r="C279" s="15">
        <f t="shared" si="30"/>
        <v>89549.090661436392</v>
      </c>
      <c r="D279" s="16">
        <f t="shared" si="31"/>
        <v>369.2928798683007</v>
      </c>
      <c r="E279" s="21">
        <f t="shared" si="29"/>
        <v>2538.7320453167772</v>
      </c>
      <c r="F279" s="163">
        <v>0</v>
      </c>
      <c r="G279" s="16">
        <f t="shared" si="32"/>
        <v>87010.358616119614</v>
      </c>
      <c r="I279" s="21">
        <f t="shared" si="33"/>
        <v>412989.64138388034</v>
      </c>
      <c r="J279" s="16">
        <f t="shared" si="34"/>
        <v>366361.03856572032</v>
      </c>
    </row>
    <row r="280" spans="2:10" hidden="1" outlineLevel="1" x14ac:dyDescent="0.2">
      <c r="B280" s="44">
        <v>52352</v>
      </c>
      <c r="C280" s="15">
        <f t="shared" si="30"/>
        <v>87010.358616119614</v>
      </c>
      <c r="D280" s="16">
        <f t="shared" si="31"/>
        <v>358.82336352476159</v>
      </c>
      <c r="E280" s="21">
        <f t="shared" si="29"/>
        <v>2549.2015616603162</v>
      </c>
      <c r="F280" s="163">
        <v>0</v>
      </c>
      <c r="G280" s="16">
        <f t="shared" si="32"/>
        <v>84461.157054459298</v>
      </c>
      <c r="I280" s="21">
        <f t="shared" si="33"/>
        <v>415538.84294554067</v>
      </c>
      <c r="J280" s="16">
        <f t="shared" si="34"/>
        <v>366719.86192924506</v>
      </c>
    </row>
    <row r="281" spans="2:10" hidden="1" outlineLevel="1" x14ac:dyDescent="0.2">
      <c r="B281" s="44">
        <v>52383</v>
      </c>
      <c r="C281" s="15">
        <f t="shared" si="30"/>
        <v>84461.157054459298</v>
      </c>
      <c r="D281" s="16">
        <f t="shared" si="31"/>
        <v>348.31067178086073</v>
      </c>
      <c r="E281" s="21">
        <f t="shared" si="29"/>
        <v>2559.7142534042168</v>
      </c>
      <c r="F281" s="162">
        <v>0</v>
      </c>
      <c r="G281" s="16">
        <f t="shared" si="32"/>
        <v>81901.442801055076</v>
      </c>
      <c r="I281" s="21">
        <f t="shared" si="33"/>
        <v>418098.55719894491</v>
      </c>
      <c r="J281" s="16">
        <f t="shared" si="34"/>
        <v>367068.1726010259</v>
      </c>
    </row>
    <row r="282" spans="2:10" hidden="1" outlineLevel="1" x14ac:dyDescent="0.2">
      <c r="B282" s="44">
        <v>52413</v>
      </c>
      <c r="C282" s="15">
        <f t="shared" si="30"/>
        <v>81901.442801055076</v>
      </c>
      <c r="D282" s="16">
        <f t="shared" si="31"/>
        <v>337.75462658489698</v>
      </c>
      <c r="E282" s="21">
        <f t="shared" si="29"/>
        <v>2570.2702986001809</v>
      </c>
      <c r="F282" s="163">
        <v>0</v>
      </c>
      <c r="G282" s="16">
        <f t="shared" si="32"/>
        <v>79331.172502454894</v>
      </c>
      <c r="I282" s="21">
        <f t="shared" si="33"/>
        <v>420668.82749754511</v>
      </c>
      <c r="J282" s="16">
        <f t="shared" si="34"/>
        <v>367405.92722761078</v>
      </c>
    </row>
    <row r="283" spans="2:10" hidden="1" outlineLevel="1" x14ac:dyDescent="0.2">
      <c r="B283" s="44">
        <v>52444</v>
      </c>
      <c r="C283" s="15">
        <f t="shared" si="30"/>
        <v>79331.172502454894</v>
      </c>
      <c r="D283" s="16">
        <f t="shared" si="31"/>
        <v>327.15504915089878</v>
      </c>
      <c r="E283" s="21">
        <f t="shared" si="29"/>
        <v>2580.869876034179</v>
      </c>
      <c r="F283" s="163">
        <v>0</v>
      </c>
      <c r="G283" s="16">
        <f t="shared" si="32"/>
        <v>76750.302626420715</v>
      </c>
      <c r="I283" s="21">
        <f t="shared" si="33"/>
        <v>423249.69737357926</v>
      </c>
      <c r="J283" s="16">
        <f t="shared" si="34"/>
        <v>367733.08227676171</v>
      </c>
    </row>
    <row r="284" spans="2:10" hidden="1" outlineLevel="1" x14ac:dyDescent="0.2">
      <c r="B284" s="44">
        <v>52475</v>
      </c>
      <c r="C284" s="15">
        <f t="shared" si="30"/>
        <v>76750.302626420715</v>
      </c>
      <c r="D284" s="16">
        <f t="shared" si="31"/>
        <v>316.51175995559652</v>
      </c>
      <c r="E284" s="21">
        <f t="shared" si="29"/>
        <v>2591.5131652294813</v>
      </c>
      <c r="F284" s="162">
        <v>0</v>
      </c>
      <c r="G284" s="16">
        <f t="shared" si="32"/>
        <v>74158.789461191234</v>
      </c>
      <c r="I284" s="21">
        <f t="shared" si="33"/>
        <v>425841.21053880872</v>
      </c>
      <c r="J284" s="16">
        <f t="shared" si="34"/>
        <v>368049.59403671732</v>
      </c>
    </row>
    <row r="285" spans="2:10" hidden="1" outlineLevel="1" x14ac:dyDescent="0.2">
      <c r="B285" s="44">
        <v>52505</v>
      </c>
      <c r="C285" s="15">
        <f t="shared" si="30"/>
        <v>74158.789461191234</v>
      </c>
      <c r="D285" s="16">
        <f t="shared" si="31"/>
        <v>305.82457873538181</v>
      </c>
      <c r="E285" s="21">
        <f t="shared" si="29"/>
        <v>2602.2003464496961</v>
      </c>
      <c r="F285" s="163">
        <v>0</v>
      </c>
      <c r="G285" s="16">
        <f t="shared" si="32"/>
        <v>71556.589114741539</v>
      </c>
      <c r="I285" s="21">
        <f t="shared" si="33"/>
        <v>428443.4108852584</v>
      </c>
      <c r="J285" s="16">
        <f t="shared" si="34"/>
        <v>368355.41861545271</v>
      </c>
    </row>
    <row r="286" spans="2:10" hidden="1" outlineLevel="1" x14ac:dyDescent="0.2">
      <c r="B286" s="44">
        <v>52536</v>
      </c>
      <c r="C286" s="15">
        <f t="shared" si="30"/>
        <v>71556.589114741539</v>
      </c>
      <c r="D286" s="16">
        <f t="shared" si="31"/>
        <v>295.09332448325421</v>
      </c>
      <c r="E286" s="21">
        <f t="shared" si="29"/>
        <v>2612.9316007018238</v>
      </c>
      <c r="F286" s="163">
        <v>0</v>
      </c>
      <c r="G286" s="16">
        <f t="shared" si="32"/>
        <v>68943.657514039718</v>
      </c>
      <c r="I286" s="21">
        <f t="shared" si="33"/>
        <v>431056.34248596022</v>
      </c>
      <c r="J286" s="16">
        <f t="shared" si="34"/>
        <v>368650.51193993597</v>
      </c>
    </row>
    <row r="287" spans="2:10" hidden="1" outlineLevel="1" x14ac:dyDescent="0.2">
      <c r="B287" s="44">
        <v>52566</v>
      </c>
      <c r="C287" s="15">
        <f t="shared" si="30"/>
        <v>68943.657514039718</v>
      </c>
      <c r="D287" s="16">
        <f t="shared" si="31"/>
        <v>284.31781544575591</v>
      </c>
      <c r="E287" s="21">
        <f t="shared" si="29"/>
        <v>2623.7071097393218</v>
      </c>
      <c r="F287" s="162">
        <v>0</v>
      </c>
      <c r="G287" s="16">
        <f t="shared" si="32"/>
        <v>66319.950404300398</v>
      </c>
      <c r="I287" s="21">
        <f t="shared" si="33"/>
        <v>433680.04959569953</v>
      </c>
      <c r="J287" s="16">
        <f t="shared" si="34"/>
        <v>368934.82975538174</v>
      </c>
    </row>
    <row r="288" spans="2:10" hidden="1" outlineLevel="1" x14ac:dyDescent="0.2">
      <c r="B288" s="44">
        <v>52597</v>
      </c>
      <c r="C288" s="15">
        <f t="shared" si="30"/>
        <v>66319.950404300398</v>
      </c>
      <c r="D288" s="16">
        <f t="shared" si="31"/>
        <v>273.49786911989304</v>
      </c>
      <c r="E288" s="21">
        <f t="shared" si="29"/>
        <v>2634.5270560651848</v>
      </c>
      <c r="F288" s="163">
        <v>0</v>
      </c>
      <c r="G288" s="16">
        <f t="shared" si="32"/>
        <v>63685.423348235214</v>
      </c>
      <c r="I288" s="21">
        <f t="shared" si="33"/>
        <v>436314.57665176474</v>
      </c>
      <c r="J288" s="16">
        <f t="shared" si="34"/>
        <v>369208.32762450166</v>
      </c>
    </row>
    <row r="289" spans="2:10" hidden="1" outlineLevel="1" x14ac:dyDescent="0.2">
      <c r="B289" s="44">
        <v>52628</v>
      </c>
      <c r="C289" s="15">
        <f t="shared" si="30"/>
        <v>63685.423348235214</v>
      </c>
      <c r="D289" s="16">
        <f t="shared" si="31"/>
        <v>262.63330225004489</v>
      </c>
      <c r="E289" s="21">
        <f t="shared" si="29"/>
        <v>2645.391622935033</v>
      </c>
      <c r="F289" s="163">
        <v>0</v>
      </c>
      <c r="G289" s="16">
        <f t="shared" si="32"/>
        <v>61040.031725300178</v>
      </c>
      <c r="I289" s="21">
        <f t="shared" si="33"/>
        <v>438959.96827469976</v>
      </c>
      <c r="J289" s="16">
        <f t="shared" si="34"/>
        <v>369470.96092675172</v>
      </c>
    </row>
    <row r="290" spans="2:10" hidden="1" outlineLevel="1" x14ac:dyDescent="0.2">
      <c r="B290" s="44">
        <v>52657</v>
      </c>
      <c r="C290" s="15">
        <f t="shared" si="30"/>
        <v>61040.031725300178</v>
      </c>
      <c r="D290" s="16">
        <f t="shared" si="31"/>
        <v>251.7239308248601</v>
      </c>
      <c r="E290" s="21">
        <f t="shared" si="29"/>
        <v>2656.3009943602178</v>
      </c>
      <c r="F290" s="162">
        <v>0</v>
      </c>
      <c r="G290" s="16">
        <f t="shared" si="32"/>
        <v>58383.730730939962</v>
      </c>
      <c r="I290" s="21">
        <f t="shared" si="33"/>
        <v>441616.26926905999</v>
      </c>
      <c r="J290" s="16">
        <f t="shared" si="34"/>
        <v>369722.68485757656</v>
      </c>
    </row>
    <row r="291" spans="2:10" hidden="1" outlineLevel="1" x14ac:dyDescent="0.2">
      <c r="B291" s="44">
        <v>52688</v>
      </c>
      <c r="C291" s="15">
        <f t="shared" si="30"/>
        <v>58383.730730939962</v>
      </c>
      <c r="D291" s="16">
        <f t="shared" si="31"/>
        <v>240.76957007414001</v>
      </c>
      <c r="E291" s="21">
        <f t="shared" si="29"/>
        <v>2667.2553551109377</v>
      </c>
      <c r="F291" s="163">
        <v>0</v>
      </c>
      <c r="G291" s="16">
        <f t="shared" si="32"/>
        <v>55716.475375829024</v>
      </c>
      <c r="I291" s="21">
        <f t="shared" si="33"/>
        <v>444283.52462417091</v>
      </c>
      <c r="J291" s="16">
        <f t="shared" si="34"/>
        <v>369963.45442765072</v>
      </c>
    </row>
    <row r="292" spans="2:10" hidden="1" outlineLevel="1" x14ac:dyDescent="0.2">
      <c r="B292" s="44">
        <v>52718</v>
      </c>
      <c r="C292" s="15">
        <f t="shared" si="30"/>
        <v>55716.475375829024</v>
      </c>
      <c r="D292" s="16">
        <f t="shared" si="31"/>
        <v>229.77003446570924</v>
      </c>
      <c r="E292" s="21">
        <f t="shared" si="29"/>
        <v>2678.2548907193686</v>
      </c>
      <c r="F292" s="163">
        <v>0</v>
      </c>
      <c r="G292" s="16">
        <f t="shared" si="32"/>
        <v>53038.220485109654</v>
      </c>
      <c r="I292" s="21">
        <f t="shared" si="33"/>
        <v>446961.77951489028</v>
      </c>
      <c r="J292" s="16">
        <f t="shared" si="34"/>
        <v>370193.22446211643</v>
      </c>
    </row>
    <row r="293" spans="2:10" hidden="1" outlineLevel="1" x14ac:dyDescent="0.2">
      <c r="B293" s="44">
        <v>52749</v>
      </c>
      <c r="C293" s="15">
        <f t="shared" si="30"/>
        <v>53038.220485109654</v>
      </c>
      <c r="D293" s="16">
        <f t="shared" si="31"/>
        <v>218.72513770227346</v>
      </c>
      <c r="E293" s="21">
        <f t="shared" si="29"/>
        <v>2689.2997874828043</v>
      </c>
      <c r="F293" s="162">
        <v>0</v>
      </c>
      <c r="G293" s="16">
        <f t="shared" si="32"/>
        <v>50348.920697626847</v>
      </c>
      <c r="I293" s="21">
        <f t="shared" si="33"/>
        <v>449651.07930237311</v>
      </c>
      <c r="J293" s="16">
        <f t="shared" si="34"/>
        <v>370411.94959981868</v>
      </c>
    </row>
    <row r="294" spans="2:10" hidden="1" outlineLevel="1" x14ac:dyDescent="0.2">
      <c r="B294" s="44">
        <v>52779</v>
      </c>
      <c r="C294" s="15">
        <f t="shared" si="30"/>
        <v>50348.920697626847</v>
      </c>
      <c r="D294" s="16">
        <f t="shared" si="31"/>
        <v>207.63469271826401</v>
      </c>
      <c r="E294" s="21">
        <f t="shared" si="29"/>
        <v>2700.3902324668138</v>
      </c>
      <c r="F294" s="163">
        <v>0</v>
      </c>
      <c r="G294" s="16">
        <f t="shared" si="32"/>
        <v>47648.530465160031</v>
      </c>
      <c r="I294" s="21">
        <f t="shared" si="33"/>
        <v>452351.46953483991</v>
      </c>
      <c r="J294" s="16">
        <f t="shared" si="34"/>
        <v>370619.58429253695</v>
      </c>
    </row>
    <row r="295" spans="2:10" hidden="1" outlineLevel="1" x14ac:dyDescent="0.2">
      <c r="B295" s="44">
        <v>52810</v>
      </c>
      <c r="C295" s="15">
        <f t="shared" si="30"/>
        <v>47648.530465160031</v>
      </c>
      <c r="D295" s="16">
        <f t="shared" si="31"/>
        <v>196.49851167666966</v>
      </c>
      <c r="E295" s="21">
        <f t="shared" si="29"/>
        <v>2711.526413508408</v>
      </c>
      <c r="F295" s="163">
        <v>0</v>
      </c>
      <c r="G295" s="16">
        <f t="shared" si="32"/>
        <v>44937.004051651624</v>
      </c>
      <c r="I295" s="21">
        <f t="shared" si="33"/>
        <v>455062.99594834831</v>
      </c>
      <c r="J295" s="16">
        <f t="shared" si="34"/>
        <v>370816.08280421363</v>
      </c>
    </row>
    <row r="296" spans="2:10" hidden="1" outlineLevel="1" x14ac:dyDescent="0.2">
      <c r="B296" s="44">
        <v>52841</v>
      </c>
      <c r="C296" s="15">
        <f t="shared" si="30"/>
        <v>44937.004051651624</v>
      </c>
      <c r="D296" s="16">
        <f t="shared" si="31"/>
        <v>185.31640596585527</v>
      </c>
      <c r="E296" s="21">
        <f t="shared" si="29"/>
        <v>2722.7085192192226</v>
      </c>
      <c r="F296" s="162">
        <v>0</v>
      </c>
      <c r="G296" s="16">
        <f t="shared" si="32"/>
        <v>42214.295532432399</v>
      </c>
      <c r="I296" s="21">
        <f t="shared" si="33"/>
        <v>457785.70446756756</v>
      </c>
      <c r="J296" s="16">
        <f t="shared" si="34"/>
        <v>371001.39921017946</v>
      </c>
    </row>
    <row r="297" spans="2:10" hidden="1" outlineLevel="1" x14ac:dyDescent="0.2">
      <c r="B297" s="44">
        <v>52871</v>
      </c>
      <c r="C297" s="15">
        <f t="shared" si="30"/>
        <v>42214.295532432399</v>
      </c>
      <c r="D297" s="16">
        <f t="shared" si="31"/>
        <v>174.08818619636713</v>
      </c>
      <c r="E297" s="21">
        <f t="shared" si="29"/>
        <v>2733.9367389887107</v>
      </c>
      <c r="F297" s="163">
        <v>0</v>
      </c>
      <c r="G297" s="16">
        <f t="shared" si="32"/>
        <v>39480.358793443687</v>
      </c>
      <c r="I297" s="21">
        <f t="shared" si="33"/>
        <v>460519.64120655629</v>
      </c>
      <c r="J297" s="16">
        <f t="shared" si="34"/>
        <v>371175.4873963758</v>
      </c>
    </row>
    <row r="298" spans="2:10" hidden="1" outlineLevel="1" x14ac:dyDescent="0.2">
      <c r="B298" s="44">
        <v>52902</v>
      </c>
      <c r="C298" s="15">
        <f t="shared" si="30"/>
        <v>39480.358793443687</v>
      </c>
      <c r="D298" s="16">
        <f t="shared" si="31"/>
        <v>162.81366219772559</v>
      </c>
      <c r="E298" s="21">
        <f t="shared" si="29"/>
        <v>2745.2112629873523</v>
      </c>
      <c r="F298" s="163">
        <v>0</v>
      </c>
      <c r="G298" s="16">
        <f t="shared" si="32"/>
        <v>36735.147530456336</v>
      </c>
      <c r="I298" s="21">
        <f t="shared" si="33"/>
        <v>463264.85246954364</v>
      </c>
      <c r="J298" s="16">
        <f t="shared" si="34"/>
        <v>371338.30105857353</v>
      </c>
    </row>
    <row r="299" spans="2:10" hidden="1" outlineLevel="1" x14ac:dyDescent="0.2">
      <c r="B299" s="44">
        <v>52932</v>
      </c>
      <c r="C299" s="15">
        <f t="shared" si="30"/>
        <v>36735.147530456336</v>
      </c>
      <c r="D299" s="16">
        <f t="shared" si="31"/>
        <v>151.49264301520392</v>
      </c>
      <c r="E299" s="21">
        <f t="shared" si="29"/>
        <v>2756.5322821698737</v>
      </c>
      <c r="F299" s="162">
        <v>0</v>
      </c>
      <c r="G299" s="16">
        <f t="shared" si="32"/>
        <v>33978.615248286464</v>
      </c>
      <c r="I299" s="21">
        <f t="shared" si="33"/>
        <v>466021.38475171349</v>
      </c>
      <c r="J299" s="16">
        <f t="shared" si="34"/>
        <v>371489.79370158876</v>
      </c>
    </row>
    <row r="300" spans="2:10" hidden="1" outlineLevel="1" x14ac:dyDescent="0.2">
      <c r="B300" s="44">
        <v>52963</v>
      </c>
      <c r="C300" s="15">
        <f t="shared" si="30"/>
        <v>33978.615248286464</v>
      </c>
      <c r="D300" s="16">
        <f t="shared" si="31"/>
        <v>140.12493690659426</v>
      </c>
      <c r="E300" s="21">
        <f t="shared" si="29"/>
        <v>2767.8999882784838</v>
      </c>
      <c r="F300" s="163">
        <v>0</v>
      </c>
      <c r="G300" s="16">
        <f t="shared" si="32"/>
        <v>31210.715260007979</v>
      </c>
      <c r="I300" s="21">
        <f t="shared" si="33"/>
        <v>468789.28473999194</v>
      </c>
      <c r="J300" s="16">
        <f t="shared" si="34"/>
        <v>371629.91863849538</v>
      </c>
    </row>
    <row r="301" spans="2:10" hidden="1" outlineLevel="1" x14ac:dyDescent="0.2">
      <c r="B301" s="44">
        <v>52994</v>
      </c>
      <c r="C301" s="15">
        <f t="shared" si="30"/>
        <v>31210.715260007979</v>
      </c>
      <c r="D301" s="16">
        <f t="shared" si="31"/>
        <v>128.71035133896007</v>
      </c>
      <c r="E301" s="21">
        <f t="shared" si="29"/>
        <v>2779.3145738461176</v>
      </c>
      <c r="F301" s="163">
        <v>0</v>
      </c>
      <c r="G301" s="16">
        <f t="shared" si="32"/>
        <v>28431.400686161862</v>
      </c>
      <c r="I301" s="21">
        <f t="shared" si="33"/>
        <v>471568.59931383806</v>
      </c>
      <c r="J301" s="16">
        <f t="shared" si="34"/>
        <v>371758.62898983434</v>
      </c>
    </row>
    <row r="302" spans="2:10" hidden="1" outlineLevel="1" x14ac:dyDescent="0.2">
      <c r="B302" s="44">
        <v>53022</v>
      </c>
      <c r="C302" s="15">
        <f t="shared" si="30"/>
        <v>28431.400686161862</v>
      </c>
      <c r="D302" s="16">
        <f t="shared" si="31"/>
        <v>117.2486929853753</v>
      </c>
      <c r="E302" s="21">
        <f t="shared" si="29"/>
        <v>2790.7762321997025</v>
      </c>
      <c r="F302" s="162">
        <v>0</v>
      </c>
      <c r="G302" s="16">
        <f t="shared" si="32"/>
        <v>25640.624453962158</v>
      </c>
      <c r="I302" s="21">
        <f t="shared" si="33"/>
        <v>474359.37554603774</v>
      </c>
      <c r="J302" s="16">
        <f t="shared" si="34"/>
        <v>371875.87768281973</v>
      </c>
    </row>
    <row r="303" spans="2:10" hidden="1" outlineLevel="1" x14ac:dyDescent="0.2">
      <c r="B303" s="44">
        <v>53053</v>
      </c>
      <c r="C303" s="15">
        <f t="shared" si="30"/>
        <v>25640.624453962158</v>
      </c>
      <c r="D303" s="16">
        <f t="shared" si="31"/>
        <v>105.73976772164998</v>
      </c>
      <c r="E303" s="21">
        <f t="shared" si="29"/>
        <v>2802.2851574634278</v>
      </c>
      <c r="F303" s="163">
        <v>0</v>
      </c>
      <c r="G303" s="16">
        <f t="shared" si="32"/>
        <v>22838.339296498729</v>
      </c>
      <c r="I303" s="21">
        <f t="shared" si="33"/>
        <v>477161.6607035012</v>
      </c>
      <c r="J303" s="16">
        <f t="shared" si="34"/>
        <v>371981.61745054135</v>
      </c>
    </row>
    <row r="304" spans="2:10" hidden="1" outlineLevel="1" x14ac:dyDescent="0.2">
      <c r="B304" s="44">
        <v>53083</v>
      </c>
      <c r="C304" s="15">
        <f t="shared" si="30"/>
        <v>22838.339296498729</v>
      </c>
      <c r="D304" s="16">
        <f t="shared" si="31"/>
        <v>94.18338062304241</v>
      </c>
      <c r="E304" s="21">
        <f t="shared" si="29"/>
        <v>2813.8415445620353</v>
      </c>
      <c r="F304" s="163">
        <v>0</v>
      </c>
      <c r="G304" s="16">
        <f t="shared" si="32"/>
        <v>20024.497751936695</v>
      </c>
      <c r="I304" s="21">
        <f t="shared" si="33"/>
        <v>479975.50224806322</v>
      </c>
      <c r="J304" s="16">
        <f t="shared" si="34"/>
        <v>372075.80083116441</v>
      </c>
    </row>
    <row r="305" spans="1:10" hidden="1" outlineLevel="1" x14ac:dyDescent="0.2">
      <c r="B305" s="44">
        <v>53114</v>
      </c>
      <c r="C305" s="15">
        <f t="shared" si="30"/>
        <v>20024.497751936695</v>
      </c>
      <c r="D305" s="16">
        <f t="shared" si="31"/>
        <v>82.579335960957692</v>
      </c>
      <c r="E305" s="21">
        <f t="shared" si="29"/>
        <v>2825.4455892241199</v>
      </c>
      <c r="F305" s="162">
        <v>0</v>
      </c>
      <c r="G305" s="16">
        <f t="shared" si="32"/>
        <v>17199.052162712574</v>
      </c>
      <c r="I305" s="21">
        <f t="shared" si="33"/>
        <v>482800.94783728733</v>
      </c>
      <c r="J305" s="16">
        <f t="shared" si="34"/>
        <v>372158.38016712538</v>
      </c>
    </row>
    <row r="306" spans="1:10" hidden="1" outlineLevel="1" x14ac:dyDescent="0.2">
      <c r="B306" s="44">
        <v>53144</v>
      </c>
      <c r="C306" s="15">
        <f t="shared" si="30"/>
        <v>17199.052162712574</v>
      </c>
      <c r="D306" s="16">
        <f t="shared" si="31"/>
        <v>70.927437199632777</v>
      </c>
      <c r="E306" s="21">
        <f t="shared" si="29"/>
        <v>2837.0974879854448</v>
      </c>
      <c r="F306" s="163">
        <v>0</v>
      </c>
      <c r="G306" s="16">
        <f t="shared" si="32"/>
        <v>14361.954674727131</v>
      </c>
      <c r="I306" s="21">
        <f t="shared" si="33"/>
        <v>485638.04532527277</v>
      </c>
      <c r="J306" s="16">
        <f t="shared" si="34"/>
        <v>372229.307604325</v>
      </c>
    </row>
    <row r="307" spans="1:10" hidden="1" outlineLevel="1" x14ac:dyDescent="0.2">
      <c r="B307" s="44">
        <v>53175</v>
      </c>
      <c r="C307" s="15">
        <f t="shared" si="30"/>
        <v>14361.954674727131</v>
      </c>
      <c r="D307" s="16">
        <f t="shared" si="31"/>
        <v>59.227486992807748</v>
      </c>
      <c r="E307" s="21">
        <f t="shared" si="29"/>
        <v>2848.79743819227</v>
      </c>
      <c r="F307" s="163">
        <v>0</v>
      </c>
      <c r="G307" s="16">
        <f t="shared" si="32"/>
        <v>11513.15723653486</v>
      </c>
      <c r="I307" s="21">
        <f t="shared" si="33"/>
        <v>488486.84276346507</v>
      </c>
      <c r="J307" s="16">
        <f t="shared" si="34"/>
        <v>372288.53509131778</v>
      </c>
    </row>
    <row r="308" spans="1:10" hidden="1" outlineLevel="1" x14ac:dyDescent="0.2">
      <c r="B308" s="44">
        <v>53206</v>
      </c>
      <c r="C308" s="15">
        <f t="shared" si="30"/>
        <v>11513.15723653486</v>
      </c>
      <c r="D308" s="16">
        <f t="shared" si="31"/>
        <v>47.479287180383366</v>
      </c>
      <c r="E308" s="21">
        <f t="shared" si="29"/>
        <v>2860.5456380046944</v>
      </c>
      <c r="F308" s="162">
        <v>0</v>
      </c>
      <c r="G308" s="16">
        <f t="shared" si="32"/>
        <v>8652.6115985301658</v>
      </c>
      <c r="I308" s="21">
        <f t="shared" si="33"/>
        <v>491347.38840146974</v>
      </c>
      <c r="J308" s="16">
        <f t="shared" si="34"/>
        <v>372336.01437849819</v>
      </c>
    </row>
    <row r="309" spans="1:10" hidden="1" outlineLevel="1" x14ac:dyDescent="0.2">
      <c r="B309" s="44">
        <v>53236</v>
      </c>
      <c r="C309" s="15">
        <f t="shared" si="30"/>
        <v>8652.6115985301658</v>
      </c>
      <c r="D309" s="16">
        <f t="shared" si="31"/>
        <v>35.682638785064924</v>
      </c>
      <c r="E309" s="21">
        <f t="shared" si="29"/>
        <v>2872.3422864000127</v>
      </c>
      <c r="F309" s="163">
        <v>0</v>
      </c>
      <c r="G309" s="16">
        <f t="shared" si="32"/>
        <v>5780.2693121301527</v>
      </c>
      <c r="I309" s="21">
        <f t="shared" si="33"/>
        <v>494219.73068786977</v>
      </c>
      <c r="J309" s="16">
        <f t="shared" si="34"/>
        <v>372371.69701728324</v>
      </c>
    </row>
    <row r="310" spans="1:10" hidden="1" outlineLevel="1" x14ac:dyDescent="0.2">
      <c r="B310" s="44">
        <v>53267</v>
      </c>
      <c r="C310" s="15">
        <f t="shared" si="30"/>
        <v>5780.2693121301527</v>
      </c>
      <c r="D310" s="16">
        <f t="shared" si="31"/>
        <v>23.837342008992163</v>
      </c>
      <c r="E310" s="21">
        <f t="shared" si="29"/>
        <v>2884.1875831760858</v>
      </c>
      <c r="F310" s="163">
        <v>0</v>
      </c>
      <c r="G310" s="16">
        <f t="shared" si="32"/>
        <v>2896.0817289540669</v>
      </c>
      <c r="I310" s="21">
        <f t="shared" si="33"/>
        <v>497103.91827104584</v>
      </c>
      <c r="J310" s="16">
        <f t="shared" si="34"/>
        <v>372395.53435929224</v>
      </c>
    </row>
    <row r="311" spans="1:10" collapsed="1" x14ac:dyDescent="0.2">
      <c r="A311" t="s">
        <v>534</v>
      </c>
      <c r="B311" s="44">
        <v>53297</v>
      </c>
      <c r="C311" s="15">
        <f t="shared" si="30"/>
        <v>2896.0817289540669</v>
      </c>
      <c r="D311" s="16">
        <f t="shared" si="31"/>
        <v>11.94319623035533</v>
      </c>
      <c r="E311" s="21">
        <f t="shared" si="29"/>
        <v>2896.0817289547226</v>
      </c>
      <c r="F311" s="162">
        <v>0</v>
      </c>
      <c r="G311" s="16">
        <f t="shared" si="32"/>
        <v>-6.5574567997828126E-10</v>
      </c>
      <c r="I311" s="21">
        <f t="shared" si="33"/>
        <v>500000.00000000058</v>
      </c>
      <c r="J311" s="16">
        <f t="shared" si="34"/>
        <v>372407.47755552258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71"/>
  <sheetViews>
    <sheetView zoomScale="70" zoomScaleNormal="70" workbookViewId="0">
      <selection activeCell="D4" sqref="D4"/>
    </sheetView>
  </sheetViews>
  <sheetFormatPr baseColWidth="10" defaultColWidth="8.83203125" defaultRowHeight="15" outlineLevelCol="1" x14ac:dyDescent="0.2"/>
  <cols>
    <col min="6" max="6" width="13" customWidth="1"/>
    <col min="11" max="11" width="16.83203125" customWidth="1"/>
    <col min="12" max="12" width="10.83203125" customWidth="1"/>
    <col min="13" max="13" width="5.33203125" customWidth="1"/>
    <col min="14" max="14" width="12.5" hidden="1" customWidth="1" outlineLevel="1"/>
    <col min="15" max="15" width="15.5" hidden="1" customWidth="1" outlineLevel="1"/>
    <col min="16" max="16" width="11.83203125" hidden="1" customWidth="1" outlineLevel="1"/>
    <col min="17" max="17" width="9.1640625" hidden="1" customWidth="1" outlineLevel="1"/>
    <col min="18" max="18" width="12.5" customWidth="1" collapsed="1"/>
    <col min="19" max="19" width="15.5" customWidth="1"/>
    <col min="20" max="20" width="11.83203125" customWidth="1"/>
  </cols>
  <sheetData>
    <row r="2" spans="1:20" x14ac:dyDescent="0.2">
      <c r="A2" s="3" t="s">
        <v>9</v>
      </c>
      <c r="B2" s="3"/>
      <c r="F2" s="3" t="s">
        <v>19</v>
      </c>
      <c r="G2" s="3"/>
      <c r="K2" s="3" t="s">
        <v>20</v>
      </c>
      <c r="L2" s="3"/>
    </row>
    <row r="3" spans="1:20" x14ac:dyDescent="0.2">
      <c r="K3" t="s">
        <v>24</v>
      </c>
      <c r="N3" t="s">
        <v>25</v>
      </c>
      <c r="R3" t="s">
        <v>150</v>
      </c>
    </row>
    <row r="4" spans="1:20" x14ac:dyDescent="0.2">
      <c r="A4" t="s">
        <v>6</v>
      </c>
      <c r="F4" t="s">
        <v>15</v>
      </c>
      <c r="G4">
        <f>B5</f>
        <v>0.01</v>
      </c>
      <c r="K4" t="s">
        <v>15</v>
      </c>
      <c r="L4">
        <f>B5</f>
        <v>0.01</v>
      </c>
      <c r="N4" t="s">
        <v>6</v>
      </c>
      <c r="O4">
        <v>0.01</v>
      </c>
      <c r="R4" t="s">
        <v>6</v>
      </c>
      <c r="S4">
        <f>B5</f>
        <v>0.01</v>
      </c>
    </row>
    <row r="5" spans="1:20" x14ac:dyDescent="0.2">
      <c r="B5" s="154">
        <v>0.01</v>
      </c>
    </row>
    <row r="6" spans="1:20" x14ac:dyDescent="0.2">
      <c r="A6" t="s">
        <v>501</v>
      </c>
      <c r="E6" t="s">
        <v>22</v>
      </c>
      <c r="F6" t="s">
        <v>16</v>
      </c>
      <c r="G6" t="s">
        <v>18</v>
      </c>
      <c r="J6" t="s">
        <v>22</v>
      </c>
      <c r="K6" t="s">
        <v>21</v>
      </c>
      <c r="L6" t="s">
        <v>582</v>
      </c>
      <c r="O6" t="s">
        <v>21</v>
      </c>
      <c r="P6" t="s">
        <v>23</v>
      </c>
      <c r="S6" t="s">
        <v>21</v>
      </c>
      <c r="T6" t="s">
        <v>23</v>
      </c>
    </row>
    <row r="7" spans="1:20" x14ac:dyDescent="0.2">
      <c r="B7" s="154">
        <v>60</v>
      </c>
      <c r="J7">
        <v>0</v>
      </c>
      <c r="K7" s="154">
        <v>-6800</v>
      </c>
      <c r="L7" s="1">
        <f>K7/(1+$G$4)^J7</f>
        <v>-6800</v>
      </c>
      <c r="O7">
        <f>-6800</f>
        <v>-6800</v>
      </c>
      <c r="P7" s="1">
        <f>O7/(1+$G$4)^N7</f>
        <v>-6800</v>
      </c>
      <c r="S7">
        <f>K7</f>
        <v>-6800</v>
      </c>
      <c r="T7" s="1">
        <f>S7/(1+$G$4)^R7</f>
        <v>-6800</v>
      </c>
    </row>
    <row r="8" spans="1:20" x14ac:dyDescent="0.2">
      <c r="A8" t="s">
        <v>12</v>
      </c>
      <c r="E8">
        <v>1</v>
      </c>
      <c r="F8" s="1">
        <f>B12</f>
        <v>140</v>
      </c>
      <c r="G8" s="1">
        <f>F8/(1+$G$4)^E8</f>
        <v>138.61386138613861</v>
      </c>
      <c r="J8">
        <v>1</v>
      </c>
      <c r="K8" s="1">
        <f>B12</f>
        <v>140</v>
      </c>
      <c r="L8" s="1">
        <f>K8/(1+$L$4)^J8</f>
        <v>138.61386138613861</v>
      </c>
      <c r="M8" s="1"/>
      <c r="N8">
        <f>-O7</f>
        <v>6800</v>
      </c>
      <c r="O8">
        <f>N8*$O$4</f>
        <v>68</v>
      </c>
      <c r="P8" s="1">
        <f>O8/(1+$O$4)^E8</f>
        <v>67.32673267326733</v>
      </c>
      <c r="R8">
        <f>-S7</f>
        <v>6800</v>
      </c>
      <c r="S8">
        <f>R8*$O$4</f>
        <v>68</v>
      </c>
      <c r="T8" s="1">
        <f>S8/(1+$O$4)^E8</f>
        <v>67.32673267326733</v>
      </c>
    </row>
    <row r="9" spans="1:20" x14ac:dyDescent="0.2">
      <c r="E9">
        <v>2</v>
      </c>
      <c r="F9" s="1">
        <f>F8</f>
        <v>140</v>
      </c>
      <c r="G9" s="1">
        <f t="shared" ref="G9:G13" si="0">F9/(1+$G$4)^E9</f>
        <v>137.24144691696893</v>
      </c>
      <c r="J9">
        <v>2</v>
      </c>
      <c r="K9" s="1">
        <f>K8</f>
        <v>140</v>
      </c>
      <c r="L9" s="1">
        <f t="shared" ref="L9:L67" si="1">K9/(1+$L$4)^J9</f>
        <v>137.24144691696893</v>
      </c>
      <c r="M9" s="1"/>
      <c r="N9" s="5">
        <f>N8+O8</f>
        <v>6868</v>
      </c>
      <c r="O9" s="5">
        <f>O8</f>
        <v>68</v>
      </c>
      <c r="P9" s="1">
        <f t="shared" ref="P9:P67" si="2">O9/(1+$O$4)^E9</f>
        <v>66.660131359670615</v>
      </c>
      <c r="R9" s="5">
        <f>R8+S8</f>
        <v>6868</v>
      </c>
      <c r="S9" s="5">
        <f>R9*$S$4</f>
        <v>68.680000000000007</v>
      </c>
      <c r="T9" s="1">
        <f>S9/(1+$O$4)^E9</f>
        <v>67.32673267326733</v>
      </c>
    </row>
    <row r="10" spans="1:20" x14ac:dyDescent="0.2">
      <c r="B10">
        <f>((1+$B$5)^B$7-1)/($B$5*(1+$B$5)^B$7)</f>
        <v>44.955038406224034</v>
      </c>
      <c r="E10">
        <v>3</v>
      </c>
      <c r="F10" s="1">
        <f>F9</f>
        <v>140</v>
      </c>
      <c r="G10" s="1">
        <f t="shared" si="0"/>
        <v>135.88262070987022</v>
      </c>
      <c r="J10">
        <v>3</v>
      </c>
      <c r="K10" s="1">
        <f>K9</f>
        <v>140</v>
      </c>
      <c r="L10" s="1">
        <f t="shared" si="1"/>
        <v>135.88262070987022</v>
      </c>
      <c r="M10" s="1"/>
      <c r="N10" s="5">
        <f t="shared" ref="N10:N67" si="3">N9+O9</f>
        <v>6936</v>
      </c>
      <c r="O10" s="5">
        <f t="shared" ref="O10:O66" si="4">O9</f>
        <v>68</v>
      </c>
      <c r="P10" s="1">
        <f t="shared" si="2"/>
        <v>66.000130059079822</v>
      </c>
      <c r="R10" s="5">
        <f t="shared" ref="R10:R67" si="5">R9+S9</f>
        <v>6936.68</v>
      </c>
      <c r="S10" s="5">
        <f t="shared" ref="S10:S66" si="6">R10*$S$4</f>
        <v>69.366799999999998</v>
      </c>
      <c r="T10" s="1">
        <f>S10/(1+$O$4)^E10</f>
        <v>67.32673267326733</v>
      </c>
    </row>
    <row r="11" spans="1:20" x14ac:dyDescent="0.2">
      <c r="A11" t="s">
        <v>13</v>
      </c>
      <c r="E11">
        <v>4</v>
      </c>
      <c r="F11" s="1">
        <f>F10</f>
        <v>140</v>
      </c>
      <c r="G11" s="1">
        <f t="shared" si="0"/>
        <v>134.53724822759429</v>
      </c>
      <c r="J11">
        <v>4</v>
      </c>
      <c r="K11" s="1">
        <f>K10</f>
        <v>140</v>
      </c>
      <c r="L11" s="1">
        <f t="shared" si="1"/>
        <v>134.53724822759429</v>
      </c>
      <c r="M11" s="1"/>
      <c r="N11" s="5">
        <f t="shared" si="3"/>
        <v>7004</v>
      </c>
      <c r="O11" s="5">
        <f t="shared" si="4"/>
        <v>68</v>
      </c>
      <c r="P11" s="1">
        <f t="shared" si="2"/>
        <v>65.346663424831505</v>
      </c>
      <c r="R11" s="5">
        <f t="shared" si="5"/>
        <v>7006.0468000000001</v>
      </c>
      <c r="S11" s="5">
        <f t="shared" si="6"/>
        <v>70.060468</v>
      </c>
      <c r="T11" s="1">
        <f t="shared" ref="T11:T66" si="7">S11/(1+$O$4)^E11</f>
        <v>67.32673267326733</v>
      </c>
    </row>
    <row r="12" spans="1:20" x14ac:dyDescent="0.2">
      <c r="B12" s="154">
        <v>140</v>
      </c>
      <c r="E12">
        <v>5</v>
      </c>
      <c r="F12" s="1">
        <f>F11</f>
        <v>140</v>
      </c>
      <c r="G12" s="1">
        <f t="shared" si="0"/>
        <v>133.20519626494485</v>
      </c>
      <c r="J12">
        <v>5</v>
      </c>
      <c r="K12" s="1">
        <f>K11</f>
        <v>140</v>
      </c>
      <c r="L12" s="1">
        <f t="shared" si="1"/>
        <v>133.20519626494485</v>
      </c>
      <c r="M12" s="1"/>
      <c r="N12" s="5">
        <f t="shared" si="3"/>
        <v>7072</v>
      </c>
      <c r="O12" s="5">
        <f t="shared" si="4"/>
        <v>68</v>
      </c>
      <c r="P12" s="1">
        <f t="shared" si="2"/>
        <v>64.699666757258925</v>
      </c>
      <c r="R12" s="5">
        <f t="shared" si="5"/>
        <v>7076.1072679999997</v>
      </c>
      <c r="S12" s="5">
        <f t="shared" si="6"/>
        <v>70.761072679999998</v>
      </c>
      <c r="T12" s="1">
        <f t="shared" si="7"/>
        <v>67.32673267326733</v>
      </c>
    </row>
    <row r="13" spans="1:20" x14ac:dyDescent="0.2">
      <c r="A13" t="s">
        <v>14</v>
      </c>
      <c r="E13">
        <v>6</v>
      </c>
      <c r="F13" s="1">
        <v>140</v>
      </c>
      <c r="G13" s="1">
        <f t="shared" si="0"/>
        <v>131.88633293558894</v>
      </c>
      <c r="J13">
        <v>6</v>
      </c>
      <c r="K13" s="1">
        <v>140</v>
      </c>
      <c r="L13" s="1">
        <f t="shared" si="1"/>
        <v>131.88633293558894</v>
      </c>
      <c r="M13" s="1"/>
      <c r="N13" s="5">
        <f t="shared" si="3"/>
        <v>7140</v>
      </c>
      <c r="O13" s="5">
        <f t="shared" si="4"/>
        <v>68</v>
      </c>
      <c r="P13" s="1">
        <f t="shared" si="2"/>
        <v>64.059075997286044</v>
      </c>
      <c r="R13" s="5">
        <f t="shared" si="5"/>
        <v>7146.8683406800001</v>
      </c>
      <c r="S13" s="5">
        <f t="shared" si="6"/>
        <v>71.468683406799997</v>
      </c>
      <c r="T13" s="1">
        <f t="shared" si="7"/>
        <v>67.326732673267315</v>
      </c>
    </row>
    <row r="14" spans="1:20" x14ac:dyDescent="0.2">
      <c r="B14" s="1">
        <f>B10*B12</f>
        <v>6293.7053768713649</v>
      </c>
      <c r="E14">
        <v>7</v>
      </c>
      <c r="F14" s="1">
        <f>F13</f>
        <v>140</v>
      </c>
      <c r="G14" s="1">
        <f t="shared" ref="G14:G18" si="8">F14/(1+$G$4)^E14</f>
        <v>130.58052765899896</v>
      </c>
      <c r="J14">
        <v>7</v>
      </c>
      <c r="K14" s="1">
        <f>K13</f>
        <v>140</v>
      </c>
      <c r="L14" s="1">
        <f t="shared" si="1"/>
        <v>130.58052765899896</v>
      </c>
      <c r="M14" s="1"/>
      <c r="N14" s="5">
        <f t="shared" si="3"/>
        <v>7208</v>
      </c>
      <c r="O14" s="5">
        <f t="shared" si="4"/>
        <v>68</v>
      </c>
      <c r="P14" s="1">
        <f t="shared" si="2"/>
        <v>63.424827720085219</v>
      </c>
      <c r="R14" s="5">
        <f t="shared" si="5"/>
        <v>7218.3370240867998</v>
      </c>
      <c r="S14" s="5">
        <f t="shared" si="6"/>
        <v>72.183370240868001</v>
      </c>
      <c r="T14" s="1">
        <f t="shared" si="7"/>
        <v>67.326732673267344</v>
      </c>
    </row>
    <row r="15" spans="1:20" x14ac:dyDescent="0.2">
      <c r="E15">
        <v>8</v>
      </c>
      <c r="F15" s="1">
        <f>F14</f>
        <v>140</v>
      </c>
      <c r="G15" s="1">
        <f t="shared" si="8"/>
        <v>129.28765114752369</v>
      </c>
      <c r="J15">
        <v>8</v>
      </c>
      <c r="K15" s="1">
        <f>K14</f>
        <v>140</v>
      </c>
      <c r="L15" s="1">
        <f t="shared" si="1"/>
        <v>129.28765114752369</v>
      </c>
      <c r="M15" s="1"/>
      <c r="N15" s="5">
        <f t="shared" si="3"/>
        <v>7276</v>
      </c>
      <c r="O15" s="5">
        <f t="shared" si="4"/>
        <v>68</v>
      </c>
      <c r="P15" s="1">
        <f t="shared" si="2"/>
        <v>62.796859128797223</v>
      </c>
      <c r="R15" s="5">
        <f t="shared" si="5"/>
        <v>7290.5203943276674</v>
      </c>
      <c r="S15" s="5">
        <f t="shared" si="6"/>
        <v>72.905203943276675</v>
      </c>
      <c r="T15" s="1">
        <f t="shared" si="7"/>
        <v>67.326732673267315</v>
      </c>
    </row>
    <row r="16" spans="1:20" x14ac:dyDescent="0.2">
      <c r="E16">
        <v>9</v>
      </c>
      <c r="F16" s="1">
        <f>F15</f>
        <v>140</v>
      </c>
      <c r="G16" s="1">
        <f t="shared" si="8"/>
        <v>128.00757539358781</v>
      </c>
      <c r="J16">
        <v>9</v>
      </c>
      <c r="K16" s="1">
        <f>K15</f>
        <v>140</v>
      </c>
      <c r="L16" s="1">
        <f t="shared" si="1"/>
        <v>128.00757539358781</v>
      </c>
      <c r="M16" s="1"/>
      <c r="N16" s="5">
        <f t="shared" si="3"/>
        <v>7344</v>
      </c>
      <c r="O16" s="5">
        <f t="shared" si="4"/>
        <v>68</v>
      </c>
      <c r="P16" s="1">
        <f t="shared" si="2"/>
        <v>62.17510804831408</v>
      </c>
      <c r="R16" s="5">
        <f t="shared" si="5"/>
        <v>7363.4255982709437</v>
      </c>
      <c r="S16" s="5">
        <f t="shared" si="6"/>
        <v>73.634255982709433</v>
      </c>
      <c r="T16" s="1">
        <f t="shared" si="7"/>
        <v>67.326732673267301</v>
      </c>
    </row>
    <row r="17" spans="5:20" x14ac:dyDescent="0.2">
      <c r="E17">
        <v>10</v>
      </c>
      <c r="F17" s="1">
        <f>F16</f>
        <v>140</v>
      </c>
      <c r="G17" s="1">
        <f t="shared" si="8"/>
        <v>126.74017365701764</v>
      </c>
      <c r="J17">
        <v>10</v>
      </c>
      <c r="K17" s="1">
        <f>K16</f>
        <v>140</v>
      </c>
      <c r="L17" s="1">
        <f t="shared" si="1"/>
        <v>126.74017365701764</v>
      </c>
      <c r="M17" s="1"/>
      <c r="N17" s="5">
        <f t="shared" si="3"/>
        <v>7412</v>
      </c>
      <c r="O17" s="5">
        <f t="shared" si="4"/>
        <v>68</v>
      </c>
      <c r="P17" s="1">
        <f t="shared" si="2"/>
        <v>61.559512919122852</v>
      </c>
      <c r="R17" s="5">
        <f t="shared" si="5"/>
        <v>7437.0598542536536</v>
      </c>
      <c r="S17" s="5">
        <f t="shared" si="6"/>
        <v>74.370598542536541</v>
      </c>
      <c r="T17" s="1">
        <f t="shared" si="7"/>
        <v>67.326732673267315</v>
      </c>
    </row>
    <row r="18" spans="5:20" x14ac:dyDescent="0.2">
      <c r="E18">
        <v>11</v>
      </c>
      <c r="F18" s="1">
        <v>140</v>
      </c>
      <c r="G18" s="1">
        <f t="shared" si="8"/>
        <v>125.48532045249273</v>
      </c>
      <c r="J18">
        <v>11</v>
      </c>
      <c r="K18" s="1">
        <v>140</v>
      </c>
      <c r="L18" s="1">
        <f>K18/(1+$L$4)^J18</f>
        <v>125.48532045249273</v>
      </c>
      <c r="M18" s="1"/>
      <c r="N18" s="5">
        <f t="shared" si="3"/>
        <v>7480</v>
      </c>
      <c r="O18" s="5">
        <f t="shared" si="4"/>
        <v>68</v>
      </c>
      <c r="P18" s="1">
        <f t="shared" si="2"/>
        <v>60.950012791210753</v>
      </c>
      <c r="R18" s="5">
        <f t="shared" si="5"/>
        <v>7511.4304527961904</v>
      </c>
      <c r="S18" s="5">
        <f t="shared" si="6"/>
        <v>75.114304527961906</v>
      </c>
      <c r="T18" s="1">
        <f t="shared" si="7"/>
        <v>67.32673267326733</v>
      </c>
    </row>
    <row r="19" spans="5:20" x14ac:dyDescent="0.2">
      <c r="E19">
        <v>12</v>
      </c>
      <c r="F19" s="1">
        <f>F18</f>
        <v>140</v>
      </c>
      <c r="G19" s="1">
        <f>F19/(1+$G$4)^E19</f>
        <v>124.24289153712151</v>
      </c>
      <c r="J19">
        <v>12</v>
      </c>
      <c r="K19" s="1">
        <f>K18</f>
        <v>140</v>
      </c>
      <c r="L19" s="1">
        <f t="shared" si="1"/>
        <v>124.24289153712151</v>
      </c>
      <c r="M19" s="1"/>
      <c r="N19" s="5">
        <f t="shared" si="3"/>
        <v>7548</v>
      </c>
      <c r="O19" s="5">
        <f t="shared" si="4"/>
        <v>68</v>
      </c>
      <c r="P19" s="1">
        <f t="shared" si="2"/>
        <v>60.346547318030446</v>
      </c>
      <c r="R19" s="5">
        <f t="shared" si="5"/>
        <v>7586.5447573241527</v>
      </c>
      <c r="S19" s="5">
        <f t="shared" si="6"/>
        <v>75.865447573241525</v>
      </c>
      <c r="T19" s="1">
        <f t="shared" si="7"/>
        <v>67.32673267326733</v>
      </c>
    </row>
    <row r="20" spans="5:20" x14ac:dyDescent="0.2">
      <c r="E20">
        <v>13</v>
      </c>
      <c r="F20" s="1">
        <f>F19</f>
        <v>140</v>
      </c>
      <c r="G20" s="1">
        <f>F20/(1+$G$4)^E20</f>
        <v>123.01276389814011</v>
      </c>
      <c r="J20">
        <v>13</v>
      </c>
      <c r="K20" s="1">
        <f>K19</f>
        <v>140</v>
      </c>
      <c r="L20" s="1">
        <f t="shared" si="1"/>
        <v>123.01276389814011</v>
      </c>
      <c r="M20" s="1"/>
      <c r="N20" s="5">
        <f t="shared" si="3"/>
        <v>7616</v>
      </c>
      <c r="O20" s="5">
        <f t="shared" si="4"/>
        <v>68</v>
      </c>
      <c r="P20" s="1">
        <f t="shared" si="2"/>
        <v>59.749056750525192</v>
      </c>
      <c r="R20" s="5">
        <f t="shared" si="5"/>
        <v>7662.4102048973946</v>
      </c>
      <c r="S20" s="5">
        <f t="shared" si="6"/>
        <v>76.624102048973953</v>
      </c>
      <c r="T20" s="1">
        <f t="shared" si="7"/>
        <v>67.32673267326733</v>
      </c>
    </row>
    <row r="21" spans="5:20" x14ac:dyDescent="0.2">
      <c r="E21">
        <v>14</v>
      </c>
      <c r="F21" s="1">
        <v>140</v>
      </c>
      <c r="G21" s="1">
        <f t="shared" ref="G21:G67" si="9">F21/(1+$G$4)^E21</f>
        <v>121.79481574073276</v>
      </c>
      <c r="J21">
        <v>14</v>
      </c>
      <c r="K21" s="1">
        <v>140</v>
      </c>
      <c r="L21" s="1">
        <f t="shared" si="1"/>
        <v>121.79481574073276</v>
      </c>
      <c r="M21" s="1"/>
      <c r="N21" s="5">
        <f t="shared" si="3"/>
        <v>7684</v>
      </c>
      <c r="O21" s="5">
        <f t="shared" si="4"/>
        <v>68</v>
      </c>
      <c r="P21" s="1">
        <f t="shared" si="2"/>
        <v>59.157481931213056</v>
      </c>
      <c r="R21" s="5">
        <f t="shared" si="5"/>
        <v>7739.0343069463688</v>
      </c>
      <c r="S21" s="5">
        <f t="shared" si="6"/>
        <v>77.390343069463697</v>
      </c>
      <c r="T21" s="1">
        <f t="shared" si="7"/>
        <v>67.32673267326733</v>
      </c>
    </row>
    <row r="22" spans="5:20" x14ac:dyDescent="0.2">
      <c r="E22">
        <v>15</v>
      </c>
      <c r="F22" s="1">
        <f>F21</f>
        <v>140</v>
      </c>
      <c r="G22" s="1">
        <f t="shared" si="9"/>
        <v>120.58892647597307</v>
      </c>
      <c r="J22">
        <v>15</v>
      </c>
      <c r="K22" s="1">
        <f>K21</f>
        <v>140</v>
      </c>
      <c r="L22" s="1">
        <f t="shared" si="1"/>
        <v>120.58892647597307</v>
      </c>
      <c r="M22" s="1"/>
      <c r="N22" s="5">
        <f t="shared" si="3"/>
        <v>7752</v>
      </c>
      <c r="O22" s="5">
        <f t="shared" si="4"/>
        <v>68</v>
      </c>
      <c r="P22" s="1">
        <f t="shared" si="2"/>
        <v>58.571764288329774</v>
      </c>
      <c r="R22" s="5">
        <f t="shared" si="5"/>
        <v>7816.4246500158324</v>
      </c>
      <c r="S22" s="5">
        <f t="shared" si="6"/>
        <v>78.164246500158328</v>
      </c>
      <c r="T22" s="1">
        <f t="shared" si="7"/>
        <v>67.326732673267344</v>
      </c>
    </row>
    <row r="23" spans="5:20" x14ac:dyDescent="0.2">
      <c r="E23">
        <v>16</v>
      </c>
      <c r="F23" s="1">
        <f>F22</f>
        <v>140</v>
      </c>
      <c r="G23" s="1">
        <f t="shared" si="9"/>
        <v>119.39497670888419</v>
      </c>
      <c r="J23">
        <v>16</v>
      </c>
      <c r="K23" s="1">
        <f>K22</f>
        <v>140</v>
      </c>
      <c r="L23" s="1">
        <f t="shared" si="1"/>
        <v>119.39497670888419</v>
      </c>
      <c r="M23" s="1"/>
      <c r="N23" s="5">
        <f t="shared" si="3"/>
        <v>7820</v>
      </c>
      <c r="O23" s="5">
        <f t="shared" si="4"/>
        <v>68</v>
      </c>
      <c r="P23" s="1">
        <f t="shared" si="2"/>
        <v>57.991845830029462</v>
      </c>
      <c r="R23" s="5">
        <f t="shared" si="5"/>
        <v>7894.5888965159911</v>
      </c>
      <c r="S23" s="5">
        <f t="shared" si="6"/>
        <v>78.945888965159909</v>
      </c>
      <c r="T23" s="1">
        <f t="shared" si="7"/>
        <v>67.326732673267315</v>
      </c>
    </row>
    <row r="24" spans="5:20" x14ac:dyDescent="0.2">
      <c r="E24">
        <v>17</v>
      </c>
      <c r="F24" s="1">
        <v>140</v>
      </c>
      <c r="G24" s="1">
        <f t="shared" si="9"/>
        <v>118.21284822661801</v>
      </c>
      <c r="J24">
        <v>17</v>
      </c>
      <c r="K24" s="1">
        <v>140</v>
      </c>
      <c r="L24" s="1">
        <f t="shared" si="1"/>
        <v>118.21284822661801</v>
      </c>
      <c r="M24" s="1"/>
      <c r="N24" s="5">
        <f t="shared" si="3"/>
        <v>7888</v>
      </c>
      <c r="O24" s="5">
        <f t="shared" si="4"/>
        <v>68</v>
      </c>
      <c r="P24" s="1">
        <f t="shared" si="2"/>
        <v>57.417669138643028</v>
      </c>
      <c r="R24" s="5">
        <f t="shared" si="5"/>
        <v>7973.5347854811507</v>
      </c>
      <c r="S24" s="5">
        <f t="shared" si="6"/>
        <v>79.735347854811508</v>
      </c>
      <c r="T24" s="1">
        <f t="shared" si="7"/>
        <v>67.326732673267315</v>
      </c>
    </row>
    <row r="25" spans="5:20" x14ac:dyDescent="0.2">
      <c r="E25">
        <v>18</v>
      </c>
      <c r="F25" s="1">
        <f>F24</f>
        <v>140</v>
      </c>
      <c r="G25" s="1">
        <f t="shared" si="9"/>
        <v>117.04242398675049</v>
      </c>
      <c r="J25">
        <v>18</v>
      </c>
      <c r="K25" s="1">
        <f>K24</f>
        <v>140</v>
      </c>
      <c r="L25" s="1">
        <f t="shared" si="1"/>
        <v>117.04242398675049</v>
      </c>
      <c r="M25" s="1"/>
      <c r="N25" s="5">
        <f t="shared" si="3"/>
        <v>7956</v>
      </c>
      <c r="O25" s="5">
        <f t="shared" si="4"/>
        <v>68</v>
      </c>
      <c r="P25" s="1">
        <f t="shared" si="2"/>
        <v>56.849177364993096</v>
      </c>
      <c r="R25" s="5">
        <f t="shared" si="5"/>
        <v>8053.2701333359619</v>
      </c>
      <c r="S25" s="5">
        <f t="shared" si="6"/>
        <v>80.532701333359626</v>
      </c>
      <c r="T25" s="1">
        <f t="shared" si="7"/>
        <v>67.326732673267315</v>
      </c>
    </row>
    <row r="26" spans="5:20" x14ac:dyDescent="0.2">
      <c r="E26">
        <v>19</v>
      </c>
      <c r="F26" s="1">
        <f>F25</f>
        <v>140</v>
      </c>
      <c r="G26" s="1">
        <f t="shared" si="9"/>
        <v>115.88358810569359</v>
      </c>
      <c r="J26">
        <v>19</v>
      </c>
      <c r="K26" s="1">
        <f>K25</f>
        <v>140</v>
      </c>
      <c r="L26" s="1">
        <f t="shared" si="1"/>
        <v>115.88358810569359</v>
      </c>
      <c r="M26" s="1"/>
      <c r="N26" s="5">
        <f t="shared" si="3"/>
        <v>8024</v>
      </c>
      <c r="O26" s="5">
        <f t="shared" si="4"/>
        <v>68</v>
      </c>
      <c r="P26" s="1">
        <f t="shared" si="2"/>
        <v>56.286314222765455</v>
      </c>
      <c r="R26" s="5">
        <f t="shared" si="5"/>
        <v>8133.8028346693218</v>
      </c>
      <c r="S26" s="5">
        <f t="shared" si="6"/>
        <v>81.338028346693221</v>
      </c>
      <c r="T26" s="1">
        <f t="shared" si="7"/>
        <v>67.32673267326733</v>
      </c>
    </row>
    <row r="27" spans="5:20" x14ac:dyDescent="0.2">
      <c r="E27">
        <v>20</v>
      </c>
      <c r="F27" s="1">
        <v>140</v>
      </c>
      <c r="G27" s="1">
        <f t="shared" si="9"/>
        <v>114.73622584722136</v>
      </c>
      <c r="J27">
        <v>20</v>
      </c>
      <c r="K27" s="1">
        <v>140</v>
      </c>
      <c r="L27" s="1">
        <f t="shared" si="1"/>
        <v>114.73622584722136</v>
      </c>
      <c r="M27" s="1"/>
      <c r="N27" s="5">
        <f t="shared" si="3"/>
        <v>8092</v>
      </c>
      <c r="O27" s="5">
        <f t="shared" si="4"/>
        <v>68</v>
      </c>
      <c r="P27" s="1">
        <f t="shared" si="2"/>
        <v>55.729023982936091</v>
      </c>
      <c r="R27" s="5">
        <f t="shared" si="5"/>
        <v>8215.1408630160149</v>
      </c>
      <c r="S27" s="5">
        <f t="shared" si="6"/>
        <v>82.151408630160148</v>
      </c>
      <c r="T27" s="1">
        <f t="shared" si="7"/>
        <v>67.326732673267315</v>
      </c>
    </row>
    <row r="28" spans="5:20" x14ac:dyDescent="0.2">
      <c r="E28">
        <v>21</v>
      </c>
      <c r="F28" s="1">
        <f>F27</f>
        <v>140</v>
      </c>
      <c r="G28" s="1">
        <f t="shared" si="9"/>
        <v>113.60022361111027</v>
      </c>
      <c r="J28">
        <v>21</v>
      </c>
      <c r="K28" s="1">
        <f>K27</f>
        <v>140</v>
      </c>
      <c r="L28" s="1">
        <f t="shared" si="1"/>
        <v>113.60022361111027</v>
      </c>
      <c r="M28" s="1"/>
      <c r="N28" s="5">
        <f t="shared" si="3"/>
        <v>8160</v>
      </c>
      <c r="O28" s="5">
        <f t="shared" si="4"/>
        <v>68</v>
      </c>
      <c r="P28" s="1">
        <f t="shared" si="2"/>
        <v>55.177251468253559</v>
      </c>
      <c r="R28" s="5">
        <f t="shared" si="5"/>
        <v>8297.2922716461744</v>
      </c>
      <c r="S28" s="5">
        <f t="shared" si="6"/>
        <v>82.972922716461753</v>
      </c>
      <c r="T28" s="1">
        <f t="shared" si="7"/>
        <v>67.32673267326733</v>
      </c>
    </row>
    <row r="29" spans="5:20" x14ac:dyDescent="0.2">
      <c r="E29">
        <v>22</v>
      </c>
      <c r="F29" s="1">
        <f>F28</f>
        <v>140</v>
      </c>
      <c r="G29" s="1">
        <f t="shared" si="9"/>
        <v>112.47546892189133</v>
      </c>
      <c r="J29">
        <v>22</v>
      </c>
      <c r="K29" s="1">
        <f>K28</f>
        <v>140</v>
      </c>
      <c r="L29" s="1">
        <f t="shared" si="1"/>
        <v>112.47546892189133</v>
      </c>
      <c r="M29" s="1"/>
      <c r="N29" s="5">
        <f t="shared" si="3"/>
        <v>8228</v>
      </c>
      <c r="O29" s="5">
        <f t="shared" si="4"/>
        <v>68</v>
      </c>
      <c r="P29" s="1">
        <f t="shared" si="2"/>
        <v>54.63094204777579</v>
      </c>
      <c r="R29" s="5">
        <f t="shared" si="5"/>
        <v>8380.265194362637</v>
      </c>
      <c r="S29" s="5">
        <f t="shared" si="6"/>
        <v>83.802651943626373</v>
      </c>
      <c r="T29" s="1">
        <f t="shared" si="7"/>
        <v>67.326732673267315</v>
      </c>
    </row>
    <row r="30" spans="5:20" x14ac:dyDescent="0.2">
      <c r="E30">
        <v>23</v>
      </c>
      <c r="F30" s="1">
        <v>140</v>
      </c>
      <c r="G30" s="1">
        <f t="shared" si="9"/>
        <v>111.36185041771421</v>
      </c>
      <c r="J30">
        <v>23</v>
      </c>
      <c r="K30" s="1">
        <v>140</v>
      </c>
      <c r="L30" s="1">
        <f t="shared" si="1"/>
        <v>111.36185041771421</v>
      </c>
      <c r="M30" s="1"/>
      <c r="N30" s="5">
        <f t="shared" si="3"/>
        <v>8296</v>
      </c>
      <c r="O30" s="5">
        <f t="shared" si="4"/>
        <v>68</v>
      </c>
      <c r="P30" s="1">
        <f t="shared" si="2"/>
        <v>54.090041631461183</v>
      </c>
      <c r="R30" s="5">
        <f t="shared" si="5"/>
        <v>8464.0678463062632</v>
      </c>
      <c r="S30" s="5">
        <f t="shared" si="6"/>
        <v>84.640678463062628</v>
      </c>
      <c r="T30" s="1">
        <f t="shared" si="7"/>
        <v>67.326732673267315</v>
      </c>
    </row>
    <row r="31" spans="5:20" x14ac:dyDescent="0.2">
      <c r="E31">
        <v>24</v>
      </c>
      <c r="F31" s="1">
        <f>F30</f>
        <v>140</v>
      </c>
      <c r="G31" s="1">
        <f t="shared" si="9"/>
        <v>110.25925783932097</v>
      </c>
      <c r="J31">
        <v>24</v>
      </c>
      <c r="K31" s="1">
        <f>K30</f>
        <v>140</v>
      </c>
      <c r="L31" s="1">
        <f t="shared" si="1"/>
        <v>110.25925783932097</v>
      </c>
      <c r="M31" s="1"/>
      <c r="N31" s="5">
        <f t="shared" si="3"/>
        <v>8364</v>
      </c>
      <c r="O31" s="5">
        <f t="shared" si="4"/>
        <v>68</v>
      </c>
      <c r="P31" s="1">
        <f t="shared" si="2"/>
        <v>53.554496664813044</v>
      </c>
      <c r="R31" s="5">
        <f t="shared" si="5"/>
        <v>8548.7085247693267</v>
      </c>
      <c r="S31" s="5">
        <f t="shared" si="6"/>
        <v>85.487085247693273</v>
      </c>
      <c r="T31" s="1">
        <f t="shared" si="7"/>
        <v>67.326732673267315</v>
      </c>
    </row>
    <row r="32" spans="5:20" x14ac:dyDescent="0.2">
      <c r="E32">
        <v>25</v>
      </c>
      <c r="F32" s="1">
        <f>F31</f>
        <v>140</v>
      </c>
      <c r="G32" s="1">
        <f t="shared" si="9"/>
        <v>109.16758201912965</v>
      </c>
      <c r="J32">
        <v>25</v>
      </c>
      <c r="K32" s="1">
        <f>K31</f>
        <v>140</v>
      </c>
      <c r="L32" s="1">
        <f t="shared" si="1"/>
        <v>109.16758201912965</v>
      </c>
      <c r="M32" s="1"/>
      <c r="N32" s="5">
        <f t="shared" si="3"/>
        <v>8432</v>
      </c>
      <c r="O32" s="5">
        <f t="shared" si="4"/>
        <v>68</v>
      </c>
      <c r="P32" s="1">
        <f t="shared" si="2"/>
        <v>53.024254123577265</v>
      </c>
      <c r="R32" s="5">
        <f t="shared" si="5"/>
        <v>8634.1956100170191</v>
      </c>
      <c r="S32" s="5">
        <f t="shared" si="6"/>
        <v>86.341956100170194</v>
      </c>
      <c r="T32" s="1">
        <f t="shared" si="7"/>
        <v>67.326732673267301</v>
      </c>
    </row>
    <row r="33" spans="5:20" x14ac:dyDescent="0.2">
      <c r="E33">
        <v>26</v>
      </c>
      <c r="F33" s="1">
        <v>140</v>
      </c>
      <c r="G33" s="1">
        <f t="shared" si="9"/>
        <v>108.08671487042541</v>
      </c>
      <c r="J33">
        <v>26</v>
      </c>
      <c r="K33" s="1">
        <v>140</v>
      </c>
      <c r="L33" s="1">
        <f t="shared" si="1"/>
        <v>108.08671487042541</v>
      </c>
      <c r="M33" s="1"/>
      <c r="N33" s="5">
        <f t="shared" si="3"/>
        <v>8500</v>
      </c>
      <c r="O33" s="5">
        <f t="shared" si="4"/>
        <v>68</v>
      </c>
      <c r="P33" s="1">
        <f t="shared" si="2"/>
        <v>52.499261508492339</v>
      </c>
      <c r="R33" s="5">
        <f t="shared" si="5"/>
        <v>8720.5375661171893</v>
      </c>
      <c r="S33" s="5">
        <f t="shared" si="6"/>
        <v>87.2053756611719</v>
      </c>
      <c r="T33" s="1">
        <f t="shared" si="7"/>
        <v>67.326732673267301</v>
      </c>
    </row>
    <row r="34" spans="5:20" x14ac:dyDescent="0.2">
      <c r="E34">
        <v>27</v>
      </c>
      <c r="F34" s="1">
        <f>F33</f>
        <v>140</v>
      </c>
      <c r="G34" s="1">
        <f t="shared" si="9"/>
        <v>107.01654937665886</v>
      </c>
      <c r="J34">
        <v>27</v>
      </c>
      <c r="K34" s="1">
        <f>K33</f>
        <v>140</v>
      </c>
      <c r="L34" s="1">
        <f t="shared" si="1"/>
        <v>107.01654937665886</v>
      </c>
      <c r="M34" s="1"/>
      <c r="N34" s="5">
        <f t="shared" si="3"/>
        <v>8568</v>
      </c>
      <c r="O34" s="5">
        <f t="shared" si="4"/>
        <v>68</v>
      </c>
      <c r="P34" s="1">
        <f t="shared" si="2"/>
        <v>51.979466840091447</v>
      </c>
      <c r="R34" s="5">
        <f t="shared" si="5"/>
        <v>8807.7429417783605</v>
      </c>
      <c r="S34" s="5">
        <f t="shared" si="6"/>
        <v>88.077429417783605</v>
      </c>
      <c r="T34" s="1">
        <f t="shared" si="7"/>
        <v>67.326732673267315</v>
      </c>
    </row>
    <row r="35" spans="5:20" x14ac:dyDescent="0.2">
      <c r="E35">
        <v>28</v>
      </c>
      <c r="F35" s="1">
        <f>F34</f>
        <v>140</v>
      </c>
      <c r="G35" s="1">
        <f t="shared" si="9"/>
        <v>105.95697958085034</v>
      </c>
      <c r="J35">
        <v>28</v>
      </c>
      <c r="K35" s="1">
        <f>K34</f>
        <v>140</v>
      </c>
      <c r="L35" s="1">
        <f t="shared" si="1"/>
        <v>105.95697958085034</v>
      </c>
      <c r="M35" s="1"/>
      <c r="N35" s="5">
        <f t="shared" si="3"/>
        <v>8636</v>
      </c>
      <c r="O35" s="5">
        <f t="shared" si="4"/>
        <v>68</v>
      </c>
      <c r="P35" s="1">
        <f t="shared" si="2"/>
        <v>51.464818653555881</v>
      </c>
      <c r="R35" s="5">
        <f t="shared" si="5"/>
        <v>8895.8203711961432</v>
      </c>
      <c r="S35" s="5">
        <f t="shared" si="6"/>
        <v>88.958203711961431</v>
      </c>
      <c r="T35" s="1">
        <f t="shared" si="7"/>
        <v>67.326732673267301</v>
      </c>
    </row>
    <row r="36" spans="5:20" x14ac:dyDescent="0.2">
      <c r="E36">
        <v>29</v>
      </c>
      <c r="F36" s="1">
        <v>140</v>
      </c>
      <c r="G36" s="1">
        <f t="shared" si="9"/>
        <v>104.90790057509935</v>
      </c>
      <c r="J36">
        <v>29</v>
      </c>
      <c r="K36" s="1">
        <v>140</v>
      </c>
      <c r="L36" s="1">
        <f t="shared" si="1"/>
        <v>104.90790057509935</v>
      </c>
      <c r="M36" s="1"/>
      <c r="N36" s="5">
        <f t="shared" si="3"/>
        <v>8704</v>
      </c>
      <c r="O36" s="5">
        <f t="shared" si="4"/>
        <v>68</v>
      </c>
      <c r="P36" s="1">
        <f t="shared" si="2"/>
        <v>50.955265993619683</v>
      </c>
      <c r="R36" s="5">
        <f t="shared" si="5"/>
        <v>8984.7785749081049</v>
      </c>
      <c r="S36" s="5">
        <f t="shared" si="6"/>
        <v>89.847785749081055</v>
      </c>
      <c r="T36" s="1">
        <f t="shared" si="7"/>
        <v>67.326732673267301</v>
      </c>
    </row>
    <row r="37" spans="5:20" x14ac:dyDescent="0.2">
      <c r="E37">
        <v>30</v>
      </c>
      <c r="F37" s="1">
        <f>F36</f>
        <v>140</v>
      </c>
      <c r="G37" s="1">
        <f t="shared" si="9"/>
        <v>103.86920849019735</v>
      </c>
      <c r="J37">
        <v>30</v>
      </c>
      <c r="K37" s="1">
        <f>K36</f>
        <v>140</v>
      </c>
      <c r="L37" s="1">
        <f t="shared" si="1"/>
        <v>103.86920849019735</v>
      </c>
      <c r="M37" s="1"/>
      <c r="N37" s="5">
        <f t="shared" si="3"/>
        <v>8772</v>
      </c>
      <c r="O37" s="5">
        <f t="shared" si="4"/>
        <v>68</v>
      </c>
      <c r="P37" s="1">
        <f t="shared" si="2"/>
        <v>50.450758409524425</v>
      </c>
      <c r="R37" s="5">
        <f t="shared" si="5"/>
        <v>9074.6263606571865</v>
      </c>
      <c r="S37" s="5">
        <f t="shared" si="6"/>
        <v>90.746263606571873</v>
      </c>
      <c r="T37" s="1">
        <f t="shared" si="7"/>
        <v>67.326732673267301</v>
      </c>
    </row>
    <row r="38" spans="5:20" x14ac:dyDescent="0.2">
      <c r="E38">
        <v>31</v>
      </c>
      <c r="F38" s="1">
        <f>F37</f>
        <v>140</v>
      </c>
      <c r="G38" s="1">
        <f t="shared" si="9"/>
        <v>102.84080048534395</v>
      </c>
      <c r="J38">
        <v>31</v>
      </c>
      <c r="K38" s="1">
        <f>K37</f>
        <v>140</v>
      </c>
      <c r="L38" s="1">
        <f t="shared" si="1"/>
        <v>102.84080048534395</v>
      </c>
      <c r="M38" s="1"/>
      <c r="N38" s="5">
        <f t="shared" si="3"/>
        <v>8840</v>
      </c>
      <c r="O38" s="5">
        <f t="shared" si="4"/>
        <v>68</v>
      </c>
      <c r="P38" s="1">
        <f t="shared" si="2"/>
        <v>49.951245950024202</v>
      </c>
      <c r="R38" s="5">
        <f t="shared" si="5"/>
        <v>9165.3726242637586</v>
      </c>
      <c r="S38" s="5">
        <f t="shared" si="6"/>
        <v>91.653726242637589</v>
      </c>
      <c r="T38" s="1">
        <f t="shared" si="7"/>
        <v>67.326732673267315</v>
      </c>
    </row>
    <row r="39" spans="5:20" x14ac:dyDescent="0.2">
      <c r="E39">
        <v>32</v>
      </c>
      <c r="F39" s="1">
        <v>140</v>
      </c>
      <c r="G39" s="1">
        <f t="shared" si="9"/>
        <v>101.82257473796427</v>
      </c>
      <c r="J39">
        <v>32</v>
      </c>
      <c r="K39" s="1">
        <v>140</v>
      </c>
      <c r="L39" s="1">
        <f t="shared" si="1"/>
        <v>101.82257473796427</v>
      </c>
      <c r="M39" s="1"/>
      <c r="N39" s="5">
        <f t="shared" si="3"/>
        <v>8908</v>
      </c>
      <c r="O39" s="5">
        <f t="shared" si="4"/>
        <v>68</v>
      </c>
      <c r="P39" s="1">
        <f t="shared" si="2"/>
        <v>49.45667915843979</v>
      </c>
      <c r="R39" s="5">
        <f t="shared" si="5"/>
        <v>9257.0263505063958</v>
      </c>
      <c r="S39" s="5">
        <f t="shared" si="6"/>
        <v>92.570263505063963</v>
      </c>
      <c r="T39" s="1">
        <f t="shared" si="7"/>
        <v>67.326732673267301</v>
      </c>
    </row>
    <row r="40" spans="5:20" x14ac:dyDescent="0.2">
      <c r="E40">
        <v>33</v>
      </c>
      <c r="F40" s="1">
        <f>F39</f>
        <v>140</v>
      </c>
      <c r="G40" s="1">
        <f t="shared" si="9"/>
        <v>100.81443043362799</v>
      </c>
      <c r="J40">
        <v>33</v>
      </c>
      <c r="K40" s="1">
        <f>K39</f>
        <v>140</v>
      </c>
      <c r="L40" s="1">
        <f t="shared" si="1"/>
        <v>100.81443043362799</v>
      </c>
      <c r="M40" s="1"/>
      <c r="N40" s="5">
        <f t="shared" si="3"/>
        <v>8976</v>
      </c>
      <c r="O40" s="5">
        <f t="shared" si="4"/>
        <v>68</v>
      </c>
      <c r="P40" s="1">
        <f t="shared" si="2"/>
        <v>48.96700906776217</v>
      </c>
      <c r="R40" s="5">
        <f t="shared" si="5"/>
        <v>9349.5966140114597</v>
      </c>
      <c r="S40" s="5">
        <f t="shared" si="6"/>
        <v>93.495966140114604</v>
      </c>
      <c r="T40" s="1">
        <f t="shared" si="7"/>
        <v>67.326732673267301</v>
      </c>
    </row>
    <row r="41" spans="5:20" x14ac:dyDescent="0.2">
      <c r="E41">
        <v>34</v>
      </c>
      <c r="F41" s="1">
        <f>F40</f>
        <v>140</v>
      </c>
      <c r="G41" s="1">
        <f t="shared" si="9"/>
        <v>99.816267756067319</v>
      </c>
      <c r="J41">
        <v>34</v>
      </c>
      <c r="K41" s="1">
        <f>K40</f>
        <v>140</v>
      </c>
      <c r="L41" s="1">
        <f t="shared" si="1"/>
        <v>99.816267756067319</v>
      </c>
      <c r="M41" s="1"/>
      <c r="N41" s="5">
        <f t="shared" si="3"/>
        <v>9044</v>
      </c>
      <c r="O41" s="5">
        <f t="shared" si="4"/>
        <v>68</v>
      </c>
      <c r="P41" s="1">
        <f t="shared" si="2"/>
        <v>48.48218719580413</v>
      </c>
      <c r="R41" s="5">
        <f t="shared" si="5"/>
        <v>9443.092580151575</v>
      </c>
      <c r="S41" s="5">
        <f t="shared" si="6"/>
        <v>94.430925801515755</v>
      </c>
      <c r="T41" s="1">
        <f t="shared" si="7"/>
        <v>67.326732673267301</v>
      </c>
    </row>
    <row r="42" spans="5:20" x14ac:dyDescent="0.2">
      <c r="E42">
        <v>35</v>
      </c>
      <c r="F42" s="1">
        <v>140</v>
      </c>
      <c r="G42" s="1">
        <f t="shared" si="9"/>
        <v>98.82798787729439</v>
      </c>
      <c r="J42">
        <v>35</v>
      </c>
      <c r="K42" s="1">
        <v>140</v>
      </c>
      <c r="L42" s="1">
        <f t="shared" si="1"/>
        <v>98.82798787729439</v>
      </c>
      <c r="M42" s="1"/>
      <c r="N42" s="5">
        <f t="shared" si="3"/>
        <v>9112</v>
      </c>
      <c r="O42" s="5">
        <f t="shared" si="4"/>
        <v>68</v>
      </c>
      <c r="P42" s="1">
        <f t="shared" si="2"/>
        <v>48.002165540400135</v>
      </c>
      <c r="R42" s="5">
        <f t="shared" si="5"/>
        <v>9537.5235059530914</v>
      </c>
      <c r="S42" s="5">
        <f t="shared" si="6"/>
        <v>95.375235059530922</v>
      </c>
      <c r="T42" s="1">
        <f t="shared" si="7"/>
        <v>67.32673267326733</v>
      </c>
    </row>
    <row r="43" spans="5:20" x14ac:dyDescent="0.2">
      <c r="E43">
        <v>36</v>
      </c>
      <c r="F43" s="1">
        <f>F42</f>
        <v>140</v>
      </c>
      <c r="G43" s="1">
        <f t="shared" si="9"/>
        <v>97.849492947816216</v>
      </c>
      <c r="J43">
        <v>36</v>
      </c>
      <c r="K43" s="1">
        <f>K42</f>
        <v>140</v>
      </c>
      <c r="L43" s="1">
        <f t="shared" si="1"/>
        <v>97.849492947816216</v>
      </c>
      <c r="M43" s="1"/>
      <c r="N43" s="5">
        <f t="shared" si="3"/>
        <v>9180</v>
      </c>
      <c r="O43" s="5">
        <f t="shared" si="4"/>
        <v>68</v>
      </c>
      <c r="P43" s="1">
        <f t="shared" si="2"/>
        <v>47.526896574653591</v>
      </c>
      <c r="R43" s="5">
        <f t="shared" si="5"/>
        <v>9632.8987410126228</v>
      </c>
      <c r="S43" s="5">
        <f t="shared" si="6"/>
        <v>96.328987410126231</v>
      </c>
      <c r="T43" s="1">
        <f t="shared" si="7"/>
        <v>67.326732673267315</v>
      </c>
    </row>
    <row r="44" spans="5:20" x14ac:dyDescent="0.2">
      <c r="E44">
        <v>37</v>
      </c>
      <c r="F44" s="1">
        <f>F43</f>
        <v>140</v>
      </c>
      <c r="G44" s="1">
        <f t="shared" si="9"/>
        <v>96.880686086946753</v>
      </c>
      <c r="J44">
        <v>37</v>
      </c>
      <c r="K44" s="1">
        <f>K43</f>
        <v>140</v>
      </c>
      <c r="L44" s="1">
        <f t="shared" si="1"/>
        <v>96.880686086946753</v>
      </c>
      <c r="M44" s="1"/>
      <c r="N44" s="5">
        <f t="shared" si="3"/>
        <v>9248</v>
      </c>
      <c r="O44" s="5">
        <f t="shared" si="4"/>
        <v>68</v>
      </c>
      <c r="P44" s="1">
        <f t="shared" si="2"/>
        <v>47.056333242231283</v>
      </c>
      <c r="R44" s="5">
        <f t="shared" si="5"/>
        <v>9729.2277284227494</v>
      </c>
      <c r="S44" s="5">
        <f t="shared" si="6"/>
        <v>97.292277284227495</v>
      </c>
      <c r="T44" s="1">
        <f t="shared" si="7"/>
        <v>67.326732673267315</v>
      </c>
    </row>
    <row r="45" spans="5:20" x14ac:dyDescent="0.2">
      <c r="E45">
        <v>38</v>
      </c>
      <c r="F45" s="1">
        <v>140</v>
      </c>
      <c r="G45" s="1">
        <f t="shared" si="9"/>
        <v>95.921471373214601</v>
      </c>
      <c r="J45">
        <v>38</v>
      </c>
      <c r="K45" s="1">
        <v>140</v>
      </c>
      <c r="L45" s="1">
        <f t="shared" si="1"/>
        <v>95.921471373214601</v>
      </c>
      <c r="M45" s="1"/>
      <c r="N45" s="5">
        <f t="shared" si="3"/>
        <v>9316</v>
      </c>
      <c r="O45" s="5">
        <f t="shared" si="4"/>
        <v>68</v>
      </c>
      <c r="P45" s="1">
        <f t="shared" si="2"/>
        <v>46.590428952704237</v>
      </c>
      <c r="R45" s="5">
        <f t="shared" si="5"/>
        <v>9826.520005706976</v>
      </c>
      <c r="S45" s="5">
        <f t="shared" si="6"/>
        <v>98.265200057069762</v>
      </c>
      <c r="T45" s="1">
        <f t="shared" si="7"/>
        <v>67.326732673267301</v>
      </c>
    </row>
    <row r="46" spans="5:20" x14ac:dyDescent="0.2">
      <c r="E46">
        <v>39</v>
      </c>
      <c r="F46" s="1">
        <f>F45</f>
        <v>140</v>
      </c>
      <c r="G46" s="1">
        <f t="shared" si="9"/>
        <v>94.971753834865964</v>
      </c>
      <c r="J46">
        <v>39</v>
      </c>
      <c r="K46" s="1">
        <f>K45</f>
        <v>140</v>
      </c>
      <c r="L46" s="1">
        <f t="shared" si="1"/>
        <v>94.971753834865964</v>
      </c>
      <c r="M46" s="1"/>
      <c r="N46" s="5">
        <f t="shared" si="3"/>
        <v>9384</v>
      </c>
      <c r="O46" s="5">
        <f t="shared" si="4"/>
        <v>68</v>
      </c>
      <c r="P46" s="1">
        <f t="shared" si="2"/>
        <v>46.129137576934895</v>
      </c>
      <c r="R46" s="5">
        <f t="shared" si="5"/>
        <v>9924.7852057640466</v>
      </c>
      <c r="S46" s="5">
        <f t="shared" si="6"/>
        <v>99.247852057640472</v>
      </c>
      <c r="T46" s="1">
        <f t="shared" si="7"/>
        <v>67.32673267326733</v>
      </c>
    </row>
    <row r="47" spans="5:20" x14ac:dyDescent="0.2">
      <c r="E47">
        <v>40</v>
      </c>
      <c r="F47" s="1">
        <f>F46</f>
        <v>140</v>
      </c>
      <c r="G47" s="1">
        <f t="shared" si="9"/>
        <v>94.031439440461327</v>
      </c>
      <c r="J47">
        <v>40</v>
      </c>
      <c r="K47" s="1">
        <f>K46</f>
        <v>140</v>
      </c>
      <c r="L47" s="1">
        <f t="shared" si="1"/>
        <v>94.031439440461327</v>
      </c>
      <c r="M47" s="1"/>
      <c r="N47" s="5">
        <f t="shared" si="3"/>
        <v>9452</v>
      </c>
      <c r="O47" s="5">
        <f t="shared" si="4"/>
        <v>68</v>
      </c>
      <c r="P47" s="1">
        <f t="shared" si="2"/>
        <v>45.672413442509786</v>
      </c>
      <c r="R47" s="5">
        <f t="shared" si="5"/>
        <v>10024.033057821687</v>
      </c>
      <c r="S47" s="5">
        <f t="shared" si="6"/>
        <v>100.24033057821687</v>
      </c>
      <c r="T47" s="1">
        <f t="shared" si="7"/>
        <v>67.326732673267315</v>
      </c>
    </row>
    <row r="48" spans="5:20" x14ac:dyDescent="0.2">
      <c r="E48">
        <v>41</v>
      </c>
      <c r="F48" s="1">
        <v>140</v>
      </c>
      <c r="G48" s="1">
        <f t="shared" si="9"/>
        <v>93.100435089565664</v>
      </c>
      <c r="J48">
        <v>41</v>
      </c>
      <c r="K48" s="1">
        <v>140</v>
      </c>
      <c r="L48" s="1">
        <f t="shared" si="1"/>
        <v>93.100435089565664</v>
      </c>
      <c r="M48" s="1"/>
      <c r="N48" s="5">
        <f t="shared" si="3"/>
        <v>9520</v>
      </c>
      <c r="O48" s="5">
        <f t="shared" si="4"/>
        <v>68</v>
      </c>
      <c r="P48" s="1">
        <f t="shared" si="2"/>
        <v>45.220211329217605</v>
      </c>
      <c r="R48" s="5">
        <f t="shared" si="5"/>
        <v>10124.273388399904</v>
      </c>
      <c r="S48" s="5">
        <f t="shared" si="6"/>
        <v>101.24273388399905</v>
      </c>
      <c r="T48" s="1">
        <f t="shared" si="7"/>
        <v>67.326732673267315</v>
      </c>
    </row>
    <row r="49" spans="5:20" x14ac:dyDescent="0.2">
      <c r="E49">
        <v>42</v>
      </c>
      <c r="F49" s="1">
        <f>F48</f>
        <v>140</v>
      </c>
      <c r="G49" s="1">
        <f t="shared" si="9"/>
        <v>92.178648603530348</v>
      </c>
      <c r="J49">
        <v>42</v>
      </c>
      <c r="K49" s="1">
        <f>K48</f>
        <v>140</v>
      </c>
      <c r="L49" s="1">
        <f t="shared" si="1"/>
        <v>92.178648603530348</v>
      </c>
      <c r="M49" s="1"/>
      <c r="N49" s="5">
        <f t="shared" si="3"/>
        <v>9588</v>
      </c>
      <c r="O49" s="5">
        <f t="shared" si="4"/>
        <v>68</v>
      </c>
      <c r="P49" s="1">
        <f t="shared" si="2"/>
        <v>44.772486464571884</v>
      </c>
      <c r="R49" s="5">
        <f t="shared" si="5"/>
        <v>10225.516122283903</v>
      </c>
      <c r="S49" s="5">
        <f t="shared" si="6"/>
        <v>102.25516122283904</v>
      </c>
      <c r="T49" s="1">
        <f t="shared" si="7"/>
        <v>67.326732673267301</v>
      </c>
    </row>
    <row r="50" spans="5:20" x14ac:dyDescent="0.2">
      <c r="E50">
        <v>43</v>
      </c>
      <c r="F50" s="1">
        <f>F49</f>
        <v>140</v>
      </c>
      <c r="G50" s="1">
        <f t="shared" si="9"/>
        <v>91.265988716366707</v>
      </c>
      <c r="J50">
        <v>43</v>
      </c>
      <c r="K50" s="1">
        <f>K49</f>
        <v>140</v>
      </c>
      <c r="L50" s="1">
        <f t="shared" si="1"/>
        <v>91.265988716366707</v>
      </c>
      <c r="M50" s="1"/>
      <c r="N50" s="5">
        <f t="shared" si="3"/>
        <v>9656</v>
      </c>
      <c r="O50" s="5">
        <f t="shared" si="4"/>
        <v>68</v>
      </c>
      <c r="P50" s="1">
        <f t="shared" si="2"/>
        <v>44.329194519378113</v>
      </c>
      <c r="R50" s="5">
        <f t="shared" si="5"/>
        <v>10327.771283506743</v>
      </c>
      <c r="S50" s="5">
        <f t="shared" si="6"/>
        <v>103.27771283506743</v>
      </c>
      <c r="T50" s="1">
        <f t="shared" si="7"/>
        <v>67.32673267326733</v>
      </c>
    </row>
    <row r="51" spans="5:20" x14ac:dyDescent="0.2">
      <c r="E51">
        <v>44</v>
      </c>
      <c r="F51" s="1">
        <v>140</v>
      </c>
      <c r="G51" s="1">
        <f t="shared" si="9"/>
        <v>90.362365065709611</v>
      </c>
      <c r="J51">
        <v>44</v>
      </c>
      <c r="K51" s="1">
        <v>140</v>
      </c>
      <c r="L51" s="1">
        <f t="shared" si="1"/>
        <v>90.362365065709611</v>
      </c>
      <c r="M51" s="1"/>
      <c r="N51" s="5">
        <f t="shared" si="3"/>
        <v>9724</v>
      </c>
      <c r="O51" s="5">
        <f t="shared" si="4"/>
        <v>68</v>
      </c>
      <c r="P51" s="1">
        <f t="shared" si="2"/>
        <v>43.890291603344664</v>
      </c>
      <c r="R51" s="5">
        <f t="shared" si="5"/>
        <v>10431.048996341811</v>
      </c>
      <c r="S51" s="5">
        <f t="shared" si="6"/>
        <v>104.31048996341812</v>
      </c>
      <c r="T51" s="1">
        <f t="shared" si="7"/>
        <v>67.32673267326733</v>
      </c>
    </row>
    <row r="52" spans="5:20" x14ac:dyDescent="0.2">
      <c r="E52">
        <v>45</v>
      </c>
      <c r="F52" s="1">
        <f>F51</f>
        <v>140</v>
      </c>
      <c r="G52" s="1">
        <f t="shared" si="9"/>
        <v>89.467688183870891</v>
      </c>
      <c r="J52">
        <v>45</v>
      </c>
      <c r="K52" s="1">
        <f>K51</f>
        <v>140</v>
      </c>
      <c r="L52" s="1">
        <f t="shared" si="1"/>
        <v>89.467688183870891</v>
      </c>
      <c r="M52" s="1"/>
      <c r="N52" s="5">
        <f t="shared" si="3"/>
        <v>9792</v>
      </c>
      <c r="O52" s="5">
        <f t="shared" si="4"/>
        <v>68</v>
      </c>
      <c r="P52" s="1">
        <f t="shared" si="2"/>
        <v>43.455734260737287</v>
      </c>
      <c r="R52" s="5">
        <f t="shared" si="5"/>
        <v>10535.359486305229</v>
      </c>
      <c r="S52" s="5">
        <f t="shared" si="6"/>
        <v>105.35359486305229</v>
      </c>
      <c r="T52" s="1">
        <f t="shared" si="7"/>
        <v>67.326732673267315</v>
      </c>
    </row>
    <row r="53" spans="5:20" x14ac:dyDescent="0.2">
      <c r="E53">
        <v>46</v>
      </c>
      <c r="F53" s="1">
        <f>F52</f>
        <v>140</v>
      </c>
      <c r="G53" s="1">
        <f t="shared" si="9"/>
        <v>88.58186948898107</v>
      </c>
      <c r="J53">
        <v>46</v>
      </c>
      <c r="K53" s="1">
        <f>K52</f>
        <v>140</v>
      </c>
      <c r="L53" s="1">
        <f t="shared" si="1"/>
        <v>88.58186948898107</v>
      </c>
      <c r="M53" s="1"/>
      <c r="N53" s="5">
        <f t="shared" si="3"/>
        <v>9860</v>
      </c>
      <c r="O53" s="5">
        <f t="shared" si="4"/>
        <v>68</v>
      </c>
      <c r="P53" s="1">
        <f t="shared" si="2"/>
        <v>43.025479466076519</v>
      </c>
      <c r="R53" s="5">
        <f t="shared" si="5"/>
        <v>10640.713081168282</v>
      </c>
      <c r="S53" s="5">
        <f t="shared" si="6"/>
        <v>106.40713081168282</v>
      </c>
      <c r="T53" s="1">
        <f t="shared" si="7"/>
        <v>67.326732673267315</v>
      </c>
    </row>
    <row r="54" spans="5:20" x14ac:dyDescent="0.2">
      <c r="E54">
        <v>47</v>
      </c>
      <c r="F54" s="1">
        <v>140</v>
      </c>
      <c r="G54" s="1">
        <f t="shared" si="9"/>
        <v>87.704821276218908</v>
      </c>
      <c r="J54">
        <v>47</v>
      </c>
      <c r="K54" s="1">
        <v>140</v>
      </c>
      <c r="L54" s="1">
        <f t="shared" si="1"/>
        <v>87.704821276218908</v>
      </c>
      <c r="M54" s="1"/>
      <c r="N54" s="5">
        <f t="shared" si="3"/>
        <v>9928</v>
      </c>
      <c r="O54" s="5">
        <f t="shared" si="4"/>
        <v>68</v>
      </c>
      <c r="P54" s="1">
        <f t="shared" si="2"/>
        <v>42.599484619877757</v>
      </c>
      <c r="R54" s="5">
        <f t="shared" si="5"/>
        <v>10747.120211979965</v>
      </c>
      <c r="S54" s="5">
        <f t="shared" si="6"/>
        <v>107.47120211979966</v>
      </c>
      <c r="T54" s="1">
        <f t="shared" si="7"/>
        <v>67.326732673267344</v>
      </c>
    </row>
    <row r="55" spans="5:20" x14ac:dyDescent="0.2">
      <c r="E55">
        <v>48</v>
      </c>
      <c r="F55" s="1">
        <f>F54</f>
        <v>140</v>
      </c>
      <c r="G55" s="1">
        <f t="shared" si="9"/>
        <v>86.836456709127603</v>
      </c>
      <c r="J55">
        <v>48</v>
      </c>
      <c r="K55" s="1">
        <f>K54</f>
        <v>140</v>
      </c>
      <c r="L55" s="1">
        <f t="shared" si="1"/>
        <v>86.836456709127603</v>
      </c>
      <c r="M55" s="1"/>
      <c r="N55" s="5">
        <f t="shared" si="3"/>
        <v>9996</v>
      </c>
      <c r="O55" s="5">
        <f t="shared" si="4"/>
        <v>68</v>
      </c>
      <c r="P55" s="1">
        <f t="shared" si="2"/>
        <v>42.17770754443341</v>
      </c>
      <c r="R55" s="5">
        <f t="shared" si="5"/>
        <v>10854.591414099765</v>
      </c>
      <c r="S55" s="5">
        <f t="shared" si="6"/>
        <v>108.54591414099765</v>
      </c>
      <c r="T55" s="1">
        <f t="shared" si="7"/>
        <v>67.326732673267315</v>
      </c>
    </row>
    <row r="56" spans="5:20" x14ac:dyDescent="0.2">
      <c r="E56">
        <v>49</v>
      </c>
      <c r="F56" s="1">
        <f>F55</f>
        <v>140</v>
      </c>
      <c r="G56" s="1">
        <f t="shared" si="9"/>
        <v>85.976689811017422</v>
      </c>
      <c r="J56">
        <v>49</v>
      </c>
      <c r="K56" s="1">
        <f>K55</f>
        <v>140</v>
      </c>
      <c r="L56" s="1">
        <f t="shared" si="1"/>
        <v>85.976689811017422</v>
      </c>
      <c r="M56" s="1"/>
      <c r="N56" s="5">
        <f t="shared" si="3"/>
        <v>10064</v>
      </c>
      <c r="O56" s="5">
        <f t="shared" si="4"/>
        <v>68</v>
      </c>
      <c r="P56" s="1">
        <f t="shared" si="2"/>
        <v>41.760106479637038</v>
      </c>
      <c r="R56" s="5">
        <f t="shared" si="5"/>
        <v>10963.137328240762</v>
      </c>
      <c r="S56" s="5">
        <f t="shared" si="6"/>
        <v>109.63137328240762</v>
      </c>
      <c r="T56" s="1">
        <f t="shared" si="7"/>
        <v>67.326732673267315</v>
      </c>
    </row>
    <row r="57" spans="5:20" x14ac:dyDescent="0.2">
      <c r="E57">
        <v>50</v>
      </c>
      <c r="F57" s="1">
        <v>140</v>
      </c>
      <c r="G57" s="1">
        <f t="shared" si="9"/>
        <v>85.125435456452891</v>
      </c>
      <c r="J57">
        <v>50</v>
      </c>
      <c r="K57" s="1">
        <v>140</v>
      </c>
      <c r="L57" s="1">
        <f t="shared" si="1"/>
        <v>85.125435456452891</v>
      </c>
      <c r="M57" s="1"/>
      <c r="N57" s="5">
        <f t="shared" si="3"/>
        <v>10132</v>
      </c>
      <c r="O57" s="5">
        <f t="shared" si="4"/>
        <v>68</v>
      </c>
      <c r="P57" s="1">
        <f t="shared" si="2"/>
        <v>41.346640078848544</v>
      </c>
      <c r="R57" s="5">
        <f t="shared" si="5"/>
        <v>11072.76870152317</v>
      </c>
      <c r="S57" s="5">
        <f t="shared" si="6"/>
        <v>110.72768701523169</v>
      </c>
      <c r="T57" s="1">
        <f t="shared" si="7"/>
        <v>67.326732673267301</v>
      </c>
    </row>
    <row r="58" spans="5:20" x14ac:dyDescent="0.2">
      <c r="E58">
        <v>51</v>
      </c>
      <c r="F58" s="1">
        <f>F57</f>
        <v>140</v>
      </c>
      <c r="G58" s="1">
        <f t="shared" si="9"/>
        <v>84.282609362824658</v>
      </c>
      <c r="J58">
        <v>51</v>
      </c>
      <c r="K58" s="1">
        <f>K57</f>
        <v>140</v>
      </c>
      <c r="L58" s="1">
        <f t="shared" si="1"/>
        <v>84.282609362824658</v>
      </c>
      <c r="M58" s="1"/>
      <c r="N58" s="5">
        <f t="shared" si="3"/>
        <v>10200</v>
      </c>
      <c r="O58" s="5">
        <f t="shared" si="4"/>
        <v>68</v>
      </c>
      <c r="P58" s="1">
        <f t="shared" si="2"/>
        <v>40.937267404800551</v>
      </c>
      <c r="R58" s="5">
        <f t="shared" si="5"/>
        <v>11183.4963885384</v>
      </c>
      <c r="S58" s="5">
        <f t="shared" si="6"/>
        <v>111.83496388538401</v>
      </c>
      <c r="T58" s="1">
        <f t="shared" si="7"/>
        <v>67.326732673267315</v>
      </c>
    </row>
    <row r="59" spans="5:20" x14ac:dyDescent="0.2">
      <c r="E59">
        <v>52</v>
      </c>
      <c r="F59" s="1">
        <f>F58</f>
        <v>140</v>
      </c>
      <c r="G59" s="1">
        <f t="shared" si="9"/>
        <v>83.448128082004615</v>
      </c>
      <c r="J59">
        <v>52</v>
      </c>
      <c r="K59" s="1">
        <f>K58</f>
        <v>140</v>
      </c>
      <c r="L59" s="1">
        <f t="shared" si="1"/>
        <v>83.448128082004615</v>
      </c>
      <c r="M59" s="1"/>
      <c r="N59" s="5">
        <f t="shared" si="3"/>
        <v>10268</v>
      </c>
      <c r="O59" s="5">
        <f t="shared" si="4"/>
        <v>68</v>
      </c>
      <c r="P59" s="1">
        <f t="shared" si="2"/>
        <v>40.531947925545097</v>
      </c>
      <c r="R59" s="5">
        <f t="shared" si="5"/>
        <v>11295.331352423784</v>
      </c>
      <c r="S59" s="5">
        <f t="shared" si="6"/>
        <v>112.95331352423784</v>
      </c>
      <c r="T59" s="1">
        <f t="shared" si="7"/>
        <v>67.326732673267301</v>
      </c>
    </row>
    <row r="60" spans="5:20" x14ac:dyDescent="0.2">
      <c r="E60">
        <v>53</v>
      </c>
      <c r="F60" s="1">
        <v>140</v>
      </c>
      <c r="G60" s="1">
        <f t="shared" si="9"/>
        <v>82.621908992083789</v>
      </c>
      <c r="J60">
        <v>53</v>
      </c>
      <c r="K60" s="1">
        <v>140</v>
      </c>
      <c r="L60" s="1">
        <f t="shared" si="1"/>
        <v>82.621908992083789</v>
      </c>
      <c r="M60" s="1"/>
      <c r="N60" s="5">
        <f t="shared" si="3"/>
        <v>10336</v>
      </c>
      <c r="O60" s="5">
        <f t="shared" si="4"/>
        <v>68</v>
      </c>
      <c r="P60" s="1">
        <f t="shared" si="2"/>
        <v>40.130641510440697</v>
      </c>
      <c r="R60" s="5">
        <f t="shared" si="5"/>
        <v>11408.284665948022</v>
      </c>
      <c r="S60" s="5">
        <f t="shared" si="6"/>
        <v>114.08284665948023</v>
      </c>
      <c r="T60" s="1">
        <f t="shared" si="7"/>
        <v>67.326732673267315</v>
      </c>
    </row>
    <row r="61" spans="5:20" x14ac:dyDescent="0.2">
      <c r="E61">
        <v>54</v>
      </c>
      <c r="F61" s="1">
        <f>F60</f>
        <v>140</v>
      </c>
      <c r="G61" s="1">
        <f t="shared" si="9"/>
        <v>81.803870289191849</v>
      </c>
      <c r="J61">
        <v>54</v>
      </c>
      <c r="K61" s="1">
        <f>K60</f>
        <v>140</v>
      </c>
      <c r="L61" s="1">
        <f t="shared" si="1"/>
        <v>81.803870289191849</v>
      </c>
      <c r="M61" s="1"/>
      <c r="N61" s="5">
        <f t="shared" si="3"/>
        <v>10404</v>
      </c>
      <c r="O61" s="5">
        <f t="shared" si="4"/>
        <v>68</v>
      </c>
      <c r="P61" s="1">
        <f t="shared" si="2"/>
        <v>39.733308426178894</v>
      </c>
      <c r="R61" s="5">
        <f t="shared" si="5"/>
        <v>11522.367512607501</v>
      </c>
      <c r="S61" s="5">
        <f t="shared" si="6"/>
        <v>115.22367512607502</v>
      </c>
      <c r="T61" s="1">
        <f t="shared" si="7"/>
        <v>67.326732673267301</v>
      </c>
    </row>
    <row r="62" spans="5:20" x14ac:dyDescent="0.2">
      <c r="E62">
        <v>55</v>
      </c>
      <c r="F62" s="1">
        <f>F61</f>
        <v>140</v>
      </c>
      <c r="G62" s="1">
        <f t="shared" si="9"/>
        <v>80.993930979397888</v>
      </c>
      <c r="J62">
        <v>55</v>
      </c>
      <c r="K62" s="1">
        <f>K61</f>
        <v>140</v>
      </c>
      <c r="L62" s="1">
        <f t="shared" si="1"/>
        <v>80.993930979397888</v>
      </c>
      <c r="M62" s="1"/>
      <c r="N62" s="5">
        <f t="shared" si="3"/>
        <v>10472</v>
      </c>
      <c r="O62" s="5">
        <f t="shared" si="4"/>
        <v>68</v>
      </c>
      <c r="P62" s="1">
        <f t="shared" si="2"/>
        <v>39.339909332850397</v>
      </c>
      <c r="R62" s="5">
        <f t="shared" si="5"/>
        <v>11637.591187733577</v>
      </c>
      <c r="S62" s="5">
        <f t="shared" si="6"/>
        <v>116.37591187733577</v>
      </c>
      <c r="T62" s="1">
        <f t="shared" si="7"/>
        <v>67.326732673267315</v>
      </c>
    </row>
    <row r="63" spans="5:20" x14ac:dyDescent="0.2">
      <c r="E63">
        <v>56</v>
      </c>
      <c r="F63" s="1">
        <v>140</v>
      </c>
      <c r="G63" s="1">
        <f t="shared" si="9"/>
        <v>80.19201087069095</v>
      </c>
      <c r="J63">
        <v>56</v>
      </c>
      <c r="K63" s="1">
        <v>140</v>
      </c>
      <c r="L63" s="1">
        <f t="shared" si="1"/>
        <v>80.19201087069095</v>
      </c>
      <c r="M63" s="1"/>
      <c r="N63" s="5">
        <f t="shared" si="3"/>
        <v>10540</v>
      </c>
      <c r="O63" s="5">
        <f t="shared" si="4"/>
        <v>68</v>
      </c>
      <c r="P63" s="1">
        <f t="shared" si="2"/>
        <v>38.950405280049893</v>
      </c>
      <c r="R63" s="5">
        <f t="shared" si="5"/>
        <v>11753.967099610913</v>
      </c>
      <c r="S63" s="5">
        <f t="shared" si="6"/>
        <v>117.53967099610912</v>
      </c>
      <c r="T63" s="1">
        <f t="shared" si="7"/>
        <v>67.326732673267287</v>
      </c>
    </row>
    <row r="64" spans="5:20" x14ac:dyDescent="0.2">
      <c r="E64">
        <v>57</v>
      </c>
      <c r="F64" s="1">
        <f>F63</f>
        <v>140</v>
      </c>
      <c r="G64" s="1">
        <f t="shared" si="9"/>
        <v>79.398030565040543</v>
      </c>
      <c r="J64">
        <v>57</v>
      </c>
      <c r="K64" s="1">
        <f>K63</f>
        <v>140</v>
      </c>
      <c r="L64" s="1">
        <f t="shared" si="1"/>
        <v>79.398030565040543</v>
      </c>
      <c r="M64" s="1"/>
      <c r="N64" s="5">
        <f t="shared" si="3"/>
        <v>10608</v>
      </c>
      <c r="O64" s="5">
        <f t="shared" si="4"/>
        <v>68</v>
      </c>
      <c r="P64" s="1">
        <f t="shared" si="2"/>
        <v>38.564757703019694</v>
      </c>
      <c r="R64" s="5">
        <f t="shared" si="5"/>
        <v>11871.506770607022</v>
      </c>
      <c r="S64" s="5">
        <f t="shared" si="6"/>
        <v>118.71506770607023</v>
      </c>
      <c r="T64" s="1">
        <f t="shared" si="7"/>
        <v>67.326732673267301</v>
      </c>
    </row>
    <row r="65" spans="1:20" x14ac:dyDescent="0.2">
      <c r="E65">
        <v>58</v>
      </c>
      <c r="F65" s="1">
        <f>F64</f>
        <v>140</v>
      </c>
      <c r="G65" s="1">
        <f t="shared" si="9"/>
        <v>78.611911450535189</v>
      </c>
      <c r="J65">
        <v>58</v>
      </c>
      <c r="K65" s="1">
        <f>K64</f>
        <v>140</v>
      </c>
      <c r="L65" s="1">
        <f t="shared" si="1"/>
        <v>78.611911450535189</v>
      </c>
      <c r="M65" s="1"/>
      <c r="N65" s="5">
        <f t="shared" si="3"/>
        <v>10676</v>
      </c>
      <c r="O65" s="5">
        <f t="shared" si="4"/>
        <v>68</v>
      </c>
      <c r="P65" s="1">
        <f t="shared" si="2"/>
        <v>38.182928418831381</v>
      </c>
      <c r="R65" s="5">
        <f t="shared" si="5"/>
        <v>11990.221838313093</v>
      </c>
      <c r="S65" s="5">
        <f t="shared" si="6"/>
        <v>119.90221838313093</v>
      </c>
      <c r="T65" s="1">
        <f t="shared" si="7"/>
        <v>67.326732673267301</v>
      </c>
    </row>
    <row r="66" spans="1:20" x14ac:dyDescent="0.2">
      <c r="E66">
        <v>59</v>
      </c>
      <c r="F66" s="1">
        <v>140</v>
      </c>
      <c r="G66" s="1">
        <f t="shared" si="9"/>
        <v>77.833575693599215</v>
      </c>
      <c r="J66">
        <v>59</v>
      </c>
      <c r="K66" s="1">
        <v>140</v>
      </c>
      <c r="L66" s="1">
        <f t="shared" si="1"/>
        <v>77.833575693599215</v>
      </c>
      <c r="M66" s="1"/>
      <c r="N66" s="5">
        <f t="shared" si="3"/>
        <v>10744</v>
      </c>
      <c r="O66" s="5">
        <f t="shared" si="4"/>
        <v>68</v>
      </c>
      <c r="P66" s="1">
        <f t="shared" si="2"/>
        <v>37.804879622605334</v>
      </c>
      <c r="R66" s="5">
        <f t="shared" si="5"/>
        <v>12110.124056696224</v>
      </c>
      <c r="S66" s="5">
        <f t="shared" si="6"/>
        <v>121.10124056696225</v>
      </c>
      <c r="T66" s="1">
        <f t="shared" si="7"/>
        <v>67.326732673267315</v>
      </c>
    </row>
    <row r="67" spans="1:20" x14ac:dyDescent="0.2">
      <c r="E67">
        <v>60</v>
      </c>
      <c r="F67" s="1">
        <f>F66</f>
        <v>140</v>
      </c>
      <c r="G67" s="1">
        <f t="shared" si="9"/>
        <v>77.062946231286347</v>
      </c>
      <c r="J67">
        <v>60</v>
      </c>
      <c r="K67" s="1">
        <f>K66</f>
        <v>140</v>
      </c>
      <c r="L67" s="1">
        <f t="shared" si="1"/>
        <v>77.062946231286347</v>
      </c>
      <c r="M67" s="1"/>
      <c r="N67" s="5">
        <f t="shared" si="3"/>
        <v>10812</v>
      </c>
      <c r="O67" s="5">
        <f>O65-O7</f>
        <v>6868</v>
      </c>
      <c r="P67" s="1">
        <f t="shared" si="2"/>
        <v>3780.4879622605335</v>
      </c>
      <c r="R67" s="5">
        <f t="shared" si="5"/>
        <v>12231.225297263187</v>
      </c>
      <c r="S67" s="5">
        <f>(R67)*$S$4-S7</f>
        <v>6922.3122529726315</v>
      </c>
      <c r="T67" s="1">
        <f>(S67)/(1+$O$4)^E67</f>
        <v>3810.3841210500327</v>
      </c>
    </row>
    <row r="69" spans="1:20" x14ac:dyDescent="0.2">
      <c r="A69" s="1"/>
      <c r="E69" t="s">
        <v>17</v>
      </c>
      <c r="G69" s="1">
        <f>SUM(G8:G67)</f>
        <v>6293.7053768713595</v>
      </c>
      <c r="J69" t="s">
        <v>17</v>
      </c>
      <c r="K69" s="1"/>
      <c r="L69" s="1">
        <f>SUM(L7:L67)</f>
        <v>-506.29462312864337</v>
      </c>
      <c r="O69" s="1"/>
      <c r="P69" s="1">
        <f>SUM(P7:P67)</f>
        <v>-4.0927261579781771E-12</v>
      </c>
      <c r="S69" s="1"/>
      <c r="T69" s="1">
        <f>SUM(T7:T67)</f>
        <v>982.66134877281229</v>
      </c>
    </row>
    <row r="71" spans="1:20" x14ac:dyDescent="0.2">
      <c r="P71" t="s">
        <v>152</v>
      </c>
      <c r="T71" t="s">
        <v>151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70"/>
  <sheetViews>
    <sheetView topLeftCell="J1" zoomScaleNormal="100" workbookViewId="0">
      <selection activeCell="M17" sqref="M17"/>
    </sheetView>
  </sheetViews>
  <sheetFormatPr baseColWidth="10" defaultColWidth="8.83203125" defaultRowHeight="15" outlineLevelCol="1" x14ac:dyDescent="0.2"/>
  <cols>
    <col min="1" max="1" width="18.1640625" customWidth="1"/>
    <col min="3" max="3" width="14.6640625" customWidth="1"/>
    <col min="4" max="4" width="10.1640625" customWidth="1"/>
    <col min="5" max="5" width="13.33203125" bestFit="1" customWidth="1"/>
    <col min="6" max="6" width="10.5" bestFit="1" customWidth="1"/>
    <col min="7" max="7" width="4.5" customWidth="1"/>
    <col min="8" max="9" width="15.6640625" customWidth="1"/>
    <col min="12" max="12" width="10" bestFit="1" customWidth="1"/>
    <col min="13" max="13" width="11.33203125" customWidth="1"/>
    <col min="14" max="14" width="9.83203125" customWidth="1"/>
    <col min="15" max="15" width="10.5" customWidth="1"/>
    <col min="17" max="17" width="4.33203125" customWidth="1"/>
    <col min="18" max="18" width="11.5" customWidth="1"/>
    <col min="19" max="19" width="11" customWidth="1"/>
    <col min="21" max="21" width="18.1640625" customWidth="1"/>
    <col min="22" max="22" width="9.1640625" customWidth="1" outlineLevel="1"/>
    <col min="23" max="23" width="14.6640625" customWidth="1" outlineLevel="1"/>
    <col min="24" max="24" width="10.1640625" customWidth="1" outlineLevel="1"/>
    <col min="25" max="25" width="13.33203125" customWidth="1" outlineLevel="1"/>
    <col min="26" max="26" width="13.83203125" customWidth="1" outlineLevel="1"/>
    <col min="27" max="27" width="4.5" customWidth="1" outlineLevel="1"/>
    <col min="28" max="29" width="15.6640625" customWidth="1" outlineLevel="1"/>
  </cols>
  <sheetData>
    <row r="1" spans="1:29" x14ac:dyDescent="0.2">
      <c r="A1" s="34" t="s">
        <v>638</v>
      </c>
      <c r="K1" s="34" t="s">
        <v>639</v>
      </c>
      <c r="U1" s="34" t="s">
        <v>640</v>
      </c>
    </row>
    <row r="3" spans="1:29" x14ac:dyDescent="0.2">
      <c r="A3" t="s">
        <v>519</v>
      </c>
      <c r="E3" s="47">
        <v>50000</v>
      </c>
      <c r="K3" t="s">
        <v>519</v>
      </c>
      <c r="O3" s="47">
        <v>50000</v>
      </c>
      <c r="U3" t="s">
        <v>519</v>
      </c>
      <c r="Y3" s="47">
        <v>50000</v>
      </c>
    </row>
    <row r="4" spans="1:29" x14ac:dyDescent="0.2">
      <c r="A4" t="s">
        <v>520</v>
      </c>
      <c r="E4" s="12">
        <v>12</v>
      </c>
      <c r="F4" t="s">
        <v>634</v>
      </c>
      <c r="K4" t="s">
        <v>632</v>
      </c>
      <c r="O4" s="12">
        <v>1</v>
      </c>
      <c r="U4" t="s">
        <v>520</v>
      </c>
      <c r="Y4" s="12">
        <v>12</v>
      </c>
      <c r="Z4" t="s">
        <v>634</v>
      </c>
    </row>
    <row r="5" spans="1:29" x14ac:dyDescent="0.2">
      <c r="A5" t="s">
        <v>311</v>
      </c>
      <c r="E5" s="51">
        <v>0.05</v>
      </c>
      <c r="K5" t="s">
        <v>311</v>
      </c>
      <c r="O5" s="223">
        <v>0.05</v>
      </c>
      <c r="U5" t="s">
        <v>311</v>
      </c>
      <c r="Y5" s="51">
        <v>0.05</v>
      </c>
    </row>
    <row r="6" spans="1:29" x14ac:dyDescent="0.2">
      <c r="A6" t="s">
        <v>310</v>
      </c>
      <c r="E6" s="6">
        <f>E5/12</f>
        <v>4.1666666666666666E-3</v>
      </c>
      <c r="K6" t="s">
        <v>310</v>
      </c>
      <c r="O6" s="6">
        <f>O5/12</f>
        <v>4.1666666666666666E-3</v>
      </c>
      <c r="U6" t="s">
        <v>310</v>
      </c>
      <c r="Y6" s="6">
        <f>Y5/12</f>
        <v>4.1666666666666666E-3</v>
      </c>
    </row>
    <row r="7" spans="1:29" x14ac:dyDescent="0.2">
      <c r="A7" t="s">
        <v>529</v>
      </c>
      <c r="E7" s="6">
        <f>(1+E5/12)^12-1</f>
        <v>5.116189788173342E-2</v>
      </c>
      <c r="K7" t="s">
        <v>633</v>
      </c>
      <c r="O7" s="6">
        <f>(1+O5/12)^12-1</f>
        <v>5.116189788173342E-2</v>
      </c>
      <c r="U7" t="s">
        <v>529</v>
      </c>
      <c r="Y7" s="6">
        <f>(1+Y5/12)^12-1</f>
        <v>5.116189788173342E-2</v>
      </c>
    </row>
    <row r="8" spans="1:29" x14ac:dyDescent="0.2">
      <c r="A8" t="s">
        <v>137</v>
      </c>
      <c r="E8" s="50">
        <f>-PMT(E5/12,E4,E3)</f>
        <v>4280.3740894233561</v>
      </c>
      <c r="K8" t="s">
        <v>137</v>
      </c>
      <c r="O8" s="50">
        <f>-PMT(O7,O4,O3)</f>
        <v>52558.094894086666</v>
      </c>
      <c r="U8" t="s">
        <v>137</v>
      </c>
      <c r="Y8" s="50">
        <f>-PMT(Y5/12,Y4,Y3)</f>
        <v>4280.3740894233561</v>
      </c>
    </row>
    <row r="9" spans="1:29" ht="26.25" customHeight="1" x14ac:dyDescent="0.2">
      <c r="D9">
        <f>E3*E9</f>
        <v>4280.374089423337</v>
      </c>
      <c r="E9" s="164">
        <f>((E6*(1+E6)^E4)/((1+E6)^E4-1))</f>
        <v>8.5607481788466736E-2</v>
      </c>
      <c r="X9">
        <f>Y3*Y9</f>
        <v>4280.374089423337</v>
      </c>
      <c r="Y9" s="164">
        <f>((Y6*(1+Y6)^Y4)/((1+Y6)^Y4-1))</f>
        <v>8.5607481788466736E-2</v>
      </c>
    </row>
    <row r="10" spans="1:29" ht="48" x14ac:dyDescent="0.2">
      <c r="B10" s="3" t="s">
        <v>136</v>
      </c>
      <c r="C10" s="48" t="s">
        <v>135</v>
      </c>
      <c r="D10" s="48" t="s">
        <v>133</v>
      </c>
      <c r="E10" s="48" t="s">
        <v>134</v>
      </c>
      <c r="F10" s="48" t="s">
        <v>131</v>
      </c>
      <c r="G10" s="3"/>
      <c r="H10" s="48" t="s">
        <v>130</v>
      </c>
      <c r="I10" s="48" t="s">
        <v>129</v>
      </c>
      <c r="L10" s="3" t="s">
        <v>136</v>
      </c>
      <c r="M10" s="48" t="s">
        <v>135</v>
      </c>
      <c r="N10" s="48" t="s">
        <v>133</v>
      </c>
      <c r="O10" s="48" t="s">
        <v>134</v>
      </c>
      <c r="P10" s="48" t="s">
        <v>131</v>
      </c>
      <c r="Q10" s="3"/>
      <c r="R10" s="48" t="s">
        <v>130</v>
      </c>
      <c r="S10" s="48" t="s">
        <v>129</v>
      </c>
      <c r="V10" s="3" t="s">
        <v>136</v>
      </c>
      <c r="W10" s="48" t="s">
        <v>135</v>
      </c>
      <c r="X10" s="48" t="s">
        <v>635</v>
      </c>
      <c r="Y10" s="48" t="s">
        <v>134</v>
      </c>
      <c r="Z10" s="48" t="s">
        <v>131</v>
      </c>
      <c r="AA10" s="3"/>
      <c r="AB10" s="48" t="s">
        <v>130</v>
      </c>
      <c r="AC10" s="48" t="s">
        <v>129</v>
      </c>
    </row>
    <row r="11" spans="1:29" x14ac:dyDescent="0.2">
      <c r="B11" s="44">
        <v>44197</v>
      </c>
      <c r="C11" s="160">
        <f>E3</f>
        <v>50000</v>
      </c>
      <c r="D11" s="16">
        <f>C11*E$6</f>
        <v>208.33333333333334</v>
      </c>
      <c r="E11" s="21">
        <f>E$8-D11</f>
        <v>4072.0407560900226</v>
      </c>
      <c r="F11" s="16">
        <f t="shared" ref="F11:F22" si="0">C11-E11</f>
        <v>45927.95924390998</v>
      </c>
      <c r="H11" s="21">
        <f>E11</f>
        <v>4072.0407560900226</v>
      </c>
      <c r="I11" s="16">
        <f>D11</f>
        <v>208.33333333333334</v>
      </c>
      <c r="L11" s="220">
        <v>2021</v>
      </c>
      <c r="M11" s="160">
        <f>E3</f>
        <v>50000</v>
      </c>
      <c r="N11" s="16">
        <f>M11*O$7</f>
        <v>2558.094894086671</v>
      </c>
      <c r="O11" s="21">
        <f>O$8-N11</f>
        <v>49999.999999999993</v>
      </c>
      <c r="P11" s="16">
        <f>M11-O11</f>
        <v>0</v>
      </c>
      <c r="R11" s="221">
        <f>O11</f>
        <v>49999.999999999993</v>
      </c>
      <c r="S11" s="222">
        <f>N11</f>
        <v>2558.094894086671</v>
      </c>
      <c r="V11" s="44">
        <v>44197</v>
      </c>
      <c r="W11" s="160">
        <f>Y3</f>
        <v>50000</v>
      </c>
      <c r="X11" s="16">
        <f t="shared" ref="X11:X22" si="1">W11*Y$6</f>
        <v>208.33333333333334</v>
      </c>
      <c r="Y11" s="21"/>
      <c r="Z11" s="16">
        <f t="shared" ref="Z11:Z22" si="2">W11+X11-Y11</f>
        <v>50208.333333333336</v>
      </c>
      <c r="AB11" s="21">
        <f>Y11</f>
        <v>0</v>
      </c>
      <c r="AC11" s="16">
        <f>X11</f>
        <v>208.33333333333334</v>
      </c>
    </row>
    <row r="12" spans="1:29" x14ac:dyDescent="0.2">
      <c r="B12" s="44">
        <v>44228</v>
      </c>
      <c r="C12" s="15">
        <f t="shared" ref="C12:C22" si="3">F11</f>
        <v>45927.95924390998</v>
      </c>
      <c r="D12" s="16">
        <f>C12*E$6</f>
        <v>191.36649684962492</v>
      </c>
      <c r="E12" s="21">
        <f>E$8-D12</f>
        <v>4089.007592573731</v>
      </c>
      <c r="F12" s="16">
        <f t="shared" si="0"/>
        <v>41838.951651336247</v>
      </c>
      <c r="H12" s="21">
        <f t="shared" ref="H12:H22" si="4">H11+E12</f>
        <v>8161.0483486637531</v>
      </c>
      <c r="I12" s="16">
        <f t="shared" ref="I12:I22" si="5">I11+D12</f>
        <v>399.69983018295829</v>
      </c>
      <c r="L12" s="220"/>
      <c r="M12" s="220"/>
      <c r="N12" s="220"/>
      <c r="O12" s="220"/>
      <c r="P12" s="220"/>
      <c r="Q12" s="220"/>
      <c r="R12" s="220"/>
      <c r="S12" s="220"/>
      <c r="V12" s="44">
        <v>44228</v>
      </c>
      <c r="W12" s="15">
        <f t="shared" ref="W12:W22" si="6">Z11</f>
        <v>50208.333333333336</v>
      </c>
      <c r="X12" s="16">
        <f t="shared" si="1"/>
        <v>209.20138888888889</v>
      </c>
      <c r="Y12" s="21"/>
      <c r="Z12" s="16">
        <f t="shared" si="2"/>
        <v>50417.534722222226</v>
      </c>
      <c r="AB12" s="21">
        <f t="shared" ref="AB12:AB22" si="7">AB11+Y12</f>
        <v>0</v>
      </c>
      <c r="AC12" s="16">
        <f t="shared" ref="AC12:AC22" si="8">AC11+X12</f>
        <v>417.53472222222223</v>
      </c>
    </row>
    <row r="13" spans="1:29" x14ac:dyDescent="0.2">
      <c r="B13" s="44">
        <v>44256</v>
      </c>
      <c r="C13" s="15">
        <f t="shared" si="3"/>
        <v>41838.951651336247</v>
      </c>
      <c r="D13" s="16">
        <f t="shared" ref="D13:D22" si="9">C13*E$6</f>
        <v>174.32896521390103</v>
      </c>
      <c r="E13" s="21">
        <f t="shared" ref="E13:E22" si="10">E$8-D13</f>
        <v>4106.045124209455</v>
      </c>
      <c r="F13" s="16">
        <f t="shared" si="0"/>
        <v>37732.90652712679</v>
      </c>
      <c r="H13" s="21">
        <f t="shared" si="4"/>
        <v>12267.093472873208</v>
      </c>
      <c r="I13" s="16">
        <f t="shared" si="5"/>
        <v>574.02879539685932</v>
      </c>
      <c r="K13" s="224" t="s">
        <v>636</v>
      </c>
      <c r="L13" s="220"/>
      <c r="M13" s="220"/>
      <c r="N13" s="220"/>
      <c r="O13" s="220"/>
      <c r="P13" s="220"/>
      <c r="Q13" s="220"/>
      <c r="R13" s="220"/>
      <c r="S13" s="220"/>
      <c r="V13" s="44">
        <v>44256</v>
      </c>
      <c r="W13" s="15">
        <f t="shared" si="6"/>
        <v>50417.534722222226</v>
      </c>
      <c r="X13" s="16">
        <f t="shared" si="1"/>
        <v>210.07306134259261</v>
      </c>
      <c r="Y13" s="21"/>
      <c r="Z13" s="16">
        <f t="shared" si="2"/>
        <v>50627.607783564818</v>
      </c>
      <c r="AB13" s="21">
        <f t="shared" si="7"/>
        <v>0</v>
      </c>
      <c r="AC13" s="16">
        <f t="shared" si="8"/>
        <v>627.60778356481478</v>
      </c>
    </row>
    <row r="14" spans="1:29" x14ac:dyDescent="0.2">
      <c r="B14" s="44">
        <v>44287</v>
      </c>
      <c r="C14" s="15">
        <f t="shared" si="3"/>
        <v>37732.90652712679</v>
      </c>
      <c r="D14" s="16">
        <f t="shared" si="9"/>
        <v>157.22044386302829</v>
      </c>
      <c r="E14" s="21">
        <f t="shared" si="10"/>
        <v>4123.1536455603282</v>
      </c>
      <c r="F14" s="16">
        <f t="shared" si="0"/>
        <v>33609.752881566463</v>
      </c>
      <c r="H14" s="21">
        <f t="shared" si="4"/>
        <v>16390.247118433537</v>
      </c>
      <c r="I14" s="16">
        <f t="shared" si="5"/>
        <v>731.24923925988764</v>
      </c>
      <c r="K14" s="224" t="s">
        <v>637</v>
      </c>
      <c r="L14" s="220"/>
      <c r="M14" s="220"/>
      <c r="N14" s="220"/>
      <c r="O14" s="220"/>
      <c r="P14" s="220"/>
      <c r="Q14" s="220"/>
      <c r="R14" s="220"/>
      <c r="S14" s="220"/>
      <c r="V14" s="44">
        <v>44287</v>
      </c>
      <c r="W14" s="15">
        <f t="shared" si="6"/>
        <v>50627.607783564818</v>
      </c>
      <c r="X14" s="16">
        <f t="shared" si="1"/>
        <v>210.94836576485341</v>
      </c>
      <c r="Y14" s="21"/>
      <c r="Z14" s="16">
        <f t="shared" si="2"/>
        <v>50838.55614932967</v>
      </c>
      <c r="AB14" s="21">
        <f t="shared" si="7"/>
        <v>0</v>
      </c>
      <c r="AC14" s="16">
        <f t="shared" si="8"/>
        <v>838.55614932966819</v>
      </c>
    </row>
    <row r="15" spans="1:29" x14ac:dyDescent="0.2">
      <c r="B15" s="44">
        <v>44317</v>
      </c>
      <c r="C15" s="15">
        <f t="shared" si="3"/>
        <v>33609.752881566463</v>
      </c>
      <c r="D15" s="16">
        <f t="shared" si="9"/>
        <v>140.04063700652694</v>
      </c>
      <c r="E15" s="21">
        <f t="shared" si="10"/>
        <v>4140.3334524168295</v>
      </c>
      <c r="F15" s="16">
        <f t="shared" si="0"/>
        <v>29469.419429149631</v>
      </c>
      <c r="H15" s="21">
        <f t="shared" si="4"/>
        <v>20530.580570850369</v>
      </c>
      <c r="I15" s="16">
        <f t="shared" si="5"/>
        <v>871.28987626641458</v>
      </c>
      <c r="L15" s="220"/>
      <c r="M15" s="220"/>
      <c r="N15" s="220"/>
      <c r="O15" s="220"/>
      <c r="P15" s="220"/>
      <c r="Q15" s="220"/>
      <c r="R15" s="220"/>
      <c r="S15" s="220"/>
      <c r="V15" s="44">
        <v>44317</v>
      </c>
      <c r="W15" s="15">
        <f t="shared" si="6"/>
        <v>50838.55614932967</v>
      </c>
      <c r="X15" s="16">
        <f t="shared" si="1"/>
        <v>211.82731728887362</v>
      </c>
      <c r="Y15" s="21"/>
      <c r="Z15" s="16">
        <f t="shared" si="2"/>
        <v>51050.383466618543</v>
      </c>
      <c r="AB15" s="21">
        <f t="shared" si="7"/>
        <v>0</v>
      </c>
      <c r="AC15" s="16">
        <f t="shared" si="8"/>
        <v>1050.3834666185419</v>
      </c>
    </row>
    <row r="16" spans="1:29" x14ac:dyDescent="0.2">
      <c r="B16" s="44">
        <v>44348</v>
      </c>
      <c r="C16" s="15">
        <f t="shared" si="3"/>
        <v>29469.419429149631</v>
      </c>
      <c r="D16" s="16">
        <f t="shared" si="9"/>
        <v>122.78924762145679</v>
      </c>
      <c r="E16" s="21">
        <f t="shared" si="10"/>
        <v>4157.5848418018995</v>
      </c>
      <c r="F16" s="16">
        <f t="shared" si="0"/>
        <v>25311.83458734773</v>
      </c>
      <c r="H16" s="21">
        <f t="shared" si="4"/>
        <v>24688.16541265227</v>
      </c>
      <c r="I16" s="16">
        <f t="shared" si="5"/>
        <v>994.07912388787133</v>
      </c>
      <c r="L16" s="220"/>
      <c r="M16" s="220"/>
      <c r="N16" s="220"/>
      <c r="O16" s="220"/>
      <c r="P16" s="220"/>
      <c r="Q16" s="220"/>
      <c r="R16" s="220"/>
      <c r="S16" s="220"/>
      <c r="V16" s="44">
        <v>44348</v>
      </c>
      <c r="W16" s="15">
        <f t="shared" si="6"/>
        <v>51050.383466618543</v>
      </c>
      <c r="X16" s="16">
        <f t="shared" si="1"/>
        <v>212.70993111091059</v>
      </c>
      <c r="Y16" s="21"/>
      <c r="Z16" s="16">
        <f t="shared" si="2"/>
        <v>51263.093397729455</v>
      </c>
      <c r="AB16" s="21">
        <f t="shared" si="7"/>
        <v>0</v>
      </c>
      <c r="AC16" s="16">
        <f t="shared" si="8"/>
        <v>1263.0933977294526</v>
      </c>
    </row>
    <row r="17" spans="1:29" x14ac:dyDescent="0.2">
      <c r="B17" s="44">
        <v>44378</v>
      </c>
      <c r="C17" s="15">
        <f t="shared" si="3"/>
        <v>25311.83458734773</v>
      </c>
      <c r="D17" s="16">
        <f t="shared" si="9"/>
        <v>105.46597744728221</v>
      </c>
      <c r="E17" s="21">
        <f t="shared" si="10"/>
        <v>4174.908111976074</v>
      </c>
      <c r="F17" s="16">
        <f t="shared" si="0"/>
        <v>21136.926475371656</v>
      </c>
      <c r="H17" s="21">
        <f t="shared" si="4"/>
        <v>28863.073524628344</v>
      </c>
      <c r="I17" s="16">
        <f t="shared" si="5"/>
        <v>1099.5451013351535</v>
      </c>
      <c r="L17" s="220"/>
      <c r="M17" s="220"/>
      <c r="N17" s="220"/>
      <c r="O17" s="220"/>
      <c r="P17" s="220"/>
      <c r="Q17" s="220"/>
      <c r="R17" s="220"/>
      <c r="S17" s="220"/>
      <c r="V17" s="44">
        <v>44378</v>
      </c>
      <c r="W17" s="15">
        <f t="shared" si="6"/>
        <v>51263.093397729455</v>
      </c>
      <c r="X17" s="16">
        <f t="shared" si="1"/>
        <v>213.59622249053939</v>
      </c>
      <c r="Y17" s="21"/>
      <c r="Z17" s="16">
        <f t="shared" si="2"/>
        <v>51476.689620219993</v>
      </c>
      <c r="AB17" s="21">
        <f t="shared" si="7"/>
        <v>0</v>
      </c>
      <c r="AC17" s="16">
        <f t="shared" si="8"/>
        <v>1476.6896202199919</v>
      </c>
    </row>
    <row r="18" spans="1:29" x14ac:dyDescent="0.2">
      <c r="B18" s="44">
        <v>44409</v>
      </c>
      <c r="C18" s="15">
        <f t="shared" si="3"/>
        <v>21136.926475371656</v>
      </c>
      <c r="D18" s="16">
        <f t="shared" si="9"/>
        <v>88.070526980715229</v>
      </c>
      <c r="E18" s="21">
        <f t="shared" si="10"/>
        <v>4192.3035624426411</v>
      </c>
      <c r="F18" s="16">
        <f t="shared" si="0"/>
        <v>16944.622912929015</v>
      </c>
      <c r="H18" s="21">
        <f t="shared" si="4"/>
        <v>33055.377087070985</v>
      </c>
      <c r="I18" s="16">
        <f t="shared" si="5"/>
        <v>1187.6156283158687</v>
      </c>
      <c r="L18" s="220"/>
      <c r="M18" s="220"/>
      <c r="N18" s="220"/>
      <c r="O18" s="220"/>
      <c r="P18" s="220"/>
      <c r="Q18" s="220"/>
      <c r="R18" s="220"/>
      <c r="S18" s="220"/>
      <c r="V18" s="44">
        <v>44409</v>
      </c>
      <c r="W18" s="15">
        <f t="shared" si="6"/>
        <v>51476.689620219993</v>
      </c>
      <c r="X18" s="16">
        <f t="shared" si="1"/>
        <v>214.48620675091664</v>
      </c>
      <c r="Y18" s="21"/>
      <c r="Z18" s="16">
        <f t="shared" si="2"/>
        <v>51691.17582697091</v>
      </c>
      <c r="AB18" s="21">
        <f t="shared" si="7"/>
        <v>0</v>
      </c>
      <c r="AC18" s="16">
        <f t="shared" si="8"/>
        <v>1691.1758269709085</v>
      </c>
    </row>
    <row r="19" spans="1:29" x14ac:dyDescent="0.2">
      <c r="B19" s="44">
        <v>44440</v>
      </c>
      <c r="C19" s="15">
        <f t="shared" si="3"/>
        <v>16944.622912929015</v>
      </c>
      <c r="D19" s="16">
        <f t="shared" si="9"/>
        <v>70.602595470537565</v>
      </c>
      <c r="E19" s="21">
        <f t="shared" si="10"/>
        <v>4209.7714939528187</v>
      </c>
      <c r="F19" s="16">
        <f t="shared" si="0"/>
        <v>12734.851418976195</v>
      </c>
      <c r="H19" s="21">
        <f t="shared" si="4"/>
        <v>37265.148581023801</v>
      </c>
      <c r="I19" s="16">
        <f t="shared" si="5"/>
        <v>1258.2182237864063</v>
      </c>
      <c r="L19" s="220"/>
      <c r="M19" s="220"/>
      <c r="N19" s="220"/>
      <c r="O19" s="220"/>
      <c r="P19" s="220"/>
      <c r="Q19" s="220"/>
      <c r="R19" s="220"/>
      <c r="S19" s="220"/>
      <c r="V19" s="44">
        <v>44440</v>
      </c>
      <c r="W19" s="15">
        <f t="shared" si="6"/>
        <v>51691.17582697091</v>
      </c>
      <c r="X19" s="16">
        <f t="shared" si="1"/>
        <v>215.37989927904545</v>
      </c>
      <c r="Y19" s="21"/>
      <c r="Z19" s="16">
        <f t="shared" si="2"/>
        <v>51906.555726249957</v>
      </c>
      <c r="AB19" s="21">
        <f t="shared" si="7"/>
        <v>0</v>
      </c>
      <c r="AC19" s="16">
        <f t="shared" si="8"/>
        <v>1906.555726249954</v>
      </c>
    </row>
    <row r="20" spans="1:29" x14ac:dyDescent="0.2">
      <c r="B20" s="44">
        <v>44470</v>
      </c>
      <c r="C20" s="15">
        <f t="shared" si="3"/>
        <v>12734.851418976195</v>
      </c>
      <c r="D20" s="16">
        <f t="shared" si="9"/>
        <v>53.061880912400817</v>
      </c>
      <c r="E20" s="21">
        <f t="shared" si="10"/>
        <v>4227.3122085109553</v>
      </c>
      <c r="F20" s="16">
        <f t="shared" si="0"/>
        <v>8507.5392104652401</v>
      </c>
      <c r="H20" s="21">
        <f t="shared" si="4"/>
        <v>41492.460789534758</v>
      </c>
      <c r="I20" s="16">
        <f t="shared" si="5"/>
        <v>1311.280104698807</v>
      </c>
      <c r="L20" s="220"/>
      <c r="M20" s="220"/>
      <c r="N20" s="220"/>
      <c r="O20" s="220"/>
      <c r="P20" s="220"/>
      <c r="Q20" s="220"/>
      <c r="R20" s="220"/>
      <c r="S20" s="220"/>
      <c r="V20" s="44">
        <v>44470</v>
      </c>
      <c r="W20" s="15">
        <f t="shared" si="6"/>
        <v>51906.555726249957</v>
      </c>
      <c r="X20" s="16">
        <f t="shared" si="1"/>
        <v>216.27731552604149</v>
      </c>
      <c r="Y20" s="21"/>
      <c r="Z20" s="16">
        <f t="shared" si="2"/>
        <v>52122.833041776001</v>
      </c>
      <c r="AB20" s="21">
        <f t="shared" si="7"/>
        <v>0</v>
      </c>
      <c r="AC20" s="16">
        <f t="shared" si="8"/>
        <v>2122.8330417759953</v>
      </c>
    </row>
    <row r="21" spans="1:29" x14ac:dyDescent="0.2">
      <c r="B21" s="44">
        <v>44501</v>
      </c>
      <c r="C21" s="15">
        <f t="shared" si="3"/>
        <v>8507.5392104652401</v>
      </c>
      <c r="D21" s="16">
        <f t="shared" si="9"/>
        <v>35.448080043605167</v>
      </c>
      <c r="E21" s="21">
        <f t="shared" si="10"/>
        <v>4244.9260093797511</v>
      </c>
      <c r="F21" s="16">
        <f t="shared" si="0"/>
        <v>4262.613201085489</v>
      </c>
      <c r="H21" s="21">
        <f t="shared" si="4"/>
        <v>45737.386798914507</v>
      </c>
      <c r="I21" s="16">
        <f t="shared" si="5"/>
        <v>1346.7281847424122</v>
      </c>
      <c r="L21" s="220"/>
      <c r="M21" s="220"/>
      <c r="N21" s="220"/>
      <c r="O21" s="220"/>
      <c r="P21" s="220"/>
      <c r="Q21" s="220"/>
      <c r="R21" s="220"/>
      <c r="S21" s="220"/>
      <c r="V21" s="44">
        <v>44501</v>
      </c>
      <c r="W21" s="15">
        <f t="shared" si="6"/>
        <v>52122.833041776001</v>
      </c>
      <c r="X21" s="16">
        <f t="shared" si="1"/>
        <v>217.17847100739999</v>
      </c>
      <c r="Y21" s="21"/>
      <c r="Z21" s="16">
        <f t="shared" si="2"/>
        <v>52340.0115127834</v>
      </c>
      <c r="AB21" s="21">
        <f t="shared" si="7"/>
        <v>0</v>
      </c>
      <c r="AC21" s="16">
        <f t="shared" si="8"/>
        <v>2340.0115127833951</v>
      </c>
    </row>
    <row r="22" spans="1:29" x14ac:dyDescent="0.2">
      <c r="B22" s="44">
        <v>44531</v>
      </c>
      <c r="C22" s="15">
        <f t="shared" si="3"/>
        <v>4262.613201085489</v>
      </c>
      <c r="D22" s="16">
        <f t="shared" si="9"/>
        <v>17.760888337856205</v>
      </c>
      <c r="E22" s="21">
        <f t="shared" si="10"/>
        <v>4262.6132010854999</v>
      </c>
      <c r="F22" s="16">
        <f t="shared" si="0"/>
        <v>-1.0913936421275139E-11</v>
      </c>
      <c r="H22" s="221">
        <f t="shared" si="4"/>
        <v>50000.000000000007</v>
      </c>
      <c r="I22" s="222">
        <f t="shared" si="5"/>
        <v>1364.4890730802683</v>
      </c>
      <c r="L22" s="220"/>
      <c r="M22" s="220"/>
      <c r="N22" s="220"/>
      <c r="O22" s="220"/>
      <c r="P22" s="220"/>
      <c r="Q22" s="220"/>
      <c r="R22" s="220"/>
      <c r="S22" s="220"/>
      <c r="V22" s="44">
        <v>44531</v>
      </c>
      <c r="W22" s="15">
        <f t="shared" si="6"/>
        <v>52340.0115127834</v>
      </c>
      <c r="X22" s="16">
        <f t="shared" si="1"/>
        <v>218.08338130326416</v>
      </c>
      <c r="Y22" s="21">
        <f>O$8</f>
        <v>52558.094894086666</v>
      </c>
      <c r="Z22" s="16">
        <f t="shared" si="2"/>
        <v>0</v>
      </c>
      <c r="AB22" s="221">
        <f t="shared" si="7"/>
        <v>52558.094894086666</v>
      </c>
      <c r="AC22" s="222">
        <f t="shared" si="8"/>
        <v>2558.0948940866592</v>
      </c>
    </row>
    <row r="23" spans="1:29" x14ac:dyDescent="0.2">
      <c r="L23" s="220"/>
      <c r="M23" s="220"/>
      <c r="N23" s="220"/>
      <c r="O23" s="220"/>
      <c r="P23" s="220"/>
      <c r="Q23" s="220"/>
      <c r="R23" s="220"/>
      <c r="S23" s="220"/>
    </row>
    <row r="24" spans="1:29" x14ac:dyDescent="0.2">
      <c r="B24" s="224" t="s">
        <v>641</v>
      </c>
      <c r="L24" s="220"/>
      <c r="M24" s="220"/>
      <c r="N24" s="220"/>
      <c r="O24" s="220"/>
      <c r="P24" s="220"/>
      <c r="Q24" s="220"/>
      <c r="R24" s="220"/>
      <c r="S24" s="220"/>
      <c r="V24" s="224" t="s">
        <v>642</v>
      </c>
    </row>
    <row r="25" spans="1:29" x14ac:dyDescent="0.2">
      <c r="L25" s="220"/>
      <c r="M25" s="220"/>
      <c r="N25" s="220"/>
      <c r="O25" s="220"/>
      <c r="P25" s="220"/>
      <c r="Q25" s="220"/>
      <c r="R25" s="220"/>
      <c r="S25" s="220"/>
      <c r="V25" s="224" t="s">
        <v>643</v>
      </c>
    </row>
    <row r="26" spans="1:29" x14ac:dyDescent="0.2">
      <c r="L26" s="220"/>
      <c r="M26" s="220"/>
      <c r="N26" s="220"/>
      <c r="O26" s="220"/>
      <c r="P26" s="220"/>
      <c r="Q26" s="220"/>
      <c r="R26" s="220"/>
      <c r="S26" s="220"/>
    </row>
    <row r="27" spans="1:29" x14ac:dyDescent="0.2">
      <c r="L27" s="220"/>
      <c r="M27" s="220"/>
      <c r="N27" s="220"/>
      <c r="O27" s="220"/>
      <c r="P27" s="220"/>
      <c r="Q27" s="220"/>
      <c r="R27" s="220"/>
      <c r="S27" s="220"/>
    </row>
    <row r="28" spans="1:29" x14ac:dyDescent="0.2">
      <c r="L28" s="220"/>
      <c r="M28" s="220"/>
      <c r="N28" s="220"/>
      <c r="O28" s="220"/>
      <c r="P28" s="220"/>
      <c r="Q28" s="220"/>
      <c r="R28" s="220"/>
      <c r="S28" s="220"/>
    </row>
    <row r="29" spans="1:29" x14ac:dyDescent="0.2">
      <c r="L29" s="220"/>
      <c r="M29" s="220"/>
      <c r="N29" s="220"/>
      <c r="O29" s="220"/>
      <c r="P29" s="220"/>
      <c r="Q29" s="220"/>
      <c r="R29" s="220"/>
      <c r="S29" s="220"/>
    </row>
    <row r="30" spans="1:29" x14ac:dyDescent="0.2">
      <c r="B30" s="136">
        <v>0</v>
      </c>
      <c r="C30">
        <v>100</v>
      </c>
      <c r="D30">
        <f>C30</f>
        <v>100</v>
      </c>
      <c r="L30" s="220"/>
      <c r="M30" s="220"/>
      <c r="N30" s="220"/>
      <c r="O30" s="220"/>
      <c r="P30" s="220"/>
      <c r="Q30" s="220"/>
      <c r="R30" s="220"/>
      <c r="S30" s="220"/>
    </row>
    <row r="31" spans="1:29" x14ac:dyDescent="0.2">
      <c r="A31" s="19">
        <v>0.01</v>
      </c>
      <c r="B31">
        <v>1</v>
      </c>
      <c r="C31" s="1">
        <f t="shared" ref="C31:C42" si="11">C30+C30*$A$31</f>
        <v>101</v>
      </c>
      <c r="L31" s="220"/>
      <c r="M31" s="220"/>
      <c r="N31" s="220"/>
      <c r="O31" s="220"/>
      <c r="P31" s="220"/>
      <c r="Q31" s="220"/>
      <c r="R31" s="220"/>
      <c r="S31" s="220"/>
    </row>
    <row r="32" spans="1:29" x14ac:dyDescent="0.2">
      <c r="A32" s="13">
        <f>A31*12</f>
        <v>0.12</v>
      </c>
      <c r="B32">
        <v>2</v>
      </c>
      <c r="C32" s="1">
        <f t="shared" si="11"/>
        <v>102.01</v>
      </c>
      <c r="L32" s="220"/>
      <c r="M32" s="220"/>
      <c r="N32" s="220"/>
      <c r="O32" s="220"/>
      <c r="P32" s="220"/>
      <c r="Q32" s="220"/>
      <c r="R32" s="220"/>
      <c r="S32" s="220"/>
    </row>
    <row r="33" spans="1:19" x14ac:dyDescent="0.2">
      <c r="A33" s="6">
        <f>(1+A31)^12-1</f>
        <v>0.12682503013196977</v>
      </c>
      <c r="B33">
        <v>3</v>
      </c>
      <c r="C33" s="1">
        <f t="shared" si="11"/>
        <v>103.0301</v>
      </c>
      <c r="L33" s="220"/>
      <c r="M33" s="220"/>
      <c r="N33" s="220"/>
      <c r="O33" s="220"/>
      <c r="P33" s="220"/>
      <c r="Q33" s="220"/>
      <c r="R33" s="220"/>
      <c r="S33" s="220"/>
    </row>
    <row r="34" spans="1:19" x14ac:dyDescent="0.2">
      <c r="B34">
        <v>4</v>
      </c>
      <c r="C34" s="1">
        <f t="shared" si="11"/>
        <v>104.060401</v>
      </c>
      <c r="L34" s="220"/>
      <c r="M34" s="220"/>
      <c r="N34" s="220"/>
      <c r="O34" s="220"/>
      <c r="P34" s="220"/>
      <c r="Q34" s="220"/>
      <c r="R34" s="220"/>
      <c r="S34" s="220"/>
    </row>
    <row r="35" spans="1:19" x14ac:dyDescent="0.2">
      <c r="B35">
        <v>5</v>
      </c>
      <c r="C35" s="1">
        <f t="shared" si="11"/>
        <v>105.10100500999999</v>
      </c>
      <c r="L35" s="220"/>
      <c r="M35" s="220"/>
      <c r="N35" s="220"/>
      <c r="O35" s="220"/>
      <c r="P35" s="220"/>
      <c r="Q35" s="220"/>
      <c r="R35" s="220"/>
      <c r="S35" s="220"/>
    </row>
    <row r="36" spans="1:19" x14ac:dyDescent="0.2">
      <c r="B36">
        <v>6</v>
      </c>
      <c r="C36" s="1">
        <f t="shared" si="11"/>
        <v>106.1520150601</v>
      </c>
      <c r="L36" s="220"/>
      <c r="M36" s="220"/>
      <c r="N36" s="220"/>
      <c r="O36" s="220"/>
      <c r="P36" s="220"/>
      <c r="Q36" s="220"/>
      <c r="R36" s="220"/>
      <c r="S36" s="220"/>
    </row>
    <row r="37" spans="1:19" x14ac:dyDescent="0.2">
      <c r="B37">
        <v>7</v>
      </c>
      <c r="C37" s="1">
        <f t="shared" si="11"/>
        <v>107.213535210701</v>
      </c>
      <c r="L37" s="220"/>
      <c r="M37" s="220"/>
      <c r="N37" s="220"/>
      <c r="O37" s="220"/>
      <c r="P37" s="220"/>
      <c r="Q37" s="220"/>
      <c r="R37" s="220"/>
      <c r="S37" s="220"/>
    </row>
    <row r="38" spans="1:19" x14ac:dyDescent="0.2">
      <c r="B38">
        <v>8</v>
      </c>
      <c r="C38" s="1">
        <f t="shared" si="11"/>
        <v>108.28567056280801</v>
      </c>
      <c r="L38" s="220"/>
      <c r="M38" s="220"/>
      <c r="N38" s="220"/>
      <c r="O38" s="220"/>
      <c r="P38" s="220"/>
      <c r="Q38" s="220"/>
      <c r="R38" s="220"/>
      <c r="S38" s="220"/>
    </row>
    <row r="39" spans="1:19" x14ac:dyDescent="0.2">
      <c r="B39">
        <v>9</v>
      </c>
      <c r="C39" s="1">
        <f t="shared" si="11"/>
        <v>109.36852726843608</v>
      </c>
      <c r="L39" s="220"/>
      <c r="M39" s="220"/>
      <c r="N39" s="220"/>
      <c r="O39" s="220"/>
      <c r="P39" s="220"/>
      <c r="Q39" s="220"/>
      <c r="R39" s="220"/>
      <c r="S39" s="220"/>
    </row>
    <row r="40" spans="1:19" x14ac:dyDescent="0.2">
      <c r="B40">
        <v>10</v>
      </c>
      <c r="C40" s="1">
        <f t="shared" si="11"/>
        <v>110.46221254112044</v>
      </c>
      <c r="L40" s="220"/>
      <c r="M40" s="220"/>
      <c r="N40" s="220"/>
      <c r="O40" s="220"/>
      <c r="P40" s="220"/>
      <c r="Q40" s="220"/>
      <c r="R40" s="220"/>
      <c r="S40" s="220"/>
    </row>
    <row r="41" spans="1:19" x14ac:dyDescent="0.2">
      <c r="B41">
        <v>11</v>
      </c>
      <c r="C41" s="1">
        <f t="shared" si="11"/>
        <v>111.56683466653165</v>
      </c>
      <c r="L41" s="220"/>
      <c r="M41" s="220"/>
      <c r="N41" s="220"/>
      <c r="O41" s="220"/>
      <c r="P41" s="220"/>
      <c r="Q41" s="220"/>
      <c r="R41" s="220"/>
      <c r="S41" s="220"/>
    </row>
    <row r="42" spans="1:19" x14ac:dyDescent="0.2">
      <c r="B42">
        <v>12</v>
      </c>
      <c r="C42" s="1">
        <f t="shared" si="11"/>
        <v>112.68250301319696</v>
      </c>
      <c r="D42" s="1">
        <f>D30*(1+A33)</f>
        <v>112.68250301319698</v>
      </c>
      <c r="L42" s="220"/>
      <c r="M42" s="220"/>
      <c r="N42" s="220"/>
      <c r="O42" s="220"/>
      <c r="P42" s="220"/>
      <c r="Q42" s="220"/>
      <c r="R42" s="220"/>
      <c r="S42" s="220"/>
    </row>
    <row r="43" spans="1:19" x14ac:dyDescent="0.2">
      <c r="L43" s="220"/>
      <c r="M43" s="220"/>
      <c r="N43" s="220"/>
      <c r="O43" s="220"/>
      <c r="P43" s="220"/>
      <c r="Q43" s="220"/>
      <c r="R43" s="220"/>
      <c r="S43" s="220"/>
    </row>
    <row r="44" spans="1:19" x14ac:dyDescent="0.2">
      <c r="L44" s="220"/>
      <c r="M44" s="220"/>
      <c r="N44" s="220"/>
      <c r="O44" s="220"/>
      <c r="P44" s="220"/>
      <c r="Q44" s="220"/>
      <c r="R44" s="220"/>
      <c r="S44" s="220"/>
    </row>
    <row r="45" spans="1:19" x14ac:dyDescent="0.2">
      <c r="L45" s="220"/>
      <c r="M45" s="220"/>
      <c r="N45" s="220"/>
      <c r="O45" s="220"/>
      <c r="P45" s="220"/>
      <c r="Q45" s="220"/>
      <c r="R45" s="220"/>
      <c r="S45" s="220"/>
    </row>
    <row r="46" spans="1:19" x14ac:dyDescent="0.2">
      <c r="L46" s="220"/>
      <c r="M46" s="220"/>
      <c r="N46" s="220"/>
      <c r="O46" s="220"/>
      <c r="P46" s="220"/>
      <c r="Q46" s="220"/>
      <c r="R46" s="220"/>
      <c r="S46" s="220"/>
    </row>
    <row r="47" spans="1:19" x14ac:dyDescent="0.2">
      <c r="L47" s="220"/>
      <c r="M47" s="220"/>
      <c r="N47" s="220"/>
      <c r="O47" s="220"/>
      <c r="P47" s="220"/>
      <c r="Q47" s="220"/>
      <c r="R47" s="220"/>
      <c r="S47" s="220"/>
    </row>
    <row r="48" spans="1:19" x14ac:dyDescent="0.2">
      <c r="L48" s="220"/>
      <c r="M48" s="220"/>
      <c r="N48" s="220"/>
      <c r="O48" s="220"/>
      <c r="P48" s="220"/>
      <c r="Q48" s="220"/>
      <c r="R48" s="220"/>
      <c r="S48" s="220"/>
    </row>
    <row r="49" spans="12:19" x14ac:dyDescent="0.2">
      <c r="L49" s="220"/>
      <c r="M49" s="220"/>
      <c r="N49" s="220"/>
      <c r="O49" s="220"/>
      <c r="P49" s="220"/>
      <c r="Q49" s="220"/>
      <c r="R49" s="220"/>
      <c r="S49" s="220"/>
    </row>
    <row r="50" spans="12:19" x14ac:dyDescent="0.2">
      <c r="L50" s="220"/>
      <c r="M50" s="220"/>
      <c r="N50" s="220"/>
      <c r="O50" s="220"/>
      <c r="P50" s="220"/>
      <c r="Q50" s="220"/>
      <c r="R50" s="220"/>
      <c r="S50" s="220"/>
    </row>
    <row r="51" spans="12:19" x14ac:dyDescent="0.2">
      <c r="L51" s="220"/>
      <c r="M51" s="220"/>
      <c r="N51" s="220"/>
      <c r="O51" s="220"/>
      <c r="P51" s="220"/>
      <c r="Q51" s="220"/>
      <c r="R51" s="220"/>
      <c r="S51" s="220"/>
    </row>
    <row r="52" spans="12:19" x14ac:dyDescent="0.2">
      <c r="L52" s="220"/>
      <c r="M52" s="220"/>
      <c r="N52" s="220"/>
      <c r="O52" s="220"/>
      <c r="P52" s="220"/>
      <c r="Q52" s="220"/>
      <c r="R52" s="220"/>
      <c r="S52" s="220"/>
    </row>
    <row r="53" spans="12:19" x14ac:dyDescent="0.2">
      <c r="L53" s="220"/>
      <c r="M53" s="220"/>
      <c r="N53" s="220"/>
      <c r="O53" s="220"/>
      <c r="P53" s="220"/>
      <c r="Q53" s="220"/>
      <c r="R53" s="220"/>
      <c r="S53" s="220"/>
    </row>
    <row r="54" spans="12:19" x14ac:dyDescent="0.2">
      <c r="L54" s="220"/>
      <c r="M54" s="220"/>
      <c r="N54" s="220"/>
      <c r="O54" s="220"/>
      <c r="P54" s="220"/>
      <c r="Q54" s="220"/>
      <c r="R54" s="220"/>
      <c r="S54" s="220"/>
    </row>
    <row r="55" spans="12:19" x14ac:dyDescent="0.2">
      <c r="L55" s="220"/>
      <c r="M55" s="220"/>
      <c r="N55" s="220"/>
      <c r="O55" s="220"/>
      <c r="P55" s="220"/>
      <c r="Q55" s="220"/>
      <c r="R55" s="220"/>
      <c r="S55" s="220"/>
    </row>
    <row r="56" spans="12:19" x14ac:dyDescent="0.2">
      <c r="L56" s="220"/>
      <c r="M56" s="220"/>
      <c r="N56" s="220"/>
      <c r="O56" s="220"/>
      <c r="P56" s="220"/>
      <c r="Q56" s="220"/>
      <c r="R56" s="220"/>
      <c r="S56" s="220"/>
    </row>
    <row r="57" spans="12:19" x14ac:dyDescent="0.2">
      <c r="L57" s="220"/>
      <c r="M57" s="220"/>
      <c r="N57" s="220"/>
      <c r="O57" s="220"/>
      <c r="P57" s="220"/>
      <c r="Q57" s="220"/>
      <c r="R57" s="220"/>
      <c r="S57" s="220"/>
    </row>
    <row r="58" spans="12:19" x14ac:dyDescent="0.2">
      <c r="L58" s="220"/>
      <c r="M58" s="220"/>
      <c r="N58" s="220"/>
      <c r="O58" s="220"/>
      <c r="P58" s="220"/>
      <c r="Q58" s="220"/>
      <c r="R58" s="220"/>
      <c r="S58" s="220"/>
    </row>
    <row r="59" spans="12:19" x14ac:dyDescent="0.2">
      <c r="L59" s="220"/>
      <c r="M59" s="220"/>
      <c r="N59" s="220"/>
      <c r="O59" s="220"/>
      <c r="P59" s="220"/>
      <c r="Q59" s="220"/>
      <c r="R59" s="220"/>
      <c r="S59" s="220"/>
    </row>
    <row r="60" spans="12:19" x14ac:dyDescent="0.2">
      <c r="L60" s="220"/>
      <c r="M60" s="220"/>
      <c r="N60" s="220"/>
      <c r="O60" s="220"/>
      <c r="P60" s="220"/>
      <c r="Q60" s="220"/>
      <c r="R60" s="220"/>
      <c r="S60" s="220"/>
    </row>
    <row r="61" spans="12:19" x14ac:dyDescent="0.2">
      <c r="L61" s="220"/>
      <c r="M61" s="220"/>
      <c r="N61" s="220"/>
      <c r="O61" s="220"/>
      <c r="P61" s="220"/>
      <c r="Q61" s="220"/>
      <c r="R61" s="220"/>
      <c r="S61" s="220"/>
    </row>
    <row r="62" spans="12:19" x14ac:dyDescent="0.2">
      <c r="L62" s="220"/>
      <c r="M62" s="220"/>
      <c r="N62" s="220"/>
      <c r="O62" s="220"/>
      <c r="P62" s="220"/>
      <c r="Q62" s="220"/>
      <c r="R62" s="220"/>
      <c r="S62" s="220"/>
    </row>
    <row r="63" spans="12:19" x14ac:dyDescent="0.2">
      <c r="L63" s="220"/>
      <c r="M63" s="220"/>
      <c r="N63" s="220"/>
      <c r="O63" s="220"/>
      <c r="P63" s="220"/>
      <c r="Q63" s="220"/>
      <c r="R63" s="220"/>
      <c r="S63" s="220"/>
    </row>
    <row r="64" spans="12:19" x14ac:dyDescent="0.2">
      <c r="L64" s="220"/>
      <c r="M64" s="220"/>
      <c r="N64" s="220"/>
      <c r="O64" s="220"/>
      <c r="P64" s="220"/>
      <c r="Q64" s="220"/>
      <c r="R64" s="220"/>
      <c r="S64" s="220"/>
    </row>
    <row r="65" spans="12:19" x14ac:dyDescent="0.2">
      <c r="L65" s="220"/>
      <c r="M65" s="220"/>
      <c r="N65" s="220"/>
      <c r="O65" s="220"/>
      <c r="P65" s="220"/>
      <c r="Q65" s="220"/>
      <c r="R65" s="220"/>
      <c r="S65" s="220"/>
    </row>
    <row r="66" spans="12:19" x14ac:dyDescent="0.2">
      <c r="L66" s="220"/>
      <c r="M66" s="220"/>
      <c r="N66" s="220"/>
      <c r="O66" s="220"/>
      <c r="P66" s="220"/>
      <c r="Q66" s="220"/>
      <c r="R66" s="220"/>
      <c r="S66" s="220"/>
    </row>
    <row r="67" spans="12:19" x14ac:dyDescent="0.2">
      <c r="L67" s="220"/>
      <c r="M67" s="220"/>
      <c r="N67" s="220"/>
      <c r="O67" s="220"/>
      <c r="P67" s="220"/>
      <c r="Q67" s="220"/>
      <c r="R67" s="220"/>
      <c r="S67" s="220"/>
    </row>
    <row r="68" spans="12:19" x14ac:dyDescent="0.2">
      <c r="L68" s="220"/>
      <c r="M68" s="220"/>
      <c r="N68" s="220"/>
      <c r="O68" s="220"/>
      <c r="P68" s="220"/>
      <c r="Q68" s="220"/>
      <c r="R68" s="220"/>
      <c r="S68" s="220"/>
    </row>
    <row r="69" spans="12:19" x14ac:dyDescent="0.2">
      <c r="L69" s="220"/>
      <c r="M69" s="220"/>
      <c r="N69" s="220"/>
      <c r="O69" s="220"/>
      <c r="P69" s="220"/>
      <c r="Q69" s="220"/>
      <c r="R69" s="220"/>
      <c r="S69" s="220"/>
    </row>
    <row r="70" spans="12:19" collapsed="1" x14ac:dyDescent="0.2">
      <c r="L70" s="220"/>
      <c r="M70" s="220"/>
      <c r="N70" s="220"/>
      <c r="O70" s="220"/>
      <c r="P70" s="220"/>
      <c r="Q70" s="220"/>
      <c r="R70" s="220"/>
      <c r="S70" s="220"/>
    </row>
  </sheetData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344"/>
  <sheetViews>
    <sheetView zoomScale="85" zoomScaleNormal="85" workbookViewId="0">
      <selection activeCell="U16" sqref="U16"/>
    </sheetView>
  </sheetViews>
  <sheetFormatPr baseColWidth="10" defaultColWidth="8.83203125" defaultRowHeight="15" x14ac:dyDescent="0.2"/>
  <cols>
    <col min="1" max="1" width="5.1640625" customWidth="1"/>
    <col min="2" max="2" width="20" bestFit="1" customWidth="1"/>
    <col min="3" max="3" width="12.5" customWidth="1"/>
    <col min="4" max="4" width="5.5" bestFit="1" customWidth="1"/>
    <col min="6" max="6" width="12.6640625" customWidth="1"/>
    <col min="7" max="7" width="10.5" customWidth="1"/>
    <col min="8" max="8" width="12.83203125" customWidth="1"/>
    <col min="9" max="9" width="12.5" bestFit="1" customWidth="1"/>
    <col min="10" max="11" width="13.83203125" customWidth="1"/>
    <col min="12" max="12" width="6.6640625" customWidth="1"/>
    <col min="13" max="15" width="9.6640625" bestFit="1" customWidth="1"/>
    <col min="16" max="16" width="10.5" customWidth="1"/>
    <col min="17" max="17" width="13" customWidth="1"/>
    <col min="18" max="18" width="11.5" bestFit="1" customWidth="1"/>
    <col min="21" max="21" width="10.5" customWidth="1"/>
  </cols>
  <sheetData>
    <row r="1" spans="1:22" ht="35.25" customHeight="1" x14ac:dyDescent="0.2">
      <c r="A1" s="229"/>
      <c r="C1" s="230"/>
      <c r="E1" t="s">
        <v>645</v>
      </c>
      <c r="H1" s="158">
        <v>7.0000000000000007E-2</v>
      </c>
      <c r="I1" s="231">
        <f>(1+(H2*12)/12)^12-1</f>
        <v>7.2290080856235894E-2</v>
      </c>
      <c r="J1" s="49">
        <v>6.8702603372116422E-2</v>
      </c>
      <c r="R1" s="232"/>
    </row>
    <row r="2" spans="1:22" ht="22" x14ac:dyDescent="0.2">
      <c r="D2" s="233"/>
      <c r="E2" t="s">
        <v>646</v>
      </c>
      <c r="H2" s="231">
        <f>H1/12</f>
        <v>5.8333333333333336E-3</v>
      </c>
      <c r="K2" s="49"/>
      <c r="N2" s="234"/>
    </row>
    <row r="3" spans="1:22" ht="22" x14ac:dyDescent="0.2">
      <c r="B3" t="s">
        <v>647</v>
      </c>
      <c r="C3" s="14">
        <v>25</v>
      </c>
      <c r="D3" s="233"/>
      <c r="E3" t="s">
        <v>648</v>
      </c>
      <c r="H3" s="11">
        <f>12*C3</f>
        <v>300</v>
      </c>
      <c r="I3" s="11">
        <f>H3/12</f>
        <v>25</v>
      </c>
      <c r="J3" s="11">
        <v>25</v>
      </c>
      <c r="K3" s="49"/>
      <c r="N3" s="235"/>
    </row>
    <row r="4" spans="1:22" ht="22" x14ac:dyDescent="0.2">
      <c r="B4" t="s">
        <v>649</v>
      </c>
      <c r="C4" s="143">
        <v>100000</v>
      </c>
      <c r="E4" t="s">
        <v>650</v>
      </c>
      <c r="H4" s="11">
        <f>(C4)</f>
        <v>100000</v>
      </c>
      <c r="I4" s="236"/>
      <c r="J4" s="49"/>
      <c r="K4" s="49"/>
      <c r="N4" s="236"/>
    </row>
    <row r="5" spans="1:22" x14ac:dyDescent="0.2">
      <c r="D5" s="233"/>
      <c r="E5" t="s">
        <v>651</v>
      </c>
      <c r="H5" s="21">
        <f>PMT(H2,H3,H4)</f>
        <v>-706.77919727509175</v>
      </c>
      <c r="I5" s="21">
        <f>PMT(I1,I3,$H4)</f>
        <v>-8758.8214831751702</v>
      </c>
      <c r="J5" s="21">
        <f>PMT(J1,J3,$H4)</f>
        <v>-8481.0001231127426</v>
      </c>
      <c r="K5" s="49"/>
      <c r="N5" s="21"/>
    </row>
    <row r="6" spans="1:22" x14ac:dyDescent="0.2">
      <c r="B6" s="9"/>
      <c r="C6" s="20"/>
      <c r="D6" s="233"/>
      <c r="E6" t="s">
        <v>652</v>
      </c>
      <c r="M6" s="144">
        <v>7.0000000000000007E-2</v>
      </c>
      <c r="N6" s="237">
        <f>I1</f>
        <v>7.2290080856235894E-2</v>
      </c>
      <c r="O6" s="237">
        <f>I1</f>
        <v>7.2290080856235894E-2</v>
      </c>
    </row>
    <row r="7" spans="1:22" x14ac:dyDescent="0.2">
      <c r="B7" s="9"/>
      <c r="C7" s="20"/>
      <c r="D7" s="233"/>
    </row>
    <row r="8" spans="1:22" x14ac:dyDescent="0.2">
      <c r="B8" s="9"/>
      <c r="C8" s="20"/>
      <c r="E8" s="52" t="s">
        <v>192</v>
      </c>
      <c r="F8" s="32" t="s">
        <v>191</v>
      </c>
      <c r="G8" s="32" t="s">
        <v>653</v>
      </c>
      <c r="H8" s="32" t="s">
        <v>654</v>
      </c>
      <c r="I8" s="32" t="s">
        <v>655</v>
      </c>
      <c r="J8" s="32" t="s">
        <v>656</v>
      </c>
      <c r="K8" s="32" t="s">
        <v>657</v>
      </c>
      <c r="L8" s="3"/>
      <c r="M8" s="3" t="s">
        <v>658</v>
      </c>
      <c r="N8" s="3" t="s">
        <v>659</v>
      </c>
      <c r="O8" s="3" t="s">
        <v>660</v>
      </c>
      <c r="P8" s="3" t="s">
        <v>661</v>
      </c>
    </row>
    <row r="9" spans="1:22" x14ac:dyDescent="0.2">
      <c r="B9" s="9"/>
      <c r="C9" s="20"/>
      <c r="E9" s="20">
        <v>0</v>
      </c>
      <c r="F9" s="238"/>
      <c r="G9" s="238"/>
      <c r="H9" s="238"/>
      <c r="I9" s="9"/>
      <c r="J9" s="9"/>
      <c r="K9" s="9"/>
      <c r="L9" s="15"/>
      <c r="M9" s="15"/>
      <c r="N9" s="15"/>
      <c r="T9" s="15"/>
      <c r="U9" s="15"/>
      <c r="V9" s="15"/>
    </row>
    <row r="10" spans="1:22" x14ac:dyDescent="0.2">
      <c r="B10" s="9"/>
      <c r="C10" s="20"/>
      <c r="E10" s="20">
        <v>1</v>
      </c>
      <c r="F10" s="239"/>
      <c r="G10" s="239"/>
      <c r="H10" s="239">
        <f t="shared" ref="H10:H33" si="0">H$5</f>
        <v>-706.77919727509175</v>
      </c>
      <c r="I10" s="239"/>
      <c r="J10" s="239"/>
      <c r="K10" s="239"/>
      <c r="L10" s="15"/>
      <c r="M10" s="15">
        <f t="shared" ref="M10:M33" si="1">H10/(1+$H$2)^E10</f>
        <v>-702.68022927101083</v>
      </c>
      <c r="N10" s="15"/>
      <c r="T10" s="15"/>
      <c r="U10" s="15"/>
      <c r="V10" s="15"/>
    </row>
    <row r="11" spans="1:22" x14ac:dyDescent="0.2">
      <c r="B11" s="9"/>
      <c r="C11" s="20"/>
      <c r="E11" s="20">
        <v>2</v>
      </c>
      <c r="F11" s="239"/>
      <c r="G11" s="239"/>
      <c r="H11" s="239">
        <f t="shared" si="0"/>
        <v>-706.77919727509175</v>
      </c>
      <c r="I11" s="239"/>
      <c r="J11" s="239"/>
      <c r="K11" s="239"/>
      <c r="L11" s="15"/>
      <c r="M11" s="15">
        <f t="shared" si="1"/>
        <v>-698.60503324375566</v>
      </c>
      <c r="N11" s="15"/>
      <c r="T11" s="15"/>
      <c r="U11" s="15"/>
      <c r="V11" s="15"/>
    </row>
    <row r="12" spans="1:22" x14ac:dyDescent="0.2">
      <c r="B12" s="9"/>
      <c r="C12" s="20"/>
      <c r="E12" s="20">
        <v>3</v>
      </c>
      <c r="F12" s="239"/>
      <c r="G12" s="239"/>
      <c r="H12" s="239">
        <f t="shared" si="0"/>
        <v>-706.77919727509175</v>
      </c>
      <c r="I12" s="239"/>
      <c r="J12" s="239"/>
      <c r="K12" s="239"/>
      <c r="L12" s="15"/>
      <c r="M12" s="15">
        <f t="shared" si="1"/>
        <v>-694.55347132767736</v>
      </c>
      <c r="N12" s="15"/>
      <c r="T12" s="15"/>
      <c r="U12" s="15"/>
      <c r="V12" s="15"/>
    </row>
    <row r="13" spans="1:22" x14ac:dyDescent="0.2">
      <c r="B13" s="9"/>
      <c r="C13" s="20"/>
      <c r="E13" s="20">
        <v>4</v>
      </c>
      <c r="F13" s="239"/>
      <c r="G13" s="239"/>
      <c r="H13" s="239">
        <f t="shared" si="0"/>
        <v>-706.77919727509175</v>
      </c>
      <c r="I13" s="239"/>
      <c r="J13" s="239"/>
      <c r="K13" s="239"/>
      <c r="L13" s="15"/>
      <c r="M13" s="15">
        <f t="shared" si="1"/>
        <v>-690.52540645668012</v>
      </c>
      <c r="N13" s="15"/>
      <c r="T13" s="15"/>
      <c r="U13" s="15"/>
      <c r="V13" s="15"/>
    </row>
    <row r="14" spans="1:22" x14ac:dyDescent="0.2">
      <c r="B14" s="9"/>
      <c r="C14" s="20"/>
      <c r="E14" s="20">
        <v>5</v>
      </c>
      <c r="F14" s="239"/>
      <c r="G14" s="239"/>
      <c r="H14" s="239">
        <f t="shared" si="0"/>
        <v>-706.77919727509175</v>
      </c>
      <c r="I14" s="239"/>
      <c r="J14" s="239"/>
      <c r="K14" s="239"/>
      <c r="L14" s="15"/>
      <c r="M14" s="15">
        <f t="shared" si="1"/>
        <v>-686.52070235958251</v>
      </c>
      <c r="N14" s="15"/>
      <c r="T14" s="15"/>
      <c r="U14" s="15"/>
      <c r="V14" s="15"/>
    </row>
    <row r="15" spans="1:22" x14ac:dyDescent="0.2">
      <c r="B15" s="9"/>
      <c r="C15" s="20"/>
      <c r="E15" s="20">
        <v>6</v>
      </c>
      <c r="F15" s="239"/>
      <c r="G15" s="239"/>
      <c r="H15" s="239">
        <f t="shared" si="0"/>
        <v>-706.77919727509175</v>
      </c>
      <c r="I15" s="239"/>
      <c r="J15" s="239"/>
      <c r="K15" s="239"/>
      <c r="L15" s="15"/>
      <c r="M15" s="15">
        <f t="shared" si="1"/>
        <v>-682.53922355550867</v>
      </c>
      <c r="N15" s="15"/>
      <c r="T15" s="15"/>
      <c r="U15" s="15"/>
      <c r="V15" s="15"/>
    </row>
    <row r="16" spans="1:22" x14ac:dyDescent="0.2">
      <c r="B16" s="9"/>
      <c r="C16" s="20"/>
      <c r="E16" s="20">
        <v>7</v>
      </c>
      <c r="F16" s="239"/>
      <c r="G16" s="239"/>
      <c r="H16" s="239">
        <f t="shared" si="0"/>
        <v>-706.77919727509175</v>
      </c>
      <c r="I16" s="239"/>
      <c r="J16" s="239"/>
      <c r="K16" s="239"/>
      <c r="L16" s="15"/>
      <c r="M16" s="15">
        <f t="shared" si="1"/>
        <v>-678.58083534930449</v>
      </c>
      <c r="N16" s="15"/>
      <c r="T16" s="15"/>
      <c r="U16" s="15"/>
      <c r="V16" s="15"/>
    </row>
    <row r="17" spans="2:22" x14ac:dyDescent="0.2">
      <c r="B17" s="9"/>
      <c r="C17" s="20"/>
      <c r="E17" s="20">
        <v>8</v>
      </c>
      <c r="F17" s="239"/>
      <c r="G17" s="239"/>
      <c r="H17" s="239">
        <f t="shared" si="0"/>
        <v>-706.77919727509175</v>
      </c>
      <c r="I17" s="239"/>
      <c r="J17" s="239"/>
      <c r="K17" s="239"/>
      <c r="L17" s="15"/>
      <c r="M17" s="15">
        <f t="shared" si="1"/>
        <v>-674.64540382698033</v>
      </c>
      <c r="N17" s="15"/>
      <c r="T17" s="15"/>
      <c r="U17" s="15"/>
      <c r="V17" s="15"/>
    </row>
    <row r="18" spans="2:22" x14ac:dyDescent="0.2">
      <c r="B18" s="9"/>
      <c r="C18" s="20"/>
      <c r="E18" s="20">
        <v>9</v>
      </c>
      <c r="F18" s="239"/>
      <c r="G18" s="239"/>
      <c r="H18" s="239">
        <f t="shared" si="0"/>
        <v>-706.77919727509175</v>
      </c>
      <c r="I18" s="239"/>
      <c r="J18" s="239"/>
      <c r="K18" s="239"/>
      <c r="L18" s="15"/>
      <c r="M18" s="15">
        <f t="shared" si="1"/>
        <v>-670.73279585118178</v>
      </c>
      <c r="N18" s="15"/>
      <c r="T18" s="15"/>
      <c r="U18" s="15"/>
      <c r="V18" s="15"/>
    </row>
    <row r="19" spans="2:22" x14ac:dyDescent="0.2">
      <c r="B19" s="9"/>
      <c r="C19" s="240"/>
      <c r="E19" s="20">
        <v>10</v>
      </c>
      <c r="F19" s="239"/>
      <c r="G19" s="239"/>
      <c r="H19" s="239">
        <f t="shared" si="0"/>
        <v>-706.77919727509175</v>
      </c>
      <c r="I19" s="239"/>
      <c r="L19" s="15"/>
      <c r="M19" s="15">
        <f t="shared" si="1"/>
        <v>-666.84287905668441</v>
      </c>
      <c r="N19" s="15"/>
      <c r="T19" s="15"/>
      <c r="U19" s="15"/>
      <c r="V19" s="15"/>
    </row>
    <row r="20" spans="2:22" x14ac:dyDescent="0.2">
      <c r="B20" s="9"/>
      <c r="C20" s="240"/>
      <c r="E20" s="20">
        <v>11</v>
      </c>
      <c r="F20" s="239"/>
      <c r="G20" s="239"/>
      <c r="H20" s="239">
        <f t="shared" si="0"/>
        <v>-706.77919727509175</v>
      </c>
      <c r="I20" s="239"/>
      <c r="J20" s="239"/>
      <c r="K20" s="239"/>
      <c r="L20" s="15"/>
      <c r="M20" s="15">
        <f t="shared" si="1"/>
        <v>-662.97552184591655</v>
      </c>
      <c r="N20" s="15"/>
      <c r="T20" s="15"/>
      <c r="U20" s="15"/>
      <c r="V20" s="15"/>
    </row>
    <row r="21" spans="2:22" x14ac:dyDescent="0.2">
      <c r="B21" s="9"/>
      <c r="C21" s="240"/>
      <c r="E21" s="20">
        <v>12</v>
      </c>
      <c r="F21" s="20">
        <v>1</v>
      </c>
      <c r="G21" s="20">
        <v>1</v>
      </c>
      <c r="H21" s="239">
        <f t="shared" si="0"/>
        <v>-706.77919727509175</v>
      </c>
      <c r="I21" s="239">
        <f>I5</f>
        <v>-8758.8214831751702</v>
      </c>
      <c r="J21" s="239">
        <f>12*H$5</f>
        <v>-8481.3503673011001</v>
      </c>
      <c r="K21" s="239"/>
      <c r="L21" s="15"/>
      <c r="M21" s="15">
        <f t="shared" si="1"/>
        <v>-659.13059338450694</v>
      </c>
      <c r="N21" s="15">
        <f>I21/(1+$N$6)^F21</f>
        <v>-8168.3320955288063</v>
      </c>
      <c r="O21" s="15">
        <f>J21/(1+$O$6)^G21</f>
        <v>-7909.5671206140833</v>
      </c>
      <c r="P21" s="15">
        <f>K21/(1+$I$1)^E21</f>
        <v>0</v>
      </c>
      <c r="T21" s="15"/>
      <c r="U21" s="15"/>
      <c r="V21" s="15"/>
    </row>
    <row r="22" spans="2:22" x14ac:dyDescent="0.2">
      <c r="B22" s="9"/>
      <c r="C22" s="240"/>
      <c r="E22" s="20">
        <v>13</v>
      </c>
      <c r="F22" s="239"/>
      <c r="G22" s="239"/>
      <c r="H22" s="239">
        <f t="shared" si="0"/>
        <v>-706.77919727509175</v>
      </c>
      <c r="I22" s="239"/>
      <c r="J22" s="239"/>
      <c r="K22" s="239"/>
      <c r="L22" s="15"/>
      <c r="M22" s="15">
        <f t="shared" si="1"/>
        <v>-655.30796359685849</v>
      </c>
      <c r="N22" s="15"/>
      <c r="T22" s="15"/>
      <c r="U22" s="15"/>
      <c r="V22" s="15"/>
    </row>
    <row r="23" spans="2:22" x14ac:dyDescent="0.2">
      <c r="B23" s="9"/>
      <c r="C23" s="240"/>
      <c r="E23" s="20">
        <v>14</v>
      </c>
      <c r="F23" s="239"/>
      <c r="G23" s="239"/>
      <c r="H23" s="239">
        <f t="shared" si="0"/>
        <v>-706.77919727509175</v>
      </c>
      <c r="I23" s="239"/>
      <c r="J23" s="239"/>
      <c r="K23" s="239"/>
      <c r="L23" s="15"/>
      <c r="M23" s="15">
        <f t="shared" si="1"/>
        <v>-651.50750316174833</v>
      </c>
      <c r="N23" s="15"/>
      <c r="T23" s="15"/>
      <c r="U23" s="15"/>
      <c r="V23" s="15"/>
    </row>
    <row r="24" spans="2:22" x14ac:dyDescent="0.2">
      <c r="B24" s="9"/>
      <c r="C24" s="240"/>
      <c r="E24" s="20">
        <v>15</v>
      </c>
      <c r="F24" s="239"/>
      <c r="G24" s="239"/>
      <c r="H24" s="239">
        <f t="shared" si="0"/>
        <v>-706.77919727509175</v>
      </c>
      <c r="I24" s="239"/>
      <c r="J24" s="239"/>
      <c r="K24" s="239"/>
      <c r="L24" s="15"/>
      <c r="M24" s="15">
        <f t="shared" si="1"/>
        <v>-647.72908350795205</v>
      </c>
      <c r="N24" s="15"/>
      <c r="T24" s="15"/>
      <c r="U24" s="15"/>
      <c r="V24" s="15"/>
    </row>
    <row r="25" spans="2:22" x14ac:dyDescent="0.2">
      <c r="B25" s="9"/>
      <c r="C25" s="240"/>
      <c r="E25" s="20">
        <v>16</v>
      </c>
      <c r="F25" s="239"/>
      <c r="G25" s="239"/>
      <c r="H25" s="239">
        <f t="shared" si="0"/>
        <v>-706.77919727509175</v>
      </c>
      <c r="I25" s="239"/>
      <c r="J25" s="239"/>
      <c r="K25" s="239"/>
      <c r="L25" s="15"/>
      <c r="M25" s="15">
        <f t="shared" si="1"/>
        <v>-643.97257680989424</v>
      </c>
      <c r="N25" s="15"/>
      <c r="T25" s="15"/>
      <c r="U25" s="15"/>
      <c r="V25" s="15"/>
    </row>
    <row r="26" spans="2:22" x14ac:dyDescent="0.2">
      <c r="B26" s="9"/>
      <c r="C26" s="240"/>
      <c r="E26" s="20">
        <v>17</v>
      </c>
      <c r="F26" s="239"/>
      <c r="G26" s="239"/>
      <c r="H26" s="239">
        <f t="shared" si="0"/>
        <v>-706.77919727509175</v>
      </c>
      <c r="I26" s="239"/>
      <c r="J26" s="239"/>
      <c r="K26" s="239"/>
      <c r="L26" s="15"/>
      <c r="M26" s="15">
        <f t="shared" si="1"/>
        <v>-640.23785598332483</v>
      </c>
      <c r="N26" s="15"/>
      <c r="T26" s="15"/>
      <c r="U26" s="15"/>
      <c r="V26" s="15"/>
    </row>
    <row r="27" spans="2:22" x14ac:dyDescent="0.2">
      <c r="B27" s="9"/>
      <c r="C27" s="240"/>
      <c r="E27" s="20">
        <v>18</v>
      </c>
      <c r="F27" s="239"/>
      <c r="G27" s="239"/>
      <c r="H27" s="239">
        <f t="shared" si="0"/>
        <v>-706.77919727509175</v>
      </c>
      <c r="I27" s="239"/>
      <c r="J27" s="239"/>
      <c r="K27" s="239"/>
      <c r="L27" s="15"/>
      <c r="M27" s="15">
        <f t="shared" si="1"/>
        <v>-636.52479468101888</v>
      </c>
      <c r="N27" s="15"/>
      <c r="T27" s="15"/>
      <c r="U27" s="15"/>
      <c r="V27" s="15"/>
    </row>
    <row r="28" spans="2:22" x14ac:dyDescent="0.2">
      <c r="B28" s="9"/>
      <c r="C28" s="240"/>
      <c r="E28" s="20">
        <v>19</v>
      </c>
      <c r="F28" s="239"/>
      <c r="G28" s="239"/>
      <c r="H28" s="239">
        <f t="shared" si="0"/>
        <v>-706.77919727509175</v>
      </c>
      <c r="I28" s="239"/>
      <c r="J28" s="239"/>
      <c r="K28" s="239"/>
      <c r="L28" s="15"/>
      <c r="M28" s="15">
        <f t="shared" si="1"/>
        <v>-632.83326728850261</v>
      </c>
      <c r="N28" s="15"/>
      <c r="T28" s="15"/>
      <c r="U28" s="15"/>
      <c r="V28" s="15"/>
    </row>
    <row r="29" spans="2:22" x14ac:dyDescent="0.2">
      <c r="B29" s="9"/>
      <c r="C29" s="240"/>
      <c r="E29" s="20">
        <v>20</v>
      </c>
      <c r="F29" s="239"/>
      <c r="G29" s="239"/>
      <c r="H29" s="239">
        <f t="shared" si="0"/>
        <v>-706.77919727509175</v>
      </c>
      <c r="I29" s="239"/>
      <c r="J29" s="239"/>
      <c r="K29" s="239"/>
      <c r="L29" s="15"/>
      <c r="M29" s="15">
        <f t="shared" si="1"/>
        <v>-629.1631489198038</v>
      </c>
      <c r="N29" s="15"/>
      <c r="T29" s="15"/>
      <c r="U29" s="15"/>
      <c r="V29" s="15"/>
    </row>
    <row r="30" spans="2:22" x14ac:dyDescent="0.2">
      <c r="B30" s="9"/>
      <c r="C30" s="240"/>
      <c r="E30" s="20">
        <v>21</v>
      </c>
      <c r="F30" s="239"/>
      <c r="G30" s="239"/>
      <c r="H30" s="239">
        <f t="shared" si="0"/>
        <v>-706.77919727509175</v>
      </c>
      <c r="I30" s="239"/>
      <c r="J30" s="239"/>
      <c r="K30" s="239"/>
      <c r="L30" s="15"/>
      <c r="M30" s="15">
        <f t="shared" si="1"/>
        <v>-625.51431541322654</v>
      </c>
      <c r="N30" s="15"/>
      <c r="T30" s="15"/>
      <c r="U30" s="15"/>
      <c r="V30" s="15"/>
    </row>
    <row r="31" spans="2:22" x14ac:dyDescent="0.2">
      <c r="B31" s="9"/>
      <c r="C31" s="240"/>
      <c r="E31" s="20">
        <v>22</v>
      </c>
      <c r="F31" s="239"/>
      <c r="G31" s="239"/>
      <c r="H31" s="239">
        <f t="shared" si="0"/>
        <v>-706.77919727509175</v>
      </c>
      <c r="I31" s="239"/>
      <c r="J31" s="239"/>
      <c r="K31" s="239"/>
      <c r="L31" s="15"/>
      <c r="M31" s="15">
        <f t="shared" si="1"/>
        <v>-621.88664332715143</v>
      </c>
      <c r="N31" s="15"/>
      <c r="T31" s="15"/>
      <c r="U31" s="15"/>
      <c r="V31" s="15"/>
    </row>
    <row r="32" spans="2:22" x14ac:dyDescent="0.2">
      <c r="B32" s="9"/>
      <c r="C32" s="240"/>
      <c r="E32" s="20">
        <v>23</v>
      </c>
      <c r="F32" s="239"/>
      <c r="G32" s="239"/>
      <c r="H32" s="239">
        <f t="shared" si="0"/>
        <v>-706.77919727509175</v>
      </c>
      <c r="I32" s="239"/>
      <c r="J32" s="239"/>
      <c r="K32" s="239"/>
      <c r="L32" s="15"/>
      <c r="M32" s="15">
        <f t="shared" si="1"/>
        <v>-618.28000993585897</v>
      </c>
      <c r="N32" s="15"/>
      <c r="T32" s="15"/>
      <c r="U32" s="15"/>
      <c r="V32" s="15"/>
    </row>
    <row r="33" spans="2:22" x14ac:dyDescent="0.2">
      <c r="B33" s="9"/>
      <c r="C33" s="240"/>
      <c r="E33" s="20">
        <v>24</v>
      </c>
      <c r="F33" s="20">
        <v>2</v>
      </c>
      <c r="G33" s="20">
        <v>2</v>
      </c>
      <c r="H33" s="239">
        <f t="shared" si="0"/>
        <v>-706.77919727509175</v>
      </c>
      <c r="I33" s="239">
        <f>I$5</f>
        <v>-8758.8214831751702</v>
      </c>
      <c r="J33" s="239">
        <f>12*H$5</f>
        <v>-8481.3503673011001</v>
      </c>
      <c r="K33" s="239"/>
      <c r="L33" s="15"/>
      <c r="M33" s="15">
        <f t="shared" si="1"/>
        <v>-614.69429322537758</v>
      </c>
      <c r="N33" s="15">
        <f>I33/(1+$N$6)^F33</f>
        <v>-7617.6514558507333</v>
      </c>
      <c r="O33" s="15">
        <f>J33/(1+$O$6)^G33</f>
        <v>-7376.3315187045309</v>
      </c>
      <c r="T33" s="15"/>
      <c r="U33" s="15"/>
      <c r="V33" s="15"/>
    </row>
    <row r="34" spans="2:22" x14ac:dyDescent="0.2">
      <c r="B34" s="9"/>
      <c r="C34" s="240"/>
      <c r="E34" s="20"/>
      <c r="F34" s="239"/>
      <c r="G34" s="239"/>
      <c r="H34" s="239"/>
      <c r="I34" s="239"/>
      <c r="J34" s="239"/>
      <c r="K34" s="239"/>
      <c r="L34" s="15"/>
      <c r="M34" s="15"/>
      <c r="N34" s="15"/>
      <c r="T34" s="15"/>
      <c r="U34" s="15"/>
      <c r="V34" s="15"/>
    </row>
    <row r="35" spans="2:22" x14ac:dyDescent="0.2">
      <c r="B35" s="9"/>
      <c r="C35" s="233"/>
      <c r="E35" t="s">
        <v>431</v>
      </c>
      <c r="J35" s="15"/>
      <c r="K35" s="15"/>
      <c r="L35" s="15"/>
      <c r="M35" s="102">
        <f>SUM(M9:M33)</f>
        <v>-15785.98355137951</v>
      </c>
      <c r="N35" s="102">
        <f>SUM(N9:N33)</f>
        <v>-15785.983551379541</v>
      </c>
      <c r="O35" s="102">
        <f>SUM(O9:O33)</f>
        <v>-15285.898639318613</v>
      </c>
      <c r="T35" s="15"/>
      <c r="U35" s="15"/>
    </row>
    <row r="36" spans="2:22" x14ac:dyDescent="0.2">
      <c r="C36" s="233"/>
    </row>
    <row r="37" spans="2:22" ht="32" x14ac:dyDescent="0.2">
      <c r="J37" s="241" t="s">
        <v>662</v>
      </c>
    </row>
    <row r="39" spans="2:22" x14ac:dyDescent="0.2">
      <c r="J39" t="s">
        <v>663</v>
      </c>
    </row>
    <row r="40" spans="2:22" x14ac:dyDescent="0.2"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S40" s="242"/>
      <c r="T40" s="242"/>
      <c r="U40" s="242"/>
    </row>
    <row r="41" spans="2:22" x14ac:dyDescent="0.2"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S41" s="242"/>
      <c r="T41" s="242"/>
      <c r="U41" s="242"/>
    </row>
    <row r="42" spans="2:22" x14ac:dyDescent="0.2"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S42" s="242"/>
      <c r="T42" s="242"/>
      <c r="U42" s="242"/>
    </row>
    <row r="43" spans="2:22" x14ac:dyDescent="0.2"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S43" s="242"/>
      <c r="T43" s="242"/>
      <c r="U43" s="242"/>
    </row>
    <row r="44" spans="2:22" x14ac:dyDescent="0.2"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S44" s="242"/>
      <c r="T44" s="242"/>
      <c r="U44" s="242"/>
    </row>
    <row r="45" spans="2:22" x14ac:dyDescent="0.2"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S45" s="242"/>
      <c r="T45" s="242"/>
      <c r="U45" s="242"/>
    </row>
    <row r="46" spans="2:22" x14ac:dyDescent="0.2"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S46" s="242"/>
      <c r="T46" s="242"/>
      <c r="U46" s="242"/>
    </row>
    <row r="47" spans="2:22" x14ac:dyDescent="0.2"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S47" s="242"/>
      <c r="T47" s="242"/>
      <c r="U47" s="242"/>
    </row>
    <row r="48" spans="2:22" x14ac:dyDescent="0.2"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S48" s="242"/>
      <c r="T48" s="242"/>
      <c r="U48" s="242"/>
    </row>
    <row r="49" spans="3:21" x14ac:dyDescent="0.2"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S49" s="242"/>
      <c r="T49" s="242"/>
      <c r="U49" s="242"/>
    </row>
    <row r="50" spans="3:21" x14ac:dyDescent="0.2">
      <c r="F50" s="242"/>
      <c r="G50" s="242"/>
      <c r="H50" s="242"/>
      <c r="I50" s="242"/>
    </row>
    <row r="51" spans="3:21" x14ac:dyDescent="0.2">
      <c r="F51" s="242"/>
      <c r="G51" s="242"/>
      <c r="H51" s="242"/>
      <c r="I51" s="242"/>
    </row>
    <row r="52" spans="3:21" x14ac:dyDescent="0.2">
      <c r="C52" s="49"/>
      <c r="F52" s="242"/>
      <c r="G52" s="242"/>
      <c r="H52" s="242"/>
      <c r="I52" s="242"/>
    </row>
    <row r="53" spans="3:21" x14ac:dyDescent="0.2">
      <c r="F53" s="242"/>
      <c r="G53" s="242"/>
      <c r="H53" s="242"/>
      <c r="I53" s="242"/>
    </row>
    <row r="54" spans="3:21" x14ac:dyDescent="0.2">
      <c r="F54" s="242"/>
      <c r="G54" s="242"/>
      <c r="H54" s="242"/>
      <c r="I54" s="242"/>
    </row>
    <row r="55" spans="3:21" x14ac:dyDescent="0.2">
      <c r="F55" s="242"/>
      <c r="G55" s="242"/>
      <c r="H55" s="242"/>
      <c r="I55" s="242"/>
    </row>
    <row r="56" spans="3:21" x14ac:dyDescent="0.2">
      <c r="F56" s="242"/>
      <c r="G56" s="242"/>
      <c r="H56" s="242"/>
      <c r="I56" s="242"/>
    </row>
    <row r="57" spans="3:21" x14ac:dyDescent="0.2">
      <c r="F57" s="242"/>
      <c r="G57" s="242"/>
      <c r="H57" s="242"/>
      <c r="I57" s="242"/>
    </row>
    <row r="58" spans="3:21" x14ac:dyDescent="0.2">
      <c r="F58" s="242"/>
      <c r="G58" s="242"/>
      <c r="H58" s="242"/>
      <c r="I58" s="242"/>
    </row>
    <row r="59" spans="3:21" x14ac:dyDescent="0.2">
      <c r="F59" s="242"/>
      <c r="G59" s="242"/>
      <c r="H59" s="242"/>
      <c r="I59" s="242"/>
    </row>
    <row r="60" spans="3:21" x14ac:dyDescent="0.2">
      <c r="F60" s="242"/>
      <c r="G60" s="242"/>
      <c r="H60" s="242"/>
      <c r="I60" s="242"/>
    </row>
    <row r="61" spans="3:21" x14ac:dyDescent="0.2">
      <c r="F61" s="242"/>
      <c r="G61" s="242"/>
      <c r="H61" s="242"/>
      <c r="I61" s="242"/>
    </row>
    <row r="62" spans="3:21" x14ac:dyDescent="0.2">
      <c r="F62" s="242"/>
      <c r="G62" s="242"/>
      <c r="H62" s="242"/>
      <c r="I62" s="242"/>
    </row>
    <row r="63" spans="3:21" x14ac:dyDescent="0.2">
      <c r="F63" s="242"/>
      <c r="G63" s="242"/>
      <c r="H63" s="242"/>
      <c r="I63" s="242"/>
    </row>
    <row r="64" spans="3:21" x14ac:dyDescent="0.2">
      <c r="F64" s="242"/>
      <c r="G64" s="242"/>
      <c r="H64" s="242"/>
      <c r="I64" s="242"/>
    </row>
    <row r="65" spans="6:9" x14ac:dyDescent="0.2">
      <c r="F65" s="242"/>
      <c r="G65" s="242"/>
      <c r="H65" s="242"/>
      <c r="I65" s="242"/>
    </row>
    <row r="66" spans="6:9" x14ac:dyDescent="0.2">
      <c r="F66" s="242"/>
      <c r="G66" s="242"/>
      <c r="H66" s="242"/>
      <c r="I66" s="242"/>
    </row>
    <row r="67" spans="6:9" x14ac:dyDescent="0.2">
      <c r="F67" s="242"/>
      <c r="G67" s="242"/>
      <c r="H67" s="242"/>
      <c r="I67" s="242"/>
    </row>
    <row r="68" spans="6:9" x14ac:dyDescent="0.2">
      <c r="F68" s="242"/>
      <c r="G68" s="242"/>
      <c r="H68" s="242"/>
      <c r="I68" s="242"/>
    </row>
    <row r="69" spans="6:9" x14ac:dyDescent="0.2">
      <c r="F69" s="242"/>
      <c r="G69" s="242"/>
      <c r="H69" s="242"/>
      <c r="I69" s="242"/>
    </row>
    <row r="70" spans="6:9" x14ac:dyDescent="0.2">
      <c r="F70" s="242"/>
      <c r="G70" s="242"/>
      <c r="H70" s="242"/>
      <c r="I70" s="242"/>
    </row>
    <row r="71" spans="6:9" x14ac:dyDescent="0.2">
      <c r="F71" s="242"/>
      <c r="G71" s="242"/>
      <c r="H71" s="242"/>
      <c r="I71" s="242"/>
    </row>
    <row r="72" spans="6:9" x14ac:dyDescent="0.2">
      <c r="F72" s="242"/>
      <c r="G72" s="242"/>
      <c r="H72" s="242"/>
      <c r="I72" s="242"/>
    </row>
    <row r="73" spans="6:9" x14ac:dyDescent="0.2">
      <c r="F73" s="242"/>
      <c r="G73" s="242"/>
      <c r="H73" s="242"/>
      <c r="I73" s="242"/>
    </row>
    <row r="74" spans="6:9" x14ac:dyDescent="0.2">
      <c r="F74" s="242"/>
      <c r="G74" s="242"/>
      <c r="H74" s="242"/>
      <c r="I74" s="242"/>
    </row>
    <row r="75" spans="6:9" x14ac:dyDescent="0.2">
      <c r="F75" s="242"/>
      <c r="G75" s="242"/>
      <c r="H75" s="242"/>
      <c r="I75" s="242"/>
    </row>
    <row r="76" spans="6:9" x14ac:dyDescent="0.2">
      <c r="F76" s="242"/>
      <c r="G76" s="242"/>
      <c r="H76" s="242"/>
      <c r="I76" s="242"/>
    </row>
    <row r="77" spans="6:9" x14ac:dyDescent="0.2">
      <c r="F77" s="242"/>
      <c r="G77" s="242"/>
      <c r="H77" s="242"/>
      <c r="I77" s="242"/>
    </row>
    <row r="78" spans="6:9" x14ac:dyDescent="0.2">
      <c r="F78" s="242"/>
      <c r="G78" s="242"/>
      <c r="H78" s="242"/>
      <c r="I78" s="242"/>
    </row>
    <row r="79" spans="6:9" x14ac:dyDescent="0.2">
      <c r="F79" s="242"/>
      <c r="G79" s="242"/>
      <c r="H79" s="242"/>
      <c r="I79" s="242"/>
    </row>
    <row r="80" spans="6:9" x14ac:dyDescent="0.2">
      <c r="F80" s="242"/>
      <c r="G80" s="242"/>
      <c r="H80" s="242"/>
      <c r="I80" s="242"/>
    </row>
    <row r="81" spans="6:9" x14ac:dyDescent="0.2">
      <c r="F81" s="242"/>
      <c r="G81" s="242"/>
      <c r="H81" s="242"/>
      <c r="I81" s="242"/>
    </row>
    <row r="82" spans="6:9" x14ac:dyDescent="0.2">
      <c r="F82" s="242"/>
      <c r="G82" s="242"/>
      <c r="H82" s="242"/>
      <c r="I82" s="242"/>
    </row>
    <row r="83" spans="6:9" x14ac:dyDescent="0.2">
      <c r="F83" s="242"/>
      <c r="G83" s="242"/>
      <c r="H83" s="242"/>
      <c r="I83" s="242"/>
    </row>
    <row r="84" spans="6:9" x14ac:dyDescent="0.2">
      <c r="F84" s="242"/>
      <c r="G84" s="242"/>
      <c r="H84" s="242"/>
      <c r="I84" s="242"/>
    </row>
    <row r="85" spans="6:9" x14ac:dyDescent="0.2">
      <c r="F85" s="242"/>
      <c r="G85" s="242"/>
      <c r="H85" s="242"/>
      <c r="I85" s="242"/>
    </row>
    <row r="86" spans="6:9" x14ac:dyDescent="0.2">
      <c r="F86" s="242"/>
      <c r="G86" s="242"/>
      <c r="H86" s="242"/>
      <c r="I86" s="242"/>
    </row>
    <row r="87" spans="6:9" x14ac:dyDescent="0.2">
      <c r="F87" s="242"/>
      <c r="G87" s="242"/>
      <c r="H87" s="242"/>
      <c r="I87" s="242"/>
    </row>
    <row r="88" spans="6:9" x14ac:dyDescent="0.2">
      <c r="F88" s="242"/>
      <c r="G88" s="242"/>
      <c r="H88" s="242"/>
      <c r="I88" s="242"/>
    </row>
    <row r="89" spans="6:9" x14ac:dyDescent="0.2">
      <c r="F89" s="242"/>
      <c r="G89" s="242"/>
      <c r="H89" s="242"/>
      <c r="I89" s="242"/>
    </row>
    <row r="90" spans="6:9" x14ac:dyDescent="0.2">
      <c r="F90" s="242"/>
      <c r="G90" s="242"/>
      <c r="H90" s="242"/>
      <c r="I90" s="242"/>
    </row>
    <row r="91" spans="6:9" x14ac:dyDescent="0.2">
      <c r="F91" s="242"/>
      <c r="G91" s="242"/>
      <c r="H91" s="242"/>
      <c r="I91" s="242"/>
    </row>
    <row r="92" spans="6:9" x14ac:dyDescent="0.2">
      <c r="F92" s="242"/>
      <c r="G92" s="242"/>
      <c r="H92" s="242"/>
      <c r="I92" s="242"/>
    </row>
    <row r="93" spans="6:9" x14ac:dyDescent="0.2">
      <c r="F93" s="242"/>
      <c r="G93" s="242"/>
      <c r="H93" s="242"/>
      <c r="I93" s="242"/>
    </row>
    <row r="94" spans="6:9" x14ac:dyDescent="0.2">
      <c r="F94" s="242"/>
      <c r="G94" s="242"/>
      <c r="H94" s="242"/>
      <c r="I94" s="242"/>
    </row>
    <row r="95" spans="6:9" x14ac:dyDescent="0.2">
      <c r="F95" s="242"/>
      <c r="G95" s="242"/>
      <c r="H95" s="242"/>
      <c r="I95" s="242"/>
    </row>
    <row r="96" spans="6:9" x14ac:dyDescent="0.2">
      <c r="F96" s="242"/>
      <c r="G96" s="242"/>
      <c r="H96" s="242"/>
      <c r="I96" s="242"/>
    </row>
    <row r="97" spans="6:9" x14ac:dyDescent="0.2">
      <c r="F97" s="242"/>
      <c r="G97" s="242"/>
      <c r="H97" s="242"/>
      <c r="I97" s="242"/>
    </row>
    <row r="98" spans="6:9" x14ac:dyDescent="0.2">
      <c r="F98" s="242"/>
      <c r="G98" s="242"/>
      <c r="H98" s="242"/>
      <c r="I98" s="242"/>
    </row>
    <row r="99" spans="6:9" x14ac:dyDescent="0.2">
      <c r="F99" s="242"/>
      <c r="G99" s="242"/>
      <c r="H99" s="242"/>
      <c r="I99" s="242"/>
    </row>
    <row r="100" spans="6:9" x14ac:dyDescent="0.2">
      <c r="F100" s="242"/>
      <c r="G100" s="242"/>
      <c r="H100" s="242"/>
      <c r="I100" s="242"/>
    </row>
    <row r="101" spans="6:9" x14ac:dyDescent="0.2">
      <c r="F101" s="242"/>
      <c r="G101" s="242"/>
      <c r="H101" s="242"/>
      <c r="I101" s="242"/>
    </row>
    <row r="102" spans="6:9" x14ac:dyDescent="0.2">
      <c r="F102" s="242"/>
      <c r="G102" s="242"/>
      <c r="H102" s="242"/>
      <c r="I102" s="242"/>
    </row>
    <row r="103" spans="6:9" x14ac:dyDescent="0.2">
      <c r="F103" s="242"/>
      <c r="G103" s="242"/>
      <c r="H103" s="242"/>
      <c r="I103" s="242"/>
    </row>
    <row r="104" spans="6:9" x14ac:dyDescent="0.2">
      <c r="F104" s="242"/>
      <c r="G104" s="242"/>
      <c r="H104" s="242"/>
      <c r="I104" s="242"/>
    </row>
    <row r="105" spans="6:9" x14ac:dyDescent="0.2">
      <c r="F105" s="242"/>
      <c r="G105" s="242"/>
      <c r="H105" s="242"/>
      <c r="I105" s="242"/>
    </row>
    <row r="106" spans="6:9" x14ac:dyDescent="0.2">
      <c r="F106" s="242"/>
      <c r="G106" s="242"/>
      <c r="H106" s="242"/>
      <c r="I106" s="242"/>
    </row>
    <row r="107" spans="6:9" x14ac:dyDescent="0.2">
      <c r="F107" s="242"/>
      <c r="G107" s="242"/>
      <c r="H107" s="242"/>
      <c r="I107" s="242"/>
    </row>
    <row r="108" spans="6:9" x14ac:dyDescent="0.2">
      <c r="F108" s="242"/>
      <c r="G108" s="242"/>
      <c r="H108" s="242"/>
      <c r="I108" s="242"/>
    </row>
    <row r="109" spans="6:9" x14ac:dyDescent="0.2">
      <c r="F109" s="242"/>
      <c r="G109" s="242"/>
      <c r="H109" s="242"/>
      <c r="I109" s="242"/>
    </row>
    <row r="110" spans="6:9" x14ac:dyDescent="0.2">
      <c r="F110" s="242"/>
      <c r="G110" s="242"/>
      <c r="H110" s="242"/>
      <c r="I110" s="242"/>
    </row>
    <row r="111" spans="6:9" x14ac:dyDescent="0.2">
      <c r="F111" s="242"/>
      <c r="G111" s="242"/>
      <c r="H111" s="242"/>
      <c r="I111" s="242"/>
    </row>
    <row r="112" spans="6:9" x14ac:dyDescent="0.2">
      <c r="F112" s="242"/>
      <c r="G112" s="242"/>
      <c r="H112" s="242"/>
      <c r="I112" s="242"/>
    </row>
    <row r="113" spans="6:9" x14ac:dyDescent="0.2">
      <c r="F113" s="242"/>
      <c r="G113" s="242"/>
      <c r="H113" s="242"/>
      <c r="I113" s="242"/>
    </row>
    <row r="114" spans="6:9" x14ac:dyDescent="0.2">
      <c r="F114" s="242"/>
      <c r="G114" s="242"/>
      <c r="H114" s="242"/>
      <c r="I114" s="242"/>
    </row>
    <row r="115" spans="6:9" x14ac:dyDescent="0.2">
      <c r="F115" s="242"/>
      <c r="G115" s="242"/>
      <c r="H115" s="242"/>
      <c r="I115" s="242"/>
    </row>
    <row r="116" spans="6:9" x14ac:dyDescent="0.2">
      <c r="F116" s="242"/>
      <c r="G116" s="242"/>
      <c r="H116" s="242"/>
      <c r="I116" s="242"/>
    </row>
    <row r="117" spans="6:9" x14ac:dyDescent="0.2">
      <c r="F117" s="242"/>
      <c r="G117" s="242"/>
      <c r="H117" s="242"/>
      <c r="I117" s="242"/>
    </row>
    <row r="118" spans="6:9" x14ac:dyDescent="0.2">
      <c r="F118" s="242"/>
      <c r="G118" s="242"/>
      <c r="H118" s="242"/>
      <c r="I118" s="242"/>
    </row>
    <row r="119" spans="6:9" x14ac:dyDescent="0.2">
      <c r="F119" s="242"/>
      <c r="G119" s="242"/>
      <c r="H119" s="242"/>
      <c r="I119" s="242"/>
    </row>
    <row r="120" spans="6:9" x14ac:dyDescent="0.2">
      <c r="F120" s="242"/>
      <c r="G120" s="242"/>
      <c r="H120" s="242"/>
      <c r="I120" s="242"/>
    </row>
    <row r="121" spans="6:9" x14ac:dyDescent="0.2">
      <c r="F121" s="242"/>
      <c r="G121" s="242"/>
      <c r="H121" s="242"/>
      <c r="I121" s="242"/>
    </row>
    <row r="122" spans="6:9" x14ac:dyDescent="0.2">
      <c r="F122" s="242"/>
      <c r="G122" s="242"/>
      <c r="H122" s="242"/>
      <c r="I122" s="242"/>
    </row>
    <row r="123" spans="6:9" x14ac:dyDescent="0.2">
      <c r="F123" s="242"/>
      <c r="G123" s="242"/>
      <c r="H123" s="242"/>
      <c r="I123" s="242"/>
    </row>
    <row r="124" spans="6:9" x14ac:dyDescent="0.2">
      <c r="F124" s="242"/>
      <c r="G124" s="242"/>
      <c r="H124" s="242"/>
      <c r="I124" s="242"/>
    </row>
    <row r="125" spans="6:9" x14ac:dyDescent="0.2">
      <c r="F125" s="242"/>
      <c r="G125" s="242"/>
      <c r="H125" s="242"/>
      <c r="I125" s="242"/>
    </row>
    <row r="126" spans="6:9" x14ac:dyDescent="0.2">
      <c r="F126" s="242"/>
      <c r="G126" s="242"/>
      <c r="H126" s="242"/>
      <c r="I126" s="242"/>
    </row>
    <row r="127" spans="6:9" x14ac:dyDescent="0.2">
      <c r="F127" s="242"/>
      <c r="G127" s="242"/>
      <c r="H127" s="242"/>
      <c r="I127" s="242"/>
    </row>
    <row r="128" spans="6:9" x14ac:dyDescent="0.2">
      <c r="F128" s="242"/>
      <c r="G128" s="242"/>
      <c r="H128" s="242"/>
      <c r="I128" s="242"/>
    </row>
    <row r="129" spans="6:9" x14ac:dyDescent="0.2">
      <c r="F129" s="242"/>
      <c r="G129" s="242"/>
      <c r="H129" s="242"/>
      <c r="I129" s="242"/>
    </row>
    <row r="130" spans="6:9" x14ac:dyDescent="0.2">
      <c r="F130" s="242"/>
      <c r="G130" s="242"/>
      <c r="H130" s="242"/>
      <c r="I130" s="242"/>
    </row>
    <row r="131" spans="6:9" x14ac:dyDescent="0.2">
      <c r="F131" s="242"/>
      <c r="G131" s="242"/>
      <c r="H131" s="242"/>
      <c r="I131" s="242"/>
    </row>
    <row r="132" spans="6:9" x14ac:dyDescent="0.2">
      <c r="F132" s="242"/>
      <c r="G132" s="242"/>
      <c r="H132" s="242"/>
      <c r="I132" s="242"/>
    </row>
    <row r="133" spans="6:9" x14ac:dyDescent="0.2">
      <c r="F133" s="242"/>
      <c r="G133" s="242"/>
      <c r="H133" s="242"/>
      <c r="I133" s="242"/>
    </row>
    <row r="134" spans="6:9" x14ac:dyDescent="0.2">
      <c r="F134" s="242"/>
      <c r="G134" s="242"/>
      <c r="H134" s="242"/>
      <c r="I134" s="242"/>
    </row>
    <row r="135" spans="6:9" x14ac:dyDescent="0.2">
      <c r="F135" s="242"/>
      <c r="G135" s="242"/>
      <c r="H135" s="242"/>
      <c r="I135" s="242"/>
    </row>
    <row r="136" spans="6:9" x14ac:dyDescent="0.2">
      <c r="F136" s="242"/>
      <c r="G136" s="242"/>
      <c r="H136" s="242"/>
      <c r="I136" s="242"/>
    </row>
    <row r="137" spans="6:9" x14ac:dyDescent="0.2">
      <c r="F137" s="242"/>
      <c r="G137" s="242"/>
      <c r="H137" s="242"/>
      <c r="I137" s="242"/>
    </row>
    <row r="138" spans="6:9" x14ac:dyDescent="0.2">
      <c r="F138" s="242"/>
      <c r="G138" s="242"/>
      <c r="H138" s="242"/>
      <c r="I138" s="242"/>
    </row>
    <row r="139" spans="6:9" x14ac:dyDescent="0.2">
      <c r="F139" s="242"/>
      <c r="G139" s="242"/>
      <c r="H139" s="242"/>
      <c r="I139" s="242"/>
    </row>
    <row r="140" spans="6:9" x14ac:dyDescent="0.2">
      <c r="F140" s="242"/>
      <c r="G140" s="242"/>
      <c r="H140" s="242"/>
      <c r="I140" s="242"/>
    </row>
    <row r="141" spans="6:9" x14ac:dyDescent="0.2">
      <c r="F141" s="242"/>
      <c r="G141" s="242"/>
      <c r="H141" s="242"/>
      <c r="I141" s="242"/>
    </row>
    <row r="142" spans="6:9" x14ac:dyDescent="0.2">
      <c r="F142" s="242"/>
      <c r="G142" s="242"/>
      <c r="H142" s="242"/>
      <c r="I142" s="242"/>
    </row>
    <row r="143" spans="6:9" x14ac:dyDescent="0.2">
      <c r="F143" s="242"/>
      <c r="G143" s="242"/>
      <c r="H143" s="242"/>
      <c r="I143" s="242"/>
    </row>
    <row r="144" spans="6:9" x14ac:dyDescent="0.2">
      <c r="F144" s="242"/>
      <c r="G144" s="242"/>
      <c r="H144" s="242"/>
      <c r="I144" s="242"/>
    </row>
    <row r="145" spans="6:9" x14ac:dyDescent="0.2">
      <c r="F145" s="242"/>
      <c r="G145" s="242"/>
      <c r="H145" s="242"/>
      <c r="I145" s="242"/>
    </row>
    <row r="146" spans="6:9" x14ac:dyDescent="0.2">
      <c r="F146" s="242"/>
      <c r="G146" s="242"/>
      <c r="H146" s="242"/>
      <c r="I146" s="242"/>
    </row>
    <row r="147" spans="6:9" x14ac:dyDescent="0.2">
      <c r="F147" s="242"/>
      <c r="G147" s="242"/>
      <c r="H147" s="242"/>
      <c r="I147" s="242"/>
    </row>
    <row r="148" spans="6:9" x14ac:dyDescent="0.2">
      <c r="F148" s="242"/>
      <c r="G148" s="242"/>
      <c r="H148" s="242"/>
      <c r="I148" s="242"/>
    </row>
    <row r="149" spans="6:9" x14ac:dyDescent="0.2">
      <c r="F149" s="242"/>
      <c r="G149" s="242"/>
      <c r="H149" s="242"/>
      <c r="I149" s="242"/>
    </row>
    <row r="150" spans="6:9" x14ac:dyDescent="0.2">
      <c r="F150" s="242"/>
      <c r="G150" s="242"/>
      <c r="H150" s="242"/>
      <c r="I150" s="242"/>
    </row>
    <row r="151" spans="6:9" x14ac:dyDescent="0.2">
      <c r="F151" s="242"/>
      <c r="G151" s="242"/>
      <c r="H151" s="242"/>
      <c r="I151" s="242"/>
    </row>
    <row r="152" spans="6:9" x14ac:dyDescent="0.2">
      <c r="F152" s="242"/>
      <c r="G152" s="242"/>
      <c r="H152" s="242"/>
      <c r="I152" s="242"/>
    </row>
    <row r="153" spans="6:9" x14ac:dyDescent="0.2">
      <c r="F153" s="242"/>
      <c r="G153" s="242"/>
      <c r="H153" s="242"/>
      <c r="I153" s="242"/>
    </row>
    <row r="154" spans="6:9" x14ac:dyDescent="0.2">
      <c r="F154" s="242"/>
      <c r="G154" s="242"/>
      <c r="H154" s="242"/>
      <c r="I154" s="242"/>
    </row>
    <row r="155" spans="6:9" x14ac:dyDescent="0.2">
      <c r="F155" s="242"/>
      <c r="G155" s="242"/>
      <c r="H155" s="242"/>
      <c r="I155" s="242"/>
    </row>
    <row r="156" spans="6:9" x14ac:dyDescent="0.2">
      <c r="F156" s="242"/>
      <c r="G156" s="242"/>
      <c r="H156" s="242"/>
      <c r="I156" s="242"/>
    </row>
    <row r="157" spans="6:9" x14ac:dyDescent="0.2">
      <c r="F157" s="242"/>
      <c r="G157" s="242"/>
      <c r="H157" s="242"/>
      <c r="I157" s="242"/>
    </row>
    <row r="158" spans="6:9" x14ac:dyDescent="0.2">
      <c r="F158" s="242"/>
      <c r="G158" s="242"/>
      <c r="H158" s="242"/>
      <c r="I158" s="242"/>
    </row>
    <row r="159" spans="6:9" x14ac:dyDescent="0.2">
      <c r="F159" s="242"/>
      <c r="G159" s="242"/>
      <c r="H159" s="242"/>
      <c r="I159" s="242"/>
    </row>
    <row r="160" spans="6:9" x14ac:dyDescent="0.2">
      <c r="F160" s="242"/>
      <c r="G160" s="242"/>
      <c r="H160" s="242"/>
      <c r="I160" s="242"/>
    </row>
    <row r="161" spans="6:9" x14ac:dyDescent="0.2">
      <c r="F161" s="242"/>
      <c r="G161" s="242"/>
      <c r="H161" s="242"/>
      <c r="I161" s="242"/>
    </row>
    <row r="162" spans="6:9" x14ac:dyDescent="0.2">
      <c r="F162" s="242"/>
      <c r="G162" s="242"/>
      <c r="H162" s="242"/>
      <c r="I162" s="242"/>
    </row>
    <row r="163" spans="6:9" x14ac:dyDescent="0.2">
      <c r="F163" s="242"/>
      <c r="G163" s="242"/>
      <c r="H163" s="242"/>
      <c r="I163" s="242"/>
    </row>
    <row r="164" spans="6:9" x14ac:dyDescent="0.2">
      <c r="F164" s="242"/>
      <c r="G164" s="242"/>
      <c r="H164" s="242"/>
      <c r="I164" s="242"/>
    </row>
    <row r="165" spans="6:9" x14ac:dyDescent="0.2">
      <c r="F165" s="242"/>
      <c r="G165" s="242"/>
      <c r="H165" s="242"/>
      <c r="I165" s="242"/>
    </row>
    <row r="166" spans="6:9" x14ac:dyDescent="0.2">
      <c r="F166" s="242"/>
      <c r="G166" s="242"/>
      <c r="H166" s="242"/>
      <c r="I166" s="242"/>
    </row>
    <row r="167" spans="6:9" x14ac:dyDescent="0.2">
      <c r="F167" s="242"/>
      <c r="G167" s="242"/>
      <c r="H167" s="242"/>
      <c r="I167" s="242"/>
    </row>
    <row r="168" spans="6:9" x14ac:dyDescent="0.2">
      <c r="F168" s="242"/>
      <c r="G168" s="242"/>
      <c r="H168" s="242"/>
      <c r="I168" s="242"/>
    </row>
    <row r="169" spans="6:9" x14ac:dyDescent="0.2">
      <c r="F169" s="242"/>
      <c r="G169" s="242"/>
      <c r="H169" s="242"/>
      <c r="I169" s="242"/>
    </row>
    <row r="170" spans="6:9" x14ac:dyDescent="0.2">
      <c r="F170" s="242"/>
      <c r="G170" s="242"/>
      <c r="H170" s="242"/>
      <c r="I170" s="242"/>
    </row>
    <row r="171" spans="6:9" x14ac:dyDescent="0.2">
      <c r="F171" s="242"/>
      <c r="G171" s="242"/>
      <c r="H171" s="242"/>
      <c r="I171" s="242"/>
    </row>
    <row r="172" spans="6:9" x14ac:dyDescent="0.2">
      <c r="F172" s="242"/>
      <c r="G172" s="242"/>
      <c r="H172" s="242"/>
      <c r="I172" s="242"/>
    </row>
    <row r="173" spans="6:9" x14ac:dyDescent="0.2">
      <c r="F173" s="242"/>
      <c r="G173" s="242"/>
      <c r="H173" s="242"/>
      <c r="I173" s="242"/>
    </row>
    <row r="174" spans="6:9" x14ac:dyDescent="0.2">
      <c r="F174" s="242"/>
      <c r="G174" s="242"/>
      <c r="H174" s="242"/>
      <c r="I174" s="242"/>
    </row>
    <row r="175" spans="6:9" x14ac:dyDescent="0.2">
      <c r="F175" s="242"/>
      <c r="G175" s="242"/>
      <c r="H175" s="242"/>
      <c r="I175" s="242"/>
    </row>
    <row r="176" spans="6:9" x14ac:dyDescent="0.2">
      <c r="F176" s="242"/>
      <c r="G176" s="242"/>
      <c r="H176" s="242"/>
      <c r="I176" s="242"/>
    </row>
    <row r="177" spans="6:9" x14ac:dyDescent="0.2">
      <c r="F177" s="242"/>
      <c r="G177" s="242"/>
      <c r="H177" s="242"/>
      <c r="I177" s="242"/>
    </row>
    <row r="178" spans="6:9" x14ac:dyDescent="0.2">
      <c r="F178" s="242"/>
      <c r="G178" s="242"/>
      <c r="H178" s="242"/>
      <c r="I178" s="242"/>
    </row>
    <row r="179" spans="6:9" x14ac:dyDescent="0.2">
      <c r="F179" s="242"/>
      <c r="G179" s="242"/>
      <c r="H179" s="242"/>
      <c r="I179" s="242"/>
    </row>
    <row r="180" spans="6:9" x14ac:dyDescent="0.2">
      <c r="F180" s="242"/>
      <c r="G180" s="242"/>
      <c r="H180" s="242"/>
      <c r="I180" s="242"/>
    </row>
    <row r="181" spans="6:9" x14ac:dyDescent="0.2">
      <c r="F181" s="242"/>
      <c r="G181" s="242"/>
      <c r="H181" s="242"/>
      <c r="I181" s="242"/>
    </row>
    <row r="182" spans="6:9" x14ac:dyDescent="0.2">
      <c r="F182" s="242"/>
      <c r="G182" s="242"/>
      <c r="H182" s="242"/>
      <c r="I182" s="242"/>
    </row>
    <row r="183" spans="6:9" x14ac:dyDescent="0.2">
      <c r="F183" s="242"/>
      <c r="G183" s="242"/>
      <c r="H183" s="242"/>
      <c r="I183" s="242"/>
    </row>
    <row r="184" spans="6:9" x14ac:dyDescent="0.2">
      <c r="F184" s="242"/>
      <c r="G184" s="242"/>
      <c r="H184" s="242"/>
      <c r="I184" s="242"/>
    </row>
    <row r="185" spans="6:9" x14ac:dyDescent="0.2">
      <c r="F185" s="242"/>
      <c r="G185" s="242"/>
      <c r="H185" s="242"/>
      <c r="I185" s="242"/>
    </row>
    <row r="186" spans="6:9" x14ac:dyDescent="0.2">
      <c r="F186" s="242"/>
      <c r="G186" s="242"/>
      <c r="H186" s="242"/>
      <c r="I186" s="242"/>
    </row>
    <row r="187" spans="6:9" x14ac:dyDescent="0.2">
      <c r="F187" s="242"/>
      <c r="G187" s="242"/>
      <c r="H187" s="242"/>
      <c r="I187" s="242"/>
    </row>
    <row r="188" spans="6:9" x14ac:dyDescent="0.2">
      <c r="F188" s="242"/>
      <c r="G188" s="242"/>
      <c r="H188" s="242"/>
      <c r="I188" s="242"/>
    </row>
    <row r="189" spans="6:9" x14ac:dyDescent="0.2">
      <c r="F189" s="242"/>
      <c r="G189" s="242"/>
      <c r="H189" s="242"/>
      <c r="I189" s="242"/>
    </row>
    <row r="190" spans="6:9" x14ac:dyDescent="0.2">
      <c r="F190" s="242"/>
      <c r="G190" s="242"/>
      <c r="H190" s="242"/>
      <c r="I190" s="242"/>
    </row>
    <row r="191" spans="6:9" x14ac:dyDescent="0.2">
      <c r="F191" s="242"/>
      <c r="G191" s="242"/>
      <c r="H191" s="242"/>
      <c r="I191" s="242"/>
    </row>
    <row r="192" spans="6:9" x14ac:dyDescent="0.2">
      <c r="F192" s="242"/>
      <c r="G192" s="242"/>
      <c r="H192" s="242"/>
      <c r="I192" s="242"/>
    </row>
    <row r="193" spans="6:9" x14ac:dyDescent="0.2">
      <c r="F193" s="242"/>
      <c r="G193" s="242"/>
      <c r="H193" s="242"/>
      <c r="I193" s="242"/>
    </row>
    <row r="194" spans="6:9" x14ac:dyDescent="0.2">
      <c r="F194" s="242"/>
      <c r="G194" s="242"/>
      <c r="H194" s="242"/>
      <c r="I194" s="242"/>
    </row>
    <row r="195" spans="6:9" x14ac:dyDescent="0.2">
      <c r="F195" s="242"/>
      <c r="G195" s="242"/>
      <c r="H195" s="242"/>
      <c r="I195" s="242"/>
    </row>
    <row r="196" spans="6:9" x14ac:dyDescent="0.2">
      <c r="F196" s="242"/>
      <c r="G196" s="242"/>
      <c r="H196" s="242"/>
      <c r="I196" s="242"/>
    </row>
    <row r="197" spans="6:9" x14ac:dyDescent="0.2">
      <c r="F197" s="242"/>
      <c r="G197" s="242"/>
      <c r="H197" s="242"/>
      <c r="I197" s="242"/>
    </row>
    <row r="198" spans="6:9" x14ac:dyDescent="0.2">
      <c r="F198" s="242"/>
      <c r="G198" s="242"/>
      <c r="H198" s="242"/>
      <c r="I198" s="242"/>
    </row>
    <row r="199" spans="6:9" x14ac:dyDescent="0.2">
      <c r="F199" s="242"/>
      <c r="G199" s="242"/>
      <c r="H199" s="242"/>
      <c r="I199" s="242"/>
    </row>
    <row r="200" spans="6:9" x14ac:dyDescent="0.2">
      <c r="F200" s="242"/>
      <c r="G200" s="242"/>
      <c r="H200" s="242"/>
      <c r="I200" s="242"/>
    </row>
    <row r="201" spans="6:9" x14ac:dyDescent="0.2">
      <c r="F201" s="242"/>
      <c r="G201" s="242"/>
      <c r="H201" s="242"/>
      <c r="I201" s="242"/>
    </row>
    <row r="202" spans="6:9" x14ac:dyDescent="0.2">
      <c r="F202" s="242"/>
      <c r="G202" s="242"/>
      <c r="H202" s="242"/>
      <c r="I202" s="242"/>
    </row>
    <row r="203" spans="6:9" x14ac:dyDescent="0.2">
      <c r="F203" s="242"/>
      <c r="G203" s="242"/>
      <c r="H203" s="242"/>
      <c r="I203" s="242"/>
    </row>
    <row r="204" spans="6:9" x14ac:dyDescent="0.2">
      <c r="F204" s="242"/>
      <c r="G204" s="242"/>
      <c r="H204" s="242"/>
      <c r="I204" s="242"/>
    </row>
    <row r="205" spans="6:9" x14ac:dyDescent="0.2">
      <c r="F205" s="242"/>
      <c r="G205" s="242"/>
      <c r="H205" s="242"/>
      <c r="I205" s="242"/>
    </row>
    <row r="206" spans="6:9" x14ac:dyDescent="0.2">
      <c r="F206" s="242"/>
      <c r="G206" s="242"/>
      <c r="H206" s="242"/>
      <c r="I206" s="242"/>
    </row>
    <row r="207" spans="6:9" x14ac:dyDescent="0.2">
      <c r="F207" s="242"/>
      <c r="G207" s="242"/>
      <c r="H207" s="242"/>
      <c r="I207" s="242"/>
    </row>
    <row r="208" spans="6:9" x14ac:dyDescent="0.2">
      <c r="F208" s="242"/>
      <c r="G208" s="242"/>
      <c r="H208" s="242"/>
      <c r="I208" s="242"/>
    </row>
    <row r="209" spans="6:9" x14ac:dyDescent="0.2">
      <c r="F209" s="242"/>
      <c r="G209" s="242"/>
      <c r="H209" s="242"/>
      <c r="I209" s="242"/>
    </row>
    <row r="210" spans="6:9" x14ac:dyDescent="0.2">
      <c r="F210" s="242"/>
      <c r="G210" s="242"/>
      <c r="H210" s="242"/>
      <c r="I210" s="242"/>
    </row>
    <row r="211" spans="6:9" x14ac:dyDescent="0.2">
      <c r="F211" s="242"/>
      <c r="G211" s="242"/>
      <c r="H211" s="242"/>
      <c r="I211" s="242"/>
    </row>
    <row r="212" spans="6:9" x14ac:dyDescent="0.2">
      <c r="F212" s="242"/>
      <c r="G212" s="242"/>
      <c r="H212" s="242"/>
      <c r="I212" s="242"/>
    </row>
    <row r="213" spans="6:9" x14ac:dyDescent="0.2">
      <c r="F213" s="242"/>
      <c r="G213" s="242"/>
      <c r="H213" s="242"/>
      <c r="I213" s="242"/>
    </row>
    <row r="214" spans="6:9" x14ac:dyDescent="0.2">
      <c r="F214" s="242"/>
      <c r="G214" s="242"/>
      <c r="H214" s="242"/>
      <c r="I214" s="242"/>
    </row>
    <row r="215" spans="6:9" x14ac:dyDescent="0.2">
      <c r="F215" s="242"/>
      <c r="G215" s="242"/>
      <c r="H215" s="242"/>
      <c r="I215" s="242"/>
    </row>
    <row r="216" spans="6:9" x14ac:dyDescent="0.2">
      <c r="F216" s="242"/>
      <c r="G216" s="242"/>
      <c r="H216" s="242"/>
      <c r="I216" s="242"/>
    </row>
    <row r="217" spans="6:9" x14ac:dyDescent="0.2">
      <c r="F217" s="242"/>
      <c r="G217" s="242"/>
      <c r="H217" s="242"/>
      <c r="I217" s="242"/>
    </row>
    <row r="218" spans="6:9" x14ac:dyDescent="0.2">
      <c r="F218" s="242"/>
      <c r="G218" s="242"/>
      <c r="H218" s="242"/>
      <c r="I218" s="242"/>
    </row>
    <row r="219" spans="6:9" x14ac:dyDescent="0.2">
      <c r="F219" s="242"/>
      <c r="G219" s="242"/>
      <c r="H219" s="242"/>
      <c r="I219" s="242"/>
    </row>
    <row r="220" spans="6:9" x14ac:dyDescent="0.2">
      <c r="F220" s="242"/>
      <c r="G220" s="242"/>
      <c r="H220" s="242"/>
      <c r="I220" s="242"/>
    </row>
    <row r="221" spans="6:9" x14ac:dyDescent="0.2">
      <c r="F221" s="242"/>
      <c r="G221" s="242"/>
      <c r="H221" s="242"/>
      <c r="I221" s="242"/>
    </row>
    <row r="222" spans="6:9" x14ac:dyDescent="0.2">
      <c r="F222" s="242"/>
      <c r="G222" s="242"/>
      <c r="H222" s="242"/>
      <c r="I222" s="242"/>
    </row>
    <row r="223" spans="6:9" x14ac:dyDescent="0.2">
      <c r="F223" s="242"/>
      <c r="G223" s="242"/>
      <c r="H223" s="242"/>
      <c r="I223" s="242"/>
    </row>
    <row r="224" spans="6:9" x14ac:dyDescent="0.2">
      <c r="F224" s="242"/>
      <c r="G224" s="242"/>
      <c r="H224" s="242"/>
      <c r="I224" s="242"/>
    </row>
    <row r="225" spans="6:9" x14ac:dyDescent="0.2">
      <c r="F225" s="242"/>
      <c r="G225" s="242"/>
      <c r="H225" s="242"/>
      <c r="I225" s="242"/>
    </row>
    <row r="226" spans="6:9" x14ac:dyDescent="0.2">
      <c r="F226" s="242"/>
      <c r="G226" s="242"/>
      <c r="H226" s="242"/>
      <c r="I226" s="242"/>
    </row>
    <row r="227" spans="6:9" x14ac:dyDescent="0.2">
      <c r="F227" s="242"/>
      <c r="G227" s="242"/>
      <c r="H227" s="242"/>
      <c r="I227" s="242"/>
    </row>
    <row r="228" spans="6:9" x14ac:dyDescent="0.2">
      <c r="F228" s="242"/>
      <c r="G228" s="242"/>
      <c r="H228" s="242"/>
      <c r="I228" s="242"/>
    </row>
    <row r="229" spans="6:9" x14ac:dyDescent="0.2">
      <c r="F229" s="242"/>
      <c r="G229" s="242"/>
      <c r="H229" s="242"/>
      <c r="I229" s="242"/>
    </row>
    <row r="230" spans="6:9" x14ac:dyDescent="0.2">
      <c r="F230" s="242"/>
      <c r="G230" s="242"/>
      <c r="H230" s="242"/>
      <c r="I230" s="242"/>
    </row>
    <row r="231" spans="6:9" x14ac:dyDescent="0.2">
      <c r="F231" s="242"/>
      <c r="G231" s="242"/>
      <c r="H231" s="242"/>
      <c r="I231" s="242"/>
    </row>
    <row r="232" spans="6:9" x14ac:dyDescent="0.2">
      <c r="F232" s="242"/>
      <c r="G232" s="242"/>
      <c r="H232" s="242"/>
      <c r="I232" s="242"/>
    </row>
    <row r="233" spans="6:9" x14ac:dyDescent="0.2">
      <c r="F233" s="242"/>
      <c r="G233" s="242"/>
      <c r="H233" s="242"/>
      <c r="I233" s="242"/>
    </row>
    <row r="234" spans="6:9" x14ac:dyDescent="0.2">
      <c r="F234" s="242"/>
      <c r="G234" s="242"/>
      <c r="H234" s="242"/>
      <c r="I234" s="242"/>
    </row>
    <row r="235" spans="6:9" x14ac:dyDescent="0.2">
      <c r="F235" s="242"/>
      <c r="G235" s="242"/>
      <c r="H235" s="242"/>
      <c r="I235" s="242"/>
    </row>
    <row r="236" spans="6:9" x14ac:dyDescent="0.2">
      <c r="F236" s="242"/>
      <c r="G236" s="242"/>
      <c r="H236" s="242"/>
      <c r="I236" s="242"/>
    </row>
    <row r="237" spans="6:9" x14ac:dyDescent="0.2">
      <c r="F237" s="242"/>
      <c r="G237" s="242"/>
      <c r="H237" s="242"/>
      <c r="I237" s="242"/>
    </row>
    <row r="238" spans="6:9" x14ac:dyDescent="0.2">
      <c r="F238" s="242"/>
      <c r="G238" s="242"/>
      <c r="H238" s="242"/>
      <c r="I238" s="242"/>
    </row>
    <row r="239" spans="6:9" x14ac:dyDescent="0.2">
      <c r="F239" s="242"/>
      <c r="G239" s="242"/>
      <c r="H239" s="242"/>
      <c r="I239" s="242"/>
    </row>
    <row r="240" spans="6:9" x14ac:dyDescent="0.2">
      <c r="F240" s="242"/>
      <c r="G240" s="242"/>
      <c r="H240" s="242"/>
      <c r="I240" s="242"/>
    </row>
    <row r="241" spans="6:9" x14ac:dyDescent="0.2">
      <c r="F241" s="242"/>
      <c r="G241" s="242"/>
      <c r="H241" s="242"/>
      <c r="I241" s="242"/>
    </row>
    <row r="242" spans="6:9" x14ac:dyDescent="0.2">
      <c r="F242" s="242"/>
      <c r="G242" s="242"/>
      <c r="H242" s="242"/>
      <c r="I242" s="242"/>
    </row>
    <row r="243" spans="6:9" x14ac:dyDescent="0.2">
      <c r="F243" s="242"/>
      <c r="G243" s="242"/>
      <c r="H243" s="242"/>
      <c r="I243" s="242"/>
    </row>
    <row r="244" spans="6:9" x14ac:dyDescent="0.2">
      <c r="F244" s="242"/>
      <c r="G244" s="242"/>
      <c r="H244" s="242"/>
      <c r="I244" s="242"/>
    </row>
    <row r="245" spans="6:9" x14ac:dyDescent="0.2">
      <c r="F245" s="242"/>
      <c r="G245" s="242"/>
      <c r="H245" s="242"/>
      <c r="I245" s="242"/>
    </row>
    <row r="246" spans="6:9" x14ac:dyDescent="0.2">
      <c r="F246" s="242"/>
      <c r="G246" s="242"/>
      <c r="H246" s="242"/>
      <c r="I246" s="242"/>
    </row>
    <row r="247" spans="6:9" x14ac:dyDescent="0.2">
      <c r="F247" s="242"/>
      <c r="G247" s="242"/>
      <c r="H247" s="242"/>
      <c r="I247" s="242"/>
    </row>
    <row r="248" spans="6:9" x14ac:dyDescent="0.2">
      <c r="F248" s="242"/>
      <c r="G248" s="242"/>
      <c r="H248" s="242"/>
      <c r="I248" s="242"/>
    </row>
    <row r="249" spans="6:9" x14ac:dyDescent="0.2">
      <c r="F249" s="242"/>
      <c r="G249" s="242"/>
      <c r="H249" s="242"/>
      <c r="I249" s="242"/>
    </row>
    <row r="250" spans="6:9" x14ac:dyDescent="0.2">
      <c r="F250" s="242"/>
      <c r="G250" s="242"/>
      <c r="H250" s="242"/>
      <c r="I250" s="242"/>
    </row>
    <row r="251" spans="6:9" x14ac:dyDescent="0.2">
      <c r="F251" s="242"/>
      <c r="G251" s="242"/>
      <c r="H251" s="242"/>
      <c r="I251" s="242"/>
    </row>
    <row r="252" spans="6:9" x14ac:dyDescent="0.2">
      <c r="F252" s="242"/>
      <c r="G252" s="242"/>
      <c r="H252" s="242"/>
      <c r="I252" s="242"/>
    </row>
    <row r="253" spans="6:9" x14ac:dyDescent="0.2">
      <c r="F253" s="242"/>
      <c r="G253" s="242"/>
      <c r="H253" s="242"/>
      <c r="I253" s="242"/>
    </row>
    <row r="254" spans="6:9" x14ac:dyDescent="0.2">
      <c r="F254" s="242"/>
      <c r="G254" s="242"/>
      <c r="H254" s="242"/>
      <c r="I254" s="242"/>
    </row>
    <row r="255" spans="6:9" x14ac:dyDescent="0.2">
      <c r="F255" s="242"/>
      <c r="G255" s="242"/>
      <c r="H255" s="242"/>
      <c r="I255" s="242"/>
    </row>
    <row r="256" spans="6:9" x14ac:dyDescent="0.2">
      <c r="F256" s="242"/>
      <c r="G256" s="242"/>
      <c r="H256" s="242"/>
      <c r="I256" s="242"/>
    </row>
    <row r="257" spans="6:9" x14ac:dyDescent="0.2">
      <c r="F257" s="242"/>
      <c r="G257" s="242"/>
      <c r="H257" s="242"/>
      <c r="I257" s="242"/>
    </row>
    <row r="258" spans="6:9" x14ac:dyDescent="0.2">
      <c r="F258" s="242"/>
      <c r="G258" s="242"/>
      <c r="H258" s="242"/>
      <c r="I258" s="242"/>
    </row>
    <row r="259" spans="6:9" x14ac:dyDescent="0.2">
      <c r="F259" s="242"/>
      <c r="G259" s="242"/>
      <c r="H259" s="242"/>
      <c r="I259" s="242"/>
    </row>
    <row r="260" spans="6:9" x14ac:dyDescent="0.2">
      <c r="F260" s="242"/>
      <c r="G260" s="242"/>
      <c r="H260" s="242"/>
      <c r="I260" s="242"/>
    </row>
    <row r="261" spans="6:9" x14ac:dyDescent="0.2">
      <c r="F261" s="242"/>
      <c r="G261" s="242"/>
      <c r="H261" s="242"/>
      <c r="I261" s="242"/>
    </row>
    <row r="262" spans="6:9" x14ac:dyDescent="0.2">
      <c r="F262" s="242"/>
      <c r="G262" s="242"/>
      <c r="H262" s="242"/>
      <c r="I262" s="242"/>
    </row>
    <row r="263" spans="6:9" x14ac:dyDescent="0.2">
      <c r="F263" s="242"/>
      <c r="G263" s="242"/>
      <c r="H263" s="242"/>
      <c r="I263" s="242"/>
    </row>
    <row r="264" spans="6:9" x14ac:dyDescent="0.2">
      <c r="F264" s="242"/>
      <c r="G264" s="242"/>
      <c r="H264" s="242"/>
      <c r="I264" s="242"/>
    </row>
    <row r="265" spans="6:9" x14ac:dyDescent="0.2">
      <c r="F265" s="242"/>
      <c r="G265" s="242"/>
      <c r="H265" s="242"/>
      <c r="I265" s="242"/>
    </row>
    <row r="266" spans="6:9" x14ac:dyDescent="0.2">
      <c r="F266" s="242"/>
      <c r="G266" s="242"/>
      <c r="H266" s="242"/>
      <c r="I266" s="242"/>
    </row>
    <row r="267" spans="6:9" x14ac:dyDescent="0.2">
      <c r="F267" s="242"/>
      <c r="G267" s="242"/>
      <c r="H267" s="242"/>
      <c r="I267" s="242"/>
    </row>
    <row r="268" spans="6:9" x14ac:dyDescent="0.2">
      <c r="F268" s="242"/>
      <c r="G268" s="242"/>
      <c r="H268" s="242"/>
      <c r="I268" s="242"/>
    </row>
    <row r="269" spans="6:9" x14ac:dyDescent="0.2">
      <c r="F269" s="242"/>
      <c r="G269" s="242"/>
      <c r="H269" s="242"/>
      <c r="I269" s="242"/>
    </row>
    <row r="270" spans="6:9" x14ac:dyDescent="0.2">
      <c r="F270" s="242"/>
      <c r="G270" s="242"/>
      <c r="H270" s="242"/>
      <c r="I270" s="242"/>
    </row>
    <row r="271" spans="6:9" x14ac:dyDescent="0.2">
      <c r="F271" s="242"/>
      <c r="G271" s="242"/>
      <c r="H271" s="242"/>
      <c r="I271" s="242"/>
    </row>
    <row r="272" spans="6:9" x14ac:dyDescent="0.2">
      <c r="F272" s="242"/>
      <c r="G272" s="242"/>
      <c r="H272" s="242"/>
      <c r="I272" s="242"/>
    </row>
    <row r="273" spans="6:9" x14ac:dyDescent="0.2">
      <c r="F273" s="242"/>
      <c r="G273" s="242"/>
      <c r="H273" s="242"/>
      <c r="I273" s="242"/>
    </row>
    <row r="274" spans="6:9" x14ac:dyDescent="0.2">
      <c r="F274" s="242"/>
      <c r="G274" s="242"/>
      <c r="H274" s="242"/>
      <c r="I274" s="242"/>
    </row>
    <row r="275" spans="6:9" x14ac:dyDescent="0.2">
      <c r="F275" s="242"/>
      <c r="G275" s="242"/>
      <c r="H275" s="242"/>
      <c r="I275" s="242"/>
    </row>
    <row r="276" spans="6:9" x14ac:dyDescent="0.2">
      <c r="F276" s="242"/>
      <c r="G276" s="242"/>
      <c r="H276" s="242"/>
      <c r="I276" s="242"/>
    </row>
    <row r="277" spans="6:9" x14ac:dyDescent="0.2">
      <c r="F277" s="242"/>
      <c r="G277" s="242"/>
      <c r="H277" s="242"/>
      <c r="I277" s="242"/>
    </row>
    <row r="278" spans="6:9" x14ac:dyDescent="0.2">
      <c r="F278" s="242"/>
      <c r="G278" s="242"/>
      <c r="H278" s="242"/>
      <c r="I278" s="242"/>
    </row>
    <row r="279" spans="6:9" x14ac:dyDescent="0.2">
      <c r="F279" s="242"/>
      <c r="G279" s="242"/>
      <c r="H279" s="242"/>
      <c r="I279" s="242"/>
    </row>
    <row r="280" spans="6:9" x14ac:dyDescent="0.2">
      <c r="F280" s="242"/>
      <c r="G280" s="242"/>
      <c r="H280" s="242"/>
      <c r="I280" s="242"/>
    </row>
    <row r="281" spans="6:9" x14ac:dyDescent="0.2">
      <c r="F281" s="242"/>
      <c r="G281" s="242"/>
      <c r="H281" s="242"/>
      <c r="I281" s="242"/>
    </row>
    <row r="282" spans="6:9" x14ac:dyDescent="0.2">
      <c r="F282" s="242"/>
      <c r="G282" s="242"/>
      <c r="H282" s="242"/>
      <c r="I282" s="242"/>
    </row>
    <row r="283" spans="6:9" x14ac:dyDescent="0.2">
      <c r="F283" s="242"/>
      <c r="G283" s="242"/>
      <c r="H283" s="242"/>
      <c r="I283" s="242"/>
    </row>
    <row r="284" spans="6:9" x14ac:dyDescent="0.2">
      <c r="F284" s="242"/>
      <c r="G284" s="242"/>
      <c r="H284" s="242"/>
      <c r="I284" s="242"/>
    </row>
    <row r="285" spans="6:9" x14ac:dyDescent="0.2">
      <c r="F285" s="242"/>
      <c r="G285" s="242"/>
      <c r="H285" s="242"/>
      <c r="I285" s="242"/>
    </row>
    <row r="286" spans="6:9" x14ac:dyDescent="0.2">
      <c r="F286" s="242"/>
      <c r="G286" s="242"/>
      <c r="H286" s="242"/>
      <c r="I286" s="242"/>
    </row>
    <row r="287" spans="6:9" x14ac:dyDescent="0.2">
      <c r="F287" s="242"/>
      <c r="G287" s="242"/>
      <c r="H287" s="242"/>
      <c r="I287" s="242"/>
    </row>
    <row r="288" spans="6:9" x14ac:dyDescent="0.2">
      <c r="F288" s="242"/>
      <c r="G288" s="242"/>
      <c r="H288" s="242"/>
      <c r="I288" s="242"/>
    </row>
    <row r="289" spans="6:9" x14ac:dyDescent="0.2">
      <c r="F289" s="242"/>
      <c r="G289" s="242"/>
      <c r="H289" s="242"/>
      <c r="I289" s="242"/>
    </row>
    <row r="290" spans="6:9" x14ac:dyDescent="0.2">
      <c r="F290" s="242"/>
      <c r="G290" s="242"/>
      <c r="H290" s="242"/>
      <c r="I290" s="242"/>
    </row>
    <row r="291" spans="6:9" x14ac:dyDescent="0.2">
      <c r="F291" s="242"/>
      <c r="G291" s="242"/>
      <c r="H291" s="242"/>
      <c r="I291" s="242"/>
    </row>
    <row r="292" spans="6:9" x14ac:dyDescent="0.2">
      <c r="F292" s="242"/>
      <c r="G292" s="242"/>
      <c r="H292" s="242"/>
      <c r="I292" s="242"/>
    </row>
    <row r="293" spans="6:9" x14ac:dyDescent="0.2">
      <c r="F293" s="242"/>
      <c r="G293" s="242"/>
      <c r="H293" s="242"/>
      <c r="I293" s="242"/>
    </row>
    <row r="294" spans="6:9" x14ac:dyDescent="0.2">
      <c r="F294" s="242"/>
      <c r="G294" s="242"/>
      <c r="H294" s="242"/>
      <c r="I294" s="242"/>
    </row>
    <row r="295" spans="6:9" x14ac:dyDescent="0.2">
      <c r="F295" s="242"/>
      <c r="G295" s="242"/>
      <c r="H295" s="242"/>
      <c r="I295" s="242"/>
    </row>
    <row r="296" spans="6:9" x14ac:dyDescent="0.2">
      <c r="F296" s="242"/>
      <c r="G296" s="242"/>
      <c r="H296" s="242"/>
      <c r="I296" s="242"/>
    </row>
    <row r="297" spans="6:9" x14ac:dyDescent="0.2">
      <c r="F297" s="242"/>
      <c r="G297" s="242"/>
      <c r="H297" s="242"/>
      <c r="I297" s="242"/>
    </row>
    <row r="298" spans="6:9" x14ac:dyDescent="0.2">
      <c r="F298" s="242"/>
      <c r="G298" s="242"/>
      <c r="H298" s="242"/>
      <c r="I298" s="242"/>
    </row>
    <row r="299" spans="6:9" x14ac:dyDescent="0.2">
      <c r="F299" s="242"/>
      <c r="G299" s="242"/>
      <c r="H299" s="242"/>
      <c r="I299" s="242"/>
    </row>
    <row r="300" spans="6:9" x14ac:dyDescent="0.2">
      <c r="F300" s="242"/>
      <c r="G300" s="242"/>
      <c r="H300" s="242"/>
      <c r="I300" s="242"/>
    </row>
    <row r="301" spans="6:9" x14ac:dyDescent="0.2">
      <c r="F301" s="242"/>
      <c r="G301" s="242"/>
      <c r="H301" s="242"/>
      <c r="I301" s="242"/>
    </row>
    <row r="302" spans="6:9" x14ac:dyDescent="0.2">
      <c r="F302" s="242"/>
      <c r="G302" s="242"/>
      <c r="H302" s="242"/>
      <c r="I302" s="242"/>
    </row>
    <row r="303" spans="6:9" x14ac:dyDescent="0.2">
      <c r="F303" s="242"/>
      <c r="G303" s="242"/>
      <c r="H303" s="242"/>
      <c r="I303" s="242"/>
    </row>
    <row r="304" spans="6:9" x14ac:dyDescent="0.2">
      <c r="F304" s="242"/>
      <c r="G304" s="242"/>
      <c r="H304" s="242"/>
      <c r="I304" s="242"/>
    </row>
    <row r="305" spans="6:9" x14ac:dyDescent="0.2">
      <c r="F305" s="242"/>
      <c r="G305" s="242"/>
      <c r="H305" s="242"/>
      <c r="I305" s="242"/>
    </row>
    <row r="306" spans="6:9" x14ac:dyDescent="0.2">
      <c r="F306" s="242"/>
      <c r="G306" s="242"/>
      <c r="H306" s="242"/>
      <c r="I306" s="242"/>
    </row>
    <row r="307" spans="6:9" x14ac:dyDescent="0.2">
      <c r="F307" s="242"/>
      <c r="G307" s="242"/>
      <c r="H307" s="242"/>
      <c r="I307" s="242"/>
    </row>
    <row r="308" spans="6:9" x14ac:dyDescent="0.2">
      <c r="F308" s="242"/>
      <c r="G308" s="242"/>
      <c r="H308" s="242"/>
      <c r="I308" s="242"/>
    </row>
    <row r="309" spans="6:9" x14ac:dyDescent="0.2">
      <c r="F309" s="242"/>
      <c r="G309" s="242"/>
      <c r="H309" s="242"/>
      <c r="I309" s="242"/>
    </row>
    <row r="310" spans="6:9" x14ac:dyDescent="0.2">
      <c r="F310" s="242"/>
      <c r="G310" s="242"/>
      <c r="H310" s="242"/>
      <c r="I310" s="242"/>
    </row>
    <row r="311" spans="6:9" x14ac:dyDescent="0.2">
      <c r="F311" s="242"/>
      <c r="G311" s="242"/>
      <c r="H311" s="242"/>
      <c r="I311" s="242"/>
    </row>
    <row r="312" spans="6:9" x14ac:dyDescent="0.2">
      <c r="F312" s="242"/>
      <c r="G312" s="242"/>
      <c r="H312" s="242"/>
      <c r="I312" s="242"/>
    </row>
    <row r="313" spans="6:9" x14ac:dyDescent="0.2">
      <c r="F313" s="242"/>
      <c r="G313" s="242"/>
      <c r="H313" s="242"/>
      <c r="I313" s="242"/>
    </row>
    <row r="314" spans="6:9" x14ac:dyDescent="0.2">
      <c r="F314" s="242"/>
      <c r="G314" s="242"/>
      <c r="H314" s="242"/>
      <c r="I314" s="242"/>
    </row>
    <row r="315" spans="6:9" x14ac:dyDescent="0.2">
      <c r="F315" s="242"/>
      <c r="G315" s="242"/>
      <c r="H315" s="242"/>
      <c r="I315" s="242"/>
    </row>
    <row r="316" spans="6:9" x14ac:dyDescent="0.2">
      <c r="F316" s="242"/>
      <c r="G316" s="242"/>
      <c r="H316" s="242"/>
      <c r="I316" s="242"/>
    </row>
    <row r="317" spans="6:9" x14ac:dyDescent="0.2">
      <c r="F317" s="242"/>
      <c r="G317" s="242"/>
      <c r="H317" s="242"/>
      <c r="I317" s="242"/>
    </row>
    <row r="318" spans="6:9" x14ac:dyDescent="0.2">
      <c r="F318" s="242"/>
      <c r="G318" s="242"/>
      <c r="H318" s="242"/>
      <c r="I318" s="242"/>
    </row>
    <row r="319" spans="6:9" x14ac:dyDescent="0.2">
      <c r="F319" s="242"/>
      <c r="G319" s="242"/>
      <c r="H319" s="242"/>
      <c r="I319" s="242"/>
    </row>
    <row r="320" spans="6:9" x14ac:dyDescent="0.2">
      <c r="F320" s="242"/>
      <c r="G320" s="242"/>
      <c r="H320" s="242"/>
      <c r="I320" s="242"/>
    </row>
    <row r="321" spans="6:9" x14ac:dyDescent="0.2">
      <c r="F321" s="242"/>
      <c r="G321" s="242"/>
      <c r="H321" s="242"/>
      <c r="I321" s="242"/>
    </row>
    <row r="322" spans="6:9" x14ac:dyDescent="0.2">
      <c r="F322" s="242"/>
      <c r="G322" s="242"/>
      <c r="H322" s="242"/>
      <c r="I322" s="242"/>
    </row>
    <row r="323" spans="6:9" x14ac:dyDescent="0.2">
      <c r="F323" s="242"/>
      <c r="G323" s="242"/>
      <c r="H323" s="242"/>
      <c r="I323" s="242"/>
    </row>
    <row r="324" spans="6:9" x14ac:dyDescent="0.2">
      <c r="F324" s="242"/>
      <c r="G324" s="242"/>
      <c r="H324" s="242"/>
      <c r="I324" s="242"/>
    </row>
    <row r="325" spans="6:9" x14ac:dyDescent="0.2">
      <c r="F325" s="242"/>
      <c r="G325" s="242"/>
      <c r="H325" s="242"/>
      <c r="I325" s="242"/>
    </row>
    <row r="326" spans="6:9" x14ac:dyDescent="0.2">
      <c r="F326" s="242"/>
      <c r="G326" s="242"/>
      <c r="H326" s="242"/>
      <c r="I326" s="242"/>
    </row>
    <row r="327" spans="6:9" x14ac:dyDescent="0.2">
      <c r="F327" s="242"/>
      <c r="G327" s="242"/>
      <c r="H327" s="242"/>
      <c r="I327" s="242"/>
    </row>
    <row r="328" spans="6:9" x14ac:dyDescent="0.2">
      <c r="F328" s="242"/>
      <c r="G328" s="242"/>
      <c r="H328" s="242"/>
      <c r="I328" s="242"/>
    </row>
    <row r="329" spans="6:9" x14ac:dyDescent="0.2">
      <c r="F329" s="242"/>
      <c r="G329" s="242"/>
      <c r="H329" s="242"/>
      <c r="I329" s="242"/>
    </row>
    <row r="330" spans="6:9" x14ac:dyDescent="0.2">
      <c r="F330" s="242"/>
      <c r="G330" s="242"/>
      <c r="H330" s="242"/>
      <c r="I330" s="242"/>
    </row>
    <row r="331" spans="6:9" x14ac:dyDescent="0.2">
      <c r="F331" s="242"/>
      <c r="G331" s="242"/>
      <c r="H331" s="242"/>
      <c r="I331" s="242"/>
    </row>
    <row r="332" spans="6:9" x14ac:dyDescent="0.2">
      <c r="F332" s="242"/>
      <c r="G332" s="242"/>
      <c r="H332" s="242"/>
      <c r="I332" s="242"/>
    </row>
    <row r="333" spans="6:9" x14ac:dyDescent="0.2">
      <c r="F333" s="242"/>
      <c r="G333" s="242"/>
      <c r="H333" s="242"/>
      <c r="I333" s="242"/>
    </row>
    <row r="334" spans="6:9" x14ac:dyDescent="0.2">
      <c r="F334" s="242"/>
      <c r="G334" s="242"/>
      <c r="H334" s="242"/>
      <c r="I334" s="242"/>
    </row>
    <row r="335" spans="6:9" x14ac:dyDescent="0.2">
      <c r="F335" s="242"/>
      <c r="G335" s="242"/>
      <c r="H335" s="242"/>
      <c r="I335" s="242"/>
    </row>
    <row r="336" spans="6:9" x14ac:dyDescent="0.2">
      <c r="F336" s="242"/>
      <c r="G336" s="242"/>
      <c r="H336" s="242"/>
      <c r="I336" s="242"/>
    </row>
    <row r="337" spans="6:9" x14ac:dyDescent="0.2">
      <c r="F337" s="242"/>
      <c r="G337" s="242"/>
      <c r="H337" s="242"/>
      <c r="I337" s="242"/>
    </row>
    <row r="338" spans="6:9" x14ac:dyDescent="0.2">
      <c r="F338" s="242"/>
      <c r="G338" s="242"/>
      <c r="H338" s="242"/>
      <c r="I338" s="242"/>
    </row>
    <row r="339" spans="6:9" x14ac:dyDescent="0.2">
      <c r="F339" s="242"/>
      <c r="G339" s="242"/>
      <c r="H339" s="242"/>
      <c r="I339" s="242"/>
    </row>
    <row r="340" spans="6:9" x14ac:dyDescent="0.2">
      <c r="F340" s="242"/>
      <c r="G340" s="242"/>
      <c r="H340" s="242"/>
      <c r="I340" s="242"/>
    </row>
    <row r="341" spans="6:9" x14ac:dyDescent="0.2">
      <c r="F341" s="242"/>
      <c r="G341" s="242"/>
      <c r="H341" s="242"/>
      <c r="I341" s="242"/>
    </row>
    <row r="342" spans="6:9" x14ac:dyDescent="0.2">
      <c r="F342" s="242"/>
      <c r="G342" s="242"/>
      <c r="H342" s="242"/>
      <c r="I342" s="242"/>
    </row>
    <row r="343" spans="6:9" x14ac:dyDescent="0.2">
      <c r="F343" s="242"/>
      <c r="G343" s="242"/>
      <c r="H343" s="242"/>
      <c r="I343" s="242"/>
    </row>
    <row r="344" spans="6:9" x14ac:dyDescent="0.2">
      <c r="F344" s="242"/>
      <c r="G344" s="242"/>
      <c r="H344" s="242"/>
      <c r="I344" s="24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7"/>
  <sheetViews>
    <sheetView topLeftCell="E1" zoomScale="175" zoomScaleNormal="175" workbookViewId="0">
      <selection activeCell="K13" sqref="K13"/>
    </sheetView>
  </sheetViews>
  <sheetFormatPr baseColWidth="10" defaultColWidth="8.83203125" defaultRowHeight="15" x14ac:dyDescent="0.2"/>
  <cols>
    <col min="1" max="1" width="4.1640625" customWidth="1"/>
    <col min="2" max="2" width="42" customWidth="1"/>
    <col min="3" max="5" width="18.5" customWidth="1"/>
    <col min="6" max="6" width="5.1640625" customWidth="1"/>
    <col min="7" max="7" width="6.83203125" customWidth="1"/>
    <col min="8" max="8" width="15.83203125" customWidth="1"/>
    <col min="9" max="9" width="15.33203125" customWidth="1"/>
    <col min="10" max="10" width="14.33203125" customWidth="1"/>
    <col min="11" max="11" width="18.33203125" customWidth="1"/>
    <col min="12" max="12" width="3.83203125" customWidth="1"/>
  </cols>
  <sheetData>
    <row r="1" spans="1:17" x14ac:dyDescent="0.2">
      <c r="A1" s="34" t="s">
        <v>319</v>
      </c>
    </row>
    <row r="2" spans="1:17" x14ac:dyDescent="0.2">
      <c r="A2" s="3" t="s">
        <v>308</v>
      </c>
      <c r="B2" s="3"/>
      <c r="C2" s="3"/>
      <c r="H2" s="3" t="s">
        <v>325</v>
      </c>
      <c r="I2" s="3"/>
      <c r="J2" s="3"/>
      <c r="K2" s="3"/>
      <c r="M2" s="3" t="s">
        <v>75</v>
      </c>
      <c r="N2" s="3"/>
      <c r="O2" s="3"/>
    </row>
    <row r="4" spans="1:17" x14ac:dyDescent="0.2">
      <c r="B4" t="s">
        <v>320</v>
      </c>
      <c r="H4" t="s">
        <v>318</v>
      </c>
      <c r="K4" s="27">
        <v>6.0002134893117141E-2</v>
      </c>
      <c r="M4" t="s">
        <v>76</v>
      </c>
      <c r="O4" s="19">
        <f>IRR(J7:J11)</f>
        <v>6.0002146427277303E-2</v>
      </c>
    </row>
    <row r="5" spans="1:17" x14ac:dyDescent="0.2">
      <c r="B5" t="s">
        <v>321</v>
      </c>
      <c r="M5" t="s">
        <v>327</v>
      </c>
    </row>
    <row r="6" spans="1:17" x14ac:dyDescent="0.2">
      <c r="B6" t="s">
        <v>322</v>
      </c>
      <c r="G6" t="s">
        <v>11</v>
      </c>
      <c r="H6" s="4" t="s">
        <v>343</v>
      </c>
      <c r="I6" s="4" t="s">
        <v>275</v>
      </c>
      <c r="J6" s="20" t="s">
        <v>326</v>
      </c>
      <c r="K6" s="9" t="s">
        <v>56</v>
      </c>
      <c r="M6" t="s">
        <v>328</v>
      </c>
    </row>
    <row r="7" spans="1:17" x14ac:dyDescent="0.2">
      <c r="G7" s="20">
        <v>0</v>
      </c>
      <c r="H7" s="26">
        <v>-6549.32</v>
      </c>
      <c r="I7" s="25"/>
      <c r="J7" s="17">
        <f>H7+I7</f>
        <v>-6549.32</v>
      </c>
      <c r="K7" s="11">
        <f>(H7+I7)/(1+$K$4)^G7</f>
        <v>-6549.32</v>
      </c>
    </row>
    <row r="8" spans="1:17" x14ac:dyDescent="0.2">
      <c r="G8" s="20">
        <v>1</v>
      </c>
      <c r="H8" s="26">
        <v>-800</v>
      </c>
      <c r="I8" s="26">
        <v>4000</v>
      </c>
      <c r="J8" s="17">
        <f>H8+I8</f>
        <v>3200</v>
      </c>
      <c r="K8" s="11">
        <f>(H8+I8)/(1+$K$4)^G8</f>
        <v>3018.8618443892701</v>
      </c>
    </row>
    <row r="9" spans="1:17" x14ac:dyDescent="0.2">
      <c r="B9" t="s">
        <v>323</v>
      </c>
      <c r="G9" s="20">
        <v>2</v>
      </c>
      <c r="H9" s="26">
        <f>-800-5100</f>
        <v>-5900</v>
      </c>
      <c r="I9" s="26">
        <v>4000</v>
      </c>
      <c r="J9" s="17">
        <f>H9+I9</f>
        <v>-1900</v>
      </c>
      <c r="K9" s="11">
        <f>(H9+I9)/(1+$K$4)^G9</f>
        <v>-1690.9864245574058</v>
      </c>
    </row>
    <row r="10" spans="1:17" x14ac:dyDescent="0.2">
      <c r="G10" s="20">
        <v>3</v>
      </c>
      <c r="H10" s="26">
        <v>-800</v>
      </c>
      <c r="I10" s="26">
        <v>4000</v>
      </c>
      <c r="J10" s="17">
        <f>H10+I10</f>
        <v>3200</v>
      </c>
      <c r="K10" s="11">
        <f>(H10+I10)/(1+$K$4)^G10</f>
        <v>2686.7654718297831</v>
      </c>
    </row>
    <row r="11" spans="1:17" x14ac:dyDescent="0.2">
      <c r="B11" s="34" t="s">
        <v>324</v>
      </c>
      <c r="G11" s="20">
        <v>4</v>
      </c>
      <c r="H11" s="26">
        <v>-800</v>
      </c>
      <c r="I11" s="26">
        <v>4000</v>
      </c>
      <c r="J11" s="17">
        <f>H11+I11</f>
        <v>3200</v>
      </c>
      <c r="K11" s="11">
        <f>(H11+I11)/(1+$K$4)^G11</f>
        <v>2534.6793024154581</v>
      </c>
    </row>
    <row r="12" spans="1:17" x14ac:dyDescent="0.2">
      <c r="B12" t="s">
        <v>330</v>
      </c>
      <c r="H12" s="1"/>
      <c r="I12" s="1"/>
      <c r="J12" s="1"/>
      <c r="K12" s="1"/>
    </row>
    <row r="13" spans="1:17" x14ac:dyDescent="0.2">
      <c r="B13" t="s">
        <v>329</v>
      </c>
      <c r="H13" t="s">
        <v>74</v>
      </c>
      <c r="I13" s="1"/>
      <c r="J13" s="1"/>
      <c r="K13" s="101">
        <f>SUM(K7:K11)</f>
        <v>1.9407710533414502E-4</v>
      </c>
      <c r="Q13" s="24"/>
    </row>
    <row r="14" spans="1:17" x14ac:dyDescent="0.2">
      <c r="H14" s="1"/>
      <c r="I14" s="1"/>
      <c r="J14" s="1"/>
      <c r="K14" s="1"/>
    </row>
    <row r="15" spans="1:17" x14ac:dyDescent="0.2">
      <c r="H15" t="s">
        <v>77</v>
      </c>
    </row>
    <row r="17" spans="8:8" x14ac:dyDescent="0.2">
      <c r="H17" t="s">
        <v>78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4"/>
  <sheetViews>
    <sheetView topLeftCell="E1" zoomScale="145" zoomScaleNormal="145" workbookViewId="0">
      <selection activeCell="K4" sqref="K4"/>
    </sheetView>
  </sheetViews>
  <sheetFormatPr baseColWidth="10" defaultColWidth="8.83203125" defaultRowHeight="15" x14ac:dyDescent="0.2"/>
  <cols>
    <col min="1" max="1" width="4.1640625" customWidth="1"/>
    <col min="2" max="2" width="42" customWidth="1"/>
    <col min="3" max="5" width="18.5" customWidth="1"/>
    <col min="6" max="6" width="5.1640625" customWidth="1"/>
    <col min="7" max="7" width="6.83203125" customWidth="1"/>
    <col min="8" max="8" width="23.33203125" customWidth="1"/>
    <col min="9" max="9" width="15.33203125" customWidth="1"/>
    <col min="10" max="10" width="14.33203125" customWidth="1"/>
    <col min="11" max="11" width="18.33203125" customWidth="1"/>
    <col min="12" max="12" width="3.83203125" customWidth="1"/>
  </cols>
  <sheetData>
    <row r="1" spans="1:17" x14ac:dyDescent="0.2">
      <c r="A1" s="34" t="s">
        <v>331</v>
      </c>
    </row>
    <row r="2" spans="1:17" x14ac:dyDescent="0.2">
      <c r="A2" s="3" t="s">
        <v>308</v>
      </c>
      <c r="B2" s="3"/>
      <c r="C2" s="3"/>
      <c r="H2" s="3" t="s">
        <v>325</v>
      </c>
      <c r="I2" s="3"/>
      <c r="J2" s="3"/>
      <c r="K2" s="3"/>
      <c r="M2" s="3" t="s">
        <v>75</v>
      </c>
      <c r="N2" s="3"/>
      <c r="O2" s="3"/>
    </row>
    <row r="4" spans="1:17" x14ac:dyDescent="0.2">
      <c r="B4" t="s">
        <v>332</v>
      </c>
      <c r="H4" t="s">
        <v>318</v>
      </c>
      <c r="K4" s="27">
        <v>6.0050408169631544E-2</v>
      </c>
      <c r="M4" t="s">
        <v>76</v>
      </c>
      <c r="O4" s="19">
        <f>IRR(J7:J17)</f>
        <v>6.0050408223057294E-2</v>
      </c>
    </row>
    <row r="5" spans="1:17" x14ac:dyDescent="0.2">
      <c r="B5" t="s">
        <v>333</v>
      </c>
      <c r="M5" t="s">
        <v>327</v>
      </c>
    </row>
    <row r="6" spans="1:17" x14ac:dyDescent="0.2">
      <c r="B6" t="s">
        <v>334</v>
      </c>
      <c r="G6" t="s">
        <v>11</v>
      </c>
      <c r="H6" s="4" t="s">
        <v>344</v>
      </c>
      <c r="I6" s="4" t="s">
        <v>275</v>
      </c>
      <c r="J6" s="20" t="s">
        <v>326</v>
      </c>
      <c r="K6" s="9" t="s">
        <v>56</v>
      </c>
      <c r="M6" t="s">
        <v>328</v>
      </c>
    </row>
    <row r="7" spans="1:17" x14ac:dyDescent="0.2">
      <c r="G7" s="20">
        <v>0</v>
      </c>
      <c r="H7" s="26"/>
      <c r="I7" s="25"/>
      <c r="J7" s="17">
        <f>H7+I7</f>
        <v>0</v>
      </c>
      <c r="K7" s="11">
        <f>(H7+I7)/(1+$K$4)^G7</f>
        <v>0</v>
      </c>
    </row>
    <row r="8" spans="1:17" x14ac:dyDescent="0.2">
      <c r="B8" t="s">
        <v>335</v>
      </c>
      <c r="G8" s="20">
        <v>1</v>
      </c>
      <c r="H8" s="26"/>
      <c r="I8" s="26">
        <v>1517</v>
      </c>
      <c r="J8" s="17">
        <f>H8+I8</f>
        <v>1517</v>
      </c>
      <c r="K8" s="11">
        <f>(H8+I8)/(1+$K$4)^G8</f>
        <v>1431.0640213981658</v>
      </c>
    </row>
    <row r="9" spans="1:17" x14ac:dyDescent="0.2">
      <c r="B9" t="s">
        <v>336</v>
      </c>
      <c r="G9" s="20">
        <v>2</v>
      </c>
      <c r="H9" s="26"/>
      <c r="I9" s="26">
        <v>1517</v>
      </c>
      <c r="J9" s="17">
        <f>H9+I9</f>
        <v>1517</v>
      </c>
      <c r="K9" s="11">
        <f>(H9+I9)/(1+$K$4)^G9</f>
        <v>1349.9961986422477</v>
      </c>
    </row>
    <row r="10" spans="1:17" x14ac:dyDescent="0.2">
      <c r="B10" t="s">
        <v>337</v>
      </c>
      <c r="G10" s="20">
        <v>3</v>
      </c>
      <c r="H10" s="26"/>
      <c r="I10" s="26">
        <v>1517</v>
      </c>
      <c r="J10" s="17">
        <f>H10+I10</f>
        <v>1517</v>
      </c>
      <c r="K10" s="11">
        <f>(H10+I10)/(1+$K$4)^G10</f>
        <v>1273.5207573508319</v>
      </c>
    </row>
    <row r="11" spans="1:17" x14ac:dyDescent="0.2">
      <c r="G11" s="20">
        <v>4</v>
      </c>
      <c r="H11" s="26"/>
      <c r="I11" s="26">
        <v>1517</v>
      </c>
      <c r="J11" s="17">
        <f>H11+I11</f>
        <v>1517</v>
      </c>
      <c r="K11" s="11">
        <f>(H11+I11)/(1+$K$4)^G11</f>
        <v>1201.3775453846531</v>
      </c>
    </row>
    <row r="12" spans="1:17" x14ac:dyDescent="0.2">
      <c r="B12" s="34" t="s">
        <v>324</v>
      </c>
      <c r="G12" s="20">
        <v>5</v>
      </c>
      <c r="H12" s="26"/>
      <c r="I12" s="26">
        <v>1517</v>
      </c>
      <c r="J12" s="17">
        <f t="shared" ref="J12:J17" si="0">H12+I12</f>
        <v>1517</v>
      </c>
      <c r="K12" s="11">
        <f t="shared" ref="K12:K17" si="1">(H12+I12)/(1+$K$4)^G12</f>
        <v>1133.3211478679098</v>
      </c>
    </row>
    <row r="13" spans="1:17" x14ac:dyDescent="0.2">
      <c r="B13" t="s">
        <v>338</v>
      </c>
      <c r="G13" s="20">
        <v>6</v>
      </c>
      <c r="H13" s="26"/>
      <c r="I13" s="26">
        <v>1517</v>
      </c>
      <c r="J13" s="17">
        <f t="shared" si="0"/>
        <v>1517</v>
      </c>
      <c r="K13" s="11">
        <f t="shared" si="1"/>
        <v>1069.1200523424102</v>
      </c>
      <c r="Q13" s="24"/>
    </row>
    <row r="14" spans="1:17" x14ac:dyDescent="0.2">
      <c r="B14" t="s">
        <v>339</v>
      </c>
      <c r="G14" s="20">
        <v>7</v>
      </c>
      <c r="H14" s="26"/>
      <c r="I14" s="26">
        <v>1517</v>
      </c>
      <c r="J14" s="17">
        <f t="shared" si="0"/>
        <v>1517</v>
      </c>
      <c r="K14" s="11">
        <f t="shared" si="1"/>
        <v>1008.5558612145992</v>
      </c>
    </row>
    <row r="15" spans="1:17" x14ac:dyDescent="0.2">
      <c r="G15" s="20">
        <v>8</v>
      </c>
      <c r="H15" s="26"/>
      <c r="I15" s="26">
        <v>1517</v>
      </c>
      <c r="J15" s="17">
        <f t="shared" si="0"/>
        <v>1517</v>
      </c>
      <c r="K15" s="11">
        <f t="shared" si="1"/>
        <v>951.42254881638394</v>
      </c>
    </row>
    <row r="16" spans="1:17" x14ac:dyDescent="0.2">
      <c r="G16" s="20">
        <v>9</v>
      </c>
      <c r="H16" s="26"/>
      <c r="I16" s="26">
        <v>1517</v>
      </c>
      <c r="J16" s="17">
        <f t="shared" si="0"/>
        <v>1517</v>
      </c>
      <c r="K16" s="11">
        <f t="shared" si="1"/>
        <v>897.52576055245027</v>
      </c>
    </row>
    <row r="17" spans="7:14" x14ac:dyDescent="0.2">
      <c r="G17" s="20">
        <v>10</v>
      </c>
      <c r="H17" s="26">
        <v>-20000</v>
      </c>
      <c r="I17" s="26">
        <v>1517</v>
      </c>
      <c r="J17" s="17">
        <f t="shared" si="0"/>
        <v>-18483</v>
      </c>
      <c r="K17" s="11">
        <f t="shared" si="1"/>
        <v>-10315.903896370381</v>
      </c>
      <c r="N17" s="19"/>
    </row>
    <row r="19" spans="7:14" x14ac:dyDescent="0.2">
      <c r="H19" s="1"/>
      <c r="I19" s="1"/>
      <c r="J19" s="1"/>
      <c r="K19" s="1"/>
    </row>
    <row r="20" spans="7:14" x14ac:dyDescent="0.2">
      <c r="H20" t="s">
        <v>74</v>
      </c>
      <c r="I20" s="1"/>
      <c r="J20" s="1"/>
      <c r="K20" s="101">
        <f>SUM(K7:K17)</f>
        <v>-2.8007289074594155E-6</v>
      </c>
    </row>
    <row r="21" spans="7:14" x14ac:dyDescent="0.2">
      <c r="H21" s="1"/>
      <c r="I21" s="1"/>
      <c r="J21" s="1"/>
      <c r="K21" s="1"/>
    </row>
    <row r="22" spans="7:14" x14ac:dyDescent="0.2">
      <c r="H22" t="s">
        <v>77</v>
      </c>
    </row>
    <row r="24" spans="7:14" x14ac:dyDescent="0.2">
      <c r="H24" t="s">
        <v>78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B22"/>
  <sheetViews>
    <sheetView topLeftCell="I17" zoomScale="175" zoomScaleNormal="175" workbookViewId="0">
      <selection activeCell="Q14" sqref="Q14"/>
    </sheetView>
  </sheetViews>
  <sheetFormatPr baseColWidth="10" defaultColWidth="8.83203125" defaultRowHeight="15" x14ac:dyDescent="0.2"/>
  <cols>
    <col min="1" max="1" width="5.1640625" customWidth="1"/>
    <col min="2" max="2" width="6.83203125" customWidth="1"/>
    <col min="3" max="3" width="14.1640625" customWidth="1"/>
    <col min="4" max="4" width="10.6640625" customWidth="1"/>
    <col min="5" max="5" width="10.1640625" customWidth="1"/>
    <col min="6" max="6" width="4" customWidth="1"/>
    <col min="7" max="7" width="18.33203125" customWidth="1"/>
    <col min="8" max="8" width="10.5" bestFit="1" customWidth="1"/>
    <col min="9" max="17" width="8.6640625" bestFit="1" customWidth="1"/>
    <col min="18" max="23" width="3.83203125" customWidth="1"/>
  </cols>
  <sheetData>
    <row r="1" spans="1:28" x14ac:dyDescent="0.2">
      <c r="A1" s="34" t="s">
        <v>340</v>
      </c>
    </row>
    <row r="2" spans="1:28" x14ac:dyDescent="0.2">
      <c r="C2" s="3" t="s">
        <v>325</v>
      </c>
      <c r="D2" s="3"/>
      <c r="E2" s="3"/>
      <c r="F2" s="3"/>
      <c r="G2" s="3"/>
    </row>
    <row r="4" spans="1:28" x14ac:dyDescent="0.2">
      <c r="C4" t="s">
        <v>6</v>
      </c>
      <c r="G4" s="27">
        <v>0</v>
      </c>
      <c r="H4" s="27">
        <v>0.02</v>
      </c>
      <c r="I4" s="27">
        <v>0.04</v>
      </c>
      <c r="J4" s="27">
        <v>0.06</v>
      </c>
      <c r="K4" s="27">
        <v>0.08</v>
      </c>
      <c r="L4" s="27">
        <v>0.1</v>
      </c>
      <c r="M4" s="27">
        <v>0.12</v>
      </c>
      <c r="N4" s="27">
        <v>0.14000000000000001</v>
      </c>
      <c r="O4" s="27">
        <v>0.16</v>
      </c>
      <c r="P4" s="27">
        <v>0.18</v>
      </c>
      <c r="Q4" s="27">
        <v>0.2</v>
      </c>
    </row>
    <row r="6" spans="1:28" x14ac:dyDescent="0.2">
      <c r="B6" t="s">
        <v>11</v>
      </c>
      <c r="C6" s="4" t="s">
        <v>155</v>
      </c>
      <c r="D6" s="4" t="s">
        <v>275</v>
      </c>
      <c r="E6" s="20" t="s">
        <v>326</v>
      </c>
      <c r="F6" s="20"/>
      <c r="G6" s="9" t="s">
        <v>56</v>
      </c>
      <c r="H6" s="9" t="s">
        <v>57</v>
      </c>
      <c r="I6" s="9" t="s">
        <v>57</v>
      </c>
      <c r="J6" s="9" t="s">
        <v>57</v>
      </c>
      <c r="K6" s="9" t="s">
        <v>57</v>
      </c>
      <c r="L6" s="9" t="s">
        <v>57</v>
      </c>
      <c r="M6" s="9" t="s">
        <v>57</v>
      </c>
      <c r="N6" s="9" t="s">
        <v>57</v>
      </c>
      <c r="O6" s="9" t="s">
        <v>57</v>
      </c>
      <c r="P6" s="9" t="s">
        <v>57</v>
      </c>
      <c r="Q6" s="9" t="s">
        <v>57</v>
      </c>
    </row>
    <row r="7" spans="1:28" x14ac:dyDescent="0.2">
      <c r="B7" s="20">
        <v>0</v>
      </c>
      <c r="C7" s="26">
        <v>-20000</v>
      </c>
      <c r="D7" s="25"/>
      <c r="E7" s="17">
        <f>C7+D7</f>
        <v>-20000</v>
      </c>
      <c r="F7" s="17"/>
      <c r="G7" s="11">
        <f>($E7)/(1+G$4)^$B7</f>
        <v>-20000</v>
      </c>
      <c r="H7" s="11">
        <f>($E7)/(1+H$4)^$B7</f>
        <v>-20000</v>
      </c>
      <c r="I7" s="11">
        <f t="shared" ref="I7:Q7" si="0">($E7)/(1+I$4)^$B7</f>
        <v>-20000</v>
      </c>
      <c r="J7" s="11">
        <f t="shared" si="0"/>
        <v>-20000</v>
      </c>
      <c r="K7" s="11">
        <f t="shared" si="0"/>
        <v>-20000</v>
      </c>
      <c r="L7" s="11">
        <f t="shared" si="0"/>
        <v>-20000</v>
      </c>
      <c r="M7" s="11">
        <f t="shared" si="0"/>
        <v>-20000</v>
      </c>
      <c r="N7" s="11">
        <f t="shared" si="0"/>
        <v>-20000</v>
      </c>
      <c r="O7" s="11">
        <f t="shared" si="0"/>
        <v>-20000</v>
      </c>
      <c r="P7" s="11">
        <f t="shared" si="0"/>
        <v>-20000</v>
      </c>
      <c r="Q7" s="11">
        <f t="shared" si="0"/>
        <v>-20000</v>
      </c>
    </row>
    <row r="8" spans="1:28" x14ac:dyDescent="0.2">
      <c r="B8" s="20">
        <v>1</v>
      </c>
      <c r="C8" s="26"/>
      <c r="D8" s="26">
        <v>3000</v>
      </c>
      <c r="E8" s="17">
        <f t="shared" ref="E8:E17" si="1">C8+D8</f>
        <v>3000</v>
      </c>
      <c r="F8" s="17"/>
      <c r="G8" s="11">
        <f t="shared" ref="G8:Q17" si="2">($E8)/(1+G$4)^$B8</f>
        <v>3000</v>
      </c>
      <c r="H8" s="11">
        <f t="shared" si="2"/>
        <v>2941.1764705882351</v>
      </c>
      <c r="I8" s="11">
        <f t="shared" si="2"/>
        <v>2884.6153846153843</v>
      </c>
      <c r="J8" s="11">
        <f t="shared" si="2"/>
        <v>2830.1886792452829</v>
      </c>
      <c r="K8" s="11">
        <f t="shared" si="2"/>
        <v>2777.7777777777774</v>
      </c>
      <c r="L8" s="11">
        <f t="shared" si="2"/>
        <v>2727.272727272727</v>
      </c>
      <c r="M8" s="11">
        <f t="shared" si="2"/>
        <v>2678.5714285714284</v>
      </c>
      <c r="N8" s="11">
        <f t="shared" si="2"/>
        <v>2631.5789473684208</v>
      </c>
      <c r="O8" s="11">
        <f t="shared" si="2"/>
        <v>2586.2068965517242</v>
      </c>
      <c r="P8" s="11">
        <f t="shared" si="2"/>
        <v>2542.3728813559323</v>
      </c>
      <c r="Q8" s="11">
        <f t="shared" si="2"/>
        <v>2500</v>
      </c>
    </row>
    <row r="9" spans="1:28" x14ac:dyDescent="0.2">
      <c r="B9" s="20">
        <v>2</v>
      </c>
      <c r="C9" s="26"/>
      <c r="D9" s="26">
        <v>3000</v>
      </c>
      <c r="E9" s="17">
        <f t="shared" si="1"/>
        <v>3000</v>
      </c>
      <c r="F9" s="17"/>
      <c r="G9" s="11">
        <f t="shared" si="2"/>
        <v>3000</v>
      </c>
      <c r="H9" s="11">
        <f t="shared" si="2"/>
        <v>2883.5063437139561</v>
      </c>
      <c r="I9" s="11">
        <f t="shared" si="2"/>
        <v>2773.6686390532541</v>
      </c>
      <c r="J9" s="11">
        <f t="shared" si="2"/>
        <v>2669.9893200427196</v>
      </c>
      <c r="K9" s="11">
        <f t="shared" si="2"/>
        <v>2572.0164609053495</v>
      </c>
      <c r="L9" s="11">
        <f t="shared" si="2"/>
        <v>2479.3388429752063</v>
      </c>
      <c r="M9" s="11">
        <f t="shared" si="2"/>
        <v>2391.5816326530608</v>
      </c>
      <c r="N9" s="11">
        <f t="shared" si="2"/>
        <v>2308.402585410895</v>
      </c>
      <c r="O9" s="11">
        <f t="shared" si="2"/>
        <v>2229.4887039239002</v>
      </c>
      <c r="P9" s="11">
        <f t="shared" si="2"/>
        <v>2154.5532892846886</v>
      </c>
      <c r="Q9" s="11">
        <f t="shared" si="2"/>
        <v>2083.3333333333335</v>
      </c>
    </row>
    <row r="10" spans="1:28" x14ac:dyDescent="0.2">
      <c r="B10" s="20">
        <v>3</v>
      </c>
      <c r="C10" s="26"/>
      <c r="D10" s="26">
        <v>3000</v>
      </c>
      <c r="E10" s="17">
        <f t="shared" si="1"/>
        <v>3000</v>
      </c>
      <c r="F10" s="17"/>
      <c r="G10" s="11">
        <f t="shared" si="2"/>
        <v>3000</v>
      </c>
      <c r="H10" s="11">
        <f t="shared" si="2"/>
        <v>2826.9670036411335</v>
      </c>
      <c r="I10" s="11">
        <f t="shared" si="2"/>
        <v>2666.9890760127446</v>
      </c>
      <c r="J10" s="11">
        <f t="shared" si="2"/>
        <v>2518.8578490969048</v>
      </c>
      <c r="K10" s="11">
        <f t="shared" si="2"/>
        <v>2381.4967230605089</v>
      </c>
      <c r="L10" s="11">
        <f t="shared" si="2"/>
        <v>2253.9444027047325</v>
      </c>
      <c r="M10" s="11">
        <f t="shared" si="2"/>
        <v>2135.3407434402325</v>
      </c>
      <c r="N10" s="11">
        <f t="shared" si="2"/>
        <v>2024.9145486060484</v>
      </c>
      <c r="O10" s="11">
        <f t="shared" si="2"/>
        <v>1921.973020624052</v>
      </c>
      <c r="P10" s="11">
        <f t="shared" si="2"/>
        <v>1825.8926180378717</v>
      </c>
      <c r="Q10" s="11">
        <f t="shared" si="2"/>
        <v>1736.1111111111111</v>
      </c>
    </row>
    <row r="11" spans="1:28" x14ac:dyDescent="0.2">
      <c r="B11" s="20">
        <v>4</v>
      </c>
      <c r="C11" s="26"/>
      <c r="D11" s="26">
        <v>3000</v>
      </c>
      <c r="E11" s="17">
        <f t="shared" si="1"/>
        <v>3000</v>
      </c>
      <c r="F11" s="17"/>
      <c r="G11" s="11">
        <f t="shared" si="2"/>
        <v>3000</v>
      </c>
      <c r="H11" s="11">
        <f t="shared" si="2"/>
        <v>2771.5362780795426</v>
      </c>
      <c r="I11" s="11">
        <f t="shared" si="2"/>
        <v>2564.4125730891769</v>
      </c>
      <c r="J11" s="11">
        <f t="shared" si="2"/>
        <v>2376.280989714061</v>
      </c>
      <c r="K11" s="11">
        <f t="shared" si="2"/>
        <v>2205.0895583893598</v>
      </c>
      <c r="L11" s="11">
        <f t="shared" si="2"/>
        <v>2049.0403660952115</v>
      </c>
      <c r="M11" s="11">
        <f t="shared" si="2"/>
        <v>1906.5542352144935</v>
      </c>
      <c r="N11" s="11">
        <f t="shared" si="2"/>
        <v>1776.2408321105684</v>
      </c>
      <c r="O11" s="11">
        <f t="shared" si="2"/>
        <v>1656.8732936414242</v>
      </c>
      <c r="P11" s="11">
        <f t="shared" si="2"/>
        <v>1547.3666254558236</v>
      </c>
      <c r="Q11" s="11">
        <f t="shared" si="2"/>
        <v>1446.7592592592594</v>
      </c>
    </row>
    <row r="12" spans="1:28" x14ac:dyDescent="0.2">
      <c r="B12" s="20">
        <v>5</v>
      </c>
      <c r="C12" s="26"/>
      <c r="D12" s="26">
        <v>3000</v>
      </c>
      <c r="E12" s="17">
        <f t="shared" si="1"/>
        <v>3000</v>
      </c>
      <c r="F12" s="17"/>
      <c r="G12" s="11">
        <f t="shared" si="2"/>
        <v>3000</v>
      </c>
      <c r="H12" s="11">
        <f t="shared" si="2"/>
        <v>2717.1924294897476</v>
      </c>
      <c r="I12" s="11">
        <f t="shared" si="2"/>
        <v>2465.7813202780544</v>
      </c>
      <c r="J12" s="11">
        <f t="shared" si="2"/>
        <v>2241.7745185981707</v>
      </c>
      <c r="K12" s="11">
        <f t="shared" si="2"/>
        <v>2041.7495911012591</v>
      </c>
      <c r="L12" s="11">
        <f t="shared" si="2"/>
        <v>1862.7639691774648</v>
      </c>
      <c r="M12" s="11">
        <f t="shared" si="2"/>
        <v>1702.2805671557976</v>
      </c>
      <c r="N12" s="11">
        <f t="shared" si="2"/>
        <v>1558.1059930794459</v>
      </c>
      <c r="O12" s="11">
        <f t="shared" si="2"/>
        <v>1428.3390462426071</v>
      </c>
      <c r="P12" s="11">
        <f t="shared" si="2"/>
        <v>1311.3276486913762</v>
      </c>
      <c r="Q12" s="11">
        <f t="shared" si="2"/>
        <v>1205.6327160493827</v>
      </c>
    </row>
    <row r="13" spans="1:28" x14ac:dyDescent="0.2">
      <c r="B13" s="20">
        <v>6</v>
      </c>
      <c r="C13" s="26"/>
      <c r="D13" s="26">
        <v>3000</v>
      </c>
      <c r="E13" s="17">
        <f t="shared" si="1"/>
        <v>3000</v>
      </c>
      <c r="F13" s="17"/>
      <c r="G13" s="11">
        <f t="shared" si="2"/>
        <v>3000</v>
      </c>
      <c r="H13" s="11">
        <f t="shared" si="2"/>
        <v>2663.9141465585758</v>
      </c>
      <c r="I13" s="11">
        <f t="shared" si="2"/>
        <v>2370.9435771904373</v>
      </c>
      <c r="J13" s="11">
        <f t="shared" si="2"/>
        <v>2114.8816213190289</v>
      </c>
      <c r="K13" s="11">
        <f t="shared" si="2"/>
        <v>1890.5088806493136</v>
      </c>
      <c r="L13" s="11">
        <f t="shared" si="2"/>
        <v>1693.4217901613315</v>
      </c>
      <c r="M13" s="11">
        <f t="shared" si="2"/>
        <v>1519.893363531962</v>
      </c>
      <c r="N13" s="11">
        <f t="shared" si="2"/>
        <v>1366.7596430521453</v>
      </c>
      <c r="O13" s="11">
        <f t="shared" si="2"/>
        <v>1231.3267640022475</v>
      </c>
      <c r="P13" s="11">
        <f t="shared" si="2"/>
        <v>1111.2946175350644</v>
      </c>
      <c r="Q13" s="11">
        <f t="shared" si="2"/>
        <v>1004.6939300411524</v>
      </c>
      <c r="AB13" s="24"/>
    </row>
    <row r="14" spans="1:28" x14ac:dyDescent="0.2">
      <c r="B14" s="20">
        <v>7</v>
      </c>
      <c r="C14" s="26"/>
      <c r="D14" s="26">
        <v>3000</v>
      </c>
      <c r="E14" s="17">
        <f t="shared" si="1"/>
        <v>3000</v>
      </c>
      <c r="F14" s="17"/>
      <c r="G14" s="11">
        <f t="shared" si="2"/>
        <v>3000</v>
      </c>
      <c r="H14" s="11">
        <f t="shared" si="2"/>
        <v>2611.6805358417419</v>
      </c>
      <c r="I14" s="11">
        <f t="shared" si="2"/>
        <v>2279.7534396061897</v>
      </c>
      <c r="J14" s="11">
        <f t="shared" si="2"/>
        <v>1995.171340867008</v>
      </c>
      <c r="K14" s="11">
        <f t="shared" si="2"/>
        <v>1750.4711857864015</v>
      </c>
      <c r="L14" s="11">
        <f t="shared" si="2"/>
        <v>1539.4743546921193</v>
      </c>
      <c r="M14" s="11">
        <f t="shared" si="2"/>
        <v>1357.0476460106804</v>
      </c>
      <c r="N14" s="11">
        <f t="shared" si="2"/>
        <v>1198.9119675896009</v>
      </c>
      <c r="O14" s="11">
        <f t="shared" si="2"/>
        <v>1061.48858965711</v>
      </c>
      <c r="P14" s="11">
        <f t="shared" si="2"/>
        <v>941.77509960598684</v>
      </c>
      <c r="Q14" s="11">
        <f t="shared" si="2"/>
        <v>837.24494170096034</v>
      </c>
    </row>
    <row r="15" spans="1:28" x14ac:dyDescent="0.2">
      <c r="B15" s="20">
        <v>8</v>
      </c>
      <c r="C15" s="26"/>
      <c r="D15" s="26">
        <v>3000</v>
      </c>
      <c r="E15" s="17">
        <f t="shared" si="1"/>
        <v>3000</v>
      </c>
      <c r="F15" s="17"/>
      <c r="G15" s="11">
        <f t="shared" si="2"/>
        <v>3000</v>
      </c>
      <c r="H15" s="11">
        <f t="shared" si="2"/>
        <v>2560.4711135703346</v>
      </c>
      <c r="I15" s="11">
        <f t="shared" si="2"/>
        <v>2192.0706150059514</v>
      </c>
      <c r="J15" s="11">
        <f t="shared" si="2"/>
        <v>1882.2371140254795</v>
      </c>
      <c r="K15" s="11">
        <f t="shared" si="2"/>
        <v>1620.8066535059272</v>
      </c>
      <c r="L15" s="11">
        <f t="shared" si="2"/>
        <v>1399.5221406291996</v>
      </c>
      <c r="M15" s="11">
        <f t="shared" si="2"/>
        <v>1211.6496839381073</v>
      </c>
      <c r="N15" s="11">
        <f t="shared" si="2"/>
        <v>1051.6771645522813</v>
      </c>
      <c r="O15" s="11">
        <f t="shared" si="2"/>
        <v>915.0763703940604</v>
      </c>
      <c r="P15" s="11">
        <f t="shared" si="2"/>
        <v>798.11449119151439</v>
      </c>
      <c r="Q15" s="11">
        <f t="shared" si="2"/>
        <v>697.7041180841336</v>
      </c>
    </row>
    <row r="16" spans="1:28" x14ac:dyDescent="0.2">
      <c r="B16" s="20">
        <v>9</v>
      </c>
      <c r="C16" s="26"/>
      <c r="D16" s="26">
        <v>3000</v>
      </c>
      <c r="E16" s="17">
        <f t="shared" si="1"/>
        <v>3000</v>
      </c>
      <c r="F16" s="17"/>
      <c r="G16" s="11">
        <f t="shared" si="2"/>
        <v>3000</v>
      </c>
      <c r="H16" s="11">
        <f t="shared" si="2"/>
        <v>2510.2657976179753</v>
      </c>
      <c r="I16" s="11">
        <f t="shared" si="2"/>
        <v>2107.7602067364915</v>
      </c>
      <c r="J16" s="11">
        <f t="shared" si="2"/>
        <v>1775.695390590075</v>
      </c>
      <c r="K16" s="11">
        <f t="shared" si="2"/>
        <v>1500.7469013943771</v>
      </c>
      <c r="L16" s="11">
        <f t="shared" si="2"/>
        <v>1272.2928551174539</v>
      </c>
      <c r="M16" s="11">
        <f t="shared" si="2"/>
        <v>1081.8300749447387</v>
      </c>
      <c r="N16" s="11">
        <f t="shared" si="2"/>
        <v>922.5238285546327</v>
      </c>
      <c r="O16" s="11">
        <f t="shared" si="2"/>
        <v>788.85893999487973</v>
      </c>
      <c r="P16" s="11">
        <f t="shared" si="2"/>
        <v>676.36821287416467</v>
      </c>
      <c r="Q16" s="11">
        <f t="shared" si="2"/>
        <v>581.42009840344463</v>
      </c>
    </row>
    <row r="17" spans="2:17" x14ac:dyDescent="0.2">
      <c r="B17" s="20">
        <v>10</v>
      </c>
      <c r="C17" s="26"/>
      <c r="D17" s="26">
        <v>3000</v>
      </c>
      <c r="E17" s="17">
        <f t="shared" si="1"/>
        <v>3000</v>
      </c>
      <c r="F17" s="17"/>
      <c r="G17" s="11">
        <f t="shared" si="2"/>
        <v>3000</v>
      </c>
      <c r="H17" s="11">
        <f t="shared" si="2"/>
        <v>2461.0448996254659</v>
      </c>
      <c r="I17" s="11">
        <f t="shared" si="2"/>
        <v>2026.6925064773957</v>
      </c>
      <c r="J17" s="11">
        <f t="shared" si="2"/>
        <v>1675.1843307453537</v>
      </c>
      <c r="K17" s="11">
        <f t="shared" si="2"/>
        <v>1389.5804642540527</v>
      </c>
      <c r="L17" s="11">
        <f t="shared" si="2"/>
        <v>1156.6298682885945</v>
      </c>
      <c r="M17" s="11">
        <f t="shared" si="2"/>
        <v>965.91970977208803</v>
      </c>
      <c r="N17" s="11">
        <f t="shared" si="2"/>
        <v>809.23142855669516</v>
      </c>
      <c r="O17" s="11">
        <f t="shared" si="2"/>
        <v>680.05081034041348</v>
      </c>
      <c r="P17" s="11">
        <f t="shared" si="2"/>
        <v>573.19340074081765</v>
      </c>
      <c r="Q17" s="11">
        <f t="shared" si="2"/>
        <v>484.51674866953721</v>
      </c>
    </row>
    <row r="19" spans="2:17" x14ac:dyDescent="0.2">
      <c r="D19" s="1"/>
      <c r="E19" s="1"/>
      <c r="F19" s="104" t="s">
        <v>6</v>
      </c>
      <c r="G19" s="103">
        <f>G4</f>
        <v>0</v>
      </c>
      <c r="H19" s="103">
        <f t="shared" ref="H19:Q19" si="3">H4</f>
        <v>0.02</v>
      </c>
      <c r="I19" s="103">
        <f t="shared" si="3"/>
        <v>0.04</v>
      </c>
      <c r="J19" s="103">
        <f t="shared" si="3"/>
        <v>0.06</v>
      </c>
      <c r="K19" s="103">
        <f t="shared" si="3"/>
        <v>0.08</v>
      </c>
      <c r="L19" s="103">
        <f t="shared" si="3"/>
        <v>0.1</v>
      </c>
      <c r="M19" s="103">
        <f t="shared" si="3"/>
        <v>0.12</v>
      </c>
      <c r="N19" s="103">
        <f t="shared" si="3"/>
        <v>0.14000000000000001</v>
      </c>
      <c r="O19" s="103">
        <f t="shared" si="3"/>
        <v>0.16</v>
      </c>
      <c r="P19" s="103">
        <f t="shared" si="3"/>
        <v>0.18</v>
      </c>
      <c r="Q19" s="103">
        <f t="shared" si="3"/>
        <v>0.2</v>
      </c>
    </row>
    <row r="20" spans="2:17" x14ac:dyDescent="0.2">
      <c r="C20" t="s">
        <v>341</v>
      </c>
      <c r="D20" s="1"/>
      <c r="E20" s="1"/>
      <c r="F20" s="105" t="s">
        <v>341</v>
      </c>
      <c r="G20" s="102">
        <f t="shared" ref="G20:Q20" si="4">SUM(G7:G17)</f>
        <v>10000</v>
      </c>
      <c r="H20" s="102">
        <f t="shared" si="4"/>
        <v>6947.7550187267061</v>
      </c>
      <c r="I20" s="102">
        <f t="shared" si="4"/>
        <v>4332.6873380650777</v>
      </c>
      <c r="J20" s="102">
        <f t="shared" si="4"/>
        <v>2080.261154244085</v>
      </c>
      <c r="K20" s="102">
        <f t="shared" si="4"/>
        <v>130.24419682432654</v>
      </c>
      <c r="L20" s="102">
        <f t="shared" si="4"/>
        <v>-1566.2986828859584</v>
      </c>
      <c r="M20" s="102">
        <f t="shared" si="4"/>
        <v>-3049.3309147674127</v>
      </c>
      <c r="N20" s="102">
        <f t="shared" si="4"/>
        <v>-4351.6530611192666</v>
      </c>
      <c r="O20" s="102">
        <f t="shared" si="4"/>
        <v>-5500.3175646275804</v>
      </c>
      <c r="P20" s="102">
        <f t="shared" si="4"/>
        <v>-6517.7411152267596</v>
      </c>
      <c r="Q20" s="102">
        <f t="shared" si="4"/>
        <v>-7422.5837433476845</v>
      </c>
    </row>
    <row r="21" spans="2:17" x14ac:dyDescent="0.2">
      <c r="C21" s="1"/>
      <c r="D21" s="1"/>
      <c r="E21" s="1"/>
      <c r="F21" s="104" t="s">
        <v>342</v>
      </c>
      <c r="G21" s="15">
        <f>G20</f>
        <v>10000</v>
      </c>
      <c r="H21" s="15">
        <f>$G21-H22*($G21-$Q21)/10</f>
        <v>8257.7416256652323</v>
      </c>
      <c r="I21" s="15">
        <f>$G21-I22*($G21-$Q21)/10</f>
        <v>6515.4832513304627</v>
      </c>
      <c r="J21" s="15">
        <f t="shared" ref="J21:P21" si="5">$G21-J22*($G21-$Q21)/10</f>
        <v>4773.224876995695</v>
      </c>
      <c r="K21" s="15">
        <f t="shared" si="5"/>
        <v>3030.9665026609264</v>
      </c>
      <c r="L21" s="15">
        <f t="shared" si="5"/>
        <v>1288.7081283261577</v>
      </c>
      <c r="M21" s="15">
        <f t="shared" si="5"/>
        <v>-453.55024600860997</v>
      </c>
      <c r="N21" s="15">
        <f t="shared" si="5"/>
        <v>-2195.8086203433795</v>
      </c>
      <c r="O21" s="15">
        <f t="shared" si="5"/>
        <v>-3938.0669946781472</v>
      </c>
      <c r="P21" s="15">
        <f t="shared" si="5"/>
        <v>-5680.325369012915</v>
      </c>
      <c r="Q21" s="15">
        <f>Q20</f>
        <v>-7422.5837433476845</v>
      </c>
    </row>
    <row r="22" spans="2:17" x14ac:dyDescent="0.2">
      <c r="H22" s="105">
        <v>1</v>
      </c>
      <c r="I22" s="105">
        <v>2</v>
      </c>
      <c r="J22" s="105">
        <v>3</v>
      </c>
      <c r="K22" s="105">
        <v>4</v>
      </c>
      <c r="L22" s="105">
        <v>5</v>
      </c>
      <c r="M22" s="105">
        <v>6</v>
      </c>
      <c r="N22" s="105">
        <v>7</v>
      </c>
      <c r="O22" s="105">
        <v>8</v>
      </c>
      <c r="P22" s="105">
        <v>9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25"/>
  <sheetViews>
    <sheetView zoomScale="145" zoomScaleNormal="145" workbookViewId="0">
      <selection activeCell="C25" sqref="C25"/>
    </sheetView>
  </sheetViews>
  <sheetFormatPr baseColWidth="10" defaultColWidth="8.83203125" defaultRowHeight="15" x14ac:dyDescent="0.2"/>
  <cols>
    <col min="1" max="1" width="6.83203125" customWidth="1"/>
    <col min="2" max="2" width="33.1640625" customWidth="1"/>
    <col min="3" max="3" width="18.33203125" customWidth="1"/>
    <col min="4" max="4" width="3.83203125" customWidth="1"/>
    <col min="10" max="10" width="24.5" customWidth="1"/>
    <col min="11" max="11" width="23.83203125" customWidth="1"/>
  </cols>
  <sheetData>
    <row r="1" spans="1:14" x14ac:dyDescent="0.2">
      <c r="A1" t="s">
        <v>628</v>
      </c>
    </row>
    <row r="2" spans="1:14" x14ac:dyDescent="0.2">
      <c r="B2" s="3" t="s">
        <v>79</v>
      </c>
      <c r="C2" s="3"/>
      <c r="F2" s="3" t="s">
        <v>75</v>
      </c>
      <c r="G2" s="3"/>
      <c r="H2" s="3"/>
      <c r="J2" s="3" t="s">
        <v>71</v>
      </c>
      <c r="K2" s="3"/>
    </row>
    <row r="4" spans="1:14" x14ac:dyDescent="0.2">
      <c r="C4" s="27">
        <v>6.9106817779487045E-2</v>
      </c>
      <c r="F4" t="s">
        <v>76</v>
      </c>
      <c r="H4" s="19">
        <f>IRR(B7:B11)</f>
        <v>6.9106941454719184E-2</v>
      </c>
      <c r="J4" t="s">
        <v>6</v>
      </c>
      <c r="K4" s="28">
        <f>C4</f>
        <v>6.9106817779487045E-2</v>
      </c>
    </row>
    <row r="6" spans="1:14" x14ac:dyDescent="0.2">
      <c r="A6" t="s">
        <v>11</v>
      </c>
      <c r="B6" s="4" t="s">
        <v>50</v>
      </c>
      <c r="C6" s="9" t="s">
        <v>56</v>
      </c>
      <c r="I6" t="s">
        <v>11</v>
      </c>
      <c r="J6" t="s">
        <v>81</v>
      </c>
      <c r="K6" s="4" t="s">
        <v>80</v>
      </c>
    </row>
    <row r="7" spans="1:14" x14ac:dyDescent="0.2">
      <c r="A7" s="20">
        <v>0</v>
      </c>
      <c r="B7" s="25">
        <v>-700</v>
      </c>
      <c r="C7" s="11">
        <f>B7/(1+$C$4)^A7</f>
        <v>-700</v>
      </c>
      <c r="I7" s="20">
        <v>0</v>
      </c>
      <c r="J7" s="5">
        <v>700</v>
      </c>
    </row>
    <row r="8" spans="1:14" x14ac:dyDescent="0.2">
      <c r="A8" s="20">
        <v>1</v>
      </c>
      <c r="B8" s="26">
        <v>100</v>
      </c>
      <c r="C8" s="11">
        <f>B8/(1+$C$4)^A8</f>
        <v>93.536023096081209</v>
      </c>
      <c r="I8" s="20">
        <v>1</v>
      </c>
      <c r="J8" s="5">
        <f>J7*(1+$K$4)</f>
        <v>748.37477244564104</v>
      </c>
    </row>
    <row r="9" spans="1:14" x14ac:dyDescent="0.2">
      <c r="A9" s="20">
        <v>2</v>
      </c>
      <c r="B9" s="25">
        <v>175</v>
      </c>
      <c r="C9" s="11">
        <f>B9/(1+$C$4)^A9</f>
        <v>153.1072832910362</v>
      </c>
      <c r="I9" s="20">
        <v>2</v>
      </c>
      <c r="J9" s="5">
        <f>J8*(1+$K$4)</f>
        <v>800.09257147580706</v>
      </c>
    </row>
    <row r="10" spans="1:14" x14ac:dyDescent="0.2">
      <c r="A10" s="20">
        <v>3</v>
      </c>
      <c r="B10" s="26">
        <v>250</v>
      </c>
      <c r="C10" s="11">
        <f t="shared" ref="C10:C11" si="0">B10/(1+$C$4)^A10</f>
        <v>204.586376944123</v>
      </c>
      <c r="I10" s="20">
        <v>3</v>
      </c>
      <c r="J10" s="5">
        <f>J9*(1+$K$4)</f>
        <v>855.38442301950693</v>
      </c>
    </row>
    <row r="11" spans="1:14" x14ac:dyDescent="0.2">
      <c r="A11" s="20">
        <v>4</v>
      </c>
      <c r="B11" s="25">
        <v>325</v>
      </c>
      <c r="C11" s="11">
        <f t="shared" si="0"/>
        <v>248.77054902685791</v>
      </c>
      <c r="I11" s="20">
        <v>4</v>
      </c>
      <c r="J11" s="5">
        <f>J10*(1+$K$4)</f>
        <v>914.4973184725277</v>
      </c>
    </row>
    <row r="12" spans="1:14" x14ac:dyDescent="0.2">
      <c r="B12" s="1"/>
      <c r="C12" s="1"/>
      <c r="I12" s="20">
        <v>5</v>
      </c>
      <c r="J12" s="5">
        <f>J11*(1+$K$4)</f>
        <v>977.69531802003826</v>
      </c>
      <c r="K12">
        <f>J12/(1+K4)^5</f>
        <v>700.00000000000011</v>
      </c>
    </row>
    <row r="13" spans="1:14" x14ac:dyDescent="0.2">
      <c r="A13" t="s">
        <v>74</v>
      </c>
      <c r="B13" s="1"/>
      <c r="C13" s="5">
        <f>SUM(C7:C11)</f>
        <v>2.3235809828747733E-4</v>
      </c>
      <c r="J13" s="1"/>
      <c r="K13" s="1"/>
      <c r="N13" s="24"/>
    </row>
    <row r="14" spans="1:14" x14ac:dyDescent="0.2">
      <c r="B14" s="1"/>
      <c r="C14" s="1"/>
      <c r="K14" s="24"/>
    </row>
    <row r="15" spans="1:14" x14ac:dyDescent="0.2">
      <c r="B15" t="s">
        <v>73</v>
      </c>
      <c r="J15" t="s">
        <v>82</v>
      </c>
    </row>
    <row r="16" spans="1:14" x14ac:dyDescent="0.2">
      <c r="B16" t="s">
        <v>77</v>
      </c>
      <c r="J16" t="s">
        <v>83</v>
      </c>
    </row>
    <row r="17" spans="2:10" x14ac:dyDescent="0.2">
      <c r="B17" t="s">
        <v>78</v>
      </c>
    </row>
    <row r="18" spans="2:10" x14ac:dyDescent="0.2">
      <c r="J18" t="s">
        <v>84</v>
      </c>
    </row>
    <row r="19" spans="2:10" x14ac:dyDescent="0.2">
      <c r="B19" s="144">
        <f>IRR(B7:B11)</f>
        <v>6.9106941454719184E-2</v>
      </c>
    </row>
    <row r="21" spans="2:10" x14ac:dyDescent="0.2">
      <c r="B21" s="216" t="s">
        <v>608</v>
      </c>
    </row>
    <row r="22" spans="2:10" x14ac:dyDescent="0.2">
      <c r="B22" s="213" t="s">
        <v>609</v>
      </c>
      <c r="C22" s="213">
        <f>-B7</f>
        <v>700</v>
      </c>
    </row>
    <row r="23" spans="2:10" x14ac:dyDescent="0.2">
      <c r="B23" s="213" t="s">
        <v>610</v>
      </c>
      <c r="C23" s="214">
        <f>C22+SUM(B8:B11)</f>
        <v>1550</v>
      </c>
    </row>
    <row r="24" spans="2:10" x14ac:dyDescent="0.2">
      <c r="B24" s="213" t="s">
        <v>611</v>
      </c>
      <c r="C24" s="214">
        <f>C23-C22</f>
        <v>850</v>
      </c>
    </row>
    <row r="25" spans="2:10" x14ac:dyDescent="0.2">
      <c r="B25" s="213" t="s">
        <v>608</v>
      </c>
      <c r="C25" s="215">
        <f>C24/C22</f>
        <v>1.2142857142857142</v>
      </c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30"/>
  <sheetViews>
    <sheetView topLeftCell="V1" zoomScale="130" zoomScaleNormal="130" workbookViewId="0">
      <selection activeCell="AE4" sqref="AE4"/>
    </sheetView>
  </sheetViews>
  <sheetFormatPr baseColWidth="10" defaultColWidth="8.83203125" defaultRowHeight="15" x14ac:dyDescent="0.2"/>
  <cols>
    <col min="1" max="1" width="4.1640625" customWidth="1"/>
    <col min="2" max="2" width="9.83203125" customWidth="1"/>
    <col min="3" max="3" width="23.33203125" customWidth="1"/>
    <col min="4" max="4" width="15.33203125" customWidth="1"/>
    <col min="5" max="5" width="14.33203125" customWidth="1"/>
    <col min="6" max="6" width="18.33203125" customWidth="1"/>
    <col min="7" max="7" width="3.83203125" customWidth="1"/>
    <col min="8" max="8" width="9.83203125" customWidth="1"/>
    <col min="9" max="9" width="23.33203125" customWidth="1"/>
    <col min="10" max="10" width="15.33203125" customWidth="1"/>
    <col min="11" max="11" width="14.33203125" customWidth="1"/>
    <col min="12" max="12" width="18.33203125" customWidth="1"/>
    <col min="13" max="13" width="3.83203125" customWidth="1"/>
    <col min="14" max="14" width="9.83203125" customWidth="1"/>
    <col min="15" max="15" width="23.33203125" customWidth="1"/>
    <col min="16" max="16" width="15.33203125" customWidth="1"/>
    <col min="17" max="17" width="14.33203125" customWidth="1"/>
    <col min="18" max="18" width="18.33203125" customWidth="1"/>
    <col min="19" max="19" width="3.83203125" customWidth="1"/>
    <col min="20" max="20" width="14.1640625" customWidth="1"/>
    <col min="21" max="21" width="20.33203125" customWidth="1"/>
    <col min="22" max="22" width="4.6640625" customWidth="1"/>
    <col min="23" max="23" width="13.1640625" customWidth="1"/>
    <col min="26" max="26" width="3.5" customWidth="1"/>
    <col min="27" max="27" width="9.83203125" customWidth="1"/>
    <col min="28" max="28" width="23.33203125" customWidth="1"/>
    <col min="29" max="29" width="15.33203125" customWidth="1"/>
    <col min="30" max="30" width="14.33203125" customWidth="1"/>
    <col min="31" max="31" width="18.33203125" customWidth="1"/>
    <col min="32" max="32" width="3.83203125" customWidth="1"/>
  </cols>
  <sheetData>
    <row r="1" spans="1:34" x14ac:dyDescent="0.2">
      <c r="A1" s="34" t="s">
        <v>353</v>
      </c>
      <c r="AA1" s="34" t="s">
        <v>536</v>
      </c>
    </row>
    <row r="2" spans="1:34" x14ac:dyDescent="0.2">
      <c r="C2" s="3" t="s">
        <v>346</v>
      </c>
      <c r="D2" s="3"/>
      <c r="E2" s="3"/>
      <c r="F2" s="3"/>
      <c r="I2" s="3" t="s">
        <v>348</v>
      </c>
      <c r="J2" s="3"/>
      <c r="K2" s="3"/>
      <c r="L2" s="3"/>
      <c r="O2" s="3" t="s">
        <v>347</v>
      </c>
      <c r="P2" s="3"/>
      <c r="Q2" s="3"/>
      <c r="R2" s="3"/>
      <c r="W2" s="3" t="s">
        <v>352</v>
      </c>
      <c r="X2" s="3"/>
      <c r="Y2" s="3"/>
      <c r="AB2" s="3" t="s">
        <v>346</v>
      </c>
      <c r="AC2" s="3"/>
      <c r="AD2" s="3"/>
      <c r="AE2" s="3"/>
    </row>
    <row r="3" spans="1:34" x14ac:dyDescent="0.2">
      <c r="T3" s="3" t="s">
        <v>350</v>
      </c>
      <c r="U3" s="3"/>
      <c r="AG3" s="3" t="s">
        <v>350</v>
      </c>
      <c r="AH3" s="3"/>
    </row>
    <row r="4" spans="1:34" x14ac:dyDescent="0.2">
      <c r="C4" t="s">
        <v>349</v>
      </c>
      <c r="F4" s="27">
        <v>4.0000000340661361E-2</v>
      </c>
      <c r="I4" t="s">
        <v>349</v>
      </c>
      <c r="L4" s="27">
        <v>1.5188460589124715E-2</v>
      </c>
      <c r="O4" t="s">
        <v>349</v>
      </c>
      <c r="R4" s="106">
        <v>4.4081811063913318E-2</v>
      </c>
      <c r="T4" s="6">
        <f>(1+R4)^2-1</f>
        <v>9.0106828194501443E-2</v>
      </c>
      <c r="U4" s="87" t="s">
        <v>351</v>
      </c>
      <c r="W4" t="s">
        <v>76</v>
      </c>
      <c r="Y4" s="49">
        <f>IRR(Q9:Q27)</f>
        <v>4.4081814445310563E-2</v>
      </c>
      <c r="AB4" t="s">
        <v>349</v>
      </c>
      <c r="AE4" s="106">
        <v>4.0770000000000001E-2</v>
      </c>
      <c r="AG4" s="6">
        <f>(1+AE4)^2-1</f>
        <v>8.3202192899999972E-2</v>
      </c>
      <c r="AH4" s="87" t="s">
        <v>537</v>
      </c>
    </row>
    <row r="5" spans="1:34" x14ac:dyDescent="0.2">
      <c r="U5" t="s">
        <v>516</v>
      </c>
      <c r="W5" t="s">
        <v>327</v>
      </c>
    </row>
    <row r="6" spans="1:34" x14ac:dyDescent="0.2">
      <c r="B6" t="s">
        <v>238</v>
      </c>
      <c r="C6" s="4" t="s">
        <v>345</v>
      </c>
      <c r="D6" s="4" t="s">
        <v>275</v>
      </c>
      <c r="E6" s="20" t="s">
        <v>326</v>
      </c>
      <c r="F6" s="9" t="s">
        <v>56</v>
      </c>
      <c r="H6" t="s">
        <v>238</v>
      </c>
      <c r="I6" s="4" t="s">
        <v>345</v>
      </c>
      <c r="J6" s="4" t="s">
        <v>275</v>
      </c>
      <c r="K6" s="20" t="s">
        <v>326</v>
      </c>
      <c r="L6" s="9" t="s">
        <v>56</v>
      </c>
      <c r="N6" t="s">
        <v>238</v>
      </c>
      <c r="O6" s="4" t="s">
        <v>345</v>
      </c>
      <c r="P6" s="4" t="s">
        <v>275</v>
      </c>
      <c r="Q6" s="20" t="s">
        <v>326</v>
      </c>
      <c r="R6" s="9" t="s">
        <v>56</v>
      </c>
      <c r="T6" s="6">
        <f>(1+(2*R4)/2)^2-1</f>
        <v>9.0106828194501443E-2</v>
      </c>
      <c r="U6" s="87" t="s">
        <v>514</v>
      </c>
      <c r="W6" t="s">
        <v>328</v>
      </c>
      <c r="AA6" t="s">
        <v>238</v>
      </c>
      <c r="AB6" s="4" t="s">
        <v>345</v>
      </c>
      <c r="AC6" s="4" t="s">
        <v>275</v>
      </c>
      <c r="AD6" s="20" t="s">
        <v>326</v>
      </c>
      <c r="AE6" s="9" t="s">
        <v>56</v>
      </c>
    </row>
    <row r="7" spans="1:34" x14ac:dyDescent="0.2">
      <c r="B7" s="20">
        <v>0</v>
      </c>
      <c r="C7" s="26">
        <v>-1000</v>
      </c>
      <c r="D7" s="25"/>
      <c r="E7" s="17">
        <f>C7+D7</f>
        <v>-1000</v>
      </c>
      <c r="F7" s="11">
        <f>(C7+D7)/(1+$F$4)^B7</f>
        <v>-1000</v>
      </c>
      <c r="H7" s="20">
        <v>0</v>
      </c>
      <c r="I7" s="26">
        <v>-1000</v>
      </c>
      <c r="J7" s="25"/>
      <c r="K7" s="17">
        <f>I7+J7</f>
        <v>-1000</v>
      </c>
      <c r="L7" s="11">
        <f>(I7+J7)/(1+$F$4)^H7</f>
        <v>-1000</v>
      </c>
      <c r="N7" s="20"/>
      <c r="O7" s="26"/>
      <c r="P7" s="25"/>
      <c r="Q7" s="17">
        <f>O7+P7</f>
        <v>0</v>
      </c>
      <c r="R7" s="11">
        <f>(O7+P7)/(1+$F$4)^N7</f>
        <v>0</v>
      </c>
      <c r="U7" t="s">
        <v>515</v>
      </c>
      <c r="AA7" s="20">
        <v>0</v>
      </c>
      <c r="AB7" s="26">
        <v>-990</v>
      </c>
      <c r="AC7" s="25"/>
      <c r="AD7" s="17">
        <f>AB7+AC7</f>
        <v>-990</v>
      </c>
      <c r="AE7" s="11">
        <f>(AB7+AC7)/(1+AE$4)^AA7</f>
        <v>-990</v>
      </c>
    </row>
    <row r="8" spans="1:34" x14ac:dyDescent="0.2">
      <c r="B8" s="20">
        <v>1</v>
      </c>
      <c r="C8" s="26"/>
      <c r="D8" s="26">
        <v>40</v>
      </c>
      <c r="E8" s="17">
        <f t="shared" ref="E8:E17" si="0">C8+D8</f>
        <v>40</v>
      </c>
      <c r="F8" s="11">
        <f>(C8+D8)/(1+$F$4)^B8</f>
        <v>38.46153844894004</v>
      </c>
      <c r="H8" s="20">
        <v>1</v>
      </c>
      <c r="I8" s="26"/>
      <c r="J8" s="26">
        <f>40</f>
        <v>40</v>
      </c>
      <c r="K8" s="17">
        <f t="shared" ref="K8:K17" si="1">I8+J8</f>
        <v>40</v>
      </c>
      <c r="L8" s="11">
        <f>(I8+J8)/(1+$L$4)^H8</f>
        <v>39.401551094057517</v>
      </c>
      <c r="N8" s="20"/>
      <c r="O8" s="26"/>
      <c r="P8" s="26"/>
      <c r="Q8" s="17">
        <f t="shared" ref="Q8:Q17" si="2">O8+P8</f>
        <v>0</v>
      </c>
      <c r="R8" s="11">
        <f>(O8+P8)/(1+$R$4)^N8</f>
        <v>0</v>
      </c>
      <c r="T8" t="s">
        <v>517</v>
      </c>
      <c r="AA8" s="20">
        <v>1</v>
      </c>
      <c r="AB8" s="26"/>
      <c r="AC8" s="26">
        <v>40</v>
      </c>
      <c r="AD8" s="17">
        <f t="shared" ref="AD8:AD27" si="3">AB8+AC8</f>
        <v>40</v>
      </c>
      <c r="AE8" s="11">
        <f t="shared" ref="AE8:AE27" si="4">(AB8+AC8)/(1+AE$4)^AA8</f>
        <v>38.433083198016853</v>
      </c>
    </row>
    <row r="9" spans="1:34" x14ac:dyDescent="0.2">
      <c r="B9" s="20">
        <v>2</v>
      </c>
      <c r="C9" s="26"/>
      <c r="D9" s="26">
        <v>40</v>
      </c>
      <c r="E9" s="17">
        <f t="shared" si="0"/>
        <v>40</v>
      </c>
      <c r="F9" s="11">
        <f>(C9+D9)/(1+$F$4)^B9</f>
        <v>36.982248496482327</v>
      </c>
      <c r="H9" s="20">
        <v>2</v>
      </c>
      <c r="I9" s="26"/>
      <c r="J9" s="26">
        <f>40+950</f>
        <v>990</v>
      </c>
      <c r="K9" s="17">
        <f t="shared" si="1"/>
        <v>990</v>
      </c>
      <c r="L9" s="11">
        <f>(I9+J9)/(1+$L$4)^H9</f>
        <v>960.59837895715566</v>
      </c>
      <c r="N9" s="20">
        <v>0</v>
      </c>
      <c r="O9" s="26">
        <v>-950</v>
      </c>
      <c r="P9" s="26"/>
      <c r="Q9" s="17">
        <f t="shared" si="2"/>
        <v>-950</v>
      </c>
      <c r="R9" s="11">
        <f t="shared" ref="R9:R27" si="5">(O9+P9)/(1+$R$4)^N9</f>
        <v>-950</v>
      </c>
      <c r="AA9" s="20">
        <v>2</v>
      </c>
      <c r="AB9" s="26"/>
      <c r="AC9" s="26">
        <v>40</v>
      </c>
      <c r="AD9" s="17">
        <f t="shared" si="3"/>
        <v>40</v>
      </c>
      <c r="AE9" s="11">
        <f t="shared" si="4"/>
        <v>36.927547102642137</v>
      </c>
    </row>
    <row r="10" spans="1:34" x14ac:dyDescent="0.2">
      <c r="B10" s="20">
        <v>3</v>
      </c>
      <c r="C10" s="26"/>
      <c r="D10" s="26">
        <v>40</v>
      </c>
      <c r="E10" s="17">
        <f t="shared" si="0"/>
        <v>40</v>
      </c>
      <c r="F10" s="11">
        <f>(C10+D10)/(1+$F$4)^B10</f>
        <v>35.559854311892749</v>
      </c>
      <c r="H10" s="20">
        <v>3</v>
      </c>
      <c r="I10" s="26"/>
      <c r="J10" s="26"/>
      <c r="K10" s="17">
        <f t="shared" si="1"/>
        <v>0</v>
      </c>
      <c r="L10" s="11">
        <f t="shared" ref="L10:L27" si="6">(I10+J10)/(1+$L$4)^H10</f>
        <v>0</v>
      </c>
      <c r="N10" s="20">
        <f>N9+1</f>
        <v>1</v>
      </c>
      <c r="O10" s="26"/>
      <c r="P10" s="26">
        <v>40</v>
      </c>
      <c r="Q10" s="17">
        <f t="shared" si="2"/>
        <v>40</v>
      </c>
      <c r="R10" s="11">
        <f t="shared" si="5"/>
        <v>38.311174063304705</v>
      </c>
      <c r="AA10" s="20">
        <v>3</v>
      </c>
      <c r="AB10" s="26"/>
      <c r="AC10" s="26">
        <v>40</v>
      </c>
      <c r="AD10" s="17">
        <f t="shared" si="3"/>
        <v>40</v>
      </c>
      <c r="AE10" s="11">
        <f t="shared" si="4"/>
        <v>35.480987252363285</v>
      </c>
    </row>
    <row r="11" spans="1:34" x14ac:dyDescent="0.2">
      <c r="B11" s="20">
        <v>4</v>
      </c>
      <c r="C11" s="26"/>
      <c r="D11" s="26">
        <v>40</v>
      </c>
      <c r="E11" s="17">
        <f t="shared" si="0"/>
        <v>40</v>
      </c>
      <c r="F11" s="11">
        <f>(C11+D11)/(1+$F$4)^B11</f>
        <v>34.192167596389233</v>
      </c>
      <c r="H11" s="20">
        <v>4</v>
      </c>
      <c r="I11" s="26"/>
      <c r="J11" s="26"/>
      <c r="K11" s="17">
        <f t="shared" si="1"/>
        <v>0</v>
      </c>
      <c r="L11" s="11">
        <f t="shared" si="6"/>
        <v>0</v>
      </c>
      <c r="N11" s="20">
        <f t="shared" ref="N11:N27" si="7">N10+1</f>
        <v>2</v>
      </c>
      <c r="O11" s="26"/>
      <c r="P11" s="26">
        <v>40</v>
      </c>
      <c r="Q11" s="17">
        <f t="shared" si="2"/>
        <v>40</v>
      </c>
      <c r="R11" s="11">
        <f t="shared" si="5"/>
        <v>36.693651452720772</v>
      </c>
      <c r="AA11" s="20">
        <v>4</v>
      </c>
      <c r="AB11" s="26"/>
      <c r="AC11" s="26">
        <v>40</v>
      </c>
      <c r="AD11" s="17">
        <f t="shared" si="3"/>
        <v>40</v>
      </c>
      <c r="AE11" s="11">
        <f t="shared" si="4"/>
        <v>34.091093375446334</v>
      </c>
    </row>
    <row r="12" spans="1:34" x14ac:dyDescent="0.2">
      <c r="B12" s="20">
        <v>5</v>
      </c>
      <c r="C12" s="26"/>
      <c r="D12" s="26">
        <v>40</v>
      </c>
      <c r="E12" s="17">
        <f t="shared" si="0"/>
        <v>40</v>
      </c>
      <c r="F12" s="11">
        <f t="shared" ref="F12:F17" si="8">(C12+D12)/(1+$F$4)^B12</f>
        <v>32.877084216528154</v>
      </c>
      <c r="H12" s="20">
        <v>5</v>
      </c>
      <c r="I12" s="26"/>
      <c r="J12" s="26"/>
      <c r="K12" s="17">
        <f t="shared" si="1"/>
        <v>0</v>
      </c>
      <c r="L12" s="11">
        <f t="shared" si="6"/>
        <v>0</v>
      </c>
      <c r="N12" s="20">
        <f t="shared" si="7"/>
        <v>3</v>
      </c>
      <c r="O12" s="26"/>
      <c r="P12" s="26">
        <v>40</v>
      </c>
      <c r="Q12" s="17">
        <f t="shared" si="2"/>
        <v>40</v>
      </c>
      <c r="R12" s="11">
        <f t="shared" si="5"/>
        <v>35.144421695585471</v>
      </c>
      <c r="AA12" s="20">
        <v>5</v>
      </c>
      <c r="AB12" s="26"/>
      <c r="AC12" s="26">
        <v>40</v>
      </c>
      <c r="AD12" s="17">
        <f t="shared" si="3"/>
        <v>40</v>
      </c>
      <c r="AE12" s="11">
        <f t="shared" si="4"/>
        <v>32.755645700247257</v>
      </c>
    </row>
    <row r="13" spans="1:34" x14ac:dyDescent="0.2">
      <c r="B13" s="20">
        <v>6</v>
      </c>
      <c r="C13" s="26"/>
      <c r="D13" s="26">
        <v>40</v>
      </c>
      <c r="E13" s="17">
        <f t="shared" si="0"/>
        <v>40</v>
      </c>
      <c r="F13" s="11">
        <f t="shared" si="8"/>
        <v>31.612580967075935</v>
      </c>
      <c r="H13" s="20">
        <v>6</v>
      </c>
      <c r="I13" s="26"/>
      <c r="J13" s="26"/>
      <c r="K13" s="17">
        <f t="shared" si="1"/>
        <v>0</v>
      </c>
      <c r="L13" s="11">
        <f t="shared" si="6"/>
        <v>0</v>
      </c>
      <c r="N13" s="20">
        <f t="shared" si="7"/>
        <v>4</v>
      </c>
      <c r="O13" s="26"/>
      <c r="P13" s="26">
        <v>40</v>
      </c>
      <c r="Q13" s="17">
        <f t="shared" si="2"/>
        <v>40</v>
      </c>
      <c r="R13" s="11">
        <f t="shared" si="5"/>
        <v>33.660601423343927</v>
      </c>
      <c r="AA13" s="20">
        <v>6</v>
      </c>
      <c r="AB13" s="26"/>
      <c r="AC13" s="26">
        <v>40</v>
      </c>
      <c r="AD13" s="17">
        <f t="shared" si="3"/>
        <v>40</v>
      </c>
      <c r="AE13" s="11">
        <f t="shared" si="4"/>
        <v>31.472511410059141</v>
      </c>
      <c r="AG13" s="24"/>
    </row>
    <row r="14" spans="1:34" x14ac:dyDescent="0.2">
      <c r="B14" s="20">
        <v>7</v>
      </c>
      <c r="C14" s="26"/>
      <c r="D14" s="26">
        <v>40</v>
      </c>
      <c r="E14" s="17">
        <f t="shared" si="0"/>
        <v>40</v>
      </c>
      <c r="F14" s="11">
        <f t="shared" si="8"/>
        <v>30.396712458385529</v>
      </c>
      <c r="H14" s="20">
        <v>7</v>
      </c>
      <c r="I14" s="26"/>
      <c r="J14" s="26"/>
      <c r="K14" s="17">
        <f t="shared" si="1"/>
        <v>0</v>
      </c>
      <c r="L14" s="11">
        <f t="shared" si="6"/>
        <v>0</v>
      </c>
      <c r="N14" s="20">
        <f t="shared" si="7"/>
        <v>5</v>
      </c>
      <c r="O14" s="26"/>
      <c r="P14" s="26">
        <v>40</v>
      </c>
      <c r="Q14" s="17">
        <f t="shared" si="2"/>
        <v>40</v>
      </c>
      <c r="R14" s="11">
        <f t="shared" si="5"/>
        <v>32.239429005131285</v>
      </c>
      <c r="AA14" s="20">
        <v>7</v>
      </c>
      <c r="AB14" s="26"/>
      <c r="AC14" s="26">
        <v>40</v>
      </c>
      <c r="AD14" s="17">
        <f t="shared" si="3"/>
        <v>40</v>
      </c>
      <c r="AE14" s="11">
        <f t="shared" si="4"/>
        <v>30.23964123683345</v>
      </c>
    </row>
    <row r="15" spans="1:34" x14ac:dyDescent="0.2">
      <c r="B15" s="20">
        <v>8</v>
      </c>
      <c r="C15" s="26"/>
      <c r="D15" s="26">
        <v>40</v>
      </c>
      <c r="E15" s="17">
        <f t="shared" si="0"/>
        <v>40</v>
      </c>
      <c r="F15" s="11">
        <f t="shared" si="8"/>
        <v>29.227608123489247</v>
      </c>
      <c r="H15" s="20">
        <v>8</v>
      </c>
      <c r="I15" s="26"/>
      <c r="J15" s="26"/>
      <c r="K15" s="17">
        <f t="shared" si="1"/>
        <v>0</v>
      </c>
      <c r="L15" s="11">
        <f t="shared" si="6"/>
        <v>0</v>
      </c>
      <c r="N15" s="20">
        <f t="shared" si="7"/>
        <v>6</v>
      </c>
      <c r="O15" s="26"/>
      <c r="P15" s="26">
        <v>40</v>
      </c>
      <c r="Q15" s="17">
        <f t="shared" si="2"/>
        <v>40</v>
      </c>
      <c r="R15" s="11">
        <f t="shared" si="5"/>
        <v>30.878259407928468</v>
      </c>
      <c r="AA15" s="20">
        <v>8</v>
      </c>
      <c r="AB15" s="26"/>
      <c r="AC15" s="26">
        <v>40</v>
      </c>
      <c r="AD15" s="17">
        <f t="shared" si="3"/>
        <v>40</v>
      </c>
      <c r="AE15" s="11">
        <f t="shared" si="4"/>
        <v>29.055066188335026</v>
      </c>
    </row>
    <row r="16" spans="1:34" x14ac:dyDescent="0.2">
      <c r="B16" s="20">
        <v>9</v>
      </c>
      <c r="C16" s="26"/>
      <c r="D16" s="26">
        <v>40</v>
      </c>
      <c r="E16" s="17">
        <f t="shared" si="0"/>
        <v>40</v>
      </c>
      <c r="F16" s="11">
        <f t="shared" si="8"/>
        <v>28.103469340303349</v>
      </c>
      <c r="H16" s="20">
        <v>9</v>
      </c>
      <c r="I16" s="26"/>
      <c r="J16" s="26"/>
      <c r="K16" s="17">
        <f t="shared" si="1"/>
        <v>0</v>
      </c>
      <c r="L16" s="11">
        <f t="shared" si="6"/>
        <v>0</v>
      </c>
      <c r="N16" s="20">
        <f t="shared" si="7"/>
        <v>7</v>
      </c>
      <c r="O16" s="26"/>
      <c r="P16" s="26">
        <v>40</v>
      </c>
      <c r="Q16" s="17">
        <f t="shared" si="2"/>
        <v>40</v>
      </c>
      <c r="R16" s="11">
        <f t="shared" si="5"/>
        <v>29.574559273725587</v>
      </c>
      <c r="AA16" s="20">
        <v>9</v>
      </c>
      <c r="AB16" s="26"/>
      <c r="AC16" s="26">
        <v>40</v>
      </c>
      <c r="AD16" s="17">
        <f t="shared" si="3"/>
        <v>40</v>
      </c>
      <c r="AE16" s="11">
        <f t="shared" si="4"/>
        <v>27.916894403504163</v>
      </c>
    </row>
    <row r="17" spans="2:34" x14ac:dyDescent="0.2">
      <c r="B17" s="20">
        <v>10</v>
      </c>
      <c r="C17" s="26"/>
      <c r="D17" s="26">
        <v>40</v>
      </c>
      <c r="E17" s="17">
        <f t="shared" si="0"/>
        <v>40</v>
      </c>
      <c r="F17" s="11">
        <f t="shared" si="8"/>
        <v>27.022566664517118</v>
      </c>
      <c r="H17" s="20">
        <v>10</v>
      </c>
      <c r="I17" s="26"/>
      <c r="J17" s="26"/>
      <c r="K17" s="17">
        <f t="shared" si="1"/>
        <v>0</v>
      </c>
      <c r="L17" s="11">
        <f t="shared" si="6"/>
        <v>0</v>
      </c>
      <c r="N17" s="20">
        <f t="shared" si="7"/>
        <v>8</v>
      </c>
      <c r="O17" s="26"/>
      <c r="P17" s="26">
        <v>40</v>
      </c>
      <c r="Q17" s="17">
        <f t="shared" si="2"/>
        <v>40</v>
      </c>
      <c r="R17" s="11">
        <f t="shared" si="5"/>
        <v>28.325902204530585</v>
      </c>
      <c r="AA17" s="20">
        <v>10</v>
      </c>
      <c r="AB17" s="26"/>
      <c r="AC17" s="26">
        <v>40</v>
      </c>
      <c r="AD17" s="17">
        <f t="shared" si="3"/>
        <v>40</v>
      </c>
      <c r="AE17" s="11">
        <f t="shared" si="4"/>
        <v>26.823308131003166</v>
      </c>
    </row>
    <row r="18" spans="2:34" x14ac:dyDescent="0.2">
      <c r="B18" s="20">
        <v>11</v>
      </c>
      <c r="C18" s="26"/>
      <c r="D18" s="26">
        <v>40</v>
      </c>
      <c r="E18" s="17">
        <f t="shared" ref="E18:E27" si="9">C18+D18</f>
        <v>40</v>
      </c>
      <c r="F18" s="11">
        <f t="shared" ref="F18:F27" si="10">(C18+D18)/(1+$F$4)^B18</f>
        <v>25.983237168909262</v>
      </c>
      <c r="H18" s="20">
        <v>11</v>
      </c>
      <c r="I18" s="26"/>
      <c r="J18" s="26"/>
      <c r="K18" s="17">
        <f t="shared" ref="K18:K27" si="11">I18+J18</f>
        <v>0</v>
      </c>
      <c r="L18" s="11">
        <f t="shared" si="6"/>
        <v>0</v>
      </c>
      <c r="N18" s="20">
        <f t="shared" si="7"/>
        <v>9</v>
      </c>
      <c r="O18" s="26"/>
      <c r="P18" s="26">
        <v>40</v>
      </c>
      <c r="Q18" s="17">
        <f t="shared" ref="Q18:Q27" si="12">O18+P18</f>
        <v>40</v>
      </c>
      <c r="R18" s="11">
        <f t="shared" si="5"/>
        <v>27.12996424644794</v>
      </c>
      <c r="AA18" s="20">
        <v>11</v>
      </c>
      <c r="AB18" s="26"/>
      <c r="AC18" s="26">
        <v>40</v>
      </c>
      <c r="AD18" s="17">
        <f t="shared" si="3"/>
        <v>40</v>
      </c>
      <c r="AE18" s="11">
        <f t="shared" si="4"/>
        <v>25.772560826122167</v>
      </c>
    </row>
    <row r="19" spans="2:34" x14ac:dyDescent="0.2">
      <c r="B19" s="20">
        <v>12</v>
      </c>
      <c r="C19" s="26"/>
      <c r="D19" s="26">
        <v>40</v>
      </c>
      <c r="E19" s="17">
        <f t="shared" si="9"/>
        <v>40</v>
      </c>
      <c r="F19" s="11">
        <f t="shared" si="10"/>
        <v>24.983881884998294</v>
      </c>
      <c r="H19" s="20">
        <v>12</v>
      </c>
      <c r="I19" s="26"/>
      <c r="J19" s="26"/>
      <c r="K19" s="17">
        <f t="shared" si="11"/>
        <v>0</v>
      </c>
      <c r="L19" s="11">
        <f t="shared" si="6"/>
        <v>0</v>
      </c>
      <c r="N19" s="20">
        <f t="shared" si="7"/>
        <v>10</v>
      </c>
      <c r="O19" s="26"/>
      <c r="P19" s="26">
        <v>40</v>
      </c>
      <c r="Q19" s="17">
        <f t="shared" si="12"/>
        <v>40</v>
      </c>
      <c r="R19" s="11">
        <f t="shared" si="5"/>
        <v>25.984519564422506</v>
      </c>
      <c r="AA19" s="20">
        <v>12</v>
      </c>
      <c r="AB19" s="26"/>
      <c r="AC19" s="26">
        <v>40</v>
      </c>
      <c r="AD19" s="17">
        <f t="shared" si="3"/>
        <v>40</v>
      </c>
      <c r="AE19" s="11">
        <f t="shared" si="4"/>
        <v>24.762974361407576</v>
      </c>
    </row>
    <row r="20" spans="2:34" x14ac:dyDescent="0.2">
      <c r="B20" s="20">
        <v>13</v>
      </c>
      <c r="C20" s="26"/>
      <c r="D20" s="26">
        <v>40</v>
      </c>
      <c r="E20" s="17">
        <f t="shared" si="9"/>
        <v>40</v>
      </c>
      <c r="F20" s="11">
        <f t="shared" si="10"/>
        <v>24.022963343090961</v>
      </c>
      <c r="H20" s="20">
        <v>13</v>
      </c>
      <c r="I20" s="26"/>
      <c r="J20" s="26"/>
      <c r="K20" s="17">
        <f t="shared" si="11"/>
        <v>0</v>
      </c>
      <c r="L20" s="11">
        <f t="shared" si="6"/>
        <v>0</v>
      </c>
      <c r="N20" s="20">
        <f t="shared" si="7"/>
        <v>11</v>
      </c>
      <c r="O20" s="26"/>
      <c r="P20" s="26">
        <v>40</v>
      </c>
      <c r="Q20" s="17">
        <f t="shared" si="12"/>
        <v>40</v>
      </c>
      <c r="R20" s="11">
        <f t="shared" si="5"/>
        <v>24.887436299598427</v>
      </c>
      <c r="AA20" s="20">
        <v>13</v>
      </c>
      <c r="AB20" s="26"/>
      <c r="AC20" s="26">
        <v>40</v>
      </c>
      <c r="AD20" s="17">
        <f t="shared" si="3"/>
        <v>40</v>
      </c>
      <c r="AE20" s="11">
        <f t="shared" si="4"/>
        <v>23.792936346558392</v>
      </c>
    </row>
    <row r="21" spans="2:34" x14ac:dyDescent="0.2">
      <c r="B21" s="20">
        <v>14</v>
      </c>
      <c r="C21" s="26"/>
      <c r="D21" s="26">
        <v>40</v>
      </c>
      <c r="E21" s="17">
        <f t="shared" si="9"/>
        <v>40</v>
      </c>
      <c r="F21" s="11">
        <f t="shared" si="10"/>
        <v>23.099003206944253</v>
      </c>
      <c r="H21" s="20">
        <v>14</v>
      </c>
      <c r="I21" s="26"/>
      <c r="J21" s="26"/>
      <c r="K21" s="17">
        <f t="shared" si="11"/>
        <v>0</v>
      </c>
      <c r="L21" s="11">
        <f t="shared" si="6"/>
        <v>0</v>
      </c>
      <c r="N21" s="20">
        <f t="shared" si="7"/>
        <v>12</v>
      </c>
      <c r="O21" s="26"/>
      <c r="P21" s="26">
        <v>40</v>
      </c>
      <c r="Q21" s="17">
        <f t="shared" si="12"/>
        <v>40</v>
      </c>
      <c r="R21" s="11">
        <f t="shared" si="5"/>
        <v>23.836672601583079</v>
      </c>
      <c r="AA21" s="20">
        <v>14</v>
      </c>
      <c r="AB21" s="26"/>
      <c r="AC21" s="26">
        <v>40</v>
      </c>
      <c r="AD21" s="17">
        <f t="shared" si="3"/>
        <v>40</v>
      </c>
      <c r="AE21" s="11">
        <f t="shared" si="4"/>
        <v>22.860897553309943</v>
      </c>
    </row>
    <row r="22" spans="2:34" x14ac:dyDescent="0.2">
      <c r="B22" s="20">
        <v>15</v>
      </c>
      <c r="C22" s="26"/>
      <c r="D22" s="26">
        <v>40</v>
      </c>
      <c r="E22" s="17">
        <f t="shared" si="9"/>
        <v>40</v>
      </c>
      <c r="F22" s="11">
        <f t="shared" si="10"/>
        <v>22.210579999401894</v>
      </c>
      <c r="H22" s="20">
        <v>15</v>
      </c>
      <c r="I22" s="26"/>
      <c r="J22" s="26"/>
      <c r="K22" s="17">
        <f t="shared" si="11"/>
        <v>0</v>
      </c>
      <c r="L22" s="11">
        <f t="shared" si="6"/>
        <v>0</v>
      </c>
      <c r="N22" s="20">
        <f t="shared" si="7"/>
        <v>13</v>
      </c>
      <c r="O22" s="26"/>
      <c r="P22" s="26">
        <v>40</v>
      </c>
      <c r="Q22" s="17">
        <f t="shared" si="12"/>
        <v>40</v>
      </c>
      <c r="R22" s="11">
        <f t="shared" si="5"/>
        <v>22.830272828231383</v>
      </c>
      <c r="AA22" s="20">
        <v>15</v>
      </c>
      <c r="AB22" s="26"/>
      <c r="AC22" s="26">
        <v>40</v>
      </c>
      <c r="AD22" s="17">
        <f t="shared" si="3"/>
        <v>40</v>
      </c>
      <c r="AE22" s="11">
        <f t="shared" si="4"/>
        <v>21.965369441192529</v>
      </c>
    </row>
    <row r="23" spans="2:34" x14ac:dyDescent="0.2">
      <c r="B23" s="20">
        <v>16</v>
      </c>
      <c r="C23" s="26"/>
      <c r="D23" s="26">
        <v>40</v>
      </c>
      <c r="E23" s="17">
        <f t="shared" si="9"/>
        <v>40</v>
      </c>
      <c r="F23" s="11">
        <f t="shared" si="10"/>
        <v>21.356326915506365</v>
      </c>
      <c r="H23" s="20">
        <v>16</v>
      </c>
      <c r="I23" s="26"/>
      <c r="J23" s="26"/>
      <c r="K23" s="17">
        <f t="shared" si="11"/>
        <v>0</v>
      </c>
      <c r="L23" s="11">
        <f t="shared" si="6"/>
        <v>0</v>
      </c>
      <c r="N23" s="20">
        <f t="shared" si="7"/>
        <v>14</v>
      </c>
      <c r="O23" s="26"/>
      <c r="P23" s="26">
        <v>40</v>
      </c>
      <c r="Q23" s="17">
        <f t="shared" si="12"/>
        <v>40</v>
      </c>
      <c r="R23" s="11">
        <f t="shared" si="5"/>
        <v>21.866363905877705</v>
      </c>
      <c r="AA23" s="20">
        <v>16</v>
      </c>
      <c r="AB23" s="26"/>
      <c r="AC23" s="26">
        <v>40</v>
      </c>
      <c r="AD23" s="17">
        <f t="shared" si="3"/>
        <v>40</v>
      </c>
      <c r="AE23" s="11">
        <f t="shared" si="4"/>
        <v>21.104921780213232</v>
      </c>
    </row>
    <row r="24" spans="2:34" x14ac:dyDescent="0.2">
      <c r="B24" s="20">
        <v>17</v>
      </c>
      <c r="C24" s="26"/>
      <c r="D24" s="26">
        <v>40</v>
      </c>
      <c r="E24" s="17">
        <f t="shared" si="9"/>
        <v>40</v>
      </c>
      <c r="F24" s="11">
        <f t="shared" si="10"/>
        <v>20.53492971972203</v>
      </c>
      <c r="H24" s="20">
        <v>17</v>
      </c>
      <c r="I24" s="26"/>
      <c r="J24" s="26"/>
      <c r="K24" s="17">
        <f t="shared" si="11"/>
        <v>0</v>
      </c>
      <c r="L24" s="11">
        <f t="shared" si="6"/>
        <v>0</v>
      </c>
      <c r="N24" s="20">
        <f t="shared" si="7"/>
        <v>15</v>
      </c>
      <c r="O24" s="26"/>
      <c r="P24" s="26">
        <v>40</v>
      </c>
      <c r="Q24" s="17">
        <f t="shared" si="12"/>
        <v>40</v>
      </c>
      <c r="R24" s="11">
        <f t="shared" si="5"/>
        <v>20.9431518432411</v>
      </c>
      <c r="AA24" s="20">
        <v>17</v>
      </c>
      <c r="AB24" s="26"/>
      <c r="AC24" s="26">
        <v>40</v>
      </c>
      <c r="AD24" s="17">
        <f t="shared" si="3"/>
        <v>40</v>
      </c>
      <c r="AE24" s="11">
        <f t="shared" si="4"/>
        <v>20.278180366664326</v>
      </c>
    </row>
    <row r="25" spans="2:34" x14ac:dyDescent="0.2">
      <c r="B25" s="20">
        <v>18</v>
      </c>
      <c r="C25" s="26"/>
      <c r="D25" s="26">
        <v>40</v>
      </c>
      <c r="E25" s="17">
        <f t="shared" si="9"/>
        <v>40</v>
      </c>
      <c r="F25" s="11">
        <f t="shared" si="10"/>
        <v>19.745124724034259</v>
      </c>
      <c r="H25" s="20">
        <v>18</v>
      </c>
      <c r="I25" s="26"/>
      <c r="J25" s="26"/>
      <c r="K25" s="17">
        <f t="shared" si="11"/>
        <v>0</v>
      </c>
      <c r="L25" s="11">
        <f t="shared" si="6"/>
        <v>0</v>
      </c>
      <c r="N25" s="20">
        <f t="shared" si="7"/>
        <v>16</v>
      </c>
      <c r="O25" s="26"/>
      <c r="P25" s="26">
        <v>40</v>
      </c>
      <c r="Q25" s="17">
        <f t="shared" si="12"/>
        <v>40</v>
      </c>
      <c r="R25" s="11">
        <f t="shared" si="5"/>
        <v>20.058918392515764</v>
      </c>
      <c r="AA25" s="20">
        <v>18</v>
      </c>
      <c r="AB25" s="26"/>
      <c r="AC25" s="26">
        <v>40</v>
      </c>
      <c r="AD25" s="17">
        <f t="shared" si="3"/>
        <v>40</v>
      </c>
      <c r="AE25" s="11">
        <f t="shared" si="4"/>
        <v>19.48382482841005</v>
      </c>
    </row>
    <row r="26" spans="2:34" x14ac:dyDescent="0.2">
      <c r="B26" s="20">
        <v>19</v>
      </c>
      <c r="C26" s="26"/>
      <c r="D26" s="26">
        <v>40</v>
      </c>
      <c r="E26" s="17">
        <f t="shared" si="9"/>
        <v>40</v>
      </c>
      <c r="F26" s="11">
        <f t="shared" si="10"/>
        <v>18.985696843814004</v>
      </c>
      <c r="H26" s="20">
        <v>19</v>
      </c>
      <c r="I26" s="26"/>
      <c r="J26" s="26"/>
      <c r="K26" s="17">
        <f t="shared" si="11"/>
        <v>0</v>
      </c>
      <c r="L26" s="11">
        <f t="shared" si="6"/>
        <v>0</v>
      </c>
      <c r="N26" s="20">
        <f t="shared" si="7"/>
        <v>17</v>
      </c>
      <c r="O26" s="26"/>
      <c r="P26" s="26">
        <v>40</v>
      </c>
      <c r="Q26" s="17">
        <f t="shared" si="12"/>
        <v>40</v>
      </c>
      <c r="R26" s="11">
        <f t="shared" si="5"/>
        <v>19.212017851432389</v>
      </c>
      <c r="AA26" s="20">
        <v>19</v>
      </c>
      <c r="AB26" s="26"/>
      <c r="AC26" s="26">
        <v>40</v>
      </c>
      <c r="AD26" s="17">
        <f t="shared" si="3"/>
        <v>40</v>
      </c>
      <c r="AE26" s="11">
        <f t="shared" si="4"/>
        <v>18.720586516146749</v>
      </c>
    </row>
    <row r="27" spans="2:34" x14ac:dyDescent="0.2">
      <c r="B27" s="20">
        <v>20</v>
      </c>
      <c r="C27" s="26"/>
      <c r="D27" s="26">
        <f>40+1000</f>
        <v>1040</v>
      </c>
      <c r="E27" s="17">
        <f t="shared" si="9"/>
        <v>1040</v>
      </c>
      <c r="F27" s="11">
        <f t="shared" si="10"/>
        <v>474.64242093987679</v>
      </c>
      <c r="H27" s="20">
        <v>20</v>
      </c>
      <c r="I27" s="26"/>
      <c r="J27" s="26"/>
      <c r="K27" s="17">
        <f t="shared" si="11"/>
        <v>0</v>
      </c>
      <c r="L27" s="11">
        <f t="shared" si="6"/>
        <v>0</v>
      </c>
      <c r="N27" s="20">
        <f t="shared" si="7"/>
        <v>18</v>
      </c>
      <c r="O27" s="26"/>
      <c r="P27" s="26">
        <f>40+1000</f>
        <v>1040</v>
      </c>
      <c r="Q27" s="17">
        <f t="shared" si="12"/>
        <v>1040</v>
      </c>
      <c r="R27" s="11">
        <f t="shared" si="5"/>
        <v>478.4227240088033</v>
      </c>
      <c r="AA27" s="20">
        <v>20</v>
      </c>
      <c r="AB27" s="26"/>
      <c r="AC27" s="26">
        <f>40+1000</f>
        <v>1040</v>
      </c>
      <c r="AD27" s="17">
        <f t="shared" si="3"/>
        <v>1040</v>
      </c>
      <c r="AE27" s="11">
        <f t="shared" si="4"/>
        <v>467.66840840898129</v>
      </c>
    </row>
    <row r="28" spans="2:34" x14ac:dyDescent="0.2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1"/>
      <c r="AA28" s="17"/>
      <c r="AB28" s="17"/>
      <c r="AC28" s="17"/>
      <c r="AD28" s="17"/>
      <c r="AE28" s="17"/>
      <c r="AF28" s="17"/>
    </row>
    <row r="29" spans="2:34" x14ac:dyDescent="0.2">
      <c r="B29" s="17"/>
      <c r="C29" t="s">
        <v>74</v>
      </c>
      <c r="D29" s="1"/>
      <c r="E29" s="1"/>
      <c r="F29" s="101">
        <f>SUM(F7:F27)</f>
        <v>-4.6296980826809886E-6</v>
      </c>
      <c r="I29" t="s">
        <v>74</v>
      </c>
      <c r="J29" s="1"/>
      <c r="K29" s="1"/>
      <c r="L29" s="101">
        <f>SUM(L7:L27)</f>
        <v>-6.9948786858731182E-5</v>
      </c>
      <c r="O29" t="s">
        <v>74</v>
      </c>
      <c r="P29" s="1"/>
      <c r="Q29" s="1"/>
      <c r="R29" s="101">
        <f>SUM(R7:R27)</f>
        <v>4.0068424709716055E-5</v>
      </c>
      <c r="AA29" s="17"/>
      <c r="AB29" t="s">
        <v>74</v>
      </c>
      <c r="AC29" s="1"/>
      <c r="AD29" s="1"/>
      <c r="AE29" s="101">
        <f>SUM(AE7:AE27)</f>
        <v>-0.39356157254292157</v>
      </c>
      <c r="AG29" s="49">
        <f>IRR(AD7:AD27)</f>
        <v>4.0740651372057846E-2</v>
      </c>
      <c r="AH29" t="s">
        <v>627</v>
      </c>
    </row>
    <row r="30" spans="2:34" x14ac:dyDescent="0.2">
      <c r="K30" s="144">
        <f>IRR(K7:K9)</f>
        <v>1.5188424369978248E-2</v>
      </c>
      <c r="Q30" s="49">
        <f>IRR(Q9:Q27)</f>
        <v>4.4081814445310563E-2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1"/>
  <sheetViews>
    <sheetView zoomScale="175" zoomScaleNormal="175" workbookViewId="0">
      <selection activeCell="B15" sqref="B15"/>
    </sheetView>
  </sheetViews>
  <sheetFormatPr baseColWidth="10" defaultColWidth="8.83203125" defaultRowHeight="15" x14ac:dyDescent="0.2"/>
  <cols>
    <col min="1" max="1" width="6.83203125" customWidth="1"/>
    <col min="2" max="2" width="18.1640625" customWidth="1"/>
    <col min="3" max="3" width="17.33203125" customWidth="1"/>
    <col min="4" max="4" width="3.83203125" customWidth="1"/>
    <col min="5" max="5" width="17.5" customWidth="1"/>
    <col min="6" max="6" width="6.83203125" customWidth="1"/>
    <col min="7" max="7" width="3.5" customWidth="1"/>
  </cols>
  <sheetData>
    <row r="1" spans="1:6" x14ac:dyDescent="0.2">
      <c r="A1" s="34" t="s">
        <v>368</v>
      </c>
    </row>
    <row r="2" spans="1:6" x14ac:dyDescent="0.2">
      <c r="B2" s="3" t="s">
        <v>281</v>
      </c>
      <c r="C2" s="3"/>
      <c r="E2" s="3" t="s">
        <v>282</v>
      </c>
      <c r="F2" s="3"/>
    </row>
    <row r="4" spans="1:6" x14ac:dyDescent="0.2">
      <c r="B4" t="s">
        <v>6</v>
      </c>
      <c r="C4" s="13">
        <v>0.5</v>
      </c>
      <c r="E4" t="s">
        <v>6</v>
      </c>
      <c r="F4" s="13">
        <v>0.4</v>
      </c>
    </row>
    <row r="6" spans="1:6" x14ac:dyDescent="0.2">
      <c r="A6" t="s">
        <v>11</v>
      </c>
      <c r="B6" t="s">
        <v>50</v>
      </c>
      <c r="C6" s="9" t="s">
        <v>56</v>
      </c>
      <c r="E6" t="s">
        <v>50</v>
      </c>
      <c r="F6" s="20" t="s">
        <v>57</v>
      </c>
    </row>
    <row r="7" spans="1:6" x14ac:dyDescent="0.2">
      <c r="A7" s="20">
        <v>0</v>
      </c>
      <c r="B7">
        <v>-10</v>
      </c>
      <c r="C7" s="11">
        <f>B7/(1+$C$4)^A7</f>
        <v>-10</v>
      </c>
      <c r="E7">
        <v>-20</v>
      </c>
      <c r="F7" s="11">
        <f>E7/(1+$C$4)^A7</f>
        <v>-20</v>
      </c>
    </row>
    <row r="8" spans="1:6" x14ac:dyDescent="0.2">
      <c r="A8" s="20">
        <v>1</v>
      </c>
      <c r="B8" s="10">
        <v>15</v>
      </c>
      <c r="C8" s="11">
        <f>B8/(1+$C$4)^A8</f>
        <v>10</v>
      </c>
      <c r="E8" s="10">
        <v>28</v>
      </c>
      <c r="F8" s="11">
        <f>E8/(1+$F$4)^A8</f>
        <v>20</v>
      </c>
    </row>
    <row r="9" spans="1:6" x14ac:dyDescent="0.2">
      <c r="B9" s="1"/>
      <c r="C9" s="1"/>
      <c r="E9" s="1"/>
      <c r="F9" s="1"/>
    </row>
    <row r="10" spans="1:6" x14ac:dyDescent="0.2">
      <c r="A10" t="s">
        <v>51</v>
      </c>
      <c r="C10" s="19">
        <f>IRR(B7:B8)</f>
        <v>0.5</v>
      </c>
      <c r="F10" s="19">
        <f>IRR(E7:E8)</f>
        <v>0.39999999999999991</v>
      </c>
    </row>
    <row r="11" spans="1:6" x14ac:dyDescent="0.2">
      <c r="B11" t="s">
        <v>371</v>
      </c>
    </row>
    <row r="13" spans="1:6" x14ac:dyDescent="0.2">
      <c r="A13" t="s">
        <v>370</v>
      </c>
    </row>
    <row r="15" spans="1:6" x14ac:dyDescent="0.2">
      <c r="B15" t="s">
        <v>369</v>
      </c>
    </row>
    <row r="16" spans="1:6" x14ac:dyDescent="0.2">
      <c r="B16" t="s">
        <v>364</v>
      </c>
    </row>
    <row r="18" spans="2:2" x14ac:dyDescent="0.2">
      <c r="B18" t="s">
        <v>365</v>
      </c>
    </row>
    <row r="19" spans="2:2" x14ac:dyDescent="0.2">
      <c r="B19" t="s">
        <v>366</v>
      </c>
    </row>
    <row r="21" spans="2:2" x14ac:dyDescent="0.2">
      <c r="B21" t="s">
        <v>367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W29"/>
  <sheetViews>
    <sheetView zoomScale="130" zoomScaleNormal="130" workbookViewId="0">
      <selection activeCell="M10" sqref="M10"/>
    </sheetView>
  </sheetViews>
  <sheetFormatPr baseColWidth="10" defaultColWidth="8.83203125" defaultRowHeight="15" outlineLevelCol="1" x14ac:dyDescent="0.2"/>
  <cols>
    <col min="1" max="1" width="7.33203125" customWidth="1"/>
    <col min="2" max="2" width="6.83203125" customWidth="1"/>
    <col min="3" max="3" width="23.83203125" customWidth="1"/>
    <col min="4" max="5" width="12" customWidth="1"/>
    <col min="6" max="6" width="18.1640625" customWidth="1" outlineLevel="1"/>
    <col min="7" max="7" width="2.83203125" customWidth="1"/>
    <col min="8" max="8" width="10.5" bestFit="1" customWidth="1"/>
    <col min="9" max="9" width="8.83203125" bestFit="1" customWidth="1"/>
    <col min="10" max="10" width="8.83203125" customWidth="1"/>
    <col min="11" max="11" width="17.5" customWidth="1" outlineLevel="1"/>
    <col min="12" max="12" width="4.5" customWidth="1"/>
    <col min="13" max="13" width="10.6640625" bestFit="1" customWidth="1"/>
    <col min="14" max="14" width="14.5" bestFit="1" customWidth="1"/>
    <col min="15" max="15" width="9.5" bestFit="1" customWidth="1"/>
    <col min="16" max="16" width="4.33203125" customWidth="1"/>
    <col min="17" max="17" width="14.1640625" customWidth="1" outlineLevel="1"/>
    <col min="18" max="18" width="17.1640625" customWidth="1" outlineLevel="1"/>
    <col min="19" max="19" width="9.1640625" customWidth="1" outlineLevel="1"/>
  </cols>
  <sheetData>
    <row r="1" spans="1:23" x14ac:dyDescent="0.2">
      <c r="A1" s="34" t="s">
        <v>372</v>
      </c>
    </row>
    <row r="2" spans="1:23" x14ac:dyDescent="0.2">
      <c r="C2" s="3" t="s">
        <v>373</v>
      </c>
      <c r="D2" s="3"/>
      <c r="E2" s="3"/>
      <c r="F2" s="3"/>
      <c r="H2" s="3" t="s">
        <v>374</v>
      </c>
      <c r="I2" s="3"/>
      <c r="J2" s="3"/>
      <c r="K2" s="3"/>
      <c r="M2" s="3" t="s">
        <v>379</v>
      </c>
      <c r="N2" s="3"/>
      <c r="O2" s="3"/>
      <c r="U2" s="3" t="s">
        <v>379</v>
      </c>
      <c r="V2" s="3"/>
      <c r="W2" s="3"/>
    </row>
    <row r="3" spans="1:23" x14ac:dyDescent="0.2">
      <c r="K3" s="13"/>
      <c r="L3" s="13"/>
      <c r="Q3" t="s">
        <v>629</v>
      </c>
      <c r="R3" s="13">
        <v>0.1</v>
      </c>
    </row>
    <row r="4" spans="1:23" x14ac:dyDescent="0.2">
      <c r="B4" t="s">
        <v>375</v>
      </c>
      <c r="D4" s="154">
        <v>200</v>
      </c>
      <c r="H4" s="154">
        <v>700</v>
      </c>
      <c r="Q4" t="s">
        <v>630</v>
      </c>
    </row>
    <row r="5" spans="1:23" x14ac:dyDescent="0.2">
      <c r="B5" t="s">
        <v>376</v>
      </c>
      <c r="D5" s="154">
        <v>95</v>
      </c>
      <c r="H5" s="154">
        <v>120</v>
      </c>
    </row>
    <row r="6" spans="1:23" x14ac:dyDescent="0.2">
      <c r="B6" t="s">
        <v>377</v>
      </c>
      <c r="D6" s="154">
        <v>50</v>
      </c>
      <c r="H6" s="154">
        <v>150</v>
      </c>
    </row>
    <row r="7" spans="1:23" x14ac:dyDescent="0.2">
      <c r="B7" t="s">
        <v>378</v>
      </c>
      <c r="D7" s="154">
        <v>6</v>
      </c>
      <c r="H7" s="154">
        <v>12</v>
      </c>
    </row>
    <row r="9" spans="1:23" x14ac:dyDescent="0.2">
      <c r="B9" s="3" t="s">
        <v>11</v>
      </c>
      <c r="C9" s="3" t="s">
        <v>345</v>
      </c>
      <c r="D9" s="3" t="s">
        <v>355</v>
      </c>
      <c r="E9" s="3" t="s">
        <v>326</v>
      </c>
      <c r="F9" s="121" t="s">
        <v>56</v>
      </c>
      <c r="H9" s="3" t="s">
        <v>345</v>
      </c>
      <c r="I9" s="3" t="s">
        <v>355</v>
      </c>
      <c r="J9" s="3" t="s">
        <v>326</v>
      </c>
      <c r="K9" s="121" t="s">
        <v>56</v>
      </c>
      <c r="L9" s="9"/>
      <c r="M9" s="3" t="s">
        <v>380</v>
      </c>
      <c r="N9" s="3" t="s">
        <v>381</v>
      </c>
      <c r="O9" s="3" t="s">
        <v>326</v>
      </c>
      <c r="Q9" t="s">
        <v>382</v>
      </c>
      <c r="R9" t="s">
        <v>383</v>
      </c>
      <c r="U9" s="3" t="s">
        <v>380</v>
      </c>
      <c r="V9" s="3" t="s">
        <v>381</v>
      </c>
      <c r="W9" s="3" t="s">
        <v>326</v>
      </c>
    </row>
    <row r="10" spans="1:23" x14ac:dyDescent="0.2">
      <c r="B10" s="20">
        <v>0</v>
      </c>
      <c r="C10">
        <f>-D4</f>
        <v>-200</v>
      </c>
      <c r="E10">
        <f>C10+D10</f>
        <v>-200</v>
      </c>
      <c r="F10" s="122">
        <f>(C10+D10)/(1+R$3)^$B10</f>
        <v>-200</v>
      </c>
      <c r="H10">
        <f>-H4</f>
        <v>-700</v>
      </c>
      <c r="J10">
        <f>H10+I10</f>
        <v>-700</v>
      </c>
      <c r="K10" s="122">
        <f t="shared" ref="K10:K22" si="0">(H10+I10)/(1+R$3)^$B10</f>
        <v>-700</v>
      </c>
      <c r="L10" s="11"/>
      <c r="M10">
        <f>H10-C10</f>
        <v>-500</v>
      </c>
      <c r="N10">
        <f>I10-D10</f>
        <v>0</v>
      </c>
      <c r="O10" s="11">
        <f>N10+M10</f>
        <v>-500</v>
      </c>
      <c r="Q10" s="15">
        <f t="shared" ref="Q10:Q22" si="1">M10/(1+$R$3)^$B10</f>
        <v>-500</v>
      </c>
      <c r="R10" s="15">
        <f t="shared" ref="R10:R22" si="2">N10/(1+$R$3)^$B10</f>
        <v>0</v>
      </c>
      <c r="U10">
        <f>C10-H10</f>
        <v>500</v>
      </c>
      <c r="V10">
        <f>D10-I10</f>
        <v>0</v>
      </c>
      <c r="W10" s="11">
        <f>V10+U10</f>
        <v>500</v>
      </c>
    </row>
    <row r="11" spans="1:23" x14ac:dyDescent="0.2">
      <c r="B11" s="20">
        <v>1</v>
      </c>
      <c r="C11" s="119"/>
      <c r="D11" s="119">
        <f>D5</f>
        <v>95</v>
      </c>
      <c r="E11">
        <f t="shared" ref="E11:E22" si="3">C11+D11</f>
        <v>95</v>
      </c>
      <c r="F11" s="122">
        <f t="shared" ref="F11:F22" si="4">(C11+D11)/(1+R$3)^$B11</f>
        <v>86.36363636363636</v>
      </c>
      <c r="H11" s="119"/>
      <c r="I11" s="119">
        <f>H5</f>
        <v>120</v>
      </c>
      <c r="J11">
        <f t="shared" ref="J11:J22" si="5">H11+I11</f>
        <v>120</v>
      </c>
      <c r="K11" s="122">
        <f t="shared" si="0"/>
        <v>109.09090909090908</v>
      </c>
      <c r="L11" s="11"/>
      <c r="M11">
        <f t="shared" ref="M11:M21" si="6">H11-C11</f>
        <v>0</v>
      </c>
      <c r="N11" s="17">
        <f>I11-D11</f>
        <v>25</v>
      </c>
      <c r="O11" s="11">
        <f t="shared" ref="O11:O22" si="7">N11+M11</f>
        <v>25</v>
      </c>
      <c r="Q11" s="15">
        <f t="shared" si="1"/>
        <v>0</v>
      </c>
      <c r="R11" s="15">
        <f t="shared" si="2"/>
        <v>22.727272727272727</v>
      </c>
      <c r="U11">
        <f t="shared" ref="U11:U22" si="8">C11-H11</f>
        <v>0</v>
      </c>
      <c r="V11">
        <f t="shared" ref="V11:V22" si="9">D11-I11</f>
        <v>-25</v>
      </c>
      <c r="W11" s="11">
        <f t="shared" ref="W11:W22" si="10">V11+U11</f>
        <v>-25</v>
      </c>
    </row>
    <row r="12" spans="1:23" x14ac:dyDescent="0.2">
      <c r="B12" s="20">
        <v>2</v>
      </c>
      <c r="C12" s="119"/>
      <c r="D12" s="119">
        <f>D11</f>
        <v>95</v>
      </c>
      <c r="E12">
        <f t="shared" si="3"/>
        <v>95</v>
      </c>
      <c r="F12" s="122">
        <f t="shared" si="4"/>
        <v>78.512396694214857</v>
      </c>
      <c r="H12" s="119"/>
      <c r="I12" s="119">
        <f>I11</f>
        <v>120</v>
      </c>
      <c r="J12">
        <f t="shared" si="5"/>
        <v>120</v>
      </c>
      <c r="K12" s="122">
        <f t="shared" si="0"/>
        <v>99.173553719008254</v>
      </c>
      <c r="L12" s="11"/>
      <c r="M12">
        <f t="shared" si="6"/>
        <v>0</v>
      </c>
      <c r="N12">
        <f t="shared" ref="N12:N21" si="11">I12-D12</f>
        <v>25</v>
      </c>
      <c r="O12" s="11">
        <f t="shared" si="7"/>
        <v>25</v>
      </c>
      <c r="Q12" s="15">
        <f t="shared" si="1"/>
        <v>0</v>
      </c>
      <c r="R12" s="15">
        <f t="shared" si="2"/>
        <v>20.661157024793386</v>
      </c>
      <c r="U12">
        <f t="shared" si="8"/>
        <v>0</v>
      </c>
      <c r="V12">
        <f t="shared" si="9"/>
        <v>-25</v>
      </c>
      <c r="W12" s="11">
        <f t="shared" si="10"/>
        <v>-25</v>
      </c>
    </row>
    <row r="13" spans="1:23" x14ac:dyDescent="0.2">
      <c r="B13" s="20">
        <v>3</v>
      </c>
      <c r="C13" s="119"/>
      <c r="D13" s="119">
        <f>D12</f>
        <v>95</v>
      </c>
      <c r="E13">
        <f t="shared" si="3"/>
        <v>95</v>
      </c>
      <c r="F13" s="122">
        <f t="shared" si="4"/>
        <v>71.374906085649869</v>
      </c>
      <c r="H13" s="119"/>
      <c r="I13" s="119">
        <f t="shared" ref="I13:I21" si="12">I12</f>
        <v>120</v>
      </c>
      <c r="J13">
        <f t="shared" si="5"/>
        <v>120</v>
      </c>
      <c r="K13" s="122">
        <f t="shared" si="0"/>
        <v>90.15777610818931</v>
      </c>
      <c r="L13" s="11"/>
      <c r="M13">
        <f t="shared" si="6"/>
        <v>0</v>
      </c>
      <c r="N13">
        <f t="shared" si="11"/>
        <v>25</v>
      </c>
      <c r="O13" s="11">
        <f t="shared" si="7"/>
        <v>25</v>
      </c>
      <c r="Q13" s="15">
        <f t="shared" si="1"/>
        <v>0</v>
      </c>
      <c r="R13" s="15">
        <f t="shared" si="2"/>
        <v>18.782870022539438</v>
      </c>
      <c r="U13">
        <f t="shared" si="8"/>
        <v>0</v>
      </c>
      <c r="V13">
        <f t="shared" si="9"/>
        <v>-25</v>
      </c>
      <c r="W13" s="11">
        <f t="shared" si="10"/>
        <v>-25</v>
      </c>
    </row>
    <row r="14" spans="1:23" x14ac:dyDescent="0.2">
      <c r="B14" s="20">
        <v>4</v>
      </c>
      <c r="C14" s="119"/>
      <c r="D14" s="119">
        <f>D13</f>
        <v>95</v>
      </c>
      <c r="E14">
        <f t="shared" si="3"/>
        <v>95</v>
      </c>
      <c r="F14" s="122">
        <f t="shared" si="4"/>
        <v>64.886278259681703</v>
      </c>
      <c r="H14" s="119"/>
      <c r="I14" s="119">
        <f t="shared" si="12"/>
        <v>120</v>
      </c>
      <c r="J14">
        <f t="shared" si="5"/>
        <v>120</v>
      </c>
      <c r="K14" s="122">
        <f t="shared" si="0"/>
        <v>81.96161464380846</v>
      </c>
      <c r="L14" s="11"/>
      <c r="M14">
        <f t="shared" si="6"/>
        <v>0</v>
      </c>
      <c r="N14">
        <f t="shared" si="11"/>
        <v>25</v>
      </c>
      <c r="O14" s="11">
        <f t="shared" si="7"/>
        <v>25</v>
      </c>
      <c r="Q14" s="15">
        <f t="shared" si="1"/>
        <v>0</v>
      </c>
      <c r="R14" s="15">
        <f t="shared" si="2"/>
        <v>17.075336384126764</v>
      </c>
      <c r="U14">
        <f t="shared" si="8"/>
        <v>0</v>
      </c>
      <c r="V14">
        <f t="shared" si="9"/>
        <v>-25</v>
      </c>
      <c r="W14" s="11">
        <f t="shared" si="10"/>
        <v>-25</v>
      </c>
    </row>
    <row r="15" spans="1:23" x14ac:dyDescent="0.2">
      <c r="B15" s="20">
        <v>5</v>
      </c>
      <c r="C15" s="119"/>
      <c r="D15" s="119">
        <f>D14</f>
        <v>95</v>
      </c>
      <c r="E15">
        <f t="shared" si="3"/>
        <v>95</v>
      </c>
      <c r="F15" s="122">
        <f t="shared" si="4"/>
        <v>58.987525690619719</v>
      </c>
      <c r="H15" s="119"/>
      <c r="I15" s="119">
        <f t="shared" si="12"/>
        <v>120</v>
      </c>
      <c r="J15">
        <f t="shared" si="5"/>
        <v>120</v>
      </c>
      <c r="K15" s="122">
        <f t="shared" si="0"/>
        <v>74.510558767098601</v>
      </c>
      <c r="L15" s="11"/>
      <c r="M15">
        <f t="shared" si="6"/>
        <v>0</v>
      </c>
      <c r="N15">
        <f t="shared" si="11"/>
        <v>25</v>
      </c>
      <c r="O15" s="11">
        <f t="shared" si="7"/>
        <v>25</v>
      </c>
      <c r="Q15" s="15">
        <f t="shared" si="1"/>
        <v>0</v>
      </c>
      <c r="R15" s="15">
        <f t="shared" si="2"/>
        <v>15.523033076478875</v>
      </c>
      <c r="U15">
        <f t="shared" si="8"/>
        <v>0</v>
      </c>
      <c r="V15">
        <f t="shared" si="9"/>
        <v>-25</v>
      </c>
      <c r="W15" s="11">
        <f t="shared" si="10"/>
        <v>-25</v>
      </c>
    </row>
    <row r="16" spans="1:23" x14ac:dyDescent="0.2">
      <c r="B16" s="20">
        <v>6</v>
      </c>
      <c r="C16" s="156">
        <f>-D4+D6</f>
        <v>-150</v>
      </c>
      <c r="D16" s="119">
        <f>D15</f>
        <v>95</v>
      </c>
      <c r="E16">
        <f t="shared" si="3"/>
        <v>-55</v>
      </c>
      <c r="F16" s="122">
        <f t="shared" si="4"/>
        <v>-31.046066152957746</v>
      </c>
      <c r="H16" s="119"/>
      <c r="I16" s="119">
        <f>I15+K6</f>
        <v>120</v>
      </c>
      <c r="J16">
        <f t="shared" si="5"/>
        <v>120</v>
      </c>
      <c r="K16" s="122">
        <f t="shared" si="0"/>
        <v>67.736871606453263</v>
      </c>
      <c r="L16" s="11"/>
      <c r="M16" s="17">
        <f>H16-C16</f>
        <v>150</v>
      </c>
      <c r="N16" s="17">
        <f>I16-D16</f>
        <v>25</v>
      </c>
      <c r="O16" s="11">
        <f t="shared" si="7"/>
        <v>175</v>
      </c>
      <c r="Q16" s="15">
        <f t="shared" si="1"/>
        <v>84.671089508066572</v>
      </c>
      <c r="R16" s="15">
        <f t="shared" si="2"/>
        <v>14.11184825134443</v>
      </c>
      <c r="U16">
        <f t="shared" si="8"/>
        <v>-150</v>
      </c>
      <c r="V16">
        <f t="shared" si="9"/>
        <v>-25</v>
      </c>
      <c r="W16" s="11">
        <f t="shared" si="10"/>
        <v>-175</v>
      </c>
    </row>
    <row r="17" spans="2:23" x14ac:dyDescent="0.2">
      <c r="B17" s="20">
        <v>7</v>
      </c>
      <c r="C17" s="119">
        <f>C15</f>
        <v>0</v>
      </c>
      <c r="D17" s="119">
        <f>D15</f>
        <v>95</v>
      </c>
      <c r="E17">
        <f t="shared" si="3"/>
        <v>95</v>
      </c>
      <c r="F17" s="122">
        <f t="shared" si="4"/>
        <v>48.75002123191711</v>
      </c>
      <c r="H17" s="119"/>
      <c r="I17" s="119">
        <f>I15</f>
        <v>120</v>
      </c>
      <c r="J17">
        <f t="shared" si="5"/>
        <v>120</v>
      </c>
      <c r="K17" s="122">
        <f t="shared" si="0"/>
        <v>61.578974187684771</v>
      </c>
      <c r="L17" s="11"/>
      <c r="M17">
        <f t="shared" si="6"/>
        <v>0</v>
      </c>
      <c r="N17">
        <f t="shared" si="11"/>
        <v>25</v>
      </c>
      <c r="O17" s="11">
        <f t="shared" si="7"/>
        <v>25</v>
      </c>
      <c r="Q17" s="15">
        <f t="shared" si="1"/>
        <v>0</v>
      </c>
      <c r="R17" s="15">
        <f t="shared" si="2"/>
        <v>12.828952955767662</v>
      </c>
      <c r="U17">
        <f t="shared" si="8"/>
        <v>0</v>
      </c>
      <c r="V17">
        <f t="shared" si="9"/>
        <v>-25</v>
      </c>
      <c r="W17" s="11">
        <f t="shared" si="10"/>
        <v>-25</v>
      </c>
    </row>
    <row r="18" spans="2:23" x14ac:dyDescent="0.2">
      <c r="B18" s="20">
        <v>8</v>
      </c>
      <c r="C18" s="119">
        <f t="shared" ref="C18:D21" si="13">C17</f>
        <v>0</v>
      </c>
      <c r="D18" s="119">
        <f t="shared" si="13"/>
        <v>95</v>
      </c>
      <c r="E18">
        <f t="shared" si="3"/>
        <v>95</v>
      </c>
      <c r="F18" s="122">
        <f t="shared" si="4"/>
        <v>44.318201119924652</v>
      </c>
      <c r="H18" s="119"/>
      <c r="I18" s="119">
        <f t="shared" si="12"/>
        <v>120</v>
      </c>
      <c r="J18">
        <f t="shared" si="5"/>
        <v>120</v>
      </c>
      <c r="K18" s="122">
        <f t="shared" si="0"/>
        <v>55.980885625167979</v>
      </c>
      <c r="L18" s="11"/>
      <c r="M18">
        <f t="shared" si="6"/>
        <v>0</v>
      </c>
      <c r="N18">
        <f t="shared" si="11"/>
        <v>25</v>
      </c>
      <c r="O18" s="11">
        <f t="shared" si="7"/>
        <v>25</v>
      </c>
      <c r="Q18" s="15">
        <f t="shared" si="1"/>
        <v>0</v>
      </c>
      <c r="R18" s="15">
        <f t="shared" si="2"/>
        <v>11.662684505243329</v>
      </c>
      <c r="U18">
        <f t="shared" si="8"/>
        <v>0</v>
      </c>
      <c r="V18">
        <f t="shared" si="9"/>
        <v>-25</v>
      </c>
      <c r="W18" s="11">
        <f t="shared" si="10"/>
        <v>-25</v>
      </c>
    </row>
    <row r="19" spans="2:23" x14ac:dyDescent="0.2">
      <c r="B19" s="20">
        <v>9</v>
      </c>
      <c r="C19" s="119">
        <f t="shared" si="13"/>
        <v>0</v>
      </c>
      <c r="D19" s="119">
        <f t="shared" si="13"/>
        <v>95</v>
      </c>
      <c r="E19">
        <f t="shared" si="3"/>
        <v>95</v>
      </c>
      <c r="F19" s="122">
        <f t="shared" si="4"/>
        <v>40.289273745386041</v>
      </c>
      <c r="H19" s="119"/>
      <c r="I19" s="119">
        <f t="shared" si="12"/>
        <v>120</v>
      </c>
      <c r="J19">
        <f t="shared" si="5"/>
        <v>120</v>
      </c>
      <c r="K19" s="122">
        <f t="shared" si="0"/>
        <v>50.891714204698161</v>
      </c>
      <c r="L19" s="11"/>
      <c r="M19">
        <f t="shared" si="6"/>
        <v>0</v>
      </c>
      <c r="N19">
        <f t="shared" si="11"/>
        <v>25</v>
      </c>
      <c r="O19" s="11">
        <f t="shared" si="7"/>
        <v>25</v>
      </c>
      <c r="Q19" s="15">
        <f t="shared" si="1"/>
        <v>0</v>
      </c>
      <c r="R19" s="15">
        <f t="shared" si="2"/>
        <v>10.602440459312117</v>
      </c>
      <c r="U19">
        <f t="shared" si="8"/>
        <v>0</v>
      </c>
      <c r="V19">
        <f t="shared" si="9"/>
        <v>-25</v>
      </c>
      <c r="W19" s="11">
        <f t="shared" si="10"/>
        <v>-25</v>
      </c>
    </row>
    <row r="20" spans="2:23" x14ac:dyDescent="0.2">
      <c r="B20" s="20">
        <v>10</v>
      </c>
      <c r="C20" s="119">
        <f t="shared" si="13"/>
        <v>0</v>
      </c>
      <c r="D20" s="119">
        <f t="shared" si="13"/>
        <v>95</v>
      </c>
      <c r="E20">
        <f t="shared" si="3"/>
        <v>95</v>
      </c>
      <c r="F20" s="122">
        <f t="shared" si="4"/>
        <v>36.626612495805489</v>
      </c>
      <c r="H20" s="119"/>
      <c r="I20" s="119">
        <f t="shared" si="12"/>
        <v>120</v>
      </c>
      <c r="J20">
        <f t="shared" si="5"/>
        <v>120</v>
      </c>
      <c r="K20" s="122">
        <f t="shared" si="0"/>
        <v>46.265194731543779</v>
      </c>
      <c r="L20" s="11"/>
      <c r="M20">
        <f t="shared" si="6"/>
        <v>0</v>
      </c>
      <c r="N20">
        <f t="shared" si="11"/>
        <v>25</v>
      </c>
      <c r="O20" s="11">
        <f t="shared" si="7"/>
        <v>25</v>
      </c>
      <c r="Q20" s="15">
        <f t="shared" si="1"/>
        <v>0</v>
      </c>
      <c r="R20" s="15">
        <f t="shared" si="2"/>
        <v>9.6385822357382871</v>
      </c>
      <c r="U20">
        <f t="shared" si="8"/>
        <v>0</v>
      </c>
      <c r="V20">
        <f t="shared" si="9"/>
        <v>-25</v>
      </c>
      <c r="W20" s="11">
        <f t="shared" si="10"/>
        <v>-25</v>
      </c>
    </row>
    <row r="21" spans="2:23" x14ac:dyDescent="0.2">
      <c r="B21" s="20">
        <v>11</v>
      </c>
      <c r="C21" s="119">
        <f t="shared" si="13"/>
        <v>0</v>
      </c>
      <c r="D21" s="119">
        <f t="shared" si="13"/>
        <v>95</v>
      </c>
      <c r="E21">
        <f t="shared" si="3"/>
        <v>95</v>
      </c>
      <c r="F21" s="122">
        <f t="shared" si="4"/>
        <v>33.296920450732259</v>
      </c>
      <c r="H21" s="119"/>
      <c r="I21" s="119">
        <f t="shared" si="12"/>
        <v>120</v>
      </c>
      <c r="J21">
        <f t="shared" si="5"/>
        <v>120</v>
      </c>
      <c r="K21" s="122">
        <f t="shared" si="0"/>
        <v>42.059267937767061</v>
      </c>
      <c r="L21" s="11"/>
      <c r="M21">
        <f t="shared" si="6"/>
        <v>0</v>
      </c>
      <c r="N21">
        <f t="shared" si="11"/>
        <v>25</v>
      </c>
      <c r="O21" s="11">
        <f t="shared" si="7"/>
        <v>25</v>
      </c>
      <c r="Q21" s="15">
        <f t="shared" si="1"/>
        <v>0</v>
      </c>
      <c r="R21" s="15">
        <f t="shared" si="2"/>
        <v>8.7623474870348055</v>
      </c>
      <c r="U21">
        <f t="shared" si="8"/>
        <v>0</v>
      </c>
      <c r="V21">
        <f t="shared" si="9"/>
        <v>-25</v>
      </c>
      <c r="W21" s="11">
        <f t="shared" si="10"/>
        <v>-25</v>
      </c>
    </row>
    <row r="22" spans="2:23" x14ac:dyDescent="0.2">
      <c r="B22" s="20">
        <v>12</v>
      </c>
      <c r="C22" s="156">
        <v>50</v>
      </c>
      <c r="D22" s="119">
        <f>D21</f>
        <v>95</v>
      </c>
      <c r="E22">
        <f t="shared" si="3"/>
        <v>145</v>
      </c>
      <c r="F22" s="122">
        <f t="shared" si="4"/>
        <v>46.201468568001701</v>
      </c>
      <c r="H22" s="119">
        <f>H6</f>
        <v>150</v>
      </c>
      <c r="I22" s="119">
        <f>I21+K6</f>
        <v>120</v>
      </c>
      <c r="J22">
        <f t="shared" si="5"/>
        <v>270</v>
      </c>
      <c r="K22" s="122">
        <f t="shared" si="0"/>
        <v>86.030320781796263</v>
      </c>
      <c r="L22" s="11"/>
      <c r="M22" s="17">
        <f>H22-C22</f>
        <v>100</v>
      </c>
      <c r="N22" s="17">
        <f>I22-D22</f>
        <v>25</v>
      </c>
      <c r="O22" s="11">
        <f t="shared" si="7"/>
        <v>125</v>
      </c>
      <c r="Q22" s="15">
        <f t="shared" si="1"/>
        <v>31.863081771035656</v>
      </c>
      <c r="R22" s="15">
        <f t="shared" si="2"/>
        <v>7.965770442758914</v>
      </c>
      <c r="U22">
        <f t="shared" si="8"/>
        <v>-100</v>
      </c>
      <c r="V22">
        <f t="shared" si="9"/>
        <v>-25</v>
      </c>
      <c r="W22" s="11">
        <f t="shared" si="10"/>
        <v>-125</v>
      </c>
    </row>
    <row r="23" spans="2:23" x14ac:dyDescent="0.2">
      <c r="C23" s="1"/>
      <c r="D23" s="1"/>
      <c r="F23" s="120"/>
      <c r="H23" s="1"/>
      <c r="I23" s="1"/>
      <c r="J23" s="1"/>
      <c r="K23" s="120"/>
      <c r="L23" s="1"/>
      <c r="O23" s="1"/>
      <c r="W23" s="1"/>
    </row>
    <row r="24" spans="2:23" ht="19" x14ac:dyDescent="0.25">
      <c r="B24" s="69" t="s">
        <v>17</v>
      </c>
      <c r="C24" s="69"/>
      <c r="D24" s="123">
        <f>SUM(D10:D22)</f>
        <v>1140</v>
      </c>
      <c r="E24" s="123"/>
      <c r="F24" s="124">
        <f>SUM(F10:F22)</f>
        <v>378.56117455261204</v>
      </c>
      <c r="G24" s="69"/>
      <c r="H24" s="69"/>
      <c r="I24" s="123">
        <f>SUM(I10:I22)</f>
        <v>1440</v>
      </c>
      <c r="J24" s="123"/>
      <c r="K24" s="124">
        <f>SUM(K10:K22)</f>
        <v>165.437641404125</v>
      </c>
      <c r="L24" s="123"/>
      <c r="M24" s="123">
        <f>SUM(M10:M22)</f>
        <v>-250</v>
      </c>
      <c r="N24" s="123">
        <f>SUM(N10:N22)</f>
        <v>300</v>
      </c>
      <c r="O24" s="125">
        <f>SUM(O10:O22)</f>
        <v>50</v>
      </c>
      <c r="Q24" s="16">
        <f>SUM(Q10:Q22)</f>
        <v>-383.46582872089778</v>
      </c>
      <c r="R24" s="16">
        <f>SUM(R10:R22)</f>
        <v>170.34229557241073</v>
      </c>
      <c r="S24" s="16">
        <f>Q24+R24</f>
        <v>-213.12353314848704</v>
      </c>
      <c r="U24" s="123">
        <f>SUM(U10:U22)</f>
        <v>250</v>
      </c>
      <c r="V24" s="123">
        <f>SUM(V10:V22)</f>
        <v>-300</v>
      </c>
      <c r="W24" s="125">
        <f>SUM(W10:W22)</f>
        <v>-50</v>
      </c>
    </row>
    <row r="25" spans="2:23" hidden="1" x14ac:dyDescent="0.2">
      <c r="B25" t="s">
        <v>46</v>
      </c>
      <c r="F25" s="18">
        <f>F11/-F10</f>
        <v>0.43181818181818182</v>
      </c>
      <c r="K25" s="18">
        <f>K11/-K10</f>
        <v>0.15584415584415584</v>
      </c>
      <c r="L25" s="18"/>
      <c r="M25" s="18"/>
      <c r="U25" s="18"/>
    </row>
    <row r="26" spans="2:23" x14ac:dyDescent="0.2">
      <c r="I26" s="19"/>
      <c r="J26" s="19"/>
      <c r="K26" s="19"/>
      <c r="L26" s="19"/>
      <c r="M26" s="19"/>
      <c r="U26" s="19"/>
    </row>
    <row r="27" spans="2:23" ht="19" x14ac:dyDescent="0.25">
      <c r="B27" s="126" t="s">
        <v>51</v>
      </c>
      <c r="C27" s="19"/>
      <c r="D27" s="19"/>
      <c r="E27" s="19">
        <f>IRR(E10:E22)</f>
        <v>0.43255407911198818</v>
      </c>
      <c r="F27" s="19"/>
      <c r="H27" s="19"/>
      <c r="J27" s="19">
        <f>IRR(J10:J22)</f>
        <v>0.1431733331082794</v>
      </c>
      <c r="O27" s="155">
        <f>IRR(O10:O22)</f>
        <v>1.3160597833906662E-2</v>
      </c>
      <c r="T27" t="s">
        <v>384</v>
      </c>
      <c r="W27" s="155">
        <f>IRR(W10:W22)</f>
        <v>1.3160597833906662E-2</v>
      </c>
    </row>
    <row r="29" spans="2:23" x14ac:dyDescent="0.2">
      <c r="C29" t="s">
        <v>508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X26"/>
  <sheetViews>
    <sheetView zoomScale="190" zoomScaleNormal="190" workbookViewId="0">
      <selection activeCell="E28" sqref="E28"/>
    </sheetView>
  </sheetViews>
  <sheetFormatPr baseColWidth="10" defaultColWidth="8.83203125" defaultRowHeight="15" x14ac:dyDescent="0.2"/>
  <cols>
    <col min="1" max="1" width="7.5" customWidth="1"/>
    <col min="2" max="2" width="13.1640625" customWidth="1"/>
    <col min="3" max="3" width="18.1640625" customWidth="1"/>
    <col min="4" max="4" width="9.5" customWidth="1"/>
    <col min="5" max="5" width="10.1640625" customWidth="1"/>
    <col min="6" max="8" width="11.5" bestFit="1" customWidth="1"/>
    <col min="9" max="9" width="4.5" customWidth="1"/>
    <col min="10" max="10" width="15.5" customWidth="1"/>
    <col min="11" max="11" width="10.33203125" customWidth="1"/>
    <col min="12" max="12" width="10.1640625" customWidth="1"/>
    <col min="13" max="13" width="9.5" customWidth="1"/>
    <col min="14" max="15" width="10.1640625" customWidth="1"/>
    <col min="16" max="16" width="4.5" customWidth="1"/>
    <col min="17" max="17" width="15.5" customWidth="1"/>
    <col min="18" max="18" width="10.5" customWidth="1"/>
    <col min="19" max="19" width="9.83203125" customWidth="1"/>
    <col min="20" max="20" width="10" customWidth="1"/>
    <col min="21" max="21" width="9.5" customWidth="1"/>
    <col min="22" max="22" width="9" bestFit="1" customWidth="1"/>
    <col min="23" max="24" width="4" customWidth="1"/>
    <col min="25" max="25" width="3.33203125" customWidth="1"/>
  </cols>
  <sheetData>
    <row r="1" spans="1:24" x14ac:dyDescent="0.2">
      <c r="A1" s="34" t="s">
        <v>385</v>
      </c>
    </row>
    <row r="2" spans="1:24" x14ac:dyDescent="0.2">
      <c r="B2" s="29" t="s">
        <v>393</v>
      </c>
      <c r="C2" s="3" t="s">
        <v>387</v>
      </c>
      <c r="D2" s="3"/>
      <c r="E2" s="3"/>
      <c r="F2" s="3"/>
      <c r="G2" s="3"/>
      <c r="H2" s="3"/>
      <c r="J2" s="3" t="s">
        <v>388</v>
      </c>
      <c r="K2" s="3"/>
      <c r="L2" s="3"/>
      <c r="M2" s="3"/>
      <c r="N2" s="3"/>
      <c r="O2" s="3"/>
      <c r="Q2" s="3" t="s">
        <v>389</v>
      </c>
      <c r="R2" s="3"/>
      <c r="S2" s="3"/>
      <c r="T2" s="3"/>
      <c r="U2" s="3"/>
      <c r="V2" s="3"/>
    </row>
    <row r="3" spans="1:24" x14ac:dyDescent="0.2">
      <c r="B3" s="29"/>
    </row>
    <row r="4" spans="1:24" x14ac:dyDescent="0.2">
      <c r="B4" s="29" t="s">
        <v>390</v>
      </c>
      <c r="C4" s="143">
        <v>100000</v>
      </c>
      <c r="J4" s="143">
        <v>175000</v>
      </c>
      <c r="Q4" s="143">
        <v>300000</v>
      </c>
    </row>
    <row r="5" spans="1:24" x14ac:dyDescent="0.2">
      <c r="B5" s="29" t="s">
        <v>391</v>
      </c>
      <c r="C5" s="154">
        <v>4</v>
      </c>
      <c r="J5" s="154">
        <v>10</v>
      </c>
      <c r="Q5" s="154">
        <v>25</v>
      </c>
    </row>
    <row r="6" spans="1:24" x14ac:dyDescent="0.2">
      <c r="B6" s="29"/>
    </row>
    <row r="7" spans="1:24" x14ac:dyDescent="0.2">
      <c r="B7" s="29" t="s">
        <v>6</v>
      </c>
      <c r="D7" s="81">
        <v>5.0000000000000001E-3</v>
      </c>
      <c r="E7" s="13">
        <v>0.05</v>
      </c>
      <c r="F7" s="13">
        <v>0.1</v>
      </c>
      <c r="G7" s="13">
        <v>0.15</v>
      </c>
      <c r="H7" s="13">
        <v>0.2</v>
      </c>
      <c r="J7" t="s">
        <v>6</v>
      </c>
      <c r="K7" s="81">
        <v>5.0000000000000001E-3</v>
      </c>
      <c r="L7" s="13">
        <v>0.05</v>
      </c>
      <c r="M7" s="13">
        <v>0.1</v>
      </c>
      <c r="N7" s="13">
        <v>0.15</v>
      </c>
      <c r="O7" s="13">
        <v>0.2</v>
      </c>
      <c r="P7" s="13"/>
      <c r="Q7" t="s">
        <v>6</v>
      </c>
      <c r="R7" s="81">
        <v>5.0000000000000001E-3</v>
      </c>
      <c r="S7" s="13">
        <v>0.05</v>
      </c>
      <c r="T7" s="13">
        <v>0.1</v>
      </c>
      <c r="U7" s="13">
        <v>0.15</v>
      </c>
      <c r="V7" s="13">
        <v>0.2</v>
      </c>
      <c r="W7" s="13"/>
      <c r="X7" s="13"/>
    </row>
    <row r="8" spans="1:24" x14ac:dyDescent="0.2">
      <c r="B8" s="29"/>
      <c r="D8" s="81"/>
      <c r="E8" s="13"/>
      <c r="F8" s="13"/>
      <c r="G8" s="13"/>
      <c r="H8" s="13"/>
      <c r="K8" s="13"/>
      <c r="L8" s="13"/>
      <c r="M8" s="13"/>
      <c r="N8" s="13"/>
      <c r="O8" s="13"/>
      <c r="P8" s="13"/>
      <c r="R8" s="13"/>
      <c r="S8" s="13"/>
      <c r="T8" s="13"/>
      <c r="U8" s="13"/>
      <c r="V8" s="13"/>
      <c r="W8" s="13"/>
      <c r="X8" s="13"/>
    </row>
    <row r="9" spans="1:24" x14ac:dyDescent="0.2">
      <c r="B9" s="29" t="s">
        <v>280</v>
      </c>
      <c r="D9" s="15">
        <f>$C4*((D7*(1+D7)^$C5)/((1+D7)^$C5-1))</f>
        <v>25313.279297869369</v>
      </c>
      <c r="E9" s="15">
        <f>$C4*((E7*(1+E7)^$C5)/((1+E7)^$C5-1))</f>
        <v>28201.183260346279</v>
      </c>
      <c r="F9" s="15">
        <f>$C4*((F7*(1+F7)^$C5)/((1+F7)^$C5-1))</f>
        <v>31547.080370609765</v>
      </c>
      <c r="G9" s="15">
        <f>$C4*((G7*(1+G7)^$C5)/((1+G7)^$C5-1))</f>
        <v>35026.535159085797</v>
      </c>
      <c r="H9" s="15">
        <f>$C4*((H7*(1+H7)^$C5)/((1+H7)^$C5-1))</f>
        <v>38628.912071535029</v>
      </c>
      <c r="K9" s="15">
        <f>$J4*((K7*(1+K7)^$J5)/((1+K7)^$J5-1))</f>
        <v>17984.850230775777</v>
      </c>
      <c r="L9" s="15">
        <f>$J4*((L7*(1+L7)^$J5)/((1+L7)^$J5-1))</f>
        <v>22663.300618954923</v>
      </c>
      <c r="M9" s="15">
        <f>$J4*((M7*(1+M7)^$J5)/((1+M7)^$J5-1))</f>
        <v>28480.444104439521</v>
      </c>
      <c r="N9" s="15">
        <f>$J4*((N7*(1+N7)^$J5)/((1+N7)^$J5-1))</f>
        <v>34869.110940577353</v>
      </c>
      <c r="O9" s="15">
        <f>$J4*((O7*(1+O7)^$J5)/((1+O7)^$J5-1))</f>
        <v>41741.48245450035</v>
      </c>
      <c r="R9" s="15">
        <f>$Q4*((R7*(1+R7)^$Q5)/((1+R7)^$Q5-1))</f>
        <v>12795.557092349653</v>
      </c>
      <c r="S9" s="15">
        <f>$Q4*((S7*(1+S7)^$Q5)/((1+S7)^$Q5-1))</f>
        <v>21285.737189768886</v>
      </c>
      <c r="T9" s="15">
        <f>$Q4*((T7*(1+T7)^$Q5)/((1+T7)^$Q5-1))</f>
        <v>33050.421657006249</v>
      </c>
      <c r="U9" s="15">
        <f>$Q4*((U7*(1+U7)^$Q5)/((1+U7)^$Q5-1))</f>
        <v>46409.820696061935</v>
      </c>
      <c r="V9" s="15">
        <f>$Q4*((V7*(1+V7)^$Q5)/((1+V7)^$Q5-1))</f>
        <v>60635.618694616089</v>
      </c>
    </row>
    <row r="10" spans="1:24" x14ac:dyDescent="0.2">
      <c r="B10" s="29"/>
    </row>
    <row r="11" spans="1:24" x14ac:dyDescent="0.2">
      <c r="B11" s="29"/>
      <c r="D11" s="16"/>
    </row>
    <row r="16" spans="1:24" x14ac:dyDescent="0.2">
      <c r="B16" s="34" t="s">
        <v>91</v>
      </c>
    </row>
    <row r="17" spans="2:8" x14ac:dyDescent="0.2">
      <c r="B17" s="34"/>
      <c r="D17" t="s">
        <v>392</v>
      </c>
    </row>
    <row r="18" spans="2:8" x14ac:dyDescent="0.2">
      <c r="C18" s="31" t="s">
        <v>393</v>
      </c>
      <c r="D18" s="127">
        <f>D7</f>
        <v>5.0000000000000001E-3</v>
      </c>
      <c r="E18" s="36">
        <f>E7</f>
        <v>0.05</v>
      </c>
      <c r="F18" s="36">
        <f>F7</f>
        <v>0.1</v>
      </c>
      <c r="G18" s="36">
        <f>G7</f>
        <v>0.15</v>
      </c>
      <c r="H18" s="36">
        <f>H7</f>
        <v>0.2</v>
      </c>
    </row>
    <row r="19" spans="2:8" x14ac:dyDescent="0.2">
      <c r="C19" s="29" t="s">
        <v>387</v>
      </c>
      <c r="D19" s="17">
        <f>D9</f>
        <v>25313.279297869369</v>
      </c>
      <c r="E19" s="17">
        <f>E9</f>
        <v>28201.183260346279</v>
      </c>
      <c r="F19" s="17">
        <f>F9</f>
        <v>31547.080370609765</v>
      </c>
      <c r="G19" s="17">
        <f>G9</f>
        <v>35026.535159085797</v>
      </c>
      <c r="H19" s="35">
        <f>H9</f>
        <v>38628.912071535029</v>
      </c>
    </row>
    <row r="20" spans="2:8" x14ac:dyDescent="0.2">
      <c r="C20" s="29" t="s">
        <v>388</v>
      </c>
      <c r="D20" s="17">
        <f>K9</f>
        <v>17984.850230775777</v>
      </c>
      <c r="E20" s="17">
        <f>L9</f>
        <v>22663.300618954923</v>
      </c>
      <c r="F20" s="35">
        <f>M9</f>
        <v>28480.444104439521</v>
      </c>
      <c r="G20" s="35">
        <f>N9</f>
        <v>34869.110940577353</v>
      </c>
      <c r="H20" s="17">
        <f>O9</f>
        <v>41741.48245450035</v>
      </c>
    </row>
    <row r="21" spans="2:8" x14ac:dyDescent="0.2">
      <c r="C21" s="29" t="s">
        <v>389</v>
      </c>
      <c r="D21" s="35">
        <f>R9</f>
        <v>12795.557092349653</v>
      </c>
      <c r="E21" s="35">
        <f>S9</f>
        <v>21285.737189768886</v>
      </c>
      <c r="F21" s="17">
        <f>T9</f>
        <v>33050.421657006249</v>
      </c>
      <c r="G21" s="17">
        <f>U9</f>
        <v>46409.820696061935</v>
      </c>
      <c r="H21" s="17">
        <f>V9</f>
        <v>60635.618694616089</v>
      </c>
    </row>
    <row r="23" spans="2:8" x14ac:dyDescent="0.2">
      <c r="C23" s="37" t="s">
        <v>99</v>
      </c>
      <c r="D23" s="37"/>
      <c r="E23" s="37"/>
    </row>
    <row r="25" spans="2:8" x14ac:dyDescent="0.2">
      <c r="C25" t="s">
        <v>394</v>
      </c>
    </row>
    <row r="26" spans="2:8" x14ac:dyDescent="0.2">
      <c r="C26" t="s">
        <v>612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6"/>
  <sheetViews>
    <sheetView zoomScale="130" zoomScaleNormal="130" workbookViewId="0">
      <selection activeCell="A13" sqref="A13"/>
    </sheetView>
  </sheetViews>
  <sheetFormatPr baseColWidth="10" defaultColWidth="8.83203125" defaultRowHeight="15" outlineLevelRow="1" x14ac:dyDescent="0.2"/>
  <cols>
    <col min="1" max="1" width="18.1640625" customWidth="1"/>
    <col min="3" max="3" width="14.6640625" customWidth="1"/>
    <col min="4" max="4" width="10.1640625" customWidth="1"/>
    <col min="5" max="6" width="10.5" bestFit="1" customWidth="1"/>
    <col min="7" max="7" width="13.83203125" customWidth="1"/>
    <col min="8" max="8" width="4.5" customWidth="1"/>
    <col min="9" max="10" width="15.6640625" customWidth="1"/>
    <col min="11" max="11" width="6" customWidth="1"/>
  </cols>
  <sheetData>
    <row r="1" spans="1:14" x14ac:dyDescent="0.2">
      <c r="A1" s="34" t="s">
        <v>139</v>
      </c>
    </row>
    <row r="3" spans="1:14" x14ac:dyDescent="0.2">
      <c r="A3" t="s">
        <v>6</v>
      </c>
      <c r="E3" s="51">
        <v>0.01</v>
      </c>
    </row>
    <row r="4" spans="1:14" x14ac:dyDescent="0.2">
      <c r="A4" t="s">
        <v>137</v>
      </c>
      <c r="E4" s="50">
        <f>-PMT(E3,60,C7)</f>
        <v>140.00010283894312</v>
      </c>
      <c r="F4" s="2"/>
    </row>
    <row r="5" spans="1:14" x14ac:dyDescent="0.2">
      <c r="E5" s="49"/>
    </row>
    <row r="6" spans="1:14" ht="32" x14ac:dyDescent="0.2">
      <c r="B6" s="3" t="s">
        <v>136</v>
      </c>
      <c r="C6" s="48" t="s">
        <v>135</v>
      </c>
      <c r="D6" s="48" t="s">
        <v>133</v>
      </c>
      <c r="E6" s="48" t="s">
        <v>134</v>
      </c>
      <c r="F6" s="48" t="s">
        <v>132</v>
      </c>
      <c r="G6" s="48" t="s">
        <v>131</v>
      </c>
      <c r="H6" s="3"/>
      <c r="I6" s="48" t="s">
        <v>130</v>
      </c>
      <c r="J6" s="48" t="s">
        <v>129</v>
      </c>
    </row>
    <row r="7" spans="1:14" x14ac:dyDescent="0.2">
      <c r="B7">
        <v>1</v>
      </c>
      <c r="C7" s="47">
        <v>6293.71</v>
      </c>
      <c r="D7" s="46">
        <f>C7*E$3</f>
        <v>62.937100000000001</v>
      </c>
      <c r="E7" s="2">
        <f t="shared" ref="E7:E38" si="0">E$4-D7</f>
        <v>77.06300283894312</v>
      </c>
      <c r="F7" s="15">
        <v>0</v>
      </c>
      <c r="G7" s="16">
        <f t="shared" ref="G7:G38" si="1">C7-E7-F7</f>
        <v>6216.6469971610568</v>
      </c>
      <c r="I7" s="21">
        <f>E7</f>
        <v>77.06300283894312</v>
      </c>
      <c r="J7" s="16">
        <f>D7</f>
        <v>62.937100000000001</v>
      </c>
      <c r="L7" s="2">
        <f>IPMT(E$3,B7,60,$C7)</f>
        <v>-62.937100000000001</v>
      </c>
      <c r="M7" s="2">
        <f>PPMT(E$3,B7,60,$C7)</f>
        <v>-77.063002838943149</v>
      </c>
      <c r="N7" s="21"/>
    </row>
    <row r="8" spans="1:14" x14ac:dyDescent="0.2">
      <c r="B8">
        <v>2</v>
      </c>
      <c r="C8" s="15">
        <f t="shared" ref="C8:C66" si="2">G7</f>
        <v>6216.6469971610568</v>
      </c>
      <c r="D8" s="46">
        <f t="shared" ref="D8:D66" si="3">C8*E$3</f>
        <v>62.166469971610567</v>
      </c>
      <c r="E8" s="2">
        <f t="shared" si="0"/>
        <v>77.833632867332554</v>
      </c>
      <c r="F8" s="45">
        <v>0</v>
      </c>
      <c r="G8" s="16">
        <f t="shared" si="1"/>
        <v>6138.8133642937246</v>
      </c>
      <c r="I8" s="21">
        <f t="shared" ref="I8:I39" si="4">I7+E8</f>
        <v>154.89663570627567</v>
      </c>
      <c r="J8" s="16">
        <f t="shared" ref="J8:J39" si="5">J7+D8</f>
        <v>125.10356997161057</v>
      </c>
      <c r="L8" s="2">
        <f t="shared" ref="L8:L22" si="6">IPMT(E$3,B8,60,$C8)</f>
        <v>-61.405275882288173</v>
      </c>
      <c r="M8" s="2">
        <f t="shared" ref="M8:M22" si="7">PPMT(E$3,B8,60,$C8)</f>
        <v>-76.880603021562663</v>
      </c>
    </row>
    <row r="9" spans="1:14" x14ac:dyDescent="0.2">
      <c r="B9">
        <v>3</v>
      </c>
      <c r="C9" s="15">
        <f t="shared" si="2"/>
        <v>6138.8133642937246</v>
      </c>
      <c r="D9" s="46">
        <f t="shared" si="3"/>
        <v>61.388133642937248</v>
      </c>
      <c r="E9" s="2">
        <f t="shared" si="0"/>
        <v>78.611969196005873</v>
      </c>
      <c r="F9" s="45">
        <v>0</v>
      </c>
      <c r="G9" s="16">
        <f t="shared" si="1"/>
        <v>6060.2013950977189</v>
      </c>
      <c r="I9" s="21">
        <f t="shared" si="4"/>
        <v>233.50860490228155</v>
      </c>
      <c r="J9" s="16">
        <f t="shared" si="5"/>
        <v>186.49170361454782</v>
      </c>
      <c r="L9" s="2">
        <f t="shared" si="6"/>
        <v>-59.877289423299182</v>
      </c>
      <c r="M9" s="2">
        <f t="shared" si="7"/>
        <v>-76.677223306108417</v>
      </c>
    </row>
    <row r="10" spans="1:14" x14ac:dyDescent="0.2">
      <c r="B10">
        <v>4</v>
      </c>
      <c r="C10" s="15">
        <f t="shared" si="2"/>
        <v>6060.2013950977189</v>
      </c>
      <c r="D10" s="46">
        <f t="shared" si="3"/>
        <v>60.602013950977188</v>
      </c>
      <c r="E10" s="2">
        <f t="shared" si="0"/>
        <v>79.39808888796594</v>
      </c>
      <c r="F10" s="45">
        <v>0</v>
      </c>
      <c r="G10" s="16">
        <f t="shared" si="1"/>
        <v>5980.8033062097529</v>
      </c>
      <c r="I10" s="21">
        <f t="shared" si="4"/>
        <v>312.90669379024746</v>
      </c>
      <c r="J10" s="16">
        <f t="shared" si="5"/>
        <v>247.093717565525</v>
      </c>
      <c r="L10" s="2">
        <f t="shared" si="6"/>
        <v>-58.353564033208286</v>
      </c>
      <c r="M10" s="2">
        <f t="shared" si="7"/>
        <v>-76.452268860011671</v>
      </c>
    </row>
    <row r="11" spans="1:14" x14ac:dyDescent="0.2">
      <c r="B11">
        <v>5</v>
      </c>
      <c r="C11" s="15">
        <f t="shared" si="2"/>
        <v>5980.8033062097529</v>
      </c>
      <c r="D11" s="46">
        <f t="shared" si="3"/>
        <v>59.808033062097529</v>
      </c>
      <c r="E11" s="2">
        <f t="shared" si="0"/>
        <v>80.192069776845585</v>
      </c>
      <c r="F11" s="45">
        <v>0</v>
      </c>
      <c r="G11" s="16">
        <f t="shared" si="1"/>
        <v>5900.6112364329074</v>
      </c>
      <c r="I11" s="21">
        <f t="shared" si="4"/>
        <v>393.09876356709304</v>
      </c>
      <c r="J11" s="16">
        <f t="shared" si="5"/>
        <v>306.9017506276225</v>
      </c>
      <c r="L11" s="2">
        <f t="shared" si="6"/>
        <v>-56.834535095467537</v>
      </c>
      <c r="M11" s="2">
        <f t="shared" si="7"/>
        <v>-76.20513116320285</v>
      </c>
    </row>
    <row r="12" spans="1:14" x14ac:dyDescent="0.2">
      <c r="B12">
        <v>6</v>
      </c>
      <c r="C12" s="15">
        <f t="shared" si="2"/>
        <v>5900.6112364329074</v>
      </c>
      <c r="D12" s="46">
        <f t="shared" si="3"/>
        <v>59.006112364329077</v>
      </c>
      <c r="E12" s="2">
        <f t="shared" si="0"/>
        <v>80.993990474614037</v>
      </c>
      <c r="F12" s="45">
        <v>0</v>
      </c>
      <c r="G12" s="16">
        <f t="shared" si="1"/>
        <v>5819.6172459582931</v>
      </c>
      <c r="I12" s="21">
        <f t="shared" si="4"/>
        <v>474.09275404170705</v>
      </c>
      <c r="J12" s="16">
        <f t="shared" si="5"/>
        <v>365.90786299195156</v>
      </c>
      <c r="L12" s="2">
        <f t="shared" si="6"/>
        <v>-55.320650242096121</v>
      </c>
      <c r="M12" s="2">
        <f t="shared" si="7"/>
        <v>-75.935187715679248</v>
      </c>
    </row>
    <row r="13" spans="1:14" x14ac:dyDescent="0.2">
      <c r="B13">
        <v>7</v>
      </c>
      <c r="C13" s="15">
        <f t="shared" si="2"/>
        <v>5819.6172459582931</v>
      </c>
      <c r="D13" s="46">
        <f t="shared" si="3"/>
        <v>58.196172459582932</v>
      </c>
      <c r="E13" s="2">
        <f t="shared" si="0"/>
        <v>81.803930379360196</v>
      </c>
      <c r="F13" s="45">
        <v>0</v>
      </c>
      <c r="G13" s="16">
        <f t="shared" si="1"/>
        <v>5737.8133155789328</v>
      </c>
      <c r="I13" s="21">
        <f t="shared" si="4"/>
        <v>555.89668442106722</v>
      </c>
      <c r="J13" s="16">
        <f t="shared" si="5"/>
        <v>424.10403545153451</v>
      </c>
      <c r="L13" s="2">
        <f t="shared" si="6"/>
        <v>-53.81236963485</v>
      </c>
      <c r="M13" s="2">
        <f t="shared" si="7"/>
        <v>-75.641801739021389</v>
      </c>
    </row>
    <row r="14" spans="1:14" x14ac:dyDescent="0.2">
      <c r="B14">
        <v>8</v>
      </c>
      <c r="C14" s="15">
        <f t="shared" si="2"/>
        <v>5737.8133155789328</v>
      </c>
      <c r="D14" s="46">
        <f t="shared" si="3"/>
        <v>57.378133155789328</v>
      </c>
      <c r="E14" s="2">
        <f t="shared" si="0"/>
        <v>82.621969683153793</v>
      </c>
      <c r="F14" s="45">
        <v>0</v>
      </c>
      <c r="G14" s="16">
        <f t="shared" si="1"/>
        <v>5655.1913458957788</v>
      </c>
      <c r="I14" s="21">
        <f t="shared" si="4"/>
        <v>638.51865410422101</v>
      </c>
      <c r="J14" s="16">
        <f t="shared" si="5"/>
        <v>481.48216860732384</v>
      </c>
      <c r="L14" s="2">
        <f t="shared" si="6"/>
        <v>-52.310166252393103</v>
      </c>
      <c r="M14" s="2">
        <f t="shared" si="7"/>
        <v>-75.324321871735251</v>
      </c>
    </row>
    <row r="15" spans="1:14" x14ac:dyDescent="0.2">
      <c r="B15">
        <v>9</v>
      </c>
      <c r="C15" s="15">
        <f t="shared" si="2"/>
        <v>5655.1913458957788</v>
      </c>
      <c r="D15" s="46">
        <f t="shared" si="3"/>
        <v>56.551913458957792</v>
      </c>
      <c r="E15" s="2">
        <f t="shared" si="0"/>
        <v>83.448189379985337</v>
      </c>
      <c r="F15" s="45">
        <v>0</v>
      </c>
      <c r="G15" s="16">
        <f t="shared" si="1"/>
        <v>5571.7431565157931</v>
      </c>
      <c r="I15" s="21">
        <f t="shared" si="4"/>
        <v>721.96684348420638</v>
      </c>
      <c r="J15" s="16">
        <f t="shared" si="5"/>
        <v>538.0340820662816</v>
      </c>
      <c r="L15" s="2">
        <f t="shared" si="6"/>
        <v>-50.814526183593642</v>
      </c>
      <c r="M15" s="2">
        <f t="shared" si="7"/>
        <v>-74.982081858294265</v>
      </c>
    </row>
    <row r="16" spans="1:14" x14ac:dyDescent="0.2">
      <c r="B16">
        <v>10</v>
      </c>
      <c r="C16" s="15">
        <f t="shared" si="2"/>
        <v>5571.7431565157931</v>
      </c>
      <c r="D16" s="46">
        <f t="shared" si="3"/>
        <v>55.717431565157931</v>
      </c>
      <c r="E16" s="2">
        <f t="shared" si="0"/>
        <v>84.282671273785184</v>
      </c>
      <c r="F16" s="45">
        <v>0</v>
      </c>
      <c r="G16" s="16">
        <f t="shared" si="1"/>
        <v>5487.460485242008</v>
      </c>
      <c r="I16" s="21">
        <f t="shared" si="4"/>
        <v>806.24951475799162</v>
      </c>
      <c r="J16" s="16">
        <f t="shared" si="5"/>
        <v>593.75151363143948</v>
      </c>
      <c r="L16" s="2">
        <f t="shared" si="6"/>
        <v>-49.325948927072552</v>
      </c>
      <c r="M16" s="2">
        <f t="shared" si="7"/>
        <v>-74.614400231752484</v>
      </c>
    </row>
    <row r="17" spans="2:13" x14ac:dyDescent="0.2">
      <c r="B17">
        <v>11</v>
      </c>
      <c r="C17" s="15">
        <f t="shared" si="2"/>
        <v>5487.460485242008</v>
      </c>
      <c r="D17" s="46">
        <f t="shared" si="3"/>
        <v>54.874604852420077</v>
      </c>
      <c r="E17" s="2">
        <f t="shared" si="0"/>
        <v>85.125497986523044</v>
      </c>
      <c r="F17" s="45">
        <v>0</v>
      </c>
      <c r="G17" s="16">
        <f t="shared" si="1"/>
        <v>5402.3349872554845</v>
      </c>
      <c r="I17" s="21">
        <f t="shared" si="4"/>
        <v>891.37501274451461</v>
      </c>
      <c r="J17" s="16">
        <f t="shared" si="5"/>
        <v>648.6261184838595</v>
      </c>
      <c r="L17" s="2">
        <f t="shared" si="6"/>
        <v>-47.844947697133257</v>
      </c>
      <c r="M17" s="2">
        <f t="shared" si="7"/>
        <v>-74.220579989798296</v>
      </c>
    </row>
    <row r="18" spans="2:13" x14ac:dyDescent="0.2">
      <c r="B18">
        <v>12</v>
      </c>
      <c r="C18" s="15">
        <f t="shared" si="2"/>
        <v>5402.3349872554845</v>
      </c>
      <c r="D18" s="46">
        <f t="shared" si="3"/>
        <v>54.023349872554846</v>
      </c>
      <c r="E18" s="2">
        <f t="shared" si="0"/>
        <v>85.976752966388275</v>
      </c>
      <c r="F18" s="45">
        <v>0</v>
      </c>
      <c r="G18" s="16">
        <f t="shared" si="1"/>
        <v>5316.3582342890959</v>
      </c>
      <c r="I18" s="21">
        <f t="shared" si="4"/>
        <v>977.3517657109029</v>
      </c>
      <c r="J18" s="16">
        <f t="shared" si="5"/>
        <v>702.64946835641433</v>
      </c>
      <c r="L18" s="2">
        <f t="shared" si="6"/>
        <v>-46.372049736204424</v>
      </c>
      <c r="M18" s="2">
        <f t="shared" si="7"/>
        <v>-73.799908264114677</v>
      </c>
    </row>
    <row r="19" spans="2:13" outlineLevel="1" x14ac:dyDescent="0.2">
      <c r="B19">
        <v>13</v>
      </c>
      <c r="C19" s="15">
        <f t="shared" si="2"/>
        <v>5316.3582342890959</v>
      </c>
      <c r="D19" s="46">
        <f t="shared" si="3"/>
        <v>53.163582342890962</v>
      </c>
      <c r="E19" s="2">
        <f t="shared" si="0"/>
        <v>86.83652049605216</v>
      </c>
      <c r="F19" s="45">
        <v>0</v>
      </c>
      <c r="G19" s="16">
        <f t="shared" si="1"/>
        <v>5229.521713793044</v>
      </c>
      <c r="I19" s="21">
        <f t="shared" si="4"/>
        <v>1064.1882862069551</v>
      </c>
      <c r="J19" s="16">
        <f t="shared" si="5"/>
        <v>755.81305069930534</v>
      </c>
      <c r="L19" s="2">
        <f t="shared" si="6"/>
        <v>-44.907796633930502</v>
      </c>
      <c r="M19" s="2">
        <f t="shared" si="7"/>
        <v>-73.35165598291006</v>
      </c>
    </row>
    <row r="20" spans="2:13" outlineLevel="1" x14ac:dyDescent="0.2">
      <c r="B20">
        <v>14</v>
      </c>
      <c r="C20" s="15">
        <f t="shared" si="2"/>
        <v>5229.521713793044</v>
      </c>
      <c r="D20" s="46">
        <f t="shared" si="3"/>
        <v>52.295217137930443</v>
      </c>
      <c r="E20" s="2">
        <f t="shared" si="0"/>
        <v>87.704885701012671</v>
      </c>
      <c r="F20" s="45">
        <v>0</v>
      </c>
      <c r="G20" s="16">
        <f t="shared" si="1"/>
        <v>5141.8168280920318</v>
      </c>
      <c r="I20" s="21">
        <f t="shared" si="4"/>
        <v>1151.8931719079678</v>
      </c>
      <c r="J20" s="16">
        <f t="shared" si="5"/>
        <v>808.10826783723576</v>
      </c>
      <c r="L20" s="2">
        <f t="shared" si="6"/>
        <v>-43.452744653047148</v>
      </c>
      <c r="M20" s="2">
        <f t="shared" si="7"/>
        <v>-72.875077526480098</v>
      </c>
    </row>
    <row r="21" spans="2:13" outlineLevel="1" x14ac:dyDescent="0.2">
      <c r="B21">
        <v>15</v>
      </c>
      <c r="C21" s="15">
        <f t="shared" si="2"/>
        <v>5141.8168280920318</v>
      </c>
      <c r="D21" s="46">
        <f t="shared" si="3"/>
        <v>51.41816828092032</v>
      </c>
      <c r="E21" s="2">
        <f t="shared" si="0"/>
        <v>88.581934558022795</v>
      </c>
      <c r="F21" s="45">
        <v>0</v>
      </c>
      <c r="G21" s="16">
        <f t="shared" si="1"/>
        <v>5053.2348935340087</v>
      </c>
      <c r="I21" s="21">
        <f t="shared" si="4"/>
        <v>1240.4751064659906</v>
      </c>
      <c r="J21" s="16">
        <f t="shared" si="5"/>
        <v>859.52643611815608</v>
      </c>
      <c r="L21" s="2">
        <f t="shared" si="6"/>
        <v>-42.007465062181758</v>
      </c>
      <c r="M21" s="2">
        <f t="shared" si="7"/>
        <v>-72.369410375659001</v>
      </c>
    </row>
    <row r="22" spans="2:13" outlineLevel="1" x14ac:dyDescent="0.2">
      <c r="B22">
        <v>16</v>
      </c>
      <c r="C22" s="15">
        <f t="shared" si="2"/>
        <v>5053.2348935340087</v>
      </c>
      <c r="D22" s="46">
        <f t="shared" si="3"/>
        <v>50.532348935340089</v>
      </c>
      <c r="E22" s="2">
        <f t="shared" si="0"/>
        <v>89.46775390360304</v>
      </c>
      <c r="F22" s="45">
        <v>0</v>
      </c>
      <c r="G22" s="16">
        <f t="shared" si="1"/>
        <v>4963.7671396304058</v>
      </c>
      <c r="I22" s="21">
        <f t="shared" si="4"/>
        <v>1329.9428603695937</v>
      </c>
      <c r="J22" s="16">
        <f t="shared" si="5"/>
        <v>910.05878505349619</v>
      </c>
      <c r="L22" s="2">
        <f t="shared" si="6"/>
        <v>-40.572544475722047</v>
      </c>
      <c r="M22" s="2">
        <f t="shared" si="7"/>
        <v>-71.83387475301538</v>
      </c>
    </row>
    <row r="23" spans="2:13" outlineLevel="1" x14ac:dyDescent="0.2">
      <c r="B23">
        <v>17</v>
      </c>
      <c r="C23" s="15">
        <f t="shared" si="2"/>
        <v>4963.7671396304058</v>
      </c>
      <c r="D23" s="46">
        <f t="shared" si="3"/>
        <v>49.637671396304057</v>
      </c>
      <c r="E23" s="2">
        <f t="shared" si="0"/>
        <v>90.362431442639064</v>
      </c>
      <c r="F23" s="45">
        <v>0</v>
      </c>
      <c r="G23" s="16">
        <f t="shared" si="1"/>
        <v>4873.404708187767</v>
      </c>
      <c r="I23" s="21">
        <f t="shared" si="4"/>
        <v>1420.3052918122328</v>
      </c>
      <c r="J23" s="16">
        <f t="shared" si="5"/>
        <v>959.69645644980028</v>
      </c>
      <c r="L23" s="2">
        <f t="shared" ref="L23:L66" si="8">IPMT(E$3,B23,60,$C23)</f>
        <v>-39.148585200898395</v>
      </c>
      <c r="M23" s="2">
        <f t="shared" ref="M23:M66" si="9">PPMT(E$3,B23,60,$C23)</f>
        <v>-71.267673256644699</v>
      </c>
    </row>
    <row r="24" spans="2:13" outlineLevel="1" x14ac:dyDescent="0.2">
      <c r="B24">
        <v>18</v>
      </c>
      <c r="C24" s="15">
        <f t="shared" si="2"/>
        <v>4873.404708187767</v>
      </c>
      <c r="D24" s="46">
        <f t="shared" si="3"/>
        <v>48.734047081877669</v>
      </c>
      <c r="E24" s="2">
        <f t="shared" si="0"/>
        <v>91.266055757065459</v>
      </c>
      <c r="F24" s="45">
        <v>0</v>
      </c>
      <c r="G24" s="16">
        <f t="shared" si="1"/>
        <v>4782.1386524307018</v>
      </c>
      <c r="I24" s="21">
        <f t="shared" si="4"/>
        <v>1511.5713475692983</v>
      </c>
      <c r="J24" s="16">
        <f t="shared" si="5"/>
        <v>1008.4305035316779</v>
      </c>
      <c r="L24" s="2">
        <f t="shared" si="8"/>
        <v>-37.736205592228892</v>
      </c>
      <c r="M24" s="2">
        <f t="shared" si="9"/>
        <v>-70.669990486407869</v>
      </c>
    </row>
    <row r="25" spans="2:13" outlineLevel="1" x14ac:dyDescent="0.2">
      <c r="B25">
        <v>19</v>
      </c>
      <c r="C25" s="15">
        <f t="shared" si="2"/>
        <v>4782.1386524307018</v>
      </c>
      <c r="D25" s="46">
        <f t="shared" si="3"/>
        <v>47.821386524307016</v>
      </c>
      <c r="E25" s="2">
        <f t="shared" si="0"/>
        <v>92.178716314636105</v>
      </c>
      <c r="F25" s="45">
        <v>0</v>
      </c>
      <c r="G25" s="16">
        <f t="shared" si="1"/>
        <v>4689.9599361160654</v>
      </c>
      <c r="I25" s="21">
        <f t="shared" si="4"/>
        <v>1603.7500638839344</v>
      </c>
      <c r="J25" s="16">
        <f t="shared" si="5"/>
        <v>1056.2518900559849</v>
      </c>
      <c r="L25" s="2">
        <f t="shared" si="8"/>
        <v>-36.336040413479054</v>
      </c>
      <c r="M25" s="2">
        <f t="shared" si="9"/>
        <v>-70.039992662462367</v>
      </c>
    </row>
    <row r="26" spans="2:13" outlineLevel="1" x14ac:dyDescent="0.2">
      <c r="B26">
        <v>20</v>
      </c>
      <c r="C26" s="15">
        <f t="shared" si="2"/>
        <v>4689.9599361160654</v>
      </c>
      <c r="D26" s="46">
        <f t="shared" si="3"/>
        <v>46.899599361160654</v>
      </c>
      <c r="E26" s="2">
        <f t="shared" si="0"/>
        <v>93.100503477782468</v>
      </c>
      <c r="F26" s="45">
        <v>0</v>
      </c>
      <c r="G26" s="16">
        <f t="shared" si="1"/>
        <v>4596.8594326382827</v>
      </c>
      <c r="I26" s="21">
        <f t="shared" si="4"/>
        <v>1696.8505673617169</v>
      </c>
      <c r="J26" s="16">
        <f t="shared" si="5"/>
        <v>1103.1514894171455</v>
      </c>
      <c r="L26" s="2">
        <f t="shared" si="8"/>
        <v>-34.94874120729078</v>
      </c>
      <c r="M26" s="2">
        <f t="shared" si="9"/>
        <v>-69.376827235928303</v>
      </c>
    </row>
    <row r="27" spans="2:13" outlineLevel="1" x14ac:dyDescent="0.2">
      <c r="B27">
        <v>21</v>
      </c>
      <c r="C27" s="15">
        <f t="shared" si="2"/>
        <v>4596.8594326382827</v>
      </c>
      <c r="D27" s="46">
        <f t="shared" si="3"/>
        <v>45.968594326382828</v>
      </c>
      <c r="E27" s="2">
        <f t="shared" si="0"/>
        <v>94.031508512560293</v>
      </c>
      <c r="F27" s="45">
        <v>0</v>
      </c>
      <c r="G27" s="16">
        <f t="shared" si="1"/>
        <v>4502.8279241257223</v>
      </c>
      <c r="I27" s="21">
        <f t="shared" si="4"/>
        <v>1790.8820758742772</v>
      </c>
      <c r="J27" s="16">
        <f t="shared" si="5"/>
        <v>1149.1200837435283</v>
      </c>
      <c r="L27" s="2">
        <f t="shared" si="8"/>
        <v>-33.57497667263911</v>
      </c>
      <c r="M27" s="2">
        <f t="shared" si="9"/>
        <v>-68.679622491530409</v>
      </c>
    </row>
    <row r="28" spans="2:13" outlineLevel="1" x14ac:dyDescent="0.2">
      <c r="B28">
        <v>22</v>
      </c>
      <c r="C28" s="15">
        <f t="shared" si="2"/>
        <v>4502.8279241257223</v>
      </c>
      <c r="D28" s="46">
        <f t="shared" si="3"/>
        <v>45.028279241257223</v>
      </c>
      <c r="E28" s="2">
        <f t="shared" si="0"/>
        <v>94.971823597685898</v>
      </c>
      <c r="F28" s="45">
        <v>0</v>
      </c>
      <c r="G28" s="16">
        <f t="shared" si="1"/>
        <v>4407.8561005280362</v>
      </c>
      <c r="I28" s="21">
        <f t="shared" si="4"/>
        <v>1885.8538994719631</v>
      </c>
      <c r="J28" s="16">
        <f t="shared" si="5"/>
        <v>1194.1483629847855</v>
      </c>
      <c r="L28" s="2">
        <f t="shared" si="8"/>
        <v>-32.215433050277753</v>
      </c>
      <c r="M28" s="2">
        <f t="shared" si="9"/>
        <v>-67.947487142051727</v>
      </c>
    </row>
    <row r="29" spans="2:13" outlineLevel="1" x14ac:dyDescent="0.2">
      <c r="B29">
        <v>23</v>
      </c>
      <c r="C29" s="15">
        <f t="shared" si="2"/>
        <v>4407.8561005280362</v>
      </c>
      <c r="D29" s="46">
        <f t="shared" si="3"/>
        <v>44.078561005280363</v>
      </c>
      <c r="E29" s="2">
        <f t="shared" si="0"/>
        <v>95.921541833662758</v>
      </c>
      <c r="F29" s="45">
        <v>0</v>
      </c>
      <c r="G29" s="16">
        <f t="shared" si="1"/>
        <v>4311.9345586943737</v>
      </c>
      <c r="I29" s="21">
        <f t="shared" si="4"/>
        <v>1981.7754413056259</v>
      </c>
      <c r="J29" s="16">
        <f t="shared" si="5"/>
        <v>1238.2269239900659</v>
      </c>
      <c r="L29" s="2">
        <f t="shared" si="8"/>
        <v>-30.870814516338097</v>
      </c>
      <c r="M29" s="2">
        <f t="shared" si="9"/>
        <v>-67.179509914432941</v>
      </c>
    </row>
    <row r="30" spans="2:13" outlineLevel="1" x14ac:dyDescent="0.2">
      <c r="B30">
        <v>24</v>
      </c>
      <c r="C30" s="15">
        <f t="shared" si="2"/>
        <v>4311.9345586943737</v>
      </c>
      <c r="D30" s="46">
        <f t="shared" si="3"/>
        <v>43.119345586943737</v>
      </c>
      <c r="E30" s="2">
        <f t="shared" si="0"/>
        <v>96.880757251999384</v>
      </c>
      <c r="F30" s="45">
        <v>0</v>
      </c>
      <c r="G30" s="16">
        <f t="shared" si="1"/>
        <v>4215.0538014423746</v>
      </c>
      <c r="I30" s="21">
        <f t="shared" si="4"/>
        <v>2078.6561985576254</v>
      </c>
      <c r="J30" s="16">
        <f t="shared" si="5"/>
        <v>1281.3462695770097</v>
      </c>
      <c r="L30" s="2">
        <f t="shared" si="8"/>
        <v>-29.541843584249737</v>
      </c>
      <c r="M30" s="2">
        <f t="shared" si="9"/>
        <v>-66.374759127347275</v>
      </c>
    </row>
    <row r="31" spans="2:13" outlineLevel="1" x14ac:dyDescent="0.2">
      <c r="B31">
        <v>25</v>
      </c>
      <c r="C31" s="15">
        <f t="shared" si="2"/>
        <v>4215.0538014423746</v>
      </c>
      <c r="D31" s="46">
        <f t="shared" si="3"/>
        <v>42.150538014423745</v>
      </c>
      <c r="E31" s="2">
        <f t="shared" si="0"/>
        <v>97.849564824519376</v>
      </c>
      <c r="F31" s="45">
        <v>0</v>
      </c>
      <c r="G31" s="16">
        <f t="shared" si="1"/>
        <v>4117.2042366178548</v>
      </c>
      <c r="I31" s="21">
        <f t="shared" si="4"/>
        <v>2176.5057633821448</v>
      </c>
      <c r="J31" s="16">
        <f t="shared" si="5"/>
        <v>1323.4968075914335</v>
      </c>
      <c r="L31" s="2">
        <f t="shared" si="8"/>
        <v>-28.229261515153713</v>
      </c>
      <c r="M31" s="2">
        <f t="shared" si="9"/>
        <v>-65.532282260077523</v>
      </c>
    </row>
    <row r="32" spans="2:13" outlineLevel="1" x14ac:dyDescent="0.2">
      <c r="B32">
        <v>26</v>
      </c>
      <c r="C32" s="15">
        <f t="shared" si="2"/>
        <v>4117.2042366178548</v>
      </c>
      <c r="D32" s="46">
        <f t="shared" si="3"/>
        <v>41.172042366178552</v>
      </c>
      <c r="E32" s="2">
        <f t="shared" si="0"/>
        <v>98.828060472764577</v>
      </c>
      <c r="F32" s="45">
        <v>0</v>
      </c>
      <c r="G32" s="16">
        <f t="shared" si="1"/>
        <v>4018.3761761450901</v>
      </c>
      <c r="I32" s="21">
        <f t="shared" si="4"/>
        <v>2275.3338238549095</v>
      </c>
      <c r="J32" s="16">
        <f t="shared" si="5"/>
        <v>1364.6688499576121</v>
      </c>
      <c r="L32" s="2">
        <f t="shared" si="8"/>
        <v>-26.933828736983443</v>
      </c>
      <c r="M32" s="2">
        <f t="shared" si="9"/>
        <v>-64.651105512518356</v>
      </c>
    </row>
    <row r="33" spans="2:13" outlineLevel="1" x14ac:dyDescent="0.2">
      <c r="B33">
        <v>27</v>
      </c>
      <c r="C33" s="15">
        <f t="shared" si="2"/>
        <v>4018.3761761450901</v>
      </c>
      <c r="D33" s="46">
        <f t="shared" si="3"/>
        <v>40.183761761450903</v>
      </c>
      <c r="E33" s="2">
        <f t="shared" si="0"/>
        <v>99.816341077492211</v>
      </c>
      <c r="F33" s="45">
        <v>0</v>
      </c>
      <c r="G33" s="16">
        <f t="shared" si="1"/>
        <v>3918.5598350675978</v>
      </c>
      <c r="I33" s="21">
        <f t="shared" si="4"/>
        <v>2375.1501649324018</v>
      </c>
      <c r="J33" s="16">
        <f t="shared" si="5"/>
        <v>1404.8526117190629</v>
      </c>
      <c r="L33" s="2">
        <f t="shared" si="8"/>
        <v>-25.656325272391701</v>
      </c>
      <c r="M33" s="2">
        <f t="shared" si="9"/>
        <v>-63.730233356123392</v>
      </c>
    </row>
    <row r="34" spans="2:13" outlineLevel="1" x14ac:dyDescent="0.2">
      <c r="B34">
        <v>28</v>
      </c>
      <c r="C34" s="15">
        <f t="shared" si="2"/>
        <v>3918.5598350675978</v>
      </c>
      <c r="D34" s="46">
        <f t="shared" si="3"/>
        <v>39.185598350675981</v>
      </c>
      <c r="E34" s="2">
        <f t="shared" si="0"/>
        <v>100.81450448826715</v>
      </c>
      <c r="F34" s="45">
        <v>0</v>
      </c>
      <c r="G34" s="16">
        <f t="shared" si="1"/>
        <v>3817.7453305793306</v>
      </c>
      <c r="I34" s="21">
        <f t="shared" si="4"/>
        <v>2475.964669420669</v>
      </c>
      <c r="J34" s="16">
        <f t="shared" si="5"/>
        <v>1444.0382100697389</v>
      </c>
      <c r="L34" s="2">
        <f t="shared" si="8"/>
        <v>-24.397551175705587</v>
      </c>
      <c r="M34" s="2">
        <f t="shared" si="9"/>
        <v>-62.768648075612923</v>
      </c>
    </row>
    <row r="35" spans="2:13" outlineLevel="1" x14ac:dyDescent="0.2">
      <c r="B35">
        <v>29</v>
      </c>
      <c r="C35" s="15">
        <f t="shared" si="2"/>
        <v>3817.7453305793306</v>
      </c>
      <c r="D35" s="46">
        <f t="shared" si="3"/>
        <v>38.177453305793307</v>
      </c>
      <c r="E35" s="2">
        <f t="shared" si="0"/>
        <v>101.82264953314981</v>
      </c>
      <c r="F35" s="45">
        <v>0</v>
      </c>
      <c r="G35" s="16">
        <f t="shared" si="1"/>
        <v>3715.922681046181</v>
      </c>
      <c r="I35" s="21">
        <f t="shared" si="4"/>
        <v>2577.7873189538186</v>
      </c>
      <c r="J35" s="16">
        <f t="shared" si="5"/>
        <v>1482.2156633755321</v>
      </c>
      <c r="L35" s="2">
        <f t="shared" si="8"/>
        <v>-23.158326979095445</v>
      </c>
      <c r="M35" s="2">
        <f t="shared" si="9"/>
        <v>-61.765309301254504</v>
      </c>
    </row>
    <row r="36" spans="2:13" outlineLevel="1" x14ac:dyDescent="0.2">
      <c r="B36">
        <v>30</v>
      </c>
      <c r="C36" s="15">
        <f t="shared" si="2"/>
        <v>3715.922681046181</v>
      </c>
      <c r="D36" s="46">
        <f t="shared" si="3"/>
        <v>37.15922681046181</v>
      </c>
      <c r="E36" s="2">
        <f t="shared" si="0"/>
        <v>102.84087602848132</v>
      </c>
      <c r="F36" s="45">
        <v>0</v>
      </c>
      <c r="G36" s="16">
        <f t="shared" si="1"/>
        <v>3613.0818050176995</v>
      </c>
      <c r="I36" s="21">
        <f t="shared" si="4"/>
        <v>2680.6281949823001</v>
      </c>
      <c r="J36" s="16">
        <f t="shared" si="5"/>
        <v>1519.374890185994</v>
      </c>
      <c r="L36" s="2">
        <f t="shared" si="8"/>
        <v>-21.939494148147016</v>
      </c>
      <c r="M36" s="2">
        <f t="shared" si="9"/>
        <v>-60.71915353152469</v>
      </c>
    </row>
    <row r="37" spans="2:13" outlineLevel="1" x14ac:dyDescent="0.2">
      <c r="B37">
        <v>31</v>
      </c>
      <c r="C37" s="15">
        <f t="shared" si="2"/>
        <v>3613.0818050176995</v>
      </c>
      <c r="D37" s="46">
        <f t="shared" si="3"/>
        <v>36.130818050176998</v>
      </c>
      <c r="E37" s="2">
        <f t="shared" si="0"/>
        <v>103.86928478876612</v>
      </c>
      <c r="F37" s="45">
        <v>0</v>
      </c>
      <c r="G37" s="16">
        <f t="shared" si="1"/>
        <v>3509.2125202289335</v>
      </c>
      <c r="I37" s="21">
        <f t="shared" si="4"/>
        <v>2784.4974797710661</v>
      </c>
      <c r="J37" s="16">
        <f t="shared" si="5"/>
        <v>1555.5057082361709</v>
      </c>
      <c r="L37" s="2">
        <f t="shared" si="8"/>
        <v>-20.741915547030217</v>
      </c>
      <c r="M37" s="2">
        <f t="shared" si="9"/>
        <v>-59.629093645956473</v>
      </c>
    </row>
    <row r="38" spans="2:13" outlineLevel="1" x14ac:dyDescent="0.2">
      <c r="B38">
        <v>32</v>
      </c>
      <c r="C38" s="15">
        <f t="shared" si="2"/>
        <v>3509.2125202289335</v>
      </c>
      <c r="D38" s="46">
        <f t="shared" si="3"/>
        <v>35.092125202289338</v>
      </c>
      <c r="E38" s="2">
        <f t="shared" si="0"/>
        <v>104.90797763665378</v>
      </c>
      <c r="F38" s="45">
        <v>0</v>
      </c>
      <c r="G38" s="16">
        <f t="shared" si="1"/>
        <v>3404.3045425922796</v>
      </c>
      <c r="I38" s="21">
        <f t="shared" si="4"/>
        <v>2889.40545740772</v>
      </c>
      <c r="J38" s="16">
        <f t="shared" si="5"/>
        <v>1590.5978334384602</v>
      </c>
      <c r="L38" s="2">
        <f t="shared" si="8"/>
        <v>-19.566475913462018</v>
      </c>
      <c r="M38" s="2">
        <f t="shared" si="9"/>
        <v>-58.494018407972803</v>
      </c>
    </row>
    <row r="39" spans="2:13" outlineLevel="1" x14ac:dyDescent="0.2">
      <c r="B39">
        <v>33</v>
      </c>
      <c r="C39" s="15">
        <f t="shared" si="2"/>
        <v>3404.3045425922796</v>
      </c>
      <c r="D39" s="46">
        <f t="shared" si="3"/>
        <v>34.043045425922799</v>
      </c>
      <c r="E39" s="2">
        <f t="shared" ref="E39:E66" si="10">E$4-D39</f>
        <v>105.95705741302032</v>
      </c>
      <c r="F39" s="45">
        <v>0</v>
      </c>
      <c r="G39" s="16">
        <f t="shared" ref="G39:G66" si="11">C39-E39-F39</f>
        <v>3298.3474851792594</v>
      </c>
      <c r="I39" s="21">
        <f t="shared" si="4"/>
        <v>2995.3625148207402</v>
      </c>
      <c r="J39" s="16">
        <f t="shared" si="5"/>
        <v>1624.640878864383</v>
      </c>
      <c r="L39" s="2">
        <f t="shared" si="8"/>
        <v>-18.414082343664433</v>
      </c>
      <c r="M39" s="2">
        <f t="shared" si="9"/>
        <v>-57.312791957502988</v>
      </c>
    </row>
    <row r="40" spans="2:13" outlineLevel="1" x14ac:dyDescent="0.2">
      <c r="B40">
        <v>34</v>
      </c>
      <c r="C40" s="15">
        <f t="shared" si="2"/>
        <v>3298.3474851792594</v>
      </c>
      <c r="D40" s="46">
        <f t="shared" si="3"/>
        <v>32.983474851792593</v>
      </c>
      <c r="E40" s="2">
        <f t="shared" si="10"/>
        <v>107.01662798715053</v>
      </c>
      <c r="F40" s="45">
        <v>0</v>
      </c>
      <c r="G40" s="16">
        <f t="shared" si="11"/>
        <v>3191.3308571921089</v>
      </c>
      <c r="I40" s="21">
        <f t="shared" ref="I40:I66" si="12">I39+E40</f>
        <v>3102.3791428078907</v>
      </c>
      <c r="J40" s="16">
        <f t="shared" ref="J40:J66" si="13">J39+D40</f>
        <v>1657.6243537161756</v>
      </c>
      <c r="L40" s="2">
        <f t="shared" si="8"/>
        <v>-17.285664787523324</v>
      </c>
      <c r="M40" s="2">
        <f t="shared" si="9"/>
        <v>-56.084253293174044</v>
      </c>
    </row>
    <row r="41" spans="2:13" outlineLevel="1" x14ac:dyDescent="0.2">
      <c r="B41">
        <v>35</v>
      </c>
      <c r="C41" s="15">
        <f t="shared" si="2"/>
        <v>3191.3308571921089</v>
      </c>
      <c r="D41" s="46">
        <f t="shared" si="3"/>
        <v>31.913308571921089</v>
      </c>
      <c r="E41" s="2">
        <f t="shared" si="10"/>
        <v>108.08679426702203</v>
      </c>
      <c r="F41" s="45">
        <v>0</v>
      </c>
      <c r="G41" s="16">
        <f t="shared" si="11"/>
        <v>3083.2440629250868</v>
      </c>
      <c r="I41" s="21">
        <f t="shared" si="12"/>
        <v>3210.4659370749127</v>
      </c>
      <c r="J41" s="16">
        <f t="shared" si="13"/>
        <v>1689.5376622880967</v>
      </c>
      <c r="L41" s="2">
        <f t="shared" si="8"/>
        <v>-16.182176554157277</v>
      </c>
      <c r="M41" s="2">
        <f t="shared" si="9"/>
        <v>-54.807215743865321</v>
      </c>
    </row>
    <row r="42" spans="2:13" outlineLevel="1" x14ac:dyDescent="0.2">
      <c r="B42">
        <v>36</v>
      </c>
      <c r="C42" s="15">
        <f t="shared" si="2"/>
        <v>3083.2440629250868</v>
      </c>
      <c r="D42" s="46">
        <f t="shared" si="3"/>
        <v>30.832440629250868</v>
      </c>
      <c r="E42" s="2">
        <f t="shared" si="10"/>
        <v>109.16766220969225</v>
      </c>
      <c r="F42" s="45">
        <v>0</v>
      </c>
      <c r="G42" s="16">
        <f t="shared" si="11"/>
        <v>2974.0764007153948</v>
      </c>
      <c r="I42" s="21">
        <f t="shared" si="12"/>
        <v>3319.6335992846052</v>
      </c>
      <c r="J42" s="16">
        <f t="shared" si="13"/>
        <v>1720.3701029173476</v>
      </c>
      <c r="L42" s="2">
        <f t="shared" si="8"/>
        <v>-15.104594828110596</v>
      </c>
      <c r="M42" s="2">
        <f t="shared" si="9"/>
        <v>-53.480466429410491</v>
      </c>
    </row>
    <row r="43" spans="2:13" outlineLevel="1" x14ac:dyDescent="0.2">
      <c r="B43">
        <v>37</v>
      </c>
      <c r="C43" s="15">
        <f t="shared" si="2"/>
        <v>2974.0764007153948</v>
      </c>
      <c r="D43" s="46">
        <f t="shared" si="3"/>
        <v>29.740764007153949</v>
      </c>
      <c r="E43" s="2">
        <f t="shared" si="10"/>
        <v>110.25933883178917</v>
      </c>
      <c r="F43" s="45">
        <v>0</v>
      </c>
      <c r="G43" s="16">
        <f t="shared" si="11"/>
        <v>2863.8170618836057</v>
      </c>
      <c r="I43" s="21">
        <f t="shared" si="12"/>
        <v>3429.8929381163944</v>
      </c>
      <c r="J43" s="16">
        <f t="shared" si="13"/>
        <v>1750.1108669245016</v>
      </c>
      <c r="L43" s="2">
        <f t="shared" si="8"/>
        <v>-14.05392119638851</v>
      </c>
      <c r="M43" s="2">
        <f t="shared" si="9"/>
        <v>-52.102765710226052</v>
      </c>
    </row>
    <row r="44" spans="2:13" outlineLevel="1" x14ac:dyDescent="0.2">
      <c r="B44">
        <v>38</v>
      </c>
      <c r="C44" s="15">
        <f t="shared" si="2"/>
        <v>2863.8170618836057</v>
      </c>
      <c r="D44" s="46">
        <f t="shared" si="3"/>
        <v>28.638170618836057</v>
      </c>
      <c r="E44" s="2">
        <f t="shared" si="10"/>
        <v>111.36193222010706</v>
      </c>
      <c r="F44" s="45">
        <v>0</v>
      </c>
      <c r="G44" s="16">
        <f t="shared" si="11"/>
        <v>2752.4551296634986</v>
      </c>
      <c r="I44" s="21">
        <f t="shared" si="12"/>
        <v>3541.2548703365014</v>
      </c>
      <c r="J44" s="16">
        <f t="shared" si="13"/>
        <v>1778.7490375433376</v>
      </c>
      <c r="L44" s="2">
        <f t="shared" si="8"/>
        <v>-13.031182186557123</v>
      </c>
      <c r="M44" s="2">
        <f t="shared" si="9"/>
        <v>-50.672846625641846</v>
      </c>
    </row>
    <row r="45" spans="2:13" outlineLevel="1" x14ac:dyDescent="0.2">
      <c r="B45">
        <v>39</v>
      </c>
      <c r="C45" s="15">
        <f t="shared" si="2"/>
        <v>2752.4551296634986</v>
      </c>
      <c r="D45" s="46">
        <f t="shared" si="3"/>
        <v>27.524551296634986</v>
      </c>
      <c r="E45" s="2">
        <f t="shared" si="10"/>
        <v>112.47555154230814</v>
      </c>
      <c r="F45" s="45">
        <v>0</v>
      </c>
      <c r="G45" s="16">
        <f t="shared" si="11"/>
        <v>2639.9795781211906</v>
      </c>
      <c r="I45" s="21">
        <f t="shared" si="12"/>
        <v>3653.7304218788095</v>
      </c>
      <c r="J45" s="16">
        <f t="shared" si="13"/>
        <v>1806.2735888399727</v>
      </c>
      <c r="L45" s="2">
        <f t="shared" si="8"/>
        <v>-12.037429816135322</v>
      </c>
      <c r="M45" s="2">
        <f t="shared" si="9"/>
        <v>-49.189414320703904</v>
      </c>
    </row>
    <row r="46" spans="2:13" outlineLevel="1" x14ac:dyDescent="0.2">
      <c r="B46">
        <v>40</v>
      </c>
      <c r="C46" s="15">
        <f t="shared" si="2"/>
        <v>2639.9795781211906</v>
      </c>
      <c r="D46" s="46">
        <f t="shared" si="3"/>
        <v>26.399795781211907</v>
      </c>
      <c r="E46" s="2">
        <f t="shared" si="10"/>
        <v>113.60030705773121</v>
      </c>
      <c r="F46" s="45">
        <v>0</v>
      </c>
      <c r="G46" s="16">
        <f t="shared" si="11"/>
        <v>2526.3792710634593</v>
      </c>
      <c r="I46" s="21">
        <f t="shared" si="12"/>
        <v>3767.3307289365407</v>
      </c>
      <c r="J46" s="16">
        <f t="shared" si="13"/>
        <v>1832.6733846211846</v>
      </c>
      <c r="L46" s="2">
        <f t="shared" si="8"/>
        <v>-11.073742153510308</v>
      </c>
      <c r="M46" s="2">
        <f t="shared" si="9"/>
        <v>-47.651145461215563</v>
      </c>
    </row>
    <row r="47" spans="2:13" outlineLevel="1" x14ac:dyDescent="0.2">
      <c r="B47">
        <v>41</v>
      </c>
      <c r="C47" s="15">
        <f t="shared" si="2"/>
        <v>2526.3792710634593</v>
      </c>
      <c r="D47" s="46">
        <f t="shared" si="3"/>
        <v>25.263792710634593</v>
      </c>
      <c r="E47" s="2">
        <f t="shared" si="10"/>
        <v>114.73631012830853</v>
      </c>
      <c r="F47" s="45">
        <v>0</v>
      </c>
      <c r="G47" s="16">
        <f t="shared" si="11"/>
        <v>2411.6429609351508</v>
      </c>
      <c r="I47" s="21">
        <f t="shared" si="12"/>
        <v>3882.0670390648493</v>
      </c>
      <c r="J47" s="16">
        <f t="shared" si="13"/>
        <v>1857.9371773318192</v>
      </c>
      <c r="L47" s="2">
        <f t="shared" si="8"/>
        <v>-10.141223890613221</v>
      </c>
      <c r="M47" s="2">
        <f t="shared" si="9"/>
        <v>-46.056687636778179</v>
      </c>
    </row>
    <row r="48" spans="2:13" outlineLevel="1" x14ac:dyDescent="0.2">
      <c r="B48">
        <v>42</v>
      </c>
      <c r="C48" s="15">
        <f t="shared" si="2"/>
        <v>2411.6429609351508</v>
      </c>
      <c r="D48" s="46">
        <f t="shared" si="3"/>
        <v>24.11642960935151</v>
      </c>
      <c r="E48" s="2">
        <f t="shared" si="10"/>
        <v>115.88367322959161</v>
      </c>
      <c r="F48" s="45">
        <v>0</v>
      </c>
      <c r="G48" s="16">
        <f t="shared" si="11"/>
        <v>2295.759287705559</v>
      </c>
      <c r="I48" s="21">
        <f t="shared" si="12"/>
        <v>3997.950712294441</v>
      </c>
      <c r="J48" s="16">
        <f t="shared" si="13"/>
        <v>1882.0536069411708</v>
      </c>
      <c r="L48" s="2">
        <f t="shared" si="8"/>
        <v>-9.2410069275960556</v>
      </c>
      <c r="M48" s="2">
        <f t="shared" si="9"/>
        <v>-44.404658751587512</v>
      </c>
    </row>
    <row r="49" spans="2:13" outlineLevel="1" x14ac:dyDescent="0.2">
      <c r="B49">
        <v>43</v>
      </c>
      <c r="C49" s="15">
        <f t="shared" si="2"/>
        <v>2295.759287705559</v>
      </c>
      <c r="D49" s="46">
        <f t="shared" si="3"/>
        <v>22.957592877055589</v>
      </c>
      <c r="E49" s="2">
        <f t="shared" si="10"/>
        <v>117.04250996188753</v>
      </c>
      <c r="F49" s="45">
        <v>0</v>
      </c>
      <c r="G49" s="16">
        <f t="shared" si="11"/>
        <v>2178.7167777436716</v>
      </c>
      <c r="I49" s="21">
        <f t="shared" si="12"/>
        <v>4114.9932222563284</v>
      </c>
      <c r="J49" s="16">
        <f t="shared" si="13"/>
        <v>1905.0111998182263</v>
      </c>
      <c r="L49" s="2">
        <f t="shared" si="8"/>
        <v>-8.3742509697560443</v>
      </c>
      <c r="M49" s="2">
        <f t="shared" si="9"/>
        <v>-42.693646402737613</v>
      </c>
    </row>
    <row r="50" spans="2:13" outlineLevel="1" x14ac:dyDescent="0.2">
      <c r="B50">
        <v>44</v>
      </c>
      <c r="C50" s="15">
        <f t="shared" si="2"/>
        <v>2178.7167777436716</v>
      </c>
      <c r="D50" s="46">
        <f t="shared" si="3"/>
        <v>21.787167777436718</v>
      </c>
      <c r="E50" s="2">
        <f t="shared" si="10"/>
        <v>118.2129350615064</v>
      </c>
      <c r="F50" s="45">
        <v>0</v>
      </c>
      <c r="G50" s="16">
        <f t="shared" si="11"/>
        <v>2060.5038426821652</v>
      </c>
      <c r="I50" s="21">
        <f t="shared" si="12"/>
        <v>4233.2061573178344</v>
      </c>
      <c r="J50" s="16">
        <f t="shared" si="13"/>
        <v>1926.798367595663</v>
      </c>
      <c r="L50" s="2">
        <f t="shared" si="8"/>
        <v>-7.5421441369585898</v>
      </c>
      <c r="M50" s="2">
        <f t="shared" si="9"/>
        <v>-40.922207245778274</v>
      </c>
    </row>
    <row r="51" spans="2:13" outlineLevel="1" x14ac:dyDescent="0.2">
      <c r="B51">
        <v>45</v>
      </c>
      <c r="C51" s="15">
        <f t="shared" si="2"/>
        <v>2060.5038426821652</v>
      </c>
      <c r="D51" s="46">
        <f t="shared" si="3"/>
        <v>20.605038426821654</v>
      </c>
      <c r="E51" s="2">
        <f t="shared" si="10"/>
        <v>119.39506441212147</v>
      </c>
      <c r="F51" s="45">
        <v>0</v>
      </c>
      <c r="G51" s="16">
        <f t="shared" si="11"/>
        <v>1941.1087782700438</v>
      </c>
      <c r="I51" s="21">
        <f t="shared" si="12"/>
        <v>4352.6012217299558</v>
      </c>
      <c r="J51" s="16">
        <f t="shared" si="13"/>
        <v>1947.4034060224847</v>
      </c>
      <c r="L51" s="2">
        <f t="shared" si="8"/>
        <v>-6.7459035858149905</v>
      </c>
      <c r="M51" s="2">
        <f t="shared" si="9"/>
        <v>-39.088866347267512</v>
      </c>
    </row>
    <row r="52" spans="2:13" outlineLevel="1" x14ac:dyDescent="0.2">
      <c r="B52">
        <v>46</v>
      </c>
      <c r="C52" s="15">
        <f t="shared" si="2"/>
        <v>1941.1087782700438</v>
      </c>
      <c r="D52" s="46">
        <f t="shared" si="3"/>
        <v>19.411087782700438</v>
      </c>
      <c r="E52" s="2">
        <f t="shared" si="10"/>
        <v>120.58901505624269</v>
      </c>
      <c r="F52" s="45">
        <v>0</v>
      </c>
      <c r="G52" s="16">
        <f t="shared" si="11"/>
        <v>1820.5197632138011</v>
      </c>
      <c r="I52" s="21">
        <f t="shared" si="12"/>
        <v>4473.1902367861985</v>
      </c>
      <c r="J52" s="16">
        <f t="shared" si="13"/>
        <v>1966.8144938051851</v>
      </c>
      <c r="L52" s="2">
        <f t="shared" si="8"/>
        <v>-5.9867761448764218</v>
      </c>
      <c r="M52" s="2">
        <f t="shared" si="9"/>
        <v>-37.192116524055166</v>
      </c>
    </row>
    <row r="53" spans="2:13" outlineLevel="1" x14ac:dyDescent="0.2">
      <c r="B53">
        <v>47</v>
      </c>
      <c r="C53" s="15">
        <f t="shared" si="2"/>
        <v>1820.5197632138011</v>
      </c>
      <c r="D53" s="46">
        <f t="shared" si="3"/>
        <v>18.20519763213801</v>
      </c>
      <c r="E53" s="2">
        <f t="shared" si="10"/>
        <v>121.79490520680511</v>
      </c>
      <c r="F53" s="45">
        <v>0</v>
      </c>
      <c r="G53" s="16">
        <f t="shared" si="11"/>
        <v>1698.7248580069959</v>
      </c>
      <c r="I53" s="21">
        <f t="shared" si="12"/>
        <v>4594.9851419930037</v>
      </c>
      <c r="J53" s="16">
        <f t="shared" si="13"/>
        <v>1985.019691437323</v>
      </c>
      <c r="L53" s="2">
        <f t="shared" si="8"/>
        <v>-5.2660389631108373</v>
      </c>
      <c r="M53" s="2">
        <f t="shared" si="9"/>
        <v>-35.230417669028327</v>
      </c>
    </row>
    <row r="54" spans="2:13" outlineLevel="1" x14ac:dyDescent="0.2">
      <c r="B54">
        <v>48</v>
      </c>
      <c r="C54" s="15">
        <f t="shared" si="2"/>
        <v>1698.7248580069959</v>
      </c>
      <c r="D54" s="46">
        <f t="shared" si="3"/>
        <v>16.987248580069959</v>
      </c>
      <c r="E54" s="2">
        <f t="shared" si="10"/>
        <v>123.01285425887316</v>
      </c>
      <c r="F54" s="45">
        <v>0</v>
      </c>
      <c r="G54" s="16">
        <f t="shared" si="11"/>
        <v>1575.7120037481227</v>
      </c>
      <c r="I54" s="21">
        <f t="shared" si="12"/>
        <v>4717.9979962518764</v>
      </c>
      <c r="J54" s="16">
        <f t="shared" si="13"/>
        <v>2002.0069400173929</v>
      </c>
      <c r="L54" s="2">
        <f t="shared" si="8"/>
        <v>-4.585000171934972</v>
      </c>
      <c r="M54" s="2">
        <f t="shared" si="9"/>
        <v>-33.202196063043843</v>
      </c>
    </row>
    <row r="55" spans="2:13" outlineLevel="1" x14ac:dyDescent="0.2">
      <c r="B55">
        <v>49</v>
      </c>
      <c r="C55" s="15">
        <f t="shared" si="2"/>
        <v>1575.7120037481227</v>
      </c>
      <c r="D55" s="46">
        <f t="shared" si="3"/>
        <v>15.757120037481227</v>
      </c>
      <c r="E55" s="2">
        <f t="shared" si="10"/>
        <v>124.24298280146189</v>
      </c>
      <c r="F55" s="45">
        <v>0</v>
      </c>
      <c r="G55" s="16">
        <f t="shared" si="11"/>
        <v>1451.4690209466607</v>
      </c>
      <c r="I55" s="21">
        <f t="shared" si="12"/>
        <v>4842.2409790533384</v>
      </c>
      <c r="J55" s="16">
        <f t="shared" si="13"/>
        <v>2017.7640600548741</v>
      </c>
      <c r="L55" s="2">
        <f t="shared" si="8"/>
        <v>-3.9449995610791109</v>
      </c>
      <c r="M55" s="2">
        <f t="shared" si="9"/>
        <v>-31.105843672767751</v>
      </c>
    </row>
    <row r="56" spans="2:13" outlineLevel="1" x14ac:dyDescent="0.2">
      <c r="B56">
        <v>50</v>
      </c>
      <c r="C56" s="15">
        <f t="shared" si="2"/>
        <v>1451.4690209466607</v>
      </c>
      <c r="D56" s="46">
        <f t="shared" si="3"/>
        <v>14.514690209466607</v>
      </c>
      <c r="E56" s="2">
        <f t="shared" si="10"/>
        <v>125.48541262947651</v>
      </c>
      <c r="F56" s="45">
        <v>0</v>
      </c>
      <c r="G56" s="16">
        <f t="shared" si="11"/>
        <v>1325.9836083171842</v>
      </c>
      <c r="I56" s="21">
        <f t="shared" si="12"/>
        <v>4967.7263916828151</v>
      </c>
      <c r="J56" s="16">
        <f t="shared" si="13"/>
        <v>2032.2787502643407</v>
      </c>
      <c r="L56" s="2">
        <f t="shared" si="8"/>
        <v>-3.3474092685679118</v>
      </c>
      <c r="M56" s="2">
        <f t="shared" si="9"/>
        <v>-28.939717434135684</v>
      </c>
    </row>
    <row r="57" spans="2:13" outlineLevel="1" x14ac:dyDescent="0.2">
      <c r="B57">
        <v>51</v>
      </c>
      <c r="C57" s="15">
        <f t="shared" si="2"/>
        <v>1325.9836083171842</v>
      </c>
      <c r="D57" s="46">
        <f t="shared" si="3"/>
        <v>13.259836083171843</v>
      </c>
      <c r="E57" s="2">
        <f t="shared" si="10"/>
        <v>126.74026675577127</v>
      </c>
      <c r="F57" s="45">
        <v>0</v>
      </c>
      <c r="G57" s="16">
        <f t="shared" si="11"/>
        <v>1199.243341561413</v>
      </c>
      <c r="I57" s="21">
        <f t="shared" si="12"/>
        <v>5094.4666584385868</v>
      </c>
      <c r="J57" s="16">
        <f t="shared" si="13"/>
        <v>2045.5385863475126</v>
      </c>
      <c r="L57" s="2">
        <f t="shared" si="8"/>
        <v>-2.7936344851063319</v>
      </c>
      <c r="M57" s="2">
        <f t="shared" si="9"/>
        <v>-26.702138521142558</v>
      </c>
    </row>
    <row r="58" spans="2:13" outlineLevel="1" x14ac:dyDescent="0.2">
      <c r="B58">
        <v>52</v>
      </c>
      <c r="C58" s="15">
        <f t="shared" si="2"/>
        <v>1199.243341561413</v>
      </c>
      <c r="D58" s="46">
        <f t="shared" si="3"/>
        <v>11.99243341561413</v>
      </c>
      <c r="E58" s="2">
        <f t="shared" si="10"/>
        <v>128.00766942332899</v>
      </c>
      <c r="F58" s="45">
        <v>0</v>
      </c>
      <c r="G58" s="16">
        <f t="shared" si="11"/>
        <v>1071.2356721380841</v>
      </c>
      <c r="I58" s="21">
        <f t="shared" si="12"/>
        <v>5222.4743278619162</v>
      </c>
      <c r="J58" s="16">
        <f t="shared" si="13"/>
        <v>2057.5310197631266</v>
      </c>
      <c r="L58" s="2">
        <f t="shared" si="8"/>
        <v>-2.2851141731655598</v>
      </c>
      <c r="M58" s="2">
        <f t="shared" si="9"/>
        <v>-24.391391599664079</v>
      </c>
    </row>
    <row r="59" spans="2:13" outlineLevel="1" x14ac:dyDescent="0.2">
      <c r="B59">
        <v>53</v>
      </c>
      <c r="C59" s="15">
        <f t="shared" si="2"/>
        <v>1071.2356721380841</v>
      </c>
      <c r="D59" s="46">
        <f t="shared" si="3"/>
        <v>10.712356721380841</v>
      </c>
      <c r="E59" s="2">
        <f t="shared" si="10"/>
        <v>129.28774611756228</v>
      </c>
      <c r="F59" s="45">
        <v>0</v>
      </c>
      <c r="G59" s="16">
        <f t="shared" si="11"/>
        <v>941.94792602052178</v>
      </c>
      <c r="I59" s="21">
        <f t="shared" si="12"/>
        <v>5351.7620739794784</v>
      </c>
      <c r="J59" s="16">
        <f t="shared" si="13"/>
        <v>2068.2433764845073</v>
      </c>
      <c r="L59" s="2">
        <f t="shared" si="8"/>
        <v>-1.8233218010698466</v>
      </c>
      <c r="M59" s="2">
        <f t="shared" si="9"/>
        <v>-22.005724066006351</v>
      </c>
    </row>
    <row r="60" spans="2:13" outlineLevel="1" x14ac:dyDescent="0.2">
      <c r="B60">
        <v>54</v>
      </c>
      <c r="C60" s="15">
        <f t="shared" si="2"/>
        <v>941.94792602052178</v>
      </c>
      <c r="D60" s="46">
        <f t="shared" si="3"/>
        <v>9.4194792602052182</v>
      </c>
      <c r="E60" s="2">
        <f t="shared" si="10"/>
        <v>130.58062357873791</v>
      </c>
      <c r="F60" s="45">
        <v>0</v>
      </c>
      <c r="G60" s="16">
        <f t="shared" si="11"/>
        <v>811.36730244178386</v>
      </c>
      <c r="I60" s="21">
        <f t="shared" si="12"/>
        <v>5482.3426975582161</v>
      </c>
      <c r="J60" s="16">
        <f t="shared" si="13"/>
        <v>2077.6628557447125</v>
      </c>
      <c r="L60" s="2">
        <f t="shared" si="8"/>
        <v>-1.409766092391229</v>
      </c>
      <c r="M60" s="2">
        <f t="shared" si="9"/>
        <v>-19.543345269873992</v>
      </c>
    </row>
    <row r="61" spans="2:13" outlineLevel="1" x14ac:dyDescent="0.2">
      <c r="B61">
        <v>55</v>
      </c>
      <c r="C61" s="15">
        <f t="shared" si="2"/>
        <v>811.36730244178386</v>
      </c>
      <c r="D61" s="46">
        <f t="shared" si="3"/>
        <v>8.1136730244178388</v>
      </c>
      <c r="E61" s="2">
        <f t="shared" si="10"/>
        <v>131.88642981452529</v>
      </c>
      <c r="F61" s="45">
        <v>0</v>
      </c>
      <c r="G61" s="16">
        <f t="shared" si="11"/>
        <v>679.48087262725858</v>
      </c>
      <c r="I61" s="21">
        <f t="shared" si="12"/>
        <v>5614.2291273727415</v>
      </c>
      <c r="J61" s="16">
        <f t="shared" si="13"/>
        <v>2085.7765287691304</v>
      </c>
      <c r="L61" s="2">
        <f t="shared" si="8"/>
        <v>-1.0459917909653533</v>
      </c>
      <c r="M61" s="2">
        <f t="shared" si="9"/>
        <v>-17.002425721440783</v>
      </c>
    </row>
    <row r="62" spans="2:13" outlineLevel="1" x14ac:dyDescent="0.2">
      <c r="B62">
        <v>56</v>
      </c>
      <c r="C62" s="15">
        <f t="shared" si="2"/>
        <v>679.48087262725858</v>
      </c>
      <c r="D62" s="46">
        <f t="shared" si="3"/>
        <v>6.7948087262725858</v>
      </c>
      <c r="E62" s="2">
        <f t="shared" si="10"/>
        <v>133.20529411267054</v>
      </c>
      <c r="F62" s="45">
        <v>0</v>
      </c>
      <c r="G62" s="16">
        <f t="shared" si="11"/>
        <v>546.27557851458801</v>
      </c>
      <c r="I62" s="21">
        <f t="shared" si="12"/>
        <v>5747.4344214854118</v>
      </c>
      <c r="J62" s="16">
        <f t="shared" si="13"/>
        <v>2092.571337495403</v>
      </c>
      <c r="L62" s="2">
        <f t="shared" si="8"/>
        <v>-0.73358044184797078</v>
      </c>
      <c r="M62" s="2">
        <f t="shared" si="9"/>
        <v>-14.381096282200488</v>
      </c>
    </row>
    <row r="63" spans="2:13" outlineLevel="1" x14ac:dyDescent="0.2">
      <c r="B63">
        <v>57</v>
      </c>
      <c r="C63" s="15">
        <f t="shared" si="2"/>
        <v>546.27557851458801</v>
      </c>
      <c r="D63" s="46">
        <f t="shared" si="3"/>
        <v>5.4627557851458803</v>
      </c>
      <c r="E63" s="2">
        <f t="shared" si="10"/>
        <v>134.53734705379725</v>
      </c>
      <c r="F63" s="45">
        <v>0</v>
      </c>
      <c r="G63" s="16">
        <f t="shared" si="11"/>
        <v>411.73823146079076</v>
      </c>
      <c r="I63" s="21">
        <f t="shared" si="12"/>
        <v>5881.9717685392088</v>
      </c>
      <c r="J63" s="16">
        <f t="shared" si="13"/>
        <v>2098.0340932805489</v>
      </c>
      <c r="L63" s="2">
        <f t="shared" si="8"/>
        <v>-0.47415118853815386</v>
      </c>
      <c r="M63" s="2">
        <f t="shared" si="9"/>
        <v>-11.677447339269049</v>
      </c>
    </row>
    <row r="64" spans="2:13" outlineLevel="1" x14ac:dyDescent="0.2">
      <c r="B64">
        <v>58</v>
      </c>
      <c r="C64" s="15">
        <f t="shared" si="2"/>
        <v>411.73823146079076</v>
      </c>
      <c r="D64" s="46">
        <f t="shared" si="3"/>
        <v>4.1173823146079078</v>
      </c>
      <c r="E64" s="2">
        <f t="shared" si="10"/>
        <v>135.88272052433521</v>
      </c>
      <c r="F64" s="45">
        <v>0</v>
      </c>
      <c r="G64" s="16">
        <f t="shared" si="11"/>
        <v>275.85551093645552</v>
      </c>
      <c r="I64" s="21">
        <f t="shared" si="12"/>
        <v>6017.854489063544</v>
      </c>
      <c r="J64" s="16">
        <f t="shared" si="13"/>
        <v>2102.1514755951566</v>
      </c>
      <c r="L64" s="2">
        <f t="shared" si="8"/>
        <v>-0.26936158680088329</v>
      </c>
      <c r="M64" s="2">
        <f t="shared" si="9"/>
        <v>-8.8895279628026529</v>
      </c>
    </row>
    <row r="65" spans="1:13" outlineLevel="1" x14ac:dyDescent="0.2">
      <c r="B65">
        <v>59</v>
      </c>
      <c r="C65" s="15">
        <f t="shared" si="2"/>
        <v>275.85551093645552</v>
      </c>
      <c r="D65" s="46">
        <f t="shared" si="3"/>
        <v>2.7585551093645551</v>
      </c>
      <c r="E65" s="2">
        <f t="shared" si="10"/>
        <v>137.24154772957857</v>
      </c>
      <c r="F65" s="45">
        <v>0</v>
      </c>
      <c r="G65" s="16">
        <f t="shared" si="11"/>
        <v>138.61396320687695</v>
      </c>
      <c r="I65" s="21">
        <f t="shared" si="12"/>
        <v>6155.0960367931229</v>
      </c>
      <c r="J65" s="16">
        <f t="shared" si="13"/>
        <v>2104.910030704521</v>
      </c>
      <c r="L65" s="2">
        <f t="shared" si="8"/>
        <v>-0.1209084354284075</v>
      </c>
      <c r="M65" s="2">
        <f t="shared" si="9"/>
        <v>-6.0153450461894264</v>
      </c>
    </row>
    <row r="66" spans="1:13" x14ac:dyDescent="0.2">
      <c r="A66" t="s">
        <v>128</v>
      </c>
      <c r="B66">
        <v>60</v>
      </c>
      <c r="C66" s="15">
        <f t="shared" si="2"/>
        <v>138.61396320687695</v>
      </c>
      <c r="D66" s="46">
        <f t="shared" si="3"/>
        <v>1.3861396320687696</v>
      </c>
      <c r="E66" s="2">
        <f t="shared" si="10"/>
        <v>138.61396320687436</v>
      </c>
      <c r="F66" s="15">
        <v>0</v>
      </c>
      <c r="G66" s="16">
        <f t="shared" si="11"/>
        <v>2.5863755581667647E-12</v>
      </c>
      <c r="I66" s="21">
        <f t="shared" si="12"/>
        <v>6293.7099999999973</v>
      </c>
      <c r="J66" s="16">
        <f t="shared" si="13"/>
        <v>2106.29617033659</v>
      </c>
      <c r="L66" s="2">
        <f t="shared" si="8"/>
        <v>-3.0528624286656179E-2</v>
      </c>
      <c r="M66" s="2">
        <f t="shared" si="9"/>
        <v>-3.0528624286656174</v>
      </c>
    </row>
  </sheetData>
  <pageMargins left="0.7" right="0.7" top="0.75" bottom="0.75" header="0.3" footer="0.3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F53"/>
  <sheetViews>
    <sheetView zoomScale="115" zoomScaleNormal="115" workbookViewId="0">
      <selection activeCell="C31" sqref="C31"/>
    </sheetView>
  </sheetViews>
  <sheetFormatPr baseColWidth="10" defaultColWidth="8.83203125" defaultRowHeight="15" outlineLevelCol="1" x14ac:dyDescent="0.2"/>
  <cols>
    <col min="2" max="2" width="6.83203125" customWidth="1"/>
    <col min="3" max="3" width="18.1640625" customWidth="1"/>
    <col min="4" max="4" width="8" customWidth="1"/>
    <col min="5" max="5" width="8.83203125" customWidth="1" outlineLevel="1"/>
    <col min="6" max="8" width="7.6640625" customWidth="1" outlineLevel="1"/>
    <col min="9" max="9" width="8.5" customWidth="1" outlineLevel="1"/>
    <col min="10" max="10" width="3.83203125" customWidth="1"/>
    <col min="11" max="11" width="4.1640625" customWidth="1"/>
    <col min="12" max="12" width="8" customWidth="1"/>
    <col min="13" max="13" width="8.83203125" customWidth="1"/>
    <col min="14" max="14" width="8.83203125" hidden="1" customWidth="1" outlineLevel="1"/>
    <col min="15" max="17" width="7.6640625" hidden="1" customWidth="1" outlineLevel="1"/>
    <col min="18" max="18" width="8.5" hidden="1" customWidth="1" outlineLevel="1"/>
    <col min="19" max="19" width="3.6640625" customWidth="1" collapsed="1"/>
    <col min="20" max="20" width="8" customWidth="1"/>
    <col min="21" max="21" width="8.83203125" customWidth="1"/>
    <col min="22" max="22" width="8.83203125" hidden="1" customWidth="1" outlineLevel="1"/>
    <col min="23" max="25" width="7.6640625" hidden="1" customWidth="1" outlineLevel="1"/>
    <col min="26" max="26" width="8.1640625" hidden="1" customWidth="1" outlineLevel="1"/>
    <col min="27" max="27" width="3.6640625" customWidth="1" collapsed="1"/>
    <col min="28" max="28" width="8" customWidth="1"/>
    <col min="29" max="29" width="8.83203125" customWidth="1"/>
    <col min="30" max="30" width="8.83203125" hidden="1" customWidth="1" outlineLevel="1"/>
    <col min="31" max="33" width="7.6640625" hidden="1" customWidth="1" outlineLevel="1"/>
    <col min="34" max="34" width="8.5" hidden="1" customWidth="1" outlineLevel="1"/>
    <col min="35" max="35" width="3.5" customWidth="1" collapsed="1"/>
    <col min="36" max="36" width="8" customWidth="1"/>
    <col min="37" max="37" width="8.83203125" customWidth="1"/>
    <col min="38" max="38" width="8.83203125" hidden="1" customWidth="1" outlineLevel="1"/>
    <col min="39" max="41" width="7.6640625" hidden="1" customWidth="1" outlineLevel="1"/>
    <col min="42" max="42" width="7.5" hidden="1" customWidth="1" outlineLevel="1"/>
    <col min="43" max="43" width="14" customWidth="1" collapsed="1"/>
    <col min="44" max="44" width="40.6640625" customWidth="1"/>
    <col min="45" max="46" width="6.83203125" customWidth="1"/>
    <col min="47" max="47" width="8.83203125" customWidth="1"/>
    <col min="48" max="48" width="8.5" customWidth="1"/>
    <col min="49" max="49" width="6.83203125" customWidth="1"/>
    <col min="50" max="50" width="17" customWidth="1"/>
    <col min="51" max="51" width="8.6640625" customWidth="1"/>
    <col min="52" max="52" width="7.83203125" customWidth="1"/>
    <col min="53" max="53" width="6.83203125" customWidth="1"/>
    <col min="54" max="54" width="9.1640625" customWidth="1"/>
    <col min="55" max="55" width="7.83203125" customWidth="1"/>
    <col min="56" max="58" width="6.83203125" customWidth="1"/>
  </cols>
  <sheetData>
    <row r="1" spans="1:58" x14ac:dyDescent="0.2">
      <c r="A1" s="34" t="s">
        <v>386</v>
      </c>
      <c r="B1" s="34" t="s">
        <v>558</v>
      </c>
      <c r="AR1" s="34" t="s">
        <v>564</v>
      </c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">
      <c r="C2" s="3" t="s">
        <v>85</v>
      </c>
      <c r="D2" s="3"/>
      <c r="E2" s="3"/>
      <c r="F2" s="3"/>
      <c r="G2" s="3"/>
      <c r="H2" s="3"/>
      <c r="I2" s="3"/>
      <c r="L2" s="3" t="s">
        <v>86</v>
      </c>
      <c r="M2" s="3"/>
      <c r="N2" s="3"/>
      <c r="O2" s="3"/>
      <c r="P2" s="3"/>
      <c r="Q2" s="3"/>
      <c r="R2" s="3"/>
      <c r="T2" s="3" t="s">
        <v>87</v>
      </c>
      <c r="U2" s="3"/>
      <c r="V2" s="3"/>
      <c r="W2" s="3"/>
      <c r="X2" s="3"/>
      <c r="Y2" s="3"/>
      <c r="Z2" s="3"/>
      <c r="AB2" s="3" t="s">
        <v>88</v>
      </c>
      <c r="AC2" s="3"/>
      <c r="AD2" s="3"/>
      <c r="AE2" s="3"/>
      <c r="AF2" s="3"/>
      <c r="AG2" s="3"/>
      <c r="AH2" s="3"/>
      <c r="AJ2" s="3" t="s">
        <v>89</v>
      </c>
      <c r="AK2" s="3"/>
      <c r="AL2" s="3"/>
      <c r="AM2" s="3"/>
      <c r="AN2" s="3"/>
      <c r="AO2" s="3"/>
      <c r="AP2" s="3"/>
      <c r="AU2" s="52" t="s">
        <v>85</v>
      </c>
      <c r="AV2" s="52" t="s">
        <v>94</v>
      </c>
      <c r="AW2" s="52" t="s">
        <v>95</v>
      </c>
      <c r="AY2" s="32" t="s">
        <v>546</v>
      </c>
      <c r="AZ2" s="3"/>
      <c r="BB2" s="32" t="s">
        <v>544</v>
      </c>
      <c r="BC2" s="3"/>
    </row>
    <row r="3" spans="1:58" x14ac:dyDescent="0.2">
      <c r="AR3" t="s">
        <v>560</v>
      </c>
      <c r="AY3" t="s">
        <v>93</v>
      </c>
      <c r="AZ3" s="202" t="s">
        <v>95</v>
      </c>
      <c r="BB3" t="s">
        <v>95</v>
      </c>
    </row>
    <row r="4" spans="1:58" x14ac:dyDescent="0.2">
      <c r="C4" t="s">
        <v>6</v>
      </c>
      <c r="D4" s="13">
        <v>0</v>
      </c>
      <c r="E4" s="13">
        <v>0.02</v>
      </c>
      <c r="F4" s="81">
        <v>0.05</v>
      </c>
      <c r="G4" s="13">
        <v>0.1</v>
      </c>
      <c r="H4" s="13">
        <v>0.15</v>
      </c>
      <c r="I4" s="13">
        <v>0.2</v>
      </c>
      <c r="J4" s="13"/>
      <c r="L4" t="s">
        <v>6</v>
      </c>
      <c r="M4" s="13">
        <v>0</v>
      </c>
      <c r="N4" s="13">
        <f>E4</f>
        <v>0.02</v>
      </c>
      <c r="O4" s="81">
        <f>F4</f>
        <v>0.05</v>
      </c>
      <c r="P4" s="13">
        <v>0.1</v>
      </c>
      <c r="Q4" s="13">
        <v>0.15</v>
      </c>
      <c r="R4" s="6">
        <v>0.19961868835683239</v>
      </c>
      <c r="S4" s="13"/>
      <c r="T4" t="s">
        <v>6</v>
      </c>
      <c r="U4" s="13">
        <v>0</v>
      </c>
      <c r="V4" s="13">
        <f>E4</f>
        <v>0.02</v>
      </c>
      <c r="W4" s="13">
        <v>0.05</v>
      </c>
      <c r="X4" s="13">
        <v>0.1</v>
      </c>
      <c r="Y4" s="13">
        <v>0.15</v>
      </c>
      <c r="Z4" s="13">
        <v>0.2</v>
      </c>
      <c r="AA4" s="13"/>
      <c r="AB4" t="s">
        <v>6</v>
      </c>
      <c r="AC4" s="13">
        <v>0</v>
      </c>
      <c r="AD4" s="13">
        <f>E4</f>
        <v>0.02</v>
      </c>
      <c r="AE4" s="13">
        <v>0.05</v>
      </c>
      <c r="AF4" s="13">
        <v>0.1</v>
      </c>
      <c r="AG4" s="13">
        <v>0.15</v>
      </c>
      <c r="AH4" s="13">
        <v>0.2</v>
      </c>
      <c r="AI4" s="13"/>
      <c r="AJ4" t="s">
        <v>6</v>
      </c>
      <c r="AK4" s="13">
        <v>0</v>
      </c>
      <c r="AL4" s="13">
        <f>E4</f>
        <v>0.02</v>
      </c>
      <c r="AM4" s="13">
        <v>0.05</v>
      </c>
      <c r="AN4" s="13">
        <v>0.1</v>
      </c>
      <c r="AO4" s="13">
        <v>0.15</v>
      </c>
      <c r="AP4" s="13">
        <v>0.2</v>
      </c>
      <c r="AQ4" s="13"/>
      <c r="AR4" t="s">
        <v>561</v>
      </c>
      <c r="AS4" s="13"/>
      <c r="AT4" s="13"/>
      <c r="AZ4" s="202"/>
    </row>
    <row r="5" spans="1:58" x14ac:dyDescent="0.2">
      <c r="AX5" s="19"/>
      <c r="AZ5" s="202"/>
    </row>
    <row r="6" spans="1:58" x14ac:dyDescent="0.2">
      <c r="B6" s="3" t="s">
        <v>11</v>
      </c>
      <c r="C6" s="31" t="s">
        <v>50</v>
      </c>
      <c r="D6" s="32" t="s">
        <v>56</v>
      </c>
      <c r="E6" s="32"/>
      <c r="F6" s="32"/>
      <c r="G6" s="32"/>
      <c r="H6" s="32"/>
      <c r="I6" s="32"/>
      <c r="J6" s="9"/>
      <c r="L6" s="31" t="s">
        <v>90</v>
      </c>
      <c r="M6" s="32" t="s">
        <v>56</v>
      </c>
      <c r="N6" s="32"/>
      <c r="O6" s="32"/>
      <c r="P6" s="32"/>
      <c r="Q6" s="32"/>
      <c r="R6" s="32"/>
      <c r="S6" s="9"/>
      <c r="T6" s="31" t="s">
        <v>90</v>
      </c>
      <c r="U6" s="32" t="s">
        <v>56</v>
      </c>
      <c r="V6" s="32"/>
      <c r="W6" s="32"/>
      <c r="X6" s="32"/>
      <c r="Y6" s="32"/>
      <c r="Z6" s="32"/>
      <c r="AA6" s="9"/>
      <c r="AB6" s="31" t="s">
        <v>90</v>
      </c>
      <c r="AC6" s="32" t="s">
        <v>56</v>
      </c>
      <c r="AD6" s="32"/>
      <c r="AE6" s="32"/>
      <c r="AF6" s="32"/>
      <c r="AG6" s="32"/>
      <c r="AH6" s="32"/>
      <c r="AI6" s="9"/>
      <c r="AJ6" s="31" t="s">
        <v>90</v>
      </c>
      <c r="AK6" s="32" t="s">
        <v>56</v>
      </c>
      <c r="AL6" s="32"/>
      <c r="AM6" s="32"/>
      <c r="AN6" s="32"/>
      <c r="AO6" s="32"/>
      <c r="AP6" s="32"/>
      <c r="AQ6" s="9"/>
      <c r="AR6" s="9"/>
      <c r="AS6" s="9"/>
      <c r="AT6" s="9"/>
      <c r="AU6" s="31" t="s">
        <v>50</v>
      </c>
      <c r="AV6" s="3"/>
      <c r="AW6" s="3"/>
      <c r="AX6" s="19"/>
      <c r="AY6" s="3"/>
      <c r="AZ6" s="203"/>
      <c r="BA6" s="3"/>
      <c r="BB6" s="3"/>
    </row>
    <row r="7" spans="1:58" x14ac:dyDescent="0.2">
      <c r="B7" s="20">
        <v>0</v>
      </c>
      <c r="C7" s="194">
        <v>-4000</v>
      </c>
      <c r="D7" s="11">
        <f>C7/(1+D$4)^$B7</f>
        <v>-4000</v>
      </c>
      <c r="E7" s="11">
        <f>C7/(1+E$4)^$B7</f>
        <v>-4000</v>
      </c>
      <c r="F7" s="11">
        <f>D7/(1+F$4)^$B7</f>
        <v>-4000</v>
      </c>
      <c r="G7" s="11">
        <f>F7/(1+G$4)^$B7</f>
        <v>-4000</v>
      </c>
      <c r="H7" s="11">
        <f>G7/(1+H$4)^$B7</f>
        <v>-4000</v>
      </c>
      <c r="I7" s="11">
        <f>H7/(1+I$4)^$B7</f>
        <v>-4000</v>
      </c>
      <c r="J7" s="11"/>
      <c r="L7" s="196">
        <v>-2000</v>
      </c>
      <c r="M7" s="11">
        <f>L7/(1+M$4)^$B7</f>
        <v>-2000</v>
      </c>
      <c r="N7" s="11">
        <f>L7/(1+N$4)^$B7</f>
        <v>-2000</v>
      </c>
      <c r="O7" s="11">
        <f>M7/(1+O$4)^$B7</f>
        <v>-2000</v>
      </c>
      <c r="P7" s="11">
        <f>O7/(1+P$4)^$B7</f>
        <v>-2000</v>
      </c>
      <c r="Q7" s="11">
        <f>P7/(1+Q$4)^$B7</f>
        <v>-2000</v>
      </c>
      <c r="R7" s="11">
        <f>Q7/(1+R$4)^$B7</f>
        <v>-2000</v>
      </c>
      <c r="S7" s="11"/>
      <c r="T7" s="196">
        <v>-6000</v>
      </c>
      <c r="U7" s="11">
        <f>T7/(1+U$4)^$B7</f>
        <v>-6000</v>
      </c>
      <c r="V7" s="11">
        <f>T7/(1+V$4)^$B7</f>
        <v>-6000</v>
      </c>
      <c r="W7" s="11">
        <f>U7/(1+W$4)^$B7</f>
        <v>-6000</v>
      </c>
      <c r="X7" s="11">
        <f>W7/(1+X$4)^$B7</f>
        <v>-6000</v>
      </c>
      <c r="Y7" s="11">
        <f>X7/(1+Y$4)^$B7</f>
        <v>-6000</v>
      </c>
      <c r="Z7" s="11">
        <f>Y7/(1+Z$4)^$B7</f>
        <v>-6000</v>
      </c>
      <c r="AA7" s="11"/>
      <c r="AB7" s="196">
        <v>-1000</v>
      </c>
      <c r="AC7" s="11">
        <f>AB7/(1+AC$4)^$B7</f>
        <v>-1000</v>
      </c>
      <c r="AD7" s="11">
        <f>AB7/(1+AD$4)^$B7</f>
        <v>-1000</v>
      </c>
      <c r="AE7" s="11">
        <f>AC7/(1+AE$4)^$B7</f>
        <v>-1000</v>
      </c>
      <c r="AF7" s="11">
        <f>AE7/(1+AF$4)^$B7</f>
        <v>-1000</v>
      </c>
      <c r="AG7" s="11">
        <f>AF7/(1+AG$4)^$B7</f>
        <v>-1000</v>
      </c>
      <c r="AH7" s="11">
        <f>AG7/(1+AH$4)^$B7</f>
        <v>-1000</v>
      </c>
      <c r="AI7" s="11"/>
      <c r="AJ7" s="196">
        <v>-9000</v>
      </c>
      <c r="AK7" s="11">
        <f>AJ7/(1+AK$4)^$B7</f>
        <v>-9000</v>
      </c>
      <c r="AL7" s="11">
        <f>AJ7/(1+AL$4)^$B7</f>
        <v>-9000</v>
      </c>
      <c r="AM7" s="11">
        <f>AK7/(1+AM$4)^$B7</f>
        <v>-9000</v>
      </c>
      <c r="AN7" s="11">
        <f>AM7/(1+AN$4)^$B7</f>
        <v>-9000</v>
      </c>
      <c r="AO7" s="11">
        <f>AN7/(1+AO$4)^$B7</f>
        <v>-9000</v>
      </c>
      <c r="AP7" s="11">
        <f>AO7/(1+AP$4)^$B7</f>
        <v>-9000</v>
      </c>
      <c r="AQ7" s="11"/>
      <c r="AR7" s="11"/>
      <c r="AS7" s="11"/>
      <c r="AT7" s="11"/>
      <c r="AU7" s="29">
        <v>-4000</v>
      </c>
      <c r="AV7" s="33">
        <v>-2000</v>
      </c>
      <c r="AW7" s="33">
        <v>-6000</v>
      </c>
      <c r="AX7" s="19"/>
      <c r="AY7" s="20">
        <f>AU7-$AV7</f>
        <v>-2000</v>
      </c>
      <c r="AZ7" s="204">
        <f t="shared" ref="AZ7:AZ27" si="0">AW7-$AV7</f>
        <v>-4000</v>
      </c>
      <c r="BA7" s="20"/>
      <c r="BB7" s="20">
        <f>AW7-$AU7</f>
        <v>-2000</v>
      </c>
    </row>
    <row r="8" spans="1:58" x14ac:dyDescent="0.2">
      <c r="B8" s="20">
        <v>1</v>
      </c>
      <c r="C8" s="195">
        <v>639</v>
      </c>
      <c r="D8" s="11">
        <f t="shared" ref="D8:D27" si="1">$C8/(1+D$4)^$B8</f>
        <v>639</v>
      </c>
      <c r="E8" s="11">
        <f t="shared" ref="E8:E27" si="2">C8/(1+E$4)^$B8</f>
        <v>626.47058823529414</v>
      </c>
      <c r="F8" s="11">
        <f t="shared" ref="F8:I27" si="3">$C8/(1+F$4)^$B8</f>
        <v>608.57142857142856</v>
      </c>
      <c r="G8" s="11">
        <f t="shared" si="3"/>
        <v>580.90909090909088</v>
      </c>
      <c r="H8" s="11">
        <f t="shared" si="3"/>
        <v>555.6521739130435</v>
      </c>
      <c r="I8" s="11">
        <f>$C8/(1+I$4)^$B8</f>
        <v>532.5</v>
      </c>
      <c r="J8" s="11"/>
      <c r="L8" s="195">
        <v>410</v>
      </c>
      <c r="M8" s="11">
        <f t="shared" ref="M8:R17" si="4">$L8/(1+M$4)^$B8</f>
        <v>410</v>
      </c>
      <c r="N8" s="11">
        <f t="shared" si="4"/>
        <v>401.96078431372547</v>
      </c>
      <c r="O8" s="11">
        <f t="shared" si="4"/>
        <v>390.47619047619048</v>
      </c>
      <c r="P8" s="11">
        <f t="shared" si="4"/>
        <v>372.72727272727269</v>
      </c>
      <c r="Q8" s="11">
        <f t="shared" si="4"/>
        <v>356.52173913043481</v>
      </c>
      <c r="R8" s="11">
        <f t="shared" si="4"/>
        <v>341.77526907453733</v>
      </c>
      <c r="S8" s="11"/>
      <c r="T8" s="195">
        <v>761</v>
      </c>
      <c r="U8" s="11">
        <f t="shared" ref="U8:Z17" si="5">$T8/(1+U$4)^$B8</f>
        <v>761</v>
      </c>
      <c r="V8" s="11">
        <f t="shared" si="5"/>
        <v>746.07843137254906</v>
      </c>
      <c r="W8" s="11">
        <f t="shared" si="5"/>
        <v>724.7619047619047</v>
      </c>
      <c r="X8" s="11">
        <f t="shared" si="5"/>
        <v>691.81818181818176</v>
      </c>
      <c r="Y8" s="11">
        <f t="shared" si="5"/>
        <v>661.73913043478262</v>
      </c>
      <c r="Z8" s="11">
        <f t="shared" si="5"/>
        <v>634.16666666666674</v>
      </c>
      <c r="AA8" s="11"/>
      <c r="AB8" s="195">
        <v>117</v>
      </c>
      <c r="AC8" s="11">
        <f t="shared" ref="AC8:AH17" si="6">$AB8/(1+AC$4)^$B8</f>
        <v>117</v>
      </c>
      <c r="AD8" s="11">
        <f t="shared" si="6"/>
        <v>114.70588235294117</v>
      </c>
      <c r="AE8" s="11">
        <f t="shared" si="6"/>
        <v>111.42857142857143</v>
      </c>
      <c r="AF8" s="11">
        <f t="shared" si="6"/>
        <v>106.36363636363636</v>
      </c>
      <c r="AG8" s="11">
        <f t="shared" si="6"/>
        <v>101.73913043478262</v>
      </c>
      <c r="AH8" s="11">
        <f t="shared" si="6"/>
        <v>97.5</v>
      </c>
      <c r="AI8" s="11"/>
      <c r="AJ8" s="195">
        <v>785</v>
      </c>
      <c r="AK8" s="11">
        <f t="shared" ref="AK8:AP17" si="7">$AJ8/(1+AK$4)^$B8</f>
        <v>785</v>
      </c>
      <c r="AL8" s="11">
        <f t="shared" si="7"/>
        <v>769.60784313725492</v>
      </c>
      <c r="AM8" s="11">
        <f t="shared" si="7"/>
        <v>747.61904761904759</v>
      </c>
      <c r="AN8" s="11">
        <f t="shared" si="7"/>
        <v>713.63636363636363</v>
      </c>
      <c r="AO8" s="11">
        <f t="shared" si="7"/>
        <v>682.60869565217399</v>
      </c>
      <c r="AP8" s="11">
        <f t="shared" si="7"/>
        <v>654.16666666666674</v>
      </c>
      <c r="AQ8" s="11"/>
      <c r="AR8" s="11"/>
      <c r="AS8" s="11"/>
      <c r="AT8" s="11"/>
      <c r="AU8" s="30">
        <v>639</v>
      </c>
      <c r="AV8" s="30">
        <v>410</v>
      </c>
      <c r="AW8" s="30">
        <v>761</v>
      </c>
      <c r="AX8" s="19"/>
      <c r="AY8" s="200">
        <f>AU8-$AV8</f>
        <v>229</v>
      </c>
      <c r="AZ8" s="204">
        <f t="shared" si="0"/>
        <v>351</v>
      </c>
      <c r="BA8" s="20"/>
      <c r="BB8" s="20">
        <f t="shared" ref="BB8:BB27" si="8">AW8-$AU8</f>
        <v>122</v>
      </c>
      <c r="BF8" s="20"/>
    </row>
    <row r="9" spans="1:58" x14ac:dyDescent="0.2">
      <c r="B9" s="20">
        <v>2</v>
      </c>
      <c r="C9" s="30">
        <f>C8</f>
        <v>639</v>
      </c>
      <c r="D9" s="11">
        <f t="shared" si="1"/>
        <v>639</v>
      </c>
      <c r="E9" s="11">
        <f t="shared" si="2"/>
        <v>614.18685121107262</v>
      </c>
      <c r="F9" s="11">
        <f t="shared" si="3"/>
        <v>579.59183673469386</v>
      </c>
      <c r="G9" s="11">
        <f t="shared" si="3"/>
        <v>528.09917355371897</v>
      </c>
      <c r="H9" s="11">
        <f t="shared" si="3"/>
        <v>483.17580340264658</v>
      </c>
      <c r="I9" s="11">
        <f t="shared" si="3"/>
        <v>443.75</v>
      </c>
      <c r="J9" s="11"/>
      <c r="L9" s="30">
        <f>L8</f>
        <v>410</v>
      </c>
      <c r="M9" s="11">
        <f t="shared" si="4"/>
        <v>410</v>
      </c>
      <c r="N9" s="11">
        <f t="shared" si="4"/>
        <v>394.07920030757401</v>
      </c>
      <c r="O9" s="11">
        <f t="shared" si="4"/>
        <v>371.88208616780042</v>
      </c>
      <c r="P9" s="11">
        <f t="shared" si="4"/>
        <v>338.84297520661153</v>
      </c>
      <c r="Q9" s="11">
        <f t="shared" si="4"/>
        <v>310.01890359168249</v>
      </c>
      <c r="R9" s="11">
        <f t="shared" si="4"/>
        <v>284.90325500237174</v>
      </c>
      <c r="S9" s="11"/>
      <c r="T9" s="30">
        <f>T8</f>
        <v>761</v>
      </c>
      <c r="U9" s="11">
        <f t="shared" si="5"/>
        <v>761</v>
      </c>
      <c r="V9" s="11">
        <f t="shared" si="5"/>
        <v>731.44944252210689</v>
      </c>
      <c r="W9" s="11">
        <f t="shared" si="5"/>
        <v>690.24943310657591</v>
      </c>
      <c r="X9" s="11">
        <f t="shared" si="5"/>
        <v>628.92561983471069</v>
      </c>
      <c r="Y9" s="11">
        <f t="shared" si="5"/>
        <v>575.42533081285455</v>
      </c>
      <c r="Z9" s="11">
        <f t="shared" si="5"/>
        <v>528.47222222222229</v>
      </c>
      <c r="AA9" s="11"/>
      <c r="AB9" s="30">
        <f>AB8</f>
        <v>117</v>
      </c>
      <c r="AC9" s="11">
        <f t="shared" si="6"/>
        <v>117</v>
      </c>
      <c r="AD9" s="11">
        <f t="shared" si="6"/>
        <v>112.45674740484429</v>
      </c>
      <c r="AE9" s="11">
        <f t="shared" si="6"/>
        <v>106.12244897959184</v>
      </c>
      <c r="AF9" s="11">
        <f t="shared" si="6"/>
        <v>96.694214876033044</v>
      </c>
      <c r="AG9" s="11">
        <f t="shared" si="6"/>
        <v>88.468809073724017</v>
      </c>
      <c r="AH9" s="11">
        <f t="shared" si="6"/>
        <v>81.25</v>
      </c>
      <c r="AI9" s="11"/>
      <c r="AJ9" s="30">
        <f>AJ8</f>
        <v>785</v>
      </c>
      <c r="AK9" s="11">
        <f t="shared" si="7"/>
        <v>785</v>
      </c>
      <c r="AL9" s="11">
        <f t="shared" si="7"/>
        <v>754.51749327181858</v>
      </c>
      <c r="AM9" s="11">
        <f t="shared" si="7"/>
        <v>712.01814058956916</v>
      </c>
      <c r="AN9" s="11">
        <f t="shared" si="7"/>
        <v>648.76033057851225</v>
      </c>
      <c r="AO9" s="11">
        <f t="shared" si="7"/>
        <v>593.57277882797746</v>
      </c>
      <c r="AP9" s="11">
        <f t="shared" si="7"/>
        <v>545.13888888888891</v>
      </c>
      <c r="AQ9" s="11"/>
      <c r="AR9" s="11"/>
      <c r="AS9" s="11"/>
      <c r="AT9" s="11"/>
      <c r="AU9" s="30">
        <f>AU8</f>
        <v>639</v>
      </c>
      <c r="AV9" s="30">
        <f>AV8</f>
        <v>410</v>
      </c>
      <c r="AW9" s="30">
        <f>AW8</f>
        <v>761</v>
      </c>
      <c r="AX9" s="19"/>
      <c r="AY9" s="20">
        <f t="shared" ref="AY9:AY27" si="9">AU9-$AV9</f>
        <v>229</v>
      </c>
      <c r="AZ9" s="204">
        <f t="shared" si="0"/>
        <v>351</v>
      </c>
      <c r="BA9" s="20"/>
      <c r="BB9" s="20">
        <f t="shared" si="8"/>
        <v>122</v>
      </c>
      <c r="BF9" s="20"/>
    </row>
    <row r="10" spans="1:58" x14ac:dyDescent="0.2">
      <c r="B10" s="20">
        <v>3</v>
      </c>
      <c r="C10" s="30">
        <f t="shared" ref="C10:C17" si="10">C9</f>
        <v>639</v>
      </c>
      <c r="D10" s="11">
        <f t="shared" si="1"/>
        <v>639</v>
      </c>
      <c r="E10" s="11">
        <f t="shared" si="2"/>
        <v>602.14397177556145</v>
      </c>
      <c r="F10" s="11">
        <f t="shared" si="3"/>
        <v>551.9922254616132</v>
      </c>
      <c r="G10" s="11">
        <f t="shared" si="3"/>
        <v>480.09015777610807</v>
      </c>
      <c r="H10" s="11">
        <f t="shared" si="3"/>
        <v>420.15287252404056</v>
      </c>
      <c r="I10" s="11">
        <f t="shared" si="3"/>
        <v>369.79166666666669</v>
      </c>
      <c r="J10" s="11"/>
      <c r="L10" s="30">
        <f t="shared" ref="L10:L27" si="11">L9</f>
        <v>410</v>
      </c>
      <c r="M10" s="11">
        <f t="shared" si="4"/>
        <v>410</v>
      </c>
      <c r="N10" s="11">
        <f t="shared" si="4"/>
        <v>386.35215716428826</v>
      </c>
      <c r="O10" s="11">
        <f t="shared" si="4"/>
        <v>354.17341539790516</v>
      </c>
      <c r="P10" s="11">
        <f t="shared" si="4"/>
        <v>308.03906836964677</v>
      </c>
      <c r="Q10" s="11">
        <f t="shared" si="4"/>
        <v>269.58165529711522</v>
      </c>
      <c r="R10" s="11">
        <f t="shared" si="4"/>
        <v>237.49484546011496</v>
      </c>
      <c r="S10" s="11"/>
      <c r="T10" s="30">
        <f t="shared" ref="T10:T27" si="12">T9</f>
        <v>761</v>
      </c>
      <c r="U10" s="11">
        <f t="shared" si="5"/>
        <v>761</v>
      </c>
      <c r="V10" s="11">
        <f t="shared" si="5"/>
        <v>717.10729659030096</v>
      </c>
      <c r="W10" s="11">
        <f t="shared" si="5"/>
        <v>657.38041248245327</v>
      </c>
      <c r="X10" s="11">
        <f t="shared" si="5"/>
        <v>571.75056348610053</v>
      </c>
      <c r="Y10" s="11">
        <f t="shared" si="5"/>
        <v>500.36985288074317</v>
      </c>
      <c r="Z10" s="11">
        <f t="shared" si="5"/>
        <v>440.39351851851853</v>
      </c>
      <c r="AA10" s="11"/>
      <c r="AB10" s="30">
        <f t="shared" ref="AB10:AB27" si="13">AB9</f>
        <v>117</v>
      </c>
      <c r="AC10" s="11">
        <f t="shared" si="6"/>
        <v>117</v>
      </c>
      <c r="AD10" s="11">
        <f t="shared" si="6"/>
        <v>110.25171314200422</v>
      </c>
      <c r="AE10" s="11">
        <f t="shared" si="6"/>
        <v>101.06899902818269</v>
      </c>
      <c r="AF10" s="11">
        <f t="shared" si="6"/>
        <v>87.903831705484578</v>
      </c>
      <c r="AG10" s="11">
        <f t="shared" si="6"/>
        <v>76.92939919454264</v>
      </c>
      <c r="AH10" s="11">
        <f t="shared" si="6"/>
        <v>67.708333333333329</v>
      </c>
      <c r="AI10" s="11"/>
      <c r="AJ10" s="30">
        <f t="shared" ref="AJ10:AJ27" si="14">AJ9</f>
        <v>785</v>
      </c>
      <c r="AK10" s="11">
        <f t="shared" si="7"/>
        <v>785</v>
      </c>
      <c r="AL10" s="11">
        <f t="shared" si="7"/>
        <v>739.72303261943</v>
      </c>
      <c r="AM10" s="11">
        <f t="shared" si="7"/>
        <v>678.11251484720867</v>
      </c>
      <c r="AN10" s="11">
        <f t="shared" si="7"/>
        <v>589.78211870773839</v>
      </c>
      <c r="AO10" s="11">
        <f t="shared" si="7"/>
        <v>516.15024245911081</v>
      </c>
      <c r="AP10" s="11">
        <f t="shared" si="7"/>
        <v>454.28240740740739</v>
      </c>
      <c r="AQ10" s="11"/>
      <c r="AR10" s="11"/>
      <c r="AS10" s="11"/>
      <c r="AT10" s="11"/>
      <c r="AU10" s="30">
        <f t="shared" ref="AU10:AW27" si="15">AU9</f>
        <v>639</v>
      </c>
      <c r="AV10" s="30">
        <f t="shared" si="15"/>
        <v>410</v>
      </c>
      <c r="AW10" s="30">
        <f t="shared" si="15"/>
        <v>761</v>
      </c>
      <c r="AX10" s="19"/>
      <c r="AY10" s="20">
        <f t="shared" si="9"/>
        <v>229</v>
      </c>
      <c r="AZ10" s="204">
        <f t="shared" si="0"/>
        <v>351</v>
      </c>
      <c r="BA10" s="20"/>
      <c r="BB10" s="20">
        <f t="shared" si="8"/>
        <v>122</v>
      </c>
      <c r="BF10" s="20"/>
    </row>
    <row r="11" spans="1:58" x14ac:dyDescent="0.2">
      <c r="B11" s="20">
        <v>4</v>
      </c>
      <c r="C11" s="30">
        <f t="shared" si="10"/>
        <v>639</v>
      </c>
      <c r="D11" s="11">
        <f t="shared" si="1"/>
        <v>639</v>
      </c>
      <c r="E11" s="11">
        <f t="shared" si="2"/>
        <v>590.33722723094263</v>
      </c>
      <c r="F11" s="11">
        <f t="shared" si="3"/>
        <v>525.70688139201263</v>
      </c>
      <c r="G11" s="11">
        <f t="shared" si="3"/>
        <v>436.44559797828003</v>
      </c>
      <c r="H11" s="11">
        <f t="shared" si="3"/>
        <v>365.35032393394835</v>
      </c>
      <c r="I11" s="11">
        <f t="shared" si="3"/>
        <v>308.15972222222223</v>
      </c>
      <c r="J11" s="11"/>
      <c r="L11" s="30">
        <f t="shared" si="11"/>
        <v>410</v>
      </c>
      <c r="M11" s="11">
        <f t="shared" si="4"/>
        <v>410</v>
      </c>
      <c r="N11" s="11">
        <f t="shared" si="4"/>
        <v>378.77662467087083</v>
      </c>
      <c r="O11" s="11">
        <f t="shared" si="4"/>
        <v>337.30801466467159</v>
      </c>
      <c r="P11" s="11">
        <f t="shared" si="4"/>
        <v>280.03551669967891</v>
      </c>
      <c r="Q11" s="11">
        <f t="shared" si="4"/>
        <v>234.41883069314369</v>
      </c>
      <c r="R11" s="11">
        <f t="shared" si="4"/>
        <v>197.97527978279626</v>
      </c>
      <c r="S11" s="11"/>
      <c r="T11" s="30">
        <f t="shared" si="12"/>
        <v>761</v>
      </c>
      <c r="U11" s="11">
        <f t="shared" si="5"/>
        <v>761</v>
      </c>
      <c r="V11" s="11">
        <f t="shared" si="5"/>
        <v>703.04636920617736</v>
      </c>
      <c r="W11" s="11">
        <f t="shared" si="5"/>
        <v>626.07658331662219</v>
      </c>
      <c r="X11" s="11">
        <f t="shared" si="5"/>
        <v>519.77323953281871</v>
      </c>
      <c r="Y11" s="11">
        <f t="shared" si="5"/>
        <v>435.10421989629839</v>
      </c>
      <c r="Z11" s="11">
        <f t="shared" si="5"/>
        <v>366.9945987654321</v>
      </c>
      <c r="AA11" s="11"/>
      <c r="AB11" s="30">
        <f t="shared" si="13"/>
        <v>117</v>
      </c>
      <c r="AC11" s="11">
        <f t="shared" si="6"/>
        <v>117</v>
      </c>
      <c r="AD11" s="11">
        <f t="shared" si="6"/>
        <v>108.08991484510217</v>
      </c>
      <c r="AE11" s="11">
        <f t="shared" si="6"/>
        <v>96.256189550650191</v>
      </c>
      <c r="AF11" s="11">
        <f t="shared" si="6"/>
        <v>79.912574277713247</v>
      </c>
      <c r="AG11" s="11">
        <f t="shared" si="6"/>
        <v>66.895129734384909</v>
      </c>
      <c r="AH11" s="11">
        <f t="shared" si="6"/>
        <v>56.423611111111114</v>
      </c>
      <c r="AI11" s="11"/>
      <c r="AJ11" s="30">
        <f t="shared" si="14"/>
        <v>785</v>
      </c>
      <c r="AK11" s="11">
        <f t="shared" si="7"/>
        <v>785</v>
      </c>
      <c r="AL11" s="11">
        <f t="shared" si="7"/>
        <v>725.21865943081366</v>
      </c>
      <c r="AM11" s="11">
        <f t="shared" si="7"/>
        <v>645.82144271162736</v>
      </c>
      <c r="AN11" s="11">
        <f t="shared" si="7"/>
        <v>536.16556246158029</v>
      </c>
      <c r="AO11" s="11">
        <f t="shared" si="7"/>
        <v>448.82629779053121</v>
      </c>
      <c r="AP11" s="11">
        <f t="shared" si="7"/>
        <v>378.56867283950618</v>
      </c>
      <c r="AQ11" s="11"/>
      <c r="AR11" s="11"/>
      <c r="AS11" s="11"/>
      <c r="AT11" s="11"/>
      <c r="AU11" s="30">
        <f t="shared" si="15"/>
        <v>639</v>
      </c>
      <c r="AV11" s="30">
        <f t="shared" si="15"/>
        <v>410</v>
      </c>
      <c r="AW11" s="30">
        <f t="shared" si="15"/>
        <v>761</v>
      </c>
      <c r="AX11" s="19"/>
      <c r="AY11" s="20">
        <f t="shared" si="9"/>
        <v>229</v>
      </c>
      <c r="AZ11" s="204">
        <f t="shared" si="0"/>
        <v>351</v>
      </c>
      <c r="BA11" s="20"/>
      <c r="BB11" s="20">
        <f t="shared" si="8"/>
        <v>122</v>
      </c>
      <c r="BF11" s="20"/>
    </row>
    <row r="12" spans="1:58" x14ac:dyDescent="0.2">
      <c r="B12" s="20">
        <v>5</v>
      </c>
      <c r="C12" s="30">
        <f t="shared" si="10"/>
        <v>639</v>
      </c>
      <c r="D12" s="11">
        <f t="shared" si="1"/>
        <v>639</v>
      </c>
      <c r="E12" s="11">
        <f t="shared" si="2"/>
        <v>578.76198748131628</v>
      </c>
      <c r="F12" s="11">
        <f t="shared" si="3"/>
        <v>500.67322037334526</v>
      </c>
      <c r="G12" s="11">
        <f t="shared" si="3"/>
        <v>396.76872543480005</v>
      </c>
      <c r="H12" s="11">
        <f t="shared" si="3"/>
        <v>317.69593385560722</v>
      </c>
      <c r="I12" s="11">
        <f t="shared" si="3"/>
        <v>256.79976851851853</v>
      </c>
      <c r="J12" s="11"/>
      <c r="L12" s="30">
        <f t="shared" si="11"/>
        <v>410</v>
      </c>
      <c r="M12" s="11">
        <f t="shared" si="4"/>
        <v>410</v>
      </c>
      <c r="N12" s="11">
        <f t="shared" si="4"/>
        <v>371.34963203026552</v>
      </c>
      <c r="O12" s="11">
        <f t="shared" si="4"/>
        <v>321.24572825206815</v>
      </c>
      <c r="P12" s="11">
        <f t="shared" si="4"/>
        <v>254.57774245425352</v>
      </c>
      <c r="Q12" s="11">
        <f t="shared" si="4"/>
        <v>203.84246147229885</v>
      </c>
      <c r="R12" s="11">
        <f t="shared" si="4"/>
        <v>165.03184028749271</v>
      </c>
      <c r="S12" s="11"/>
      <c r="T12" s="30">
        <f t="shared" si="12"/>
        <v>761</v>
      </c>
      <c r="U12" s="11">
        <f t="shared" si="5"/>
        <v>761</v>
      </c>
      <c r="V12" s="11">
        <f t="shared" si="5"/>
        <v>689.26114628056598</v>
      </c>
      <c r="W12" s="11">
        <f t="shared" si="5"/>
        <v>596.26341268249723</v>
      </c>
      <c r="X12" s="11">
        <f t="shared" si="5"/>
        <v>472.52112684801693</v>
      </c>
      <c r="Y12" s="11">
        <f t="shared" si="5"/>
        <v>378.3514955619986</v>
      </c>
      <c r="Z12" s="11">
        <f t="shared" si="5"/>
        <v>305.82883230452677</v>
      </c>
      <c r="AA12" s="11"/>
      <c r="AB12" s="30">
        <f t="shared" si="13"/>
        <v>117</v>
      </c>
      <c r="AC12" s="11">
        <f t="shared" si="6"/>
        <v>117</v>
      </c>
      <c r="AD12" s="11">
        <f t="shared" si="6"/>
        <v>105.97050475010016</v>
      </c>
      <c r="AE12" s="11">
        <f t="shared" si="6"/>
        <v>91.67256147680969</v>
      </c>
      <c r="AF12" s="11">
        <f t="shared" si="6"/>
        <v>72.647794797921136</v>
      </c>
      <c r="AG12" s="11">
        <f t="shared" si="6"/>
        <v>58.169678029899913</v>
      </c>
      <c r="AH12" s="11">
        <f t="shared" si="6"/>
        <v>47.019675925925931</v>
      </c>
      <c r="AI12" s="11"/>
      <c r="AJ12" s="30">
        <f t="shared" si="14"/>
        <v>785</v>
      </c>
      <c r="AK12" s="11">
        <f t="shared" si="7"/>
        <v>785</v>
      </c>
      <c r="AL12" s="11">
        <f t="shared" si="7"/>
        <v>710.99868571648392</v>
      </c>
      <c r="AM12" s="11">
        <f t="shared" si="7"/>
        <v>615.06804067774033</v>
      </c>
      <c r="AN12" s="11">
        <f t="shared" si="7"/>
        <v>487.42323860143665</v>
      </c>
      <c r="AO12" s="11">
        <f t="shared" si="7"/>
        <v>390.28373720915755</v>
      </c>
      <c r="AP12" s="11">
        <f t="shared" si="7"/>
        <v>315.47389403292181</v>
      </c>
      <c r="AQ12" s="11"/>
      <c r="AR12" s="11"/>
      <c r="AS12" s="11"/>
      <c r="AT12" s="11"/>
      <c r="AU12" s="30">
        <f t="shared" si="15"/>
        <v>639</v>
      </c>
      <c r="AV12" s="30">
        <f t="shared" si="15"/>
        <v>410</v>
      </c>
      <c r="AW12" s="30">
        <f t="shared" si="15"/>
        <v>761</v>
      </c>
      <c r="AX12" s="19"/>
      <c r="AY12" s="20">
        <f t="shared" si="9"/>
        <v>229</v>
      </c>
      <c r="AZ12" s="204">
        <f t="shared" si="0"/>
        <v>351</v>
      </c>
      <c r="BA12" s="20"/>
      <c r="BB12" s="20">
        <f t="shared" si="8"/>
        <v>122</v>
      </c>
      <c r="BF12" s="20"/>
    </row>
    <row r="13" spans="1:58" x14ac:dyDescent="0.2">
      <c r="B13" s="20">
        <v>6</v>
      </c>
      <c r="C13" s="30">
        <f t="shared" si="10"/>
        <v>639</v>
      </c>
      <c r="D13" s="11">
        <f t="shared" si="1"/>
        <v>639</v>
      </c>
      <c r="E13" s="11">
        <f t="shared" si="2"/>
        <v>567.4137132169767</v>
      </c>
      <c r="F13" s="11">
        <f t="shared" si="3"/>
        <v>476.83163845080509</v>
      </c>
      <c r="G13" s="11">
        <f t="shared" si="3"/>
        <v>360.69884130436361</v>
      </c>
      <c r="H13" s="11">
        <f t="shared" si="3"/>
        <v>276.25733378748458</v>
      </c>
      <c r="I13" s="11">
        <f t="shared" si="3"/>
        <v>213.99980709876544</v>
      </c>
      <c r="J13" s="11"/>
      <c r="L13" s="30">
        <f t="shared" si="11"/>
        <v>410</v>
      </c>
      <c r="M13" s="11">
        <f t="shared" si="4"/>
        <v>410</v>
      </c>
      <c r="N13" s="11">
        <f t="shared" si="4"/>
        <v>364.0682666963387</v>
      </c>
      <c r="O13" s="11">
        <f t="shared" si="4"/>
        <v>305.94831262101735</v>
      </c>
      <c r="P13" s="11">
        <f t="shared" si="4"/>
        <v>231.43431132204864</v>
      </c>
      <c r="Q13" s="11">
        <f t="shared" si="4"/>
        <v>177.25431432373816</v>
      </c>
      <c r="R13" s="11">
        <f t="shared" si="4"/>
        <v>137.57024785396072</v>
      </c>
      <c r="S13" s="11"/>
      <c r="T13" s="30">
        <f t="shared" si="12"/>
        <v>761</v>
      </c>
      <c r="U13" s="11">
        <f t="shared" si="5"/>
        <v>761</v>
      </c>
      <c r="V13" s="11">
        <f t="shared" si="5"/>
        <v>675.74622184369207</v>
      </c>
      <c r="W13" s="11">
        <f t="shared" si="5"/>
        <v>567.86991684047371</v>
      </c>
      <c r="X13" s="11">
        <f t="shared" si="5"/>
        <v>429.56466077092443</v>
      </c>
      <c r="Y13" s="11">
        <f t="shared" si="5"/>
        <v>329.00130048869448</v>
      </c>
      <c r="Z13" s="11">
        <f t="shared" si="5"/>
        <v>254.8573602537723</v>
      </c>
      <c r="AA13" s="11"/>
      <c r="AB13" s="30">
        <f t="shared" si="13"/>
        <v>117</v>
      </c>
      <c r="AC13" s="11">
        <f t="shared" si="6"/>
        <v>117</v>
      </c>
      <c r="AD13" s="11">
        <f t="shared" si="6"/>
        <v>103.89265171578447</v>
      </c>
      <c r="AE13" s="11">
        <f t="shared" si="6"/>
        <v>87.307201406485433</v>
      </c>
      <c r="AF13" s="11">
        <f t="shared" si="6"/>
        <v>66.043449816291925</v>
      </c>
      <c r="AG13" s="11">
        <f t="shared" si="6"/>
        <v>50.582328721652104</v>
      </c>
      <c r="AH13" s="11">
        <f t="shared" si="6"/>
        <v>39.183063271604944</v>
      </c>
      <c r="AI13" s="11"/>
      <c r="AJ13" s="30">
        <f t="shared" si="14"/>
        <v>785</v>
      </c>
      <c r="AK13" s="11">
        <f t="shared" si="7"/>
        <v>785</v>
      </c>
      <c r="AL13" s="11">
        <f t="shared" si="7"/>
        <v>697.05753501616073</v>
      </c>
      <c r="AM13" s="11">
        <f t="shared" si="7"/>
        <v>585.77908635975268</v>
      </c>
      <c r="AN13" s="11">
        <f t="shared" si="7"/>
        <v>443.11203509221508</v>
      </c>
      <c r="AO13" s="11">
        <f t="shared" si="7"/>
        <v>339.37716279057184</v>
      </c>
      <c r="AP13" s="11">
        <f t="shared" si="7"/>
        <v>262.89491169410155</v>
      </c>
      <c r="AQ13" s="11"/>
      <c r="AR13" s="11"/>
      <c r="AS13" s="11"/>
      <c r="AT13" s="11"/>
      <c r="AU13" s="30">
        <f t="shared" si="15"/>
        <v>639</v>
      </c>
      <c r="AV13" s="30">
        <f t="shared" si="15"/>
        <v>410</v>
      </c>
      <c r="AW13" s="30">
        <f t="shared" si="15"/>
        <v>761</v>
      </c>
      <c r="AX13" s="19"/>
      <c r="AY13" s="20">
        <f t="shared" si="9"/>
        <v>229</v>
      </c>
      <c r="AZ13" s="204">
        <f t="shared" si="0"/>
        <v>351</v>
      </c>
      <c r="BA13" s="20"/>
      <c r="BB13" s="20">
        <f t="shared" si="8"/>
        <v>122</v>
      </c>
      <c r="BF13" s="20"/>
    </row>
    <row r="14" spans="1:58" x14ac:dyDescent="0.2">
      <c r="B14" s="20">
        <v>7</v>
      </c>
      <c r="C14" s="30">
        <f t="shared" si="10"/>
        <v>639</v>
      </c>
      <c r="D14" s="11">
        <f t="shared" si="1"/>
        <v>639</v>
      </c>
      <c r="E14" s="11">
        <f t="shared" si="2"/>
        <v>556.287954134291</v>
      </c>
      <c r="F14" s="11">
        <f t="shared" si="3"/>
        <v>454.12536995314758</v>
      </c>
      <c r="G14" s="11">
        <f t="shared" si="3"/>
        <v>327.90803754942141</v>
      </c>
      <c r="H14" s="11">
        <f t="shared" si="3"/>
        <v>240.22376851085622</v>
      </c>
      <c r="I14" s="11">
        <f t="shared" si="3"/>
        <v>178.33317258230454</v>
      </c>
      <c r="J14" s="11"/>
      <c r="L14" s="30">
        <f t="shared" si="11"/>
        <v>410</v>
      </c>
      <c r="M14" s="11">
        <f t="shared" si="4"/>
        <v>410</v>
      </c>
      <c r="N14" s="11">
        <f t="shared" si="4"/>
        <v>356.92967323170473</v>
      </c>
      <c r="O14" s="11">
        <f t="shared" si="4"/>
        <v>291.37934535334978</v>
      </c>
      <c r="P14" s="11">
        <f t="shared" si="4"/>
        <v>210.39482847458964</v>
      </c>
      <c r="Q14" s="11">
        <f t="shared" si="4"/>
        <v>154.13418636846799</v>
      </c>
      <c r="R14" s="11">
        <f t="shared" si="4"/>
        <v>114.67831335838592</v>
      </c>
      <c r="S14" s="11"/>
      <c r="T14" s="30">
        <f t="shared" si="12"/>
        <v>761</v>
      </c>
      <c r="U14" s="11">
        <f t="shared" si="5"/>
        <v>761</v>
      </c>
      <c r="V14" s="11">
        <f t="shared" si="5"/>
        <v>662.49629592518852</v>
      </c>
      <c r="W14" s="11">
        <f t="shared" si="5"/>
        <v>540.82849222902246</v>
      </c>
      <c r="X14" s="11">
        <f t="shared" si="5"/>
        <v>390.51332797356758</v>
      </c>
      <c r="Y14" s="11">
        <f t="shared" si="5"/>
        <v>286.08808738147354</v>
      </c>
      <c r="Z14" s="11">
        <f t="shared" si="5"/>
        <v>212.38113354481027</v>
      </c>
      <c r="AA14" s="11"/>
      <c r="AB14" s="30">
        <f t="shared" si="13"/>
        <v>117</v>
      </c>
      <c r="AC14" s="11">
        <f t="shared" si="6"/>
        <v>117</v>
      </c>
      <c r="AD14" s="11">
        <f t="shared" si="6"/>
        <v>101.85554089782792</v>
      </c>
      <c r="AE14" s="11">
        <f t="shared" si="6"/>
        <v>83.149715625224204</v>
      </c>
      <c r="AF14" s="11">
        <f t="shared" si="6"/>
        <v>60.039499832992654</v>
      </c>
      <c r="AG14" s="11">
        <f t="shared" si="6"/>
        <v>43.984633671001845</v>
      </c>
      <c r="AH14" s="11">
        <f t="shared" si="6"/>
        <v>32.652552726337454</v>
      </c>
      <c r="AI14" s="11"/>
      <c r="AJ14" s="30">
        <f t="shared" si="14"/>
        <v>785</v>
      </c>
      <c r="AK14" s="11">
        <f t="shared" si="7"/>
        <v>785</v>
      </c>
      <c r="AL14" s="11">
        <f t="shared" si="7"/>
        <v>683.38974021192246</v>
      </c>
      <c r="AM14" s="11">
        <f t="shared" si="7"/>
        <v>557.88484415214532</v>
      </c>
      <c r="AN14" s="11">
        <f t="shared" si="7"/>
        <v>402.82912281110458</v>
      </c>
      <c r="AO14" s="11">
        <f t="shared" si="7"/>
        <v>295.11057633962776</v>
      </c>
      <c r="AP14" s="11">
        <f t="shared" si="7"/>
        <v>219.07909307841794</v>
      </c>
      <c r="AQ14" s="11"/>
      <c r="AR14" s="11"/>
      <c r="AS14" s="11"/>
      <c r="AT14" s="11"/>
      <c r="AU14" s="30">
        <f t="shared" si="15"/>
        <v>639</v>
      </c>
      <c r="AV14" s="30">
        <f t="shared" si="15"/>
        <v>410</v>
      </c>
      <c r="AW14" s="30">
        <f t="shared" si="15"/>
        <v>761</v>
      </c>
      <c r="AX14" s="19"/>
      <c r="AY14" s="20">
        <f t="shared" si="9"/>
        <v>229</v>
      </c>
      <c r="AZ14" s="204">
        <f t="shared" si="0"/>
        <v>351</v>
      </c>
      <c r="BA14" s="20"/>
      <c r="BB14" s="20">
        <f t="shared" si="8"/>
        <v>122</v>
      </c>
      <c r="BF14" s="20"/>
    </row>
    <row r="15" spans="1:58" x14ac:dyDescent="0.2">
      <c r="B15" s="20">
        <v>8</v>
      </c>
      <c r="C15" s="30">
        <f t="shared" si="10"/>
        <v>639</v>
      </c>
      <c r="D15" s="11">
        <f t="shared" si="1"/>
        <v>639</v>
      </c>
      <c r="E15" s="11">
        <f t="shared" si="2"/>
        <v>545.3803471904813</v>
      </c>
      <c r="F15" s="11">
        <f t="shared" si="3"/>
        <v>432.5003523363311</v>
      </c>
      <c r="G15" s="11">
        <f t="shared" si="3"/>
        <v>298.09821595401951</v>
      </c>
      <c r="H15" s="11">
        <f t="shared" si="3"/>
        <v>208.89023348770107</v>
      </c>
      <c r="I15" s="11">
        <f t="shared" si="3"/>
        <v>148.61097715192045</v>
      </c>
      <c r="J15" s="11"/>
      <c r="L15" s="30">
        <f t="shared" si="11"/>
        <v>410</v>
      </c>
      <c r="M15" s="11">
        <f t="shared" si="4"/>
        <v>410</v>
      </c>
      <c r="N15" s="11">
        <f t="shared" si="4"/>
        <v>349.93105218794574</v>
      </c>
      <c r="O15" s="11">
        <f t="shared" si="4"/>
        <v>277.50413843176176</v>
      </c>
      <c r="P15" s="11">
        <f t="shared" si="4"/>
        <v>191.2680258859906</v>
      </c>
      <c r="Q15" s="11">
        <f t="shared" si="4"/>
        <v>134.0297272769287</v>
      </c>
      <c r="R15" s="11">
        <f t="shared" si="4"/>
        <v>95.595637573357223</v>
      </c>
      <c r="S15" s="11"/>
      <c r="T15" s="30">
        <f t="shared" si="12"/>
        <v>761</v>
      </c>
      <c r="U15" s="11">
        <f t="shared" si="5"/>
        <v>761</v>
      </c>
      <c r="V15" s="11">
        <f t="shared" si="5"/>
        <v>649.50617247567493</v>
      </c>
      <c r="W15" s="11">
        <f t="shared" si="5"/>
        <v>515.07475450383095</v>
      </c>
      <c r="X15" s="11">
        <f t="shared" si="5"/>
        <v>355.01211633960696</v>
      </c>
      <c r="Y15" s="11">
        <f t="shared" si="5"/>
        <v>248.77224989693352</v>
      </c>
      <c r="Z15" s="11">
        <f t="shared" si="5"/>
        <v>176.98427795400858</v>
      </c>
      <c r="AA15" s="11"/>
      <c r="AB15" s="30">
        <f t="shared" si="13"/>
        <v>117</v>
      </c>
      <c r="AC15" s="11">
        <f t="shared" si="6"/>
        <v>117</v>
      </c>
      <c r="AD15" s="11">
        <f t="shared" si="6"/>
        <v>99.858373429243059</v>
      </c>
      <c r="AE15" s="11">
        <f t="shared" si="6"/>
        <v>79.190205357356405</v>
      </c>
      <c r="AF15" s="11">
        <f t="shared" si="6"/>
        <v>54.581363484538784</v>
      </c>
      <c r="AG15" s="11">
        <f t="shared" si="6"/>
        <v>38.247507540001607</v>
      </c>
      <c r="AH15" s="11">
        <f t="shared" si="6"/>
        <v>27.210460605281209</v>
      </c>
      <c r="AI15" s="11"/>
      <c r="AJ15" s="30">
        <f t="shared" si="14"/>
        <v>785</v>
      </c>
      <c r="AK15" s="11">
        <f t="shared" si="7"/>
        <v>785</v>
      </c>
      <c r="AL15" s="11">
        <f t="shared" si="7"/>
        <v>669.98994138423757</v>
      </c>
      <c r="AM15" s="11">
        <f t="shared" si="7"/>
        <v>531.31889919251944</v>
      </c>
      <c r="AN15" s="11">
        <f t="shared" si="7"/>
        <v>366.20829346464052</v>
      </c>
      <c r="AO15" s="11">
        <f t="shared" si="7"/>
        <v>256.61789246924155</v>
      </c>
      <c r="AP15" s="11">
        <f t="shared" si="7"/>
        <v>182.56591089868164</v>
      </c>
      <c r="AQ15" s="11"/>
      <c r="AR15" s="11"/>
      <c r="AS15" s="11"/>
      <c r="AT15" s="11"/>
      <c r="AU15" s="30">
        <f t="shared" si="15"/>
        <v>639</v>
      </c>
      <c r="AV15" s="30">
        <f t="shared" si="15"/>
        <v>410</v>
      </c>
      <c r="AW15" s="30">
        <f t="shared" si="15"/>
        <v>761</v>
      </c>
      <c r="AX15" s="19"/>
      <c r="AY15" s="20">
        <f t="shared" si="9"/>
        <v>229</v>
      </c>
      <c r="AZ15" s="204">
        <f t="shared" si="0"/>
        <v>351</v>
      </c>
      <c r="BA15" s="20"/>
      <c r="BB15" s="20">
        <f t="shared" si="8"/>
        <v>122</v>
      </c>
      <c r="BF15" s="20"/>
    </row>
    <row r="16" spans="1:58" x14ac:dyDescent="0.2">
      <c r="B16" s="20">
        <v>9</v>
      </c>
      <c r="C16" s="30">
        <f t="shared" si="10"/>
        <v>639</v>
      </c>
      <c r="D16" s="11">
        <f t="shared" si="1"/>
        <v>639</v>
      </c>
      <c r="E16" s="11">
        <f t="shared" si="2"/>
        <v>534.68661489262877</v>
      </c>
      <c r="F16" s="11">
        <f t="shared" si="3"/>
        <v>411.90509746317247</v>
      </c>
      <c r="G16" s="11">
        <f t="shared" si="3"/>
        <v>270.99837814001768</v>
      </c>
      <c r="H16" s="11">
        <f t="shared" si="3"/>
        <v>181.64368129365312</v>
      </c>
      <c r="I16" s="11">
        <f t="shared" si="3"/>
        <v>123.84248095993371</v>
      </c>
      <c r="J16" s="11"/>
      <c r="L16" s="30">
        <f t="shared" si="11"/>
        <v>410</v>
      </c>
      <c r="M16" s="11">
        <f t="shared" si="4"/>
        <v>410</v>
      </c>
      <c r="N16" s="11">
        <f t="shared" si="4"/>
        <v>343.06965900778994</v>
      </c>
      <c r="O16" s="11">
        <f t="shared" si="4"/>
        <v>264.28965564929689</v>
      </c>
      <c r="P16" s="11">
        <f t="shared" si="4"/>
        <v>173.88002353271872</v>
      </c>
      <c r="Q16" s="11">
        <f t="shared" si="4"/>
        <v>116.54758893645975</v>
      </c>
      <c r="R16" s="11">
        <f t="shared" si="4"/>
        <v>79.688353058502742</v>
      </c>
      <c r="S16" s="11"/>
      <c r="T16" s="30">
        <f t="shared" si="12"/>
        <v>761</v>
      </c>
      <c r="U16" s="11">
        <f t="shared" si="5"/>
        <v>761</v>
      </c>
      <c r="V16" s="11">
        <f t="shared" si="5"/>
        <v>636.77075732909304</v>
      </c>
      <c r="W16" s="11">
        <f t="shared" si="5"/>
        <v>490.54738524174371</v>
      </c>
      <c r="X16" s="11">
        <f t="shared" si="5"/>
        <v>322.73828758146084</v>
      </c>
      <c r="Y16" s="11">
        <f t="shared" si="5"/>
        <v>216.32369556255088</v>
      </c>
      <c r="Z16" s="11">
        <f t="shared" si="5"/>
        <v>147.48689829500714</v>
      </c>
      <c r="AA16" s="11"/>
      <c r="AB16" s="30">
        <f t="shared" si="13"/>
        <v>117</v>
      </c>
      <c r="AC16" s="11">
        <f t="shared" si="6"/>
        <v>117</v>
      </c>
      <c r="AD16" s="11">
        <f t="shared" si="6"/>
        <v>97.900366107101036</v>
      </c>
      <c r="AE16" s="11">
        <f t="shared" si="6"/>
        <v>75.419243197482288</v>
      </c>
      <c r="AF16" s="11">
        <f t="shared" si="6"/>
        <v>49.619421349580705</v>
      </c>
      <c r="AG16" s="11">
        <f t="shared" si="6"/>
        <v>33.258702208697052</v>
      </c>
      <c r="AH16" s="11">
        <f t="shared" si="6"/>
        <v>22.675383837734341</v>
      </c>
      <c r="AI16" s="11"/>
      <c r="AJ16" s="30">
        <f t="shared" si="14"/>
        <v>785</v>
      </c>
      <c r="AK16" s="11">
        <f t="shared" si="7"/>
        <v>785</v>
      </c>
      <c r="AL16" s="11">
        <f t="shared" si="7"/>
        <v>656.85288371003685</v>
      </c>
      <c r="AM16" s="11">
        <f t="shared" si="7"/>
        <v>506.01799923097087</v>
      </c>
      <c r="AN16" s="11">
        <f t="shared" si="7"/>
        <v>332.91663042240043</v>
      </c>
      <c r="AO16" s="11">
        <f t="shared" si="7"/>
        <v>223.14599345151439</v>
      </c>
      <c r="AP16" s="11">
        <f t="shared" si="7"/>
        <v>152.1382590822347</v>
      </c>
      <c r="AQ16" s="11"/>
      <c r="AR16" s="11"/>
      <c r="AS16" s="11"/>
      <c r="AT16" s="11"/>
      <c r="AU16" s="30">
        <f t="shared" si="15"/>
        <v>639</v>
      </c>
      <c r="AV16" s="30">
        <f t="shared" si="15"/>
        <v>410</v>
      </c>
      <c r="AW16" s="30">
        <f t="shared" si="15"/>
        <v>761</v>
      </c>
      <c r="AX16" s="19"/>
      <c r="AY16" s="20">
        <f t="shared" si="9"/>
        <v>229</v>
      </c>
      <c r="AZ16" s="204">
        <f t="shared" si="0"/>
        <v>351</v>
      </c>
      <c r="BA16" s="20"/>
      <c r="BB16" s="20">
        <f t="shared" si="8"/>
        <v>122</v>
      </c>
      <c r="BF16" s="20"/>
    </row>
    <row r="17" spans="2:58" x14ac:dyDescent="0.2">
      <c r="B17" s="20">
        <v>10</v>
      </c>
      <c r="C17" s="30">
        <f t="shared" si="10"/>
        <v>639</v>
      </c>
      <c r="D17" s="11">
        <f t="shared" si="1"/>
        <v>639</v>
      </c>
      <c r="E17" s="11">
        <f t="shared" si="2"/>
        <v>524.20256362022428</v>
      </c>
      <c r="F17" s="11">
        <f t="shared" si="3"/>
        <v>392.29056901254518</v>
      </c>
      <c r="G17" s="11">
        <f t="shared" si="3"/>
        <v>246.3621619454706</v>
      </c>
      <c r="H17" s="11">
        <f t="shared" si="3"/>
        <v>157.95102721187229</v>
      </c>
      <c r="I17" s="11">
        <f t="shared" si="3"/>
        <v>103.20206746661142</v>
      </c>
      <c r="J17" s="11"/>
      <c r="L17" s="30">
        <f t="shared" si="11"/>
        <v>410</v>
      </c>
      <c r="M17" s="11">
        <f t="shared" si="4"/>
        <v>410</v>
      </c>
      <c r="N17" s="11">
        <f t="shared" si="4"/>
        <v>336.3428029488137</v>
      </c>
      <c r="O17" s="11">
        <f t="shared" si="4"/>
        <v>251.70443395171131</v>
      </c>
      <c r="P17" s="11">
        <f t="shared" si="4"/>
        <v>158.07274866610791</v>
      </c>
      <c r="Q17" s="11">
        <f t="shared" si="4"/>
        <v>101.34572950996501</v>
      </c>
      <c r="R17" s="11">
        <f t="shared" si="4"/>
        <v>66.428069045552462</v>
      </c>
      <c r="S17" s="11"/>
      <c r="T17" s="30">
        <f t="shared" si="12"/>
        <v>761</v>
      </c>
      <c r="U17" s="11">
        <f t="shared" si="5"/>
        <v>761</v>
      </c>
      <c r="V17" s="11">
        <f t="shared" si="5"/>
        <v>624.28505620499323</v>
      </c>
      <c r="W17" s="11">
        <f t="shared" si="5"/>
        <v>467.18798594451783</v>
      </c>
      <c r="X17" s="11">
        <f t="shared" si="5"/>
        <v>293.39844325587347</v>
      </c>
      <c r="Y17" s="11">
        <f t="shared" si="5"/>
        <v>188.10756135873993</v>
      </c>
      <c r="Z17" s="11">
        <f t="shared" si="5"/>
        <v>122.90574857917261</v>
      </c>
      <c r="AA17" s="11"/>
      <c r="AB17" s="30">
        <f t="shared" si="13"/>
        <v>117</v>
      </c>
      <c r="AC17" s="11">
        <f t="shared" si="6"/>
        <v>117</v>
      </c>
      <c r="AD17" s="11">
        <f t="shared" si="6"/>
        <v>95.980751085393166</v>
      </c>
      <c r="AE17" s="11">
        <f t="shared" si="6"/>
        <v>71.827850664268837</v>
      </c>
      <c r="AF17" s="11">
        <f t="shared" si="6"/>
        <v>45.108564863255182</v>
      </c>
      <c r="AG17" s="11">
        <f t="shared" si="6"/>
        <v>28.920610616258305</v>
      </c>
      <c r="AH17" s="11">
        <f t="shared" si="6"/>
        <v>18.896153198111953</v>
      </c>
      <c r="AI17" s="11"/>
      <c r="AJ17" s="30">
        <f t="shared" si="14"/>
        <v>785</v>
      </c>
      <c r="AK17" s="11">
        <f t="shared" si="7"/>
        <v>785</v>
      </c>
      <c r="AL17" s="11">
        <f t="shared" si="7"/>
        <v>643.97341540199693</v>
      </c>
      <c r="AM17" s="11">
        <f t="shared" si="7"/>
        <v>481.92190402949603</v>
      </c>
      <c r="AN17" s="11">
        <f t="shared" si="7"/>
        <v>302.65148220218219</v>
      </c>
      <c r="AO17" s="11">
        <f t="shared" si="7"/>
        <v>194.03999430566469</v>
      </c>
      <c r="AP17" s="11">
        <f t="shared" si="7"/>
        <v>126.78188256852891</v>
      </c>
      <c r="AQ17" s="11"/>
      <c r="AR17" s="11"/>
      <c r="AS17" s="11"/>
      <c r="AT17" s="11"/>
      <c r="AU17" s="30">
        <f t="shared" si="15"/>
        <v>639</v>
      </c>
      <c r="AV17" s="30">
        <f t="shared" si="15"/>
        <v>410</v>
      </c>
      <c r="AW17" s="30">
        <f t="shared" si="15"/>
        <v>761</v>
      </c>
      <c r="AX17" s="19"/>
      <c r="AY17" s="20">
        <f t="shared" si="9"/>
        <v>229</v>
      </c>
      <c r="AZ17" s="204">
        <f t="shared" si="0"/>
        <v>351</v>
      </c>
      <c r="BA17" s="20"/>
      <c r="BB17" s="20">
        <f t="shared" si="8"/>
        <v>122</v>
      </c>
      <c r="BF17" s="20"/>
    </row>
    <row r="18" spans="2:58" x14ac:dyDescent="0.2">
      <c r="B18" s="20">
        <v>11</v>
      </c>
      <c r="C18" s="30">
        <f t="shared" ref="C18:C27" si="16">C17</f>
        <v>639</v>
      </c>
      <c r="D18" s="11">
        <f t="shared" si="1"/>
        <v>639</v>
      </c>
      <c r="E18" s="11">
        <f t="shared" si="2"/>
        <v>513.92408198061207</v>
      </c>
      <c r="F18" s="11">
        <f t="shared" si="3"/>
        <v>373.61006572623347</v>
      </c>
      <c r="G18" s="11">
        <f t="shared" si="3"/>
        <v>223.96560176860962</v>
      </c>
      <c r="H18" s="11">
        <f t="shared" si="3"/>
        <v>137.34871931467157</v>
      </c>
      <c r="I18" s="11">
        <f t="shared" si="3"/>
        <v>86.001722888842863</v>
      </c>
      <c r="J18" s="11"/>
      <c r="L18" s="30">
        <f t="shared" si="11"/>
        <v>410</v>
      </c>
      <c r="M18" s="11">
        <f t="shared" ref="M18:R27" si="17">$L18/(1+M$4)^$B18</f>
        <v>410</v>
      </c>
      <c r="N18" s="11">
        <f t="shared" si="17"/>
        <v>329.74784602824877</v>
      </c>
      <c r="O18" s="11">
        <f t="shared" si="17"/>
        <v>239.71850852543935</v>
      </c>
      <c r="P18" s="11">
        <f t="shared" si="17"/>
        <v>143.70249878737081</v>
      </c>
      <c r="Q18" s="11">
        <f t="shared" si="17"/>
        <v>88.12672131301305</v>
      </c>
      <c r="R18" s="11">
        <f t="shared" si="17"/>
        <v>55.374319932062527</v>
      </c>
      <c r="S18" s="11"/>
      <c r="T18" s="30">
        <f t="shared" si="12"/>
        <v>761</v>
      </c>
      <c r="U18" s="11">
        <f t="shared" ref="U18:Z27" si="18">$T18/(1+U$4)^$B18</f>
        <v>761</v>
      </c>
      <c r="V18" s="11">
        <f t="shared" si="18"/>
        <v>612.04417274999344</v>
      </c>
      <c r="W18" s="11">
        <f t="shared" si="18"/>
        <v>444.94093899477889</v>
      </c>
      <c r="X18" s="11">
        <f t="shared" si="18"/>
        <v>266.72585750533943</v>
      </c>
      <c r="Y18" s="11">
        <f t="shared" si="18"/>
        <v>163.57179248586081</v>
      </c>
      <c r="Z18" s="11">
        <f t="shared" si="18"/>
        <v>102.42145714931051</v>
      </c>
      <c r="AA18" s="11"/>
      <c r="AB18" s="30">
        <f t="shared" si="13"/>
        <v>117</v>
      </c>
      <c r="AC18" s="11">
        <f t="shared" ref="AC18:AH27" si="19">$AB18/(1+AC$4)^$B18</f>
        <v>117</v>
      </c>
      <c r="AD18" s="11">
        <f t="shared" si="19"/>
        <v>94.098775573914892</v>
      </c>
      <c r="AE18" s="11">
        <f t="shared" si="19"/>
        <v>68.407476823113171</v>
      </c>
      <c r="AF18" s="11">
        <f t="shared" si="19"/>
        <v>41.00778623932289</v>
      </c>
      <c r="AG18" s="11">
        <f t="shared" si="19"/>
        <v>25.148357057615922</v>
      </c>
      <c r="AH18" s="11">
        <f t="shared" si="19"/>
        <v>15.746794331759961</v>
      </c>
      <c r="AI18" s="11"/>
      <c r="AJ18" s="30">
        <f t="shared" si="14"/>
        <v>785</v>
      </c>
      <c r="AK18" s="11">
        <f t="shared" ref="AK18:AP27" si="20">$AJ18/(1+AK$4)^$B18</f>
        <v>785</v>
      </c>
      <c r="AL18" s="11">
        <f t="shared" si="20"/>
        <v>631.34648568823241</v>
      </c>
      <c r="AM18" s="11">
        <f t="shared" si="20"/>
        <v>458.97324193285334</v>
      </c>
      <c r="AN18" s="11">
        <f t="shared" si="20"/>
        <v>275.13771109289286</v>
      </c>
      <c r="AO18" s="11">
        <f t="shared" si="20"/>
        <v>168.7304298310128</v>
      </c>
      <c r="AP18" s="11">
        <f t="shared" si="20"/>
        <v>105.65156880710742</v>
      </c>
      <c r="AQ18" s="11"/>
      <c r="AR18" s="11"/>
      <c r="AS18" s="11"/>
      <c r="AT18" s="11"/>
      <c r="AU18" s="30">
        <f t="shared" si="15"/>
        <v>639</v>
      </c>
      <c r="AV18" s="30">
        <f t="shared" si="15"/>
        <v>410</v>
      </c>
      <c r="AW18" s="30">
        <f t="shared" si="15"/>
        <v>761</v>
      </c>
      <c r="AX18" s="19"/>
      <c r="AY18" s="20">
        <f t="shared" si="9"/>
        <v>229</v>
      </c>
      <c r="AZ18" s="204">
        <f t="shared" si="0"/>
        <v>351</v>
      </c>
      <c r="BA18" s="20"/>
      <c r="BB18" s="20">
        <f t="shared" si="8"/>
        <v>122</v>
      </c>
      <c r="BF18" s="20"/>
    </row>
    <row r="19" spans="2:58" x14ac:dyDescent="0.2">
      <c r="B19" s="20">
        <v>12</v>
      </c>
      <c r="C19" s="30">
        <f t="shared" si="16"/>
        <v>639</v>
      </c>
      <c r="D19" s="11">
        <f t="shared" si="1"/>
        <v>639</v>
      </c>
      <c r="E19" s="11">
        <f t="shared" si="2"/>
        <v>503.84713919667843</v>
      </c>
      <c r="F19" s="11">
        <f t="shared" si="3"/>
        <v>355.81911021546051</v>
      </c>
      <c r="G19" s="11">
        <f t="shared" si="3"/>
        <v>203.60509251691784</v>
      </c>
      <c r="H19" s="11">
        <f t="shared" si="3"/>
        <v>119.43366896927964</v>
      </c>
      <c r="I19" s="11">
        <f t="shared" si="3"/>
        <v>71.668102407369062</v>
      </c>
      <c r="J19" s="11"/>
      <c r="L19" s="30">
        <f t="shared" si="11"/>
        <v>410</v>
      </c>
      <c r="M19" s="11">
        <f t="shared" si="17"/>
        <v>410</v>
      </c>
      <c r="N19" s="11">
        <f t="shared" si="17"/>
        <v>323.28220198847913</v>
      </c>
      <c r="O19" s="11">
        <f t="shared" si="17"/>
        <v>228.3033414527994</v>
      </c>
      <c r="P19" s="11">
        <f t="shared" si="17"/>
        <v>130.63863526124618</v>
      </c>
      <c r="Q19" s="11">
        <f t="shared" si="17"/>
        <v>76.631931576533105</v>
      </c>
      <c r="R19" s="11">
        <f t="shared" si="17"/>
        <v>46.159934377073633</v>
      </c>
      <c r="S19" s="11"/>
      <c r="T19" s="30">
        <f t="shared" si="12"/>
        <v>761</v>
      </c>
      <c r="U19" s="11">
        <f t="shared" si="18"/>
        <v>761</v>
      </c>
      <c r="V19" s="11">
        <f t="shared" si="18"/>
        <v>600.0433066176405</v>
      </c>
      <c r="W19" s="11">
        <f t="shared" si="18"/>
        <v>423.75327523312279</v>
      </c>
      <c r="X19" s="11">
        <f t="shared" si="18"/>
        <v>242.47805227758133</v>
      </c>
      <c r="Y19" s="11">
        <f t="shared" si="18"/>
        <v>142.23634129205291</v>
      </c>
      <c r="Z19" s="11">
        <f t="shared" si="18"/>
        <v>85.351214291092106</v>
      </c>
      <c r="AA19" s="11"/>
      <c r="AB19" s="30">
        <f t="shared" si="13"/>
        <v>117</v>
      </c>
      <c r="AC19" s="11">
        <f t="shared" si="19"/>
        <v>117</v>
      </c>
      <c r="AD19" s="11">
        <f t="shared" si="19"/>
        <v>92.253701543053793</v>
      </c>
      <c r="AE19" s="11">
        <f t="shared" si="19"/>
        <v>65.149977926774469</v>
      </c>
      <c r="AF19" s="11">
        <f t="shared" si="19"/>
        <v>37.279805672111713</v>
      </c>
      <c r="AG19" s="11">
        <f t="shared" si="19"/>
        <v>21.868136571839933</v>
      </c>
      <c r="AH19" s="11">
        <f t="shared" si="19"/>
        <v>13.122328609799968</v>
      </c>
      <c r="AI19" s="11"/>
      <c r="AJ19" s="30">
        <f t="shared" si="14"/>
        <v>785</v>
      </c>
      <c r="AK19" s="11">
        <f t="shared" si="20"/>
        <v>785</v>
      </c>
      <c r="AL19" s="11">
        <f t="shared" si="20"/>
        <v>618.96714283160031</v>
      </c>
      <c r="AM19" s="11">
        <f t="shared" si="20"/>
        <v>437.11737326938419</v>
      </c>
      <c r="AN19" s="11">
        <f t="shared" si="20"/>
        <v>250.12519190262989</v>
      </c>
      <c r="AO19" s="11">
        <f t="shared" si="20"/>
        <v>146.72211289653291</v>
      </c>
      <c r="AP19" s="11">
        <f t="shared" si="20"/>
        <v>88.042974005922858</v>
      </c>
      <c r="AQ19" s="11"/>
      <c r="AR19" s="11"/>
      <c r="AS19" s="11"/>
      <c r="AT19" s="11"/>
      <c r="AU19" s="30">
        <f t="shared" si="15"/>
        <v>639</v>
      </c>
      <c r="AV19" s="30">
        <f t="shared" si="15"/>
        <v>410</v>
      </c>
      <c r="AW19" s="30">
        <f t="shared" si="15"/>
        <v>761</v>
      </c>
      <c r="AX19" s="19"/>
      <c r="AY19" s="20">
        <f t="shared" si="9"/>
        <v>229</v>
      </c>
      <c r="AZ19" s="204">
        <f t="shared" si="0"/>
        <v>351</v>
      </c>
      <c r="BA19" s="20"/>
      <c r="BB19" s="20">
        <f t="shared" si="8"/>
        <v>122</v>
      </c>
      <c r="BF19" s="20"/>
    </row>
    <row r="20" spans="2:58" x14ac:dyDescent="0.2">
      <c r="B20" s="20">
        <v>13</v>
      </c>
      <c r="C20" s="30">
        <f t="shared" si="16"/>
        <v>639</v>
      </c>
      <c r="D20" s="11">
        <f t="shared" si="1"/>
        <v>639</v>
      </c>
      <c r="E20" s="11">
        <f t="shared" si="2"/>
        <v>493.96778352615536</v>
      </c>
      <c r="F20" s="11">
        <f t="shared" si="3"/>
        <v>338.87534306234329</v>
      </c>
      <c r="G20" s="11">
        <f t="shared" si="3"/>
        <v>185.09553865174348</v>
      </c>
      <c r="H20" s="11">
        <f t="shared" si="3"/>
        <v>103.85536432111273</v>
      </c>
      <c r="I20" s="11">
        <f t="shared" si="3"/>
        <v>59.72341867280754</v>
      </c>
      <c r="J20" s="11"/>
      <c r="L20" s="30">
        <f t="shared" si="11"/>
        <v>410</v>
      </c>
      <c r="M20" s="11">
        <f t="shared" si="17"/>
        <v>410</v>
      </c>
      <c r="N20" s="11">
        <f t="shared" si="17"/>
        <v>316.94333528282266</v>
      </c>
      <c r="O20" s="11">
        <f t="shared" si="17"/>
        <v>217.43175376457083</v>
      </c>
      <c r="P20" s="11">
        <f t="shared" si="17"/>
        <v>118.76239569204199</v>
      </c>
      <c r="Q20" s="11">
        <f t="shared" si="17"/>
        <v>66.636462240463558</v>
      </c>
      <c r="R20" s="11">
        <f t="shared" si="17"/>
        <v>38.47883900533494</v>
      </c>
      <c r="S20" s="11"/>
      <c r="T20" s="30">
        <f t="shared" si="12"/>
        <v>761</v>
      </c>
      <c r="U20" s="11">
        <f t="shared" si="18"/>
        <v>761</v>
      </c>
      <c r="V20" s="11">
        <f t="shared" si="18"/>
        <v>588.27775158592215</v>
      </c>
      <c r="W20" s="11">
        <f t="shared" si="18"/>
        <v>403.57454784106926</v>
      </c>
      <c r="X20" s="11">
        <f t="shared" si="18"/>
        <v>220.4345929796194</v>
      </c>
      <c r="Y20" s="11">
        <f t="shared" si="18"/>
        <v>123.68377503656774</v>
      </c>
      <c r="Z20" s="11">
        <f t="shared" si="18"/>
        <v>71.126011909243417</v>
      </c>
      <c r="AA20" s="11"/>
      <c r="AB20" s="30">
        <f t="shared" si="13"/>
        <v>117</v>
      </c>
      <c r="AC20" s="11">
        <f t="shared" si="19"/>
        <v>117</v>
      </c>
      <c r="AD20" s="11">
        <f t="shared" si="19"/>
        <v>90.444805434366472</v>
      </c>
      <c r="AE20" s="11">
        <f t="shared" si="19"/>
        <v>62.047598025499475</v>
      </c>
      <c r="AF20" s="11">
        <f t="shared" si="19"/>
        <v>33.890732429192468</v>
      </c>
      <c r="AG20" s="11">
        <f t="shared" si="19"/>
        <v>19.015770932034723</v>
      </c>
      <c r="AH20" s="11">
        <f t="shared" si="19"/>
        <v>10.935273841499972</v>
      </c>
      <c r="AI20" s="11"/>
      <c r="AJ20" s="30">
        <f t="shared" si="14"/>
        <v>785</v>
      </c>
      <c r="AK20" s="11">
        <f t="shared" si="20"/>
        <v>785</v>
      </c>
      <c r="AL20" s="11">
        <f t="shared" si="20"/>
        <v>606.83053218784346</v>
      </c>
      <c r="AM20" s="11">
        <f t="shared" si="20"/>
        <v>416.30226025655634</v>
      </c>
      <c r="AN20" s="11">
        <f t="shared" si="20"/>
        <v>227.38653809329989</v>
      </c>
      <c r="AO20" s="11">
        <f t="shared" si="20"/>
        <v>127.58444599698511</v>
      </c>
      <c r="AP20" s="11">
        <f t="shared" si="20"/>
        <v>73.369145004935717</v>
      </c>
      <c r="AQ20" s="11"/>
      <c r="AR20" s="11"/>
      <c r="AS20" s="11"/>
      <c r="AT20" s="11"/>
      <c r="AU20" s="30">
        <f t="shared" si="15"/>
        <v>639</v>
      </c>
      <c r="AV20" s="30">
        <f t="shared" si="15"/>
        <v>410</v>
      </c>
      <c r="AW20" s="30">
        <f t="shared" si="15"/>
        <v>761</v>
      </c>
      <c r="AX20" s="19"/>
      <c r="AY20" s="20">
        <f t="shared" si="9"/>
        <v>229</v>
      </c>
      <c r="AZ20" s="204">
        <f t="shared" si="0"/>
        <v>351</v>
      </c>
      <c r="BA20" s="20"/>
      <c r="BB20" s="20">
        <f t="shared" si="8"/>
        <v>122</v>
      </c>
      <c r="BF20" s="20"/>
    </row>
    <row r="21" spans="2:58" x14ac:dyDescent="0.2">
      <c r="B21" s="20">
        <v>14</v>
      </c>
      <c r="C21" s="30">
        <f t="shared" si="16"/>
        <v>639</v>
      </c>
      <c r="D21" s="11">
        <f t="shared" si="1"/>
        <v>639</v>
      </c>
      <c r="E21" s="11">
        <f t="shared" si="2"/>
        <v>484.28214071191695</v>
      </c>
      <c r="F21" s="11">
        <f t="shared" si="3"/>
        <v>322.73842196413653</v>
      </c>
      <c r="G21" s="11">
        <f t="shared" si="3"/>
        <v>168.26867150158495</v>
      </c>
      <c r="H21" s="11">
        <f t="shared" si="3"/>
        <v>90.309012453141506</v>
      </c>
      <c r="I21" s="11">
        <f t="shared" si="3"/>
        <v>49.769515560672957</v>
      </c>
      <c r="J21" s="11"/>
      <c r="L21" s="30">
        <f t="shared" si="11"/>
        <v>410</v>
      </c>
      <c r="M21" s="11">
        <f t="shared" si="17"/>
        <v>410</v>
      </c>
      <c r="N21" s="11">
        <f t="shared" si="17"/>
        <v>310.72876008119869</v>
      </c>
      <c r="O21" s="11">
        <f t="shared" si="17"/>
        <v>207.07786072816273</v>
      </c>
      <c r="P21" s="11">
        <f t="shared" si="17"/>
        <v>107.9658142654927</v>
      </c>
      <c r="Q21" s="11">
        <f t="shared" si="17"/>
        <v>57.944749774316143</v>
      </c>
      <c r="R21" s="11">
        <f t="shared" si="17"/>
        <v>32.075891596888184</v>
      </c>
      <c r="S21" s="11"/>
      <c r="T21" s="30">
        <f t="shared" si="12"/>
        <v>761</v>
      </c>
      <c r="U21" s="11">
        <f t="shared" si="18"/>
        <v>761</v>
      </c>
      <c r="V21" s="11">
        <f t="shared" si="18"/>
        <v>576.74289371168834</v>
      </c>
      <c r="W21" s="11">
        <f t="shared" si="18"/>
        <v>384.35671222958985</v>
      </c>
      <c r="X21" s="11">
        <f t="shared" si="18"/>
        <v>200.39508452692669</v>
      </c>
      <c r="Y21" s="11">
        <f t="shared" si="18"/>
        <v>107.55110872745021</v>
      </c>
      <c r="Z21" s="11">
        <f t="shared" si="18"/>
        <v>59.271676591036183</v>
      </c>
      <c r="AA21" s="11"/>
      <c r="AB21" s="30">
        <f t="shared" si="13"/>
        <v>117</v>
      </c>
      <c r="AC21" s="11">
        <f t="shared" si="19"/>
        <v>117</v>
      </c>
      <c r="AD21" s="11">
        <f t="shared" si="19"/>
        <v>88.671377876829865</v>
      </c>
      <c r="AE21" s="11">
        <f t="shared" si="19"/>
        <v>59.092950500475709</v>
      </c>
      <c r="AF21" s="11">
        <f t="shared" si="19"/>
        <v>30.809756753811328</v>
      </c>
      <c r="AG21" s="11">
        <f t="shared" si="19"/>
        <v>16.535452984378022</v>
      </c>
      <c r="AH21" s="11">
        <f t="shared" si="19"/>
        <v>9.1127282012499791</v>
      </c>
      <c r="AI21" s="11"/>
      <c r="AJ21" s="30">
        <f t="shared" si="14"/>
        <v>785</v>
      </c>
      <c r="AK21" s="11">
        <f t="shared" si="20"/>
        <v>785</v>
      </c>
      <c r="AL21" s="11">
        <f t="shared" si="20"/>
        <v>594.93189430180723</v>
      </c>
      <c r="AM21" s="11">
        <f t="shared" si="20"/>
        <v>396.47834310148232</v>
      </c>
      <c r="AN21" s="11">
        <f t="shared" si="20"/>
        <v>206.71503463027258</v>
      </c>
      <c r="AO21" s="11">
        <f t="shared" si="20"/>
        <v>110.9429965191175</v>
      </c>
      <c r="AP21" s="11">
        <f t="shared" si="20"/>
        <v>61.140954170779771</v>
      </c>
      <c r="AQ21" s="11"/>
      <c r="AR21" s="11"/>
      <c r="AS21" s="11"/>
      <c r="AT21" s="11"/>
      <c r="AU21" s="30">
        <f t="shared" si="15"/>
        <v>639</v>
      </c>
      <c r="AV21" s="30">
        <f t="shared" si="15"/>
        <v>410</v>
      </c>
      <c r="AW21" s="30">
        <f t="shared" si="15"/>
        <v>761</v>
      </c>
      <c r="AX21" s="19"/>
      <c r="AY21" s="20">
        <f t="shared" si="9"/>
        <v>229</v>
      </c>
      <c r="AZ21" s="204">
        <f t="shared" si="0"/>
        <v>351</v>
      </c>
      <c r="BA21" s="20"/>
      <c r="BB21" s="20">
        <f t="shared" si="8"/>
        <v>122</v>
      </c>
      <c r="BF21" s="20"/>
    </row>
    <row r="22" spans="2:58" x14ac:dyDescent="0.2">
      <c r="B22" s="20">
        <v>15</v>
      </c>
      <c r="C22" s="30">
        <f t="shared" si="16"/>
        <v>639</v>
      </c>
      <c r="D22" s="11">
        <f t="shared" si="1"/>
        <v>639</v>
      </c>
      <c r="E22" s="11">
        <f t="shared" si="2"/>
        <v>474.7864124626638</v>
      </c>
      <c r="F22" s="11">
        <f t="shared" si="3"/>
        <v>307.36992568012994</v>
      </c>
      <c r="G22" s="11">
        <f t="shared" si="3"/>
        <v>152.97151954689542</v>
      </c>
      <c r="H22" s="11">
        <f t="shared" si="3"/>
        <v>78.529576046210025</v>
      </c>
      <c r="I22" s="11">
        <f t="shared" si="3"/>
        <v>41.474596300560798</v>
      </c>
      <c r="J22" s="11"/>
      <c r="L22" s="30">
        <f t="shared" si="11"/>
        <v>410</v>
      </c>
      <c r="M22" s="11">
        <f t="shared" si="17"/>
        <v>410</v>
      </c>
      <c r="N22" s="11">
        <f t="shared" si="17"/>
        <v>304.6360392952929</v>
      </c>
      <c r="O22" s="11">
        <f t="shared" si="17"/>
        <v>197.21701021729777</v>
      </c>
      <c r="P22" s="11">
        <f t="shared" si="17"/>
        <v>98.150740241356999</v>
      </c>
      <c r="Q22" s="11">
        <f t="shared" si="17"/>
        <v>50.386738934187967</v>
      </c>
      <c r="R22" s="11">
        <f t="shared" si="17"/>
        <v>26.738406052029635</v>
      </c>
      <c r="S22" s="11"/>
      <c r="T22" s="30">
        <f t="shared" si="12"/>
        <v>761</v>
      </c>
      <c r="U22" s="11">
        <f t="shared" si="18"/>
        <v>761</v>
      </c>
      <c r="V22" s="11">
        <f t="shared" si="18"/>
        <v>565.43420952126314</v>
      </c>
      <c r="W22" s="11">
        <f t="shared" si="18"/>
        <v>366.05401164722832</v>
      </c>
      <c r="X22" s="11">
        <f t="shared" si="18"/>
        <v>182.17734956993334</v>
      </c>
      <c r="Y22" s="11">
        <f t="shared" si="18"/>
        <v>93.52270324126107</v>
      </c>
      <c r="Z22" s="11">
        <f t="shared" si="18"/>
        <v>49.393063825863486</v>
      </c>
      <c r="AA22" s="11"/>
      <c r="AB22" s="30">
        <f t="shared" si="13"/>
        <v>117</v>
      </c>
      <c r="AC22" s="11">
        <f t="shared" si="19"/>
        <v>117</v>
      </c>
      <c r="AD22" s="11">
        <f t="shared" si="19"/>
        <v>86.932723408656756</v>
      </c>
      <c r="AE22" s="11">
        <f t="shared" si="19"/>
        <v>56.27900047664351</v>
      </c>
      <c r="AF22" s="11">
        <f t="shared" si="19"/>
        <v>28.008869776192117</v>
      </c>
      <c r="AG22" s="11">
        <f t="shared" si="19"/>
        <v>14.37865476902437</v>
      </c>
      <c r="AH22" s="11">
        <f t="shared" si="19"/>
        <v>7.5939401677083147</v>
      </c>
      <c r="AI22" s="11"/>
      <c r="AJ22" s="30">
        <f t="shared" si="14"/>
        <v>785</v>
      </c>
      <c r="AK22" s="11">
        <f t="shared" si="20"/>
        <v>785</v>
      </c>
      <c r="AL22" s="11">
        <f t="shared" si="20"/>
        <v>583.26656304098765</v>
      </c>
      <c r="AM22" s="11">
        <f t="shared" si="20"/>
        <v>377.59842200141162</v>
      </c>
      <c r="AN22" s="11">
        <f t="shared" si="20"/>
        <v>187.92275875479328</v>
      </c>
      <c r="AO22" s="11">
        <f t="shared" si="20"/>
        <v>96.472170886189147</v>
      </c>
      <c r="AP22" s="11">
        <f t="shared" si="20"/>
        <v>50.950795142316473</v>
      </c>
      <c r="AQ22" s="11"/>
      <c r="AR22" s="11"/>
      <c r="AS22" s="11"/>
      <c r="AT22" s="11"/>
      <c r="AU22" s="30">
        <f t="shared" si="15"/>
        <v>639</v>
      </c>
      <c r="AV22" s="30">
        <f t="shared" si="15"/>
        <v>410</v>
      </c>
      <c r="AW22" s="30">
        <f t="shared" si="15"/>
        <v>761</v>
      </c>
      <c r="AX22" s="19"/>
      <c r="AY22" s="20">
        <f t="shared" si="9"/>
        <v>229</v>
      </c>
      <c r="AZ22" s="204">
        <f t="shared" si="0"/>
        <v>351</v>
      </c>
      <c r="BA22" s="20"/>
      <c r="BB22" s="20">
        <f t="shared" si="8"/>
        <v>122</v>
      </c>
      <c r="BF22" s="20"/>
    </row>
    <row r="23" spans="2:58" x14ac:dyDescent="0.2">
      <c r="B23" s="20">
        <v>16</v>
      </c>
      <c r="C23" s="30">
        <f t="shared" si="16"/>
        <v>639</v>
      </c>
      <c r="D23" s="11">
        <f t="shared" si="1"/>
        <v>639</v>
      </c>
      <c r="E23" s="11">
        <f t="shared" si="2"/>
        <v>465.4768749633958</v>
      </c>
      <c r="F23" s="11">
        <f t="shared" si="3"/>
        <v>292.73326255250475</v>
      </c>
      <c r="G23" s="11">
        <f t="shared" si="3"/>
        <v>139.06501776990493</v>
      </c>
      <c r="H23" s="11">
        <f t="shared" si="3"/>
        <v>68.286587866269599</v>
      </c>
      <c r="I23" s="11">
        <f t="shared" si="3"/>
        <v>34.562163583800668</v>
      </c>
      <c r="J23" s="11"/>
      <c r="L23" s="30">
        <f t="shared" si="11"/>
        <v>410</v>
      </c>
      <c r="M23" s="11">
        <f t="shared" si="17"/>
        <v>410</v>
      </c>
      <c r="N23" s="11">
        <f t="shared" si="17"/>
        <v>298.66278362283612</v>
      </c>
      <c r="O23" s="11">
        <f t="shared" si="17"/>
        <v>187.82572401647408</v>
      </c>
      <c r="P23" s="11">
        <f t="shared" si="17"/>
        <v>89.227945673960903</v>
      </c>
      <c r="Q23" s="11">
        <f t="shared" si="17"/>
        <v>43.814555594946064</v>
      </c>
      <c r="R23" s="11">
        <f t="shared" si="17"/>
        <v>22.289087617211383</v>
      </c>
      <c r="S23" s="11"/>
      <c r="T23" s="30">
        <f t="shared" si="12"/>
        <v>761</v>
      </c>
      <c r="U23" s="11">
        <f t="shared" si="18"/>
        <v>761</v>
      </c>
      <c r="V23" s="11">
        <f t="shared" si="18"/>
        <v>554.3472642365324</v>
      </c>
      <c r="W23" s="11">
        <f t="shared" si="18"/>
        <v>348.62286823545554</v>
      </c>
      <c r="X23" s="11">
        <f t="shared" si="18"/>
        <v>165.61577233630302</v>
      </c>
      <c r="Y23" s="11">
        <f t="shared" si="18"/>
        <v>81.324089775009639</v>
      </c>
      <c r="Z23" s="11">
        <f t="shared" si="18"/>
        <v>41.160886521552911</v>
      </c>
      <c r="AA23" s="11"/>
      <c r="AB23" s="30">
        <f t="shared" si="13"/>
        <v>117</v>
      </c>
      <c r="AC23" s="11">
        <f t="shared" si="19"/>
        <v>117</v>
      </c>
      <c r="AD23" s="11">
        <f t="shared" si="19"/>
        <v>85.228160204565427</v>
      </c>
      <c r="AE23" s="11">
        <f t="shared" si="19"/>
        <v>53.599048072993824</v>
      </c>
      <c r="AF23" s="11">
        <f t="shared" si="19"/>
        <v>25.462608887447377</v>
      </c>
      <c r="AG23" s="11">
        <f t="shared" si="19"/>
        <v>12.503178060021193</v>
      </c>
      <c r="AH23" s="11">
        <f t="shared" si="19"/>
        <v>6.3282834730902628</v>
      </c>
      <c r="AI23" s="11"/>
      <c r="AJ23" s="30">
        <f t="shared" si="14"/>
        <v>785</v>
      </c>
      <c r="AK23" s="11">
        <f t="shared" si="20"/>
        <v>785</v>
      </c>
      <c r="AL23" s="11">
        <f t="shared" si="20"/>
        <v>571.82996376567405</v>
      </c>
      <c r="AM23" s="11">
        <f t="shared" si="20"/>
        <v>359.61754476324916</v>
      </c>
      <c r="AN23" s="11">
        <f t="shared" si="20"/>
        <v>170.8388715952666</v>
      </c>
      <c r="AO23" s="11">
        <f t="shared" si="20"/>
        <v>83.888844248860153</v>
      </c>
      <c r="AP23" s="11">
        <f t="shared" si="20"/>
        <v>42.458995951930397</v>
      </c>
      <c r="AQ23" s="11"/>
      <c r="AR23" s="11"/>
      <c r="AS23" s="11"/>
      <c r="AT23" s="11"/>
      <c r="AU23" s="30">
        <f t="shared" si="15"/>
        <v>639</v>
      </c>
      <c r="AV23" s="30">
        <f t="shared" si="15"/>
        <v>410</v>
      </c>
      <c r="AW23" s="30">
        <f t="shared" si="15"/>
        <v>761</v>
      </c>
      <c r="AX23" s="19"/>
      <c r="AY23" s="20">
        <f t="shared" si="9"/>
        <v>229</v>
      </c>
      <c r="AZ23" s="204">
        <f t="shared" si="0"/>
        <v>351</v>
      </c>
      <c r="BA23" s="20"/>
      <c r="BB23" s="20">
        <f t="shared" si="8"/>
        <v>122</v>
      </c>
      <c r="BF23" s="20"/>
    </row>
    <row r="24" spans="2:58" x14ac:dyDescent="0.2">
      <c r="B24" s="20">
        <v>17</v>
      </c>
      <c r="C24" s="30">
        <f t="shared" si="16"/>
        <v>639</v>
      </c>
      <c r="D24" s="11">
        <f t="shared" si="1"/>
        <v>639</v>
      </c>
      <c r="E24" s="11">
        <f t="shared" si="2"/>
        <v>456.34987741509389</v>
      </c>
      <c r="F24" s="11">
        <f t="shared" si="3"/>
        <v>278.79358338333782</v>
      </c>
      <c r="G24" s="11">
        <f t="shared" si="3"/>
        <v>126.42274342718629</v>
      </c>
      <c r="H24" s="11">
        <f t="shared" si="3"/>
        <v>59.379641622843131</v>
      </c>
      <c r="I24" s="11">
        <f t="shared" si="3"/>
        <v>28.801802986500558</v>
      </c>
      <c r="J24" s="11"/>
      <c r="L24" s="30">
        <f t="shared" si="11"/>
        <v>410</v>
      </c>
      <c r="M24" s="11">
        <f t="shared" si="17"/>
        <v>410</v>
      </c>
      <c r="N24" s="11">
        <f t="shared" si="17"/>
        <v>292.80665061062365</v>
      </c>
      <c r="O24" s="11">
        <f t="shared" si="17"/>
        <v>178.8816419204515</v>
      </c>
      <c r="P24" s="11">
        <f t="shared" si="17"/>
        <v>81.116314249055364</v>
      </c>
      <c r="Q24" s="11">
        <f t="shared" si="17"/>
        <v>38.099613560822668</v>
      </c>
      <c r="R24" s="11">
        <f t="shared" si="17"/>
        <v>18.580143701947218</v>
      </c>
      <c r="S24" s="11"/>
      <c r="T24" s="30">
        <f t="shared" si="12"/>
        <v>761</v>
      </c>
      <c r="U24" s="11">
        <f t="shared" si="18"/>
        <v>761</v>
      </c>
      <c r="V24" s="11">
        <f t="shared" si="18"/>
        <v>543.47771003581602</v>
      </c>
      <c r="W24" s="11">
        <f t="shared" si="18"/>
        <v>332.02177927186239</v>
      </c>
      <c r="X24" s="11">
        <f t="shared" si="18"/>
        <v>150.55979303300276</v>
      </c>
      <c r="Y24" s="11">
        <f t="shared" si="18"/>
        <v>70.716599804356221</v>
      </c>
      <c r="Z24" s="11">
        <f t="shared" si="18"/>
        <v>34.300738767960759</v>
      </c>
      <c r="AA24" s="11"/>
      <c r="AB24" s="30">
        <f t="shared" si="13"/>
        <v>117</v>
      </c>
      <c r="AC24" s="11">
        <f t="shared" si="19"/>
        <v>117</v>
      </c>
      <c r="AD24" s="11">
        <f t="shared" si="19"/>
        <v>83.55701980839747</v>
      </c>
      <c r="AE24" s="11">
        <f t="shared" si="19"/>
        <v>51.046712450470302</v>
      </c>
      <c r="AF24" s="11">
        <f t="shared" si="19"/>
        <v>23.147826261315799</v>
      </c>
      <c r="AG24" s="11">
        <f t="shared" si="19"/>
        <v>10.872328747844517</v>
      </c>
      <c r="AH24" s="11">
        <f t="shared" si="19"/>
        <v>5.2735695609085527</v>
      </c>
      <c r="AI24" s="11"/>
      <c r="AJ24" s="30">
        <f t="shared" si="14"/>
        <v>785</v>
      </c>
      <c r="AK24" s="11">
        <f t="shared" si="20"/>
        <v>785</v>
      </c>
      <c r="AL24" s="11">
        <f t="shared" si="20"/>
        <v>560.61761153497457</v>
      </c>
      <c r="AM24" s="11">
        <f t="shared" si="20"/>
        <v>342.49289977452298</v>
      </c>
      <c r="AN24" s="11">
        <f t="shared" si="20"/>
        <v>155.30806508660601</v>
      </c>
      <c r="AO24" s="11">
        <f t="shared" si="20"/>
        <v>72.946821085965354</v>
      </c>
      <c r="AP24" s="11">
        <f t="shared" si="20"/>
        <v>35.382496626608663</v>
      </c>
      <c r="AQ24" s="11"/>
      <c r="AR24" s="11"/>
      <c r="AS24" s="11"/>
      <c r="AT24" s="11"/>
      <c r="AU24" s="30">
        <f t="shared" si="15"/>
        <v>639</v>
      </c>
      <c r="AV24" s="30">
        <f t="shared" si="15"/>
        <v>410</v>
      </c>
      <c r="AW24" s="30">
        <f t="shared" si="15"/>
        <v>761</v>
      </c>
      <c r="AX24" s="19"/>
      <c r="AY24" s="20">
        <f t="shared" si="9"/>
        <v>229</v>
      </c>
      <c r="AZ24" s="204">
        <f t="shared" si="0"/>
        <v>351</v>
      </c>
      <c r="BA24" s="20"/>
      <c r="BB24" s="20">
        <f t="shared" si="8"/>
        <v>122</v>
      </c>
      <c r="BF24" s="20"/>
    </row>
    <row r="25" spans="2:58" x14ac:dyDescent="0.2">
      <c r="B25" s="20">
        <v>18</v>
      </c>
      <c r="C25" s="30">
        <f t="shared" si="16"/>
        <v>639</v>
      </c>
      <c r="D25" s="11">
        <f t="shared" si="1"/>
        <v>639</v>
      </c>
      <c r="E25" s="11">
        <f t="shared" si="2"/>
        <v>447.40184060303329</v>
      </c>
      <c r="F25" s="11">
        <f t="shared" si="3"/>
        <v>265.51769846032175</v>
      </c>
      <c r="G25" s="11">
        <f t="shared" si="3"/>
        <v>114.92976675198753</v>
      </c>
      <c r="H25" s="11">
        <f t="shared" si="3"/>
        <v>51.634470976385337</v>
      </c>
      <c r="I25" s="11">
        <f t="shared" si="3"/>
        <v>24.001502488750464</v>
      </c>
      <c r="J25" s="11"/>
      <c r="L25" s="30">
        <f t="shared" si="11"/>
        <v>410</v>
      </c>
      <c r="M25" s="11">
        <f t="shared" si="17"/>
        <v>410</v>
      </c>
      <c r="N25" s="11">
        <f t="shared" si="17"/>
        <v>287.06534373590557</v>
      </c>
      <c r="O25" s="11">
        <f t="shared" si="17"/>
        <v>170.36346849566809</v>
      </c>
      <c r="P25" s="11">
        <f t="shared" si="17"/>
        <v>73.742103862777597</v>
      </c>
      <c r="Q25" s="11">
        <f t="shared" si="17"/>
        <v>33.130098748541457</v>
      </c>
      <c r="R25" s="11">
        <f t="shared" si="17"/>
        <v>15.488374666284345</v>
      </c>
      <c r="S25" s="11"/>
      <c r="T25" s="30">
        <f t="shared" si="12"/>
        <v>761</v>
      </c>
      <c r="U25" s="11">
        <f t="shared" si="18"/>
        <v>761</v>
      </c>
      <c r="V25" s="11">
        <f t="shared" si="18"/>
        <v>532.8212843488393</v>
      </c>
      <c r="W25" s="11">
        <f t="shared" si="18"/>
        <v>316.21121835415465</v>
      </c>
      <c r="X25" s="11">
        <f t="shared" si="18"/>
        <v>136.8725391209116</v>
      </c>
      <c r="Y25" s="11">
        <f t="shared" si="18"/>
        <v>61.492695482048894</v>
      </c>
      <c r="Z25" s="11">
        <f t="shared" si="18"/>
        <v>28.583948973300632</v>
      </c>
      <c r="AA25" s="11"/>
      <c r="AB25" s="30">
        <f t="shared" si="13"/>
        <v>117</v>
      </c>
      <c r="AC25" s="11">
        <f t="shared" si="19"/>
        <v>117</v>
      </c>
      <c r="AD25" s="11">
        <f t="shared" si="19"/>
        <v>81.918646870977923</v>
      </c>
      <c r="AE25" s="11">
        <f t="shared" si="19"/>
        <v>48.615916619495529</v>
      </c>
      <c r="AF25" s="11">
        <f t="shared" si="19"/>
        <v>21.043478419377998</v>
      </c>
      <c r="AG25" s="11">
        <f t="shared" si="19"/>
        <v>9.4541989111691471</v>
      </c>
      <c r="AH25" s="11">
        <f t="shared" si="19"/>
        <v>4.3946413007571277</v>
      </c>
      <c r="AI25" s="11"/>
      <c r="AJ25" s="30">
        <f t="shared" si="14"/>
        <v>785</v>
      </c>
      <c r="AK25" s="11">
        <f t="shared" si="20"/>
        <v>785</v>
      </c>
      <c r="AL25" s="11">
        <f t="shared" si="20"/>
        <v>549.62510934801435</v>
      </c>
      <c r="AM25" s="11">
        <f t="shared" si="20"/>
        <v>326.18371407097425</v>
      </c>
      <c r="AN25" s="11">
        <f t="shared" si="20"/>
        <v>141.18915007873272</v>
      </c>
      <c r="AO25" s="11">
        <f t="shared" si="20"/>
        <v>63.432018335622054</v>
      </c>
      <c r="AP25" s="11">
        <f t="shared" si="20"/>
        <v>29.485413855507222</v>
      </c>
      <c r="AQ25" s="11"/>
      <c r="AR25" s="11"/>
      <c r="AS25" s="11"/>
      <c r="AT25" s="11"/>
      <c r="AU25" s="30">
        <f t="shared" si="15"/>
        <v>639</v>
      </c>
      <c r="AV25" s="30">
        <f t="shared" si="15"/>
        <v>410</v>
      </c>
      <c r="AW25" s="30">
        <f t="shared" si="15"/>
        <v>761</v>
      </c>
      <c r="AX25" s="19"/>
      <c r="AY25" s="20">
        <f t="shared" si="9"/>
        <v>229</v>
      </c>
      <c r="AZ25" s="204">
        <f t="shared" si="0"/>
        <v>351</v>
      </c>
      <c r="BA25" s="20"/>
      <c r="BB25" s="20">
        <f t="shared" si="8"/>
        <v>122</v>
      </c>
      <c r="BF25" s="20"/>
    </row>
    <row r="26" spans="2:58" x14ac:dyDescent="0.2">
      <c r="B26" s="20">
        <v>19</v>
      </c>
      <c r="C26" s="30">
        <f t="shared" si="16"/>
        <v>639</v>
      </c>
      <c r="D26" s="11">
        <f t="shared" si="1"/>
        <v>639</v>
      </c>
      <c r="E26" s="11">
        <f t="shared" si="2"/>
        <v>438.62925549316992</v>
      </c>
      <c r="F26" s="11">
        <f t="shared" si="3"/>
        <v>252.87399853363974</v>
      </c>
      <c r="G26" s="11">
        <f t="shared" si="3"/>
        <v>104.48160613817045</v>
      </c>
      <c r="H26" s="11">
        <f t="shared" si="3"/>
        <v>44.899539979465516</v>
      </c>
      <c r="I26" s="11">
        <f t="shared" si="3"/>
        <v>20.001252073958721</v>
      </c>
      <c r="J26" s="11"/>
      <c r="L26" s="30">
        <f t="shared" si="11"/>
        <v>410</v>
      </c>
      <c r="M26" s="11">
        <f t="shared" si="17"/>
        <v>410</v>
      </c>
      <c r="N26" s="11">
        <f t="shared" si="17"/>
        <v>281.43661150578976</v>
      </c>
      <c r="O26" s="11">
        <f t="shared" si="17"/>
        <v>162.25092237682676</v>
      </c>
      <c r="P26" s="11">
        <f t="shared" si="17"/>
        <v>67.038276238888713</v>
      </c>
      <c r="Q26" s="11">
        <f t="shared" si="17"/>
        <v>28.808781520470831</v>
      </c>
      <c r="R26" s="11">
        <f t="shared" si="17"/>
        <v>12.911081509991657</v>
      </c>
      <c r="S26" s="11"/>
      <c r="T26" s="30">
        <f t="shared" si="12"/>
        <v>761</v>
      </c>
      <c r="U26" s="11">
        <f t="shared" si="18"/>
        <v>761</v>
      </c>
      <c r="V26" s="11">
        <f t="shared" si="18"/>
        <v>522.37380818513668</v>
      </c>
      <c r="W26" s="11">
        <f t="shared" si="18"/>
        <v>301.15354128967113</v>
      </c>
      <c r="X26" s="11">
        <f t="shared" si="18"/>
        <v>124.4295810190105</v>
      </c>
      <c r="Y26" s="11">
        <f t="shared" si="18"/>
        <v>53.471909114825131</v>
      </c>
      <c r="Z26" s="11">
        <f t="shared" si="18"/>
        <v>23.819957477750524</v>
      </c>
      <c r="AA26" s="11"/>
      <c r="AB26" s="30">
        <f t="shared" si="13"/>
        <v>117</v>
      </c>
      <c r="AC26" s="11">
        <f t="shared" si="19"/>
        <v>117</v>
      </c>
      <c r="AD26" s="11">
        <f t="shared" si="19"/>
        <v>80.312398893115613</v>
      </c>
      <c r="AE26" s="11">
        <f t="shared" si="19"/>
        <v>46.30087297094812</v>
      </c>
      <c r="AF26" s="11">
        <f t="shared" si="19"/>
        <v>19.130434926707267</v>
      </c>
      <c r="AG26" s="11">
        <f t="shared" si="19"/>
        <v>8.2210425314514328</v>
      </c>
      <c r="AH26" s="11">
        <f t="shared" si="19"/>
        <v>3.6622010839642725</v>
      </c>
      <c r="AI26" s="11"/>
      <c r="AJ26" s="30">
        <f t="shared" si="14"/>
        <v>785</v>
      </c>
      <c r="AK26" s="11">
        <f t="shared" si="20"/>
        <v>785</v>
      </c>
      <c r="AL26" s="11">
        <f t="shared" si="20"/>
        <v>538.84814641962191</v>
      </c>
      <c r="AM26" s="11">
        <f t="shared" si="20"/>
        <v>310.65115625807073</v>
      </c>
      <c r="AN26" s="11">
        <f t="shared" si="20"/>
        <v>128.3537727988479</v>
      </c>
      <c r="AO26" s="11">
        <f t="shared" si="20"/>
        <v>55.158276813584393</v>
      </c>
      <c r="AP26" s="11">
        <f t="shared" si="20"/>
        <v>24.571178212922685</v>
      </c>
      <c r="AQ26" s="11"/>
      <c r="AR26" s="11"/>
      <c r="AS26" s="11"/>
      <c r="AT26" s="11"/>
      <c r="AU26" s="30">
        <f t="shared" si="15"/>
        <v>639</v>
      </c>
      <c r="AV26" s="30">
        <f t="shared" si="15"/>
        <v>410</v>
      </c>
      <c r="AW26" s="30">
        <f t="shared" si="15"/>
        <v>761</v>
      </c>
      <c r="AX26" s="19"/>
      <c r="AY26" s="20">
        <f t="shared" si="9"/>
        <v>229</v>
      </c>
      <c r="AZ26" s="204">
        <f t="shared" si="0"/>
        <v>351</v>
      </c>
      <c r="BA26" s="20"/>
      <c r="BB26" s="20">
        <f t="shared" si="8"/>
        <v>122</v>
      </c>
      <c r="BF26" s="20"/>
    </row>
    <row r="27" spans="2:58" x14ac:dyDescent="0.2">
      <c r="B27" s="20">
        <v>20</v>
      </c>
      <c r="C27" s="30">
        <f t="shared" si="16"/>
        <v>639</v>
      </c>
      <c r="D27" s="11">
        <f t="shared" si="1"/>
        <v>639</v>
      </c>
      <c r="E27" s="11">
        <f t="shared" si="2"/>
        <v>430.02868185604888</v>
      </c>
      <c r="F27" s="11">
        <f t="shared" si="3"/>
        <v>240.83237955584738</v>
      </c>
      <c r="G27" s="11">
        <f t="shared" si="3"/>
        <v>94.983278307427682</v>
      </c>
      <c r="H27" s="11">
        <f t="shared" si="3"/>
        <v>39.043078243013497</v>
      </c>
      <c r="I27" s="11">
        <f>$C27/(1+I$4)^$B27</f>
        <v>16.667710061632267</v>
      </c>
      <c r="J27" s="11"/>
      <c r="L27" s="30">
        <f t="shared" si="11"/>
        <v>410</v>
      </c>
      <c r="M27" s="11">
        <f t="shared" si="17"/>
        <v>410</v>
      </c>
      <c r="N27" s="11">
        <f t="shared" si="17"/>
        <v>275.91824657430368</v>
      </c>
      <c r="O27" s="11">
        <f t="shared" si="17"/>
        <v>154.52468797793026</v>
      </c>
      <c r="P27" s="11">
        <f t="shared" si="17"/>
        <v>60.943887489898827</v>
      </c>
      <c r="Q27" s="11">
        <f t="shared" si="17"/>
        <v>25.051114365626812</v>
      </c>
      <c r="R27" s="11">
        <f t="shared" si="17"/>
        <v>10.762654529562644</v>
      </c>
      <c r="S27" s="11"/>
      <c r="T27" s="30">
        <f t="shared" si="12"/>
        <v>761</v>
      </c>
      <c r="U27" s="11">
        <f t="shared" si="18"/>
        <v>761</v>
      </c>
      <c r="V27" s="11">
        <f t="shared" si="18"/>
        <v>512.13118449523199</v>
      </c>
      <c r="W27" s="11">
        <f t="shared" si="18"/>
        <v>286.81289646635344</v>
      </c>
      <c r="X27" s="11">
        <f t="shared" si="18"/>
        <v>113.11780092637319</v>
      </c>
      <c r="Y27" s="11">
        <f t="shared" si="18"/>
        <v>46.49731227376099</v>
      </c>
      <c r="Z27" s="11">
        <f t="shared" si="18"/>
        <v>19.849964564792103</v>
      </c>
      <c r="AA27" s="11"/>
      <c r="AB27" s="30">
        <f t="shared" si="13"/>
        <v>117</v>
      </c>
      <c r="AC27" s="11">
        <f t="shared" si="19"/>
        <v>117</v>
      </c>
      <c r="AD27" s="11">
        <f t="shared" si="19"/>
        <v>78.737645973642756</v>
      </c>
      <c r="AE27" s="11">
        <f t="shared" si="19"/>
        <v>44.09606949614107</v>
      </c>
      <c r="AF27" s="11">
        <f t="shared" si="19"/>
        <v>17.391304478824789</v>
      </c>
      <c r="AG27" s="11">
        <f t="shared" si="19"/>
        <v>7.1487326360447243</v>
      </c>
      <c r="AH27" s="11">
        <f t="shared" si="19"/>
        <v>3.051834236636894</v>
      </c>
      <c r="AI27" s="11"/>
      <c r="AJ27" s="30">
        <f t="shared" si="14"/>
        <v>785</v>
      </c>
      <c r="AK27" s="11">
        <f t="shared" si="20"/>
        <v>785</v>
      </c>
      <c r="AL27" s="11">
        <f t="shared" si="20"/>
        <v>528.28249648982535</v>
      </c>
      <c r="AM27" s="11">
        <f t="shared" si="20"/>
        <v>295.85824405530548</v>
      </c>
      <c r="AN27" s="11">
        <f t="shared" si="20"/>
        <v>116.68524799895263</v>
      </c>
      <c r="AO27" s="11">
        <f t="shared" si="20"/>
        <v>47.963718968334263</v>
      </c>
      <c r="AP27" s="11">
        <f t="shared" si="20"/>
        <v>20.475981844102236</v>
      </c>
      <c r="AQ27" s="11"/>
      <c r="AR27" s="11"/>
      <c r="AS27" s="11"/>
      <c r="AT27" s="11"/>
      <c r="AU27" s="30">
        <f t="shared" si="15"/>
        <v>639</v>
      </c>
      <c r="AV27" s="30">
        <f t="shared" si="15"/>
        <v>410</v>
      </c>
      <c r="AW27" s="30">
        <f t="shared" si="15"/>
        <v>761</v>
      </c>
      <c r="AX27" s="19"/>
      <c r="AY27" s="20">
        <f t="shared" si="9"/>
        <v>229</v>
      </c>
      <c r="AZ27" s="204">
        <f t="shared" si="0"/>
        <v>351</v>
      </c>
      <c r="BA27" s="20"/>
      <c r="BB27" s="20">
        <f t="shared" si="8"/>
        <v>122</v>
      </c>
      <c r="BF27" s="20"/>
    </row>
    <row r="28" spans="2:58" x14ac:dyDescent="0.2"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9"/>
      <c r="AZ28" s="202"/>
    </row>
    <row r="29" spans="2:58" x14ac:dyDescent="0.2">
      <c r="C29" t="s">
        <v>45</v>
      </c>
      <c r="D29" s="10">
        <f>SUM(D7:D27)</f>
        <v>8780</v>
      </c>
      <c r="E29" s="10">
        <f t="shared" ref="E29:I29" si="21">SUM(E7:E27)</f>
        <v>6448.5659071975579</v>
      </c>
      <c r="F29" s="10">
        <f t="shared" si="21"/>
        <v>3963.3524088830495</v>
      </c>
      <c r="G29" s="10">
        <f t="shared" si="21"/>
        <v>1440.1672169257192</v>
      </c>
      <c r="H29" s="10">
        <f t="shared" si="21"/>
        <v>-0.28718828675386021</v>
      </c>
      <c r="I29" s="10">
        <f t="shared" si="21"/>
        <v>-888.33855030816096</v>
      </c>
      <c r="J29" s="10"/>
      <c r="M29" s="10">
        <f t="shared" ref="M29:Q29" si="22">SUM(M7:M27)</f>
        <v>6200</v>
      </c>
      <c r="N29" s="10">
        <f t="shared" si="22"/>
        <v>4704.0876712848185</v>
      </c>
      <c r="O29" s="10">
        <f t="shared" si="22"/>
        <v>3109.5062404413934</v>
      </c>
      <c r="P29" s="10">
        <f t="shared" si="22"/>
        <v>1490.5611251010093</v>
      </c>
      <c r="Q29" s="10">
        <f t="shared" si="22"/>
        <v>566.32590422915655</v>
      </c>
      <c r="R29" s="10">
        <f>SUM(R7:R27)</f>
        <v>-1.5651454176968116E-4</v>
      </c>
      <c r="S29" s="10"/>
      <c r="U29" s="10">
        <f t="shared" ref="U29:Z29" si="23">SUM(U7:U27)</f>
        <v>9220</v>
      </c>
      <c r="V29" s="10">
        <f t="shared" si="23"/>
        <v>6443.4407752384068</v>
      </c>
      <c r="W29" s="10">
        <f t="shared" si="23"/>
        <v>3483.7420706729267</v>
      </c>
      <c r="X29" s="10">
        <f t="shared" si="23"/>
        <v>478.82199073626356</v>
      </c>
      <c r="Y29" s="10">
        <f t="shared" si="23"/>
        <v>-1236.6487484917361</v>
      </c>
      <c r="Z29" s="10">
        <f t="shared" si="23"/>
        <v>-2294.2498228239597</v>
      </c>
      <c r="AA29" s="10"/>
      <c r="AC29" s="10">
        <f t="shared" ref="AC29:AH29" si="24">SUM(AC7:AC27)</f>
        <v>1340</v>
      </c>
      <c r="AD29" s="10">
        <f t="shared" si="24"/>
        <v>913.11770131786261</v>
      </c>
      <c r="AE29" s="10">
        <f t="shared" si="24"/>
        <v>458.07861007717821</v>
      </c>
      <c r="AF29" s="10">
        <f t="shared" si="24"/>
        <v>-3.9130447882487083</v>
      </c>
      <c r="AG29" s="10">
        <f t="shared" si="24"/>
        <v>-267.65821757363102</v>
      </c>
      <c r="AH29" s="10">
        <f t="shared" si="24"/>
        <v>-430.25917118318426</v>
      </c>
      <c r="AI29" s="10"/>
      <c r="AK29" s="10">
        <f t="shared" ref="AK29:AP29" si="25">SUM(AK7:AK27)</f>
        <v>6700</v>
      </c>
      <c r="AL29" s="10">
        <f t="shared" si="25"/>
        <v>3835.8751755087387</v>
      </c>
      <c r="AM29" s="10">
        <f t="shared" si="25"/>
        <v>782.83511889388728</v>
      </c>
      <c r="AN29" s="10">
        <f t="shared" si="25"/>
        <v>-2316.8524799895313</v>
      </c>
      <c r="AO29" s="10">
        <f t="shared" si="25"/>
        <v>-4086.4247931222262</v>
      </c>
      <c r="AP29" s="10">
        <f t="shared" si="25"/>
        <v>-5177.3799092205118</v>
      </c>
      <c r="AQ29" s="10"/>
      <c r="AR29" s="10"/>
      <c r="AS29" s="10"/>
      <c r="AT29" s="10"/>
      <c r="AX29" s="19"/>
      <c r="AY29" t="s">
        <v>545</v>
      </c>
      <c r="AZ29" s="202"/>
    </row>
    <row r="30" spans="2:58" hidden="1" x14ac:dyDescent="0.2">
      <c r="B30" t="s">
        <v>46</v>
      </c>
      <c r="D30" s="18">
        <f>D8/-D7</f>
        <v>0.15975</v>
      </c>
      <c r="E30" s="18"/>
      <c r="F30" s="18"/>
      <c r="G30" s="18"/>
      <c r="H30" s="18"/>
      <c r="I30" s="18"/>
      <c r="J30" s="18"/>
      <c r="M30" s="18">
        <f>M8/-M7</f>
        <v>0.20499999999999999</v>
      </c>
      <c r="N30" s="18"/>
      <c r="O30" s="18"/>
      <c r="P30" s="18"/>
      <c r="Q30" s="18"/>
      <c r="R30" s="18"/>
      <c r="S30" s="18"/>
      <c r="U30" s="18">
        <f>U8/-U7</f>
        <v>0.12683333333333333</v>
      </c>
      <c r="V30" s="18"/>
      <c r="W30" s="18"/>
      <c r="X30" s="18"/>
      <c r="Y30" s="18"/>
      <c r="Z30" s="18"/>
      <c r="AA30" s="18"/>
      <c r="AC30" s="18">
        <f>AC8/-AC7</f>
        <v>0.11700000000000001</v>
      </c>
      <c r="AD30" s="18"/>
      <c r="AE30" s="18"/>
      <c r="AF30" s="18"/>
      <c r="AG30" s="18"/>
      <c r="AH30" s="18"/>
      <c r="AI30" s="18"/>
      <c r="AK30" s="18">
        <f>AK8/-AK7</f>
        <v>8.7222222222222229E-2</v>
      </c>
      <c r="AL30" s="18"/>
      <c r="AM30" s="18"/>
      <c r="AN30" s="18"/>
      <c r="AO30" s="18"/>
      <c r="AP30" s="18"/>
      <c r="AQ30" s="18"/>
      <c r="AR30" s="18"/>
      <c r="AS30" s="18"/>
      <c r="AT30" s="18"/>
      <c r="AX30" s="19"/>
      <c r="AZ30" s="202"/>
    </row>
    <row r="31" spans="2:58" x14ac:dyDescent="0.2">
      <c r="B31" t="s">
        <v>51</v>
      </c>
      <c r="C31" s="19">
        <f>IRR(C7:C27)</f>
        <v>0.14998702817923659</v>
      </c>
      <c r="D31" s="19"/>
      <c r="E31" s="19"/>
      <c r="F31" s="19"/>
      <c r="G31" s="19"/>
      <c r="H31" s="19"/>
      <c r="I31" s="19"/>
      <c r="J31" s="19"/>
      <c r="L31" s="49">
        <f>IRR(L7:L27)</f>
        <v>0.19961867119555521</v>
      </c>
      <c r="M31" s="19"/>
      <c r="N31" s="19"/>
      <c r="O31" s="19"/>
      <c r="P31" s="19"/>
      <c r="Q31" s="19"/>
      <c r="R31" s="19"/>
      <c r="S31" s="19"/>
      <c r="T31" s="19">
        <f>IRR(T7:T27)</f>
        <v>0.11152885264380896</v>
      </c>
      <c r="U31" s="19"/>
      <c r="V31" s="19"/>
      <c r="W31" s="19"/>
      <c r="X31" s="19"/>
      <c r="Y31" s="19"/>
      <c r="Z31" s="19"/>
      <c r="AA31" s="19"/>
      <c r="AB31" s="19">
        <f>IRR(AB7:AB27)</f>
        <v>9.9426287018061332E-2</v>
      </c>
      <c r="AC31" s="19"/>
      <c r="AD31" s="19"/>
      <c r="AE31" s="19"/>
      <c r="AF31" s="19"/>
      <c r="AG31" s="19"/>
      <c r="AH31" s="19"/>
      <c r="AI31" s="19"/>
      <c r="AJ31" s="19">
        <f>IRR(AJ7:AJ27)</f>
        <v>6.0053211472705037E-2</v>
      </c>
      <c r="AK31" s="19"/>
      <c r="AL31" s="19"/>
      <c r="AM31" s="19"/>
      <c r="AN31" s="19"/>
      <c r="AO31" s="19"/>
      <c r="AP31" s="19"/>
      <c r="AQ31" s="19"/>
      <c r="AR31" s="19"/>
      <c r="AS31" s="19"/>
      <c r="AT31" s="19" t="s">
        <v>631</v>
      </c>
      <c r="AU31" s="19">
        <f>IRR(AU7:AU27)</f>
        <v>0.14998702817923659</v>
      </c>
      <c r="AV31" s="201">
        <f>IRR(AV7:AV27)</f>
        <v>0.19961867119555521</v>
      </c>
      <c r="AW31" s="19">
        <f>IRR(AW7:AW27)</f>
        <v>0.11152885264380896</v>
      </c>
      <c r="AX31" s="19"/>
      <c r="AY31" s="201">
        <f>IRR(AY7:AY27)</f>
        <v>9.6290848368458359E-2</v>
      </c>
      <c r="AZ31" s="205">
        <f t="shared" ref="AZ31" si="26">IRR(AZ7:AZ27)</f>
        <v>6.0797712057669928E-2</v>
      </c>
      <c r="BB31" s="201">
        <f>IRR(BB7:BB27)</f>
        <v>1.9734266579348736E-2</v>
      </c>
    </row>
    <row r="33" spans="2:58" x14ac:dyDescent="0.2">
      <c r="C33" s="34" t="s">
        <v>555</v>
      </c>
      <c r="AU33" s="34" t="s">
        <v>562</v>
      </c>
    </row>
    <row r="34" spans="2:58" ht="16" x14ac:dyDescent="0.2">
      <c r="AV34" s="174" t="s">
        <v>547</v>
      </c>
    </row>
    <row r="35" spans="2:58" x14ac:dyDescent="0.2">
      <c r="B35" s="21"/>
      <c r="C35" s="34" t="s">
        <v>552</v>
      </c>
      <c r="AV35" t="s">
        <v>586</v>
      </c>
    </row>
    <row r="36" spans="2:58" ht="16" x14ac:dyDescent="0.2">
      <c r="B36" s="21"/>
      <c r="D36" t="s">
        <v>98</v>
      </c>
      <c r="AU36" s="173"/>
      <c r="AV36" t="s">
        <v>585</v>
      </c>
    </row>
    <row r="37" spans="2:58" ht="16" x14ac:dyDescent="0.2">
      <c r="B37" s="21"/>
      <c r="C37" s="31" t="s">
        <v>92</v>
      </c>
      <c r="D37" s="36">
        <v>0</v>
      </c>
      <c r="E37" s="186">
        <f>E4</f>
        <v>0.02</v>
      </c>
      <c r="F37" s="36">
        <v>0.05</v>
      </c>
      <c r="G37" s="36">
        <v>0.1</v>
      </c>
      <c r="H37" s="36">
        <v>0.15</v>
      </c>
      <c r="I37" s="36">
        <v>0.2</v>
      </c>
      <c r="AV37" s="173"/>
      <c r="AW37" s="173"/>
    </row>
    <row r="38" spans="2:58" ht="18" x14ac:dyDescent="0.2">
      <c r="B38" s="21"/>
      <c r="C38" s="29" t="s">
        <v>93</v>
      </c>
      <c r="D38" s="17">
        <f t="shared" ref="D38:I38" si="27">D29</f>
        <v>8780</v>
      </c>
      <c r="E38" s="35">
        <f t="shared" si="27"/>
        <v>6448.5659071975579</v>
      </c>
      <c r="F38" s="35">
        <f t="shared" si="27"/>
        <v>3963.3524088830495</v>
      </c>
      <c r="G38" s="17">
        <f t="shared" si="27"/>
        <v>1440.1672169257192</v>
      </c>
      <c r="H38" s="17">
        <f t="shared" si="27"/>
        <v>-0.28718828675386021</v>
      </c>
      <c r="I38" s="17">
        <f t="shared" si="27"/>
        <v>-888.33855030816096</v>
      </c>
      <c r="AV38" s="173" t="s">
        <v>550</v>
      </c>
    </row>
    <row r="39" spans="2:58" ht="18" x14ac:dyDescent="0.2">
      <c r="B39" s="21"/>
      <c r="C39" s="29" t="s">
        <v>94</v>
      </c>
      <c r="D39" s="17">
        <f t="shared" ref="D39:I39" si="28">M29</f>
        <v>6200</v>
      </c>
      <c r="E39" s="17">
        <f t="shared" si="28"/>
        <v>4704.0876712848185</v>
      </c>
      <c r="F39" s="17">
        <f t="shared" si="28"/>
        <v>3109.5062404413934</v>
      </c>
      <c r="G39" s="35">
        <f t="shared" si="28"/>
        <v>1490.5611251010093</v>
      </c>
      <c r="H39" s="35">
        <f t="shared" si="28"/>
        <v>566.32590422915655</v>
      </c>
      <c r="I39" s="17">
        <f t="shared" si="28"/>
        <v>-1.5651454176968116E-4</v>
      </c>
      <c r="AV39" s="173" t="s">
        <v>549</v>
      </c>
    </row>
    <row r="40" spans="2:58" ht="16" x14ac:dyDescent="0.2">
      <c r="B40" s="21"/>
      <c r="C40" s="29" t="s">
        <v>95</v>
      </c>
      <c r="D40" s="35">
        <f t="shared" ref="D40:I40" si="29">U29</f>
        <v>9220</v>
      </c>
      <c r="E40" s="17">
        <f t="shared" si="29"/>
        <v>6443.4407752384068</v>
      </c>
      <c r="F40" s="17">
        <f t="shared" si="29"/>
        <v>3483.7420706729267</v>
      </c>
      <c r="G40" s="17">
        <f t="shared" si="29"/>
        <v>478.82199073626356</v>
      </c>
      <c r="H40" s="17">
        <f t="shared" si="29"/>
        <v>-1236.6487484917361</v>
      </c>
      <c r="I40" s="17">
        <f t="shared" si="29"/>
        <v>-2294.2498228239597</v>
      </c>
      <c r="AV40" s="173"/>
      <c r="BA40" s="34"/>
      <c r="BB40" s="34"/>
      <c r="BC40" s="34"/>
      <c r="BD40" s="34"/>
      <c r="BE40" s="34"/>
      <c r="BF40" s="34"/>
    </row>
    <row r="41" spans="2:58" ht="18" x14ac:dyDescent="0.2">
      <c r="C41" s="29" t="s">
        <v>96</v>
      </c>
      <c r="D41" s="17">
        <f t="shared" ref="D41:I41" si="30">AC29</f>
        <v>1340</v>
      </c>
      <c r="E41" s="17">
        <f t="shared" si="30"/>
        <v>913.11770131786261</v>
      </c>
      <c r="F41" s="17">
        <f t="shared" si="30"/>
        <v>458.07861007717821</v>
      </c>
      <c r="G41" s="17">
        <f t="shared" si="30"/>
        <v>-3.9130447882487083</v>
      </c>
      <c r="H41" s="17">
        <f t="shared" si="30"/>
        <v>-267.65821757363102</v>
      </c>
      <c r="I41" s="17">
        <f t="shared" si="30"/>
        <v>-430.25917118318426</v>
      </c>
      <c r="AV41" s="173" t="s">
        <v>563</v>
      </c>
    </row>
    <row r="42" spans="2:58" x14ac:dyDescent="0.2">
      <c r="B42" s="144"/>
      <c r="C42" s="29" t="s">
        <v>97</v>
      </c>
      <c r="D42" s="17">
        <f t="shared" ref="D42:I42" si="31">AK29</f>
        <v>6700</v>
      </c>
      <c r="E42" s="17">
        <f t="shared" si="31"/>
        <v>3835.8751755087387</v>
      </c>
      <c r="F42" s="17">
        <f t="shared" si="31"/>
        <v>782.83511889388728</v>
      </c>
      <c r="G42" s="17">
        <f t="shared" si="31"/>
        <v>-2316.8524799895313</v>
      </c>
      <c r="H42" s="17">
        <f t="shared" si="31"/>
        <v>-4086.4247931222262</v>
      </c>
      <c r="I42" s="17">
        <f t="shared" si="31"/>
        <v>-5177.3799092205118</v>
      </c>
    </row>
    <row r="43" spans="2:58" x14ac:dyDescent="0.2">
      <c r="C43" s="29" t="s">
        <v>543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2:58" ht="16" x14ac:dyDescent="0.2">
      <c r="D44" s="37"/>
      <c r="E44" s="37"/>
      <c r="AU44" s="173"/>
      <c r="AV44" s="175" t="s">
        <v>538</v>
      </c>
      <c r="AW44" s="41"/>
      <c r="AX44" s="41"/>
      <c r="AY44" s="41"/>
      <c r="AZ44" s="41"/>
      <c r="BA44" s="41"/>
      <c r="BB44" s="41"/>
    </row>
    <row r="45" spans="2:58" ht="16" x14ac:dyDescent="0.2">
      <c r="C45" s="37" t="s">
        <v>99</v>
      </c>
      <c r="AV45" s="176" t="s">
        <v>539</v>
      </c>
      <c r="AW45" s="177">
        <v>0</v>
      </c>
      <c r="AX45" s="177" t="s">
        <v>548</v>
      </c>
      <c r="AY45" s="177">
        <v>1.97</v>
      </c>
      <c r="AZ45" s="178"/>
      <c r="BA45" s="178" t="s">
        <v>551</v>
      </c>
      <c r="BB45" s="178"/>
    </row>
    <row r="46" spans="2:58" ht="16" x14ac:dyDescent="0.2">
      <c r="AV46" s="179" t="s">
        <v>539</v>
      </c>
      <c r="AW46" s="180">
        <v>1.97</v>
      </c>
      <c r="AX46" s="177" t="s">
        <v>548</v>
      </c>
      <c r="AY46" s="180">
        <v>9.6300000000000008</v>
      </c>
      <c r="AZ46" s="181"/>
      <c r="BA46" s="181" t="s">
        <v>541</v>
      </c>
      <c r="BB46" s="181"/>
    </row>
    <row r="47" spans="2:58" ht="16" x14ac:dyDescent="0.2">
      <c r="C47" t="s">
        <v>556</v>
      </c>
      <c r="AV47" s="179" t="s">
        <v>539</v>
      </c>
      <c r="AW47" s="180">
        <v>9.6300000000000008</v>
      </c>
      <c r="AX47" s="177" t="s">
        <v>548</v>
      </c>
      <c r="AY47" s="180" t="s">
        <v>576</v>
      </c>
      <c r="AZ47" s="181"/>
      <c r="BA47" s="181" t="s">
        <v>540</v>
      </c>
      <c r="BB47" s="181"/>
    </row>
    <row r="48" spans="2:58" ht="16" x14ac:dyDescent="0.2">
      <c r="C48" t="s">
        <v>557</v>
      </c>
      <c r="AV48" s="182" t="s">
        <v>542</v>
      </c>
      <c r="AW48" s="183">
        <v>19.96</v>
      </c>
      <c r="AX48" s="184" t="s">
        <v>548</v>
      </c>
      <c r="AY48" s="184"/>
      <c r="AZ48" s="185"/>
      <c r="BA48" s="185" t="s">
        <v>543</v>
      </c>
      <c r="BB48" s="185"/>
    </row>
    <row r="49" spans="3:3" x14ac:dyDescent="0.2">
      <c r="C49" t="s">
        <v>553</v>
      </c>
    </row>
    <row r="50" spans="3:3" x14ac:dyDescent="0.2">
      <c r="C50" t="s">
        <v>554</v>
      </c>
    </row>
    <row r="53" spans="3:3" x14ac:dyDescent="0.2">
      <c r="C53" t="s">
        <v>559</v>
      </c>
    </row>
  </sheetData>
  <pageMargins left="0.7" right="0.7" top="0.75" bottom="0.75" header="0.3" footer="0.3"/>
  <pageSetup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J47"/>
  <sheetViews>
    <sheetView topLeftCell="A2" zoomScaleNormal="100" workbookViewId="0">
      <selection activeCell="L4" sqref="L4"/>
    </sheetView>
  </sheetViews>
  <sheetFormatPr baseColWidth="10" defaultColWidth="8.83203125" defaultRowHeight="15" x14ac:dyDescent="0.2"/>
  <cols>
    <col min="1" max="1" width="6.83203125" customWidth="1"/>
    <col min="2" max="2" width="24.5" customWidth="1"/>
    <col min="3" max="3" width="8" customWidth="1"/>
    <col min="4" max="4" width="8.83203125" customWidth="1"/>
    <col min="5" max="7" width="7.6640625" bestFit="1" customWidth="1"/>
    <col min="8" max="8" width="8.5" customWidth="1"/>
    <col min="9" max="9" width="3.83203125" customWidth="1"/>
    <col min="10" max="10" width="4" customWidth="1"/>
    <col min="11" max="11" width="3.33203125" customWidth="1"/>
  </cols>
  <sheetData>
    <row r="2" spans="1:10" x14ac:dyDescent="0.2">
      <c r="B2" s="3" t="s">
        <v>85</v>
      </c>
      <c r="C2" s="3"/>
      <c r="D2" s="3"/>
      <c r="E2" s="3"/>
      <c r="F2" s="3"/>
      <c r="G2" s="3"/>
    </row>
    <row r="3" spans="1:10" x14ac:dyDescent="0.2">
      <c r="D3" t="s">
        <v>100</v>
      </c>
    </row>
    <row r="4" spans="1:10" x14ac:dyDescent="0.2">
      <c r="B4" t="s">
        <v>6</v>
      </c>
      <c r="C4" s="13">
        <v>0</v>
      </c>
      <c r="D4" s="13">
        <v>0.05</v>
      </c>
      <c r="E4" s="13">
        <v>0.1</v>
      </c>
      <c r="F4" s="13">
        <v>0.15</v>
      </c>
      <c r="G4" s="13">
        <v>0.2</v>
      </c>
      <c r="H4" s="13"/>
      <c r="J4" s="13"/>
    </row>
    <row r="6" spans="1:10" x14ac:dyDescent="0.2">
      <c r="A6" s="3" t="s">
        <v>11</v>
      </c>
      <c r="B6" s="31" t="s">
        <v>103</v>
      </c>
      <c r="C6" s="32" t="s">
        <v>56</v>
      </c>
      <c r="D6" s="32"/>
      <c r="E6" s="32"/>
      <c r="F6" s="32"/>
      <c r="G6" s="32"/>
      <c r="H6" s="9"/>
      <c r="J6" s="9"/>
    </row>
    <row r="7" spans="1:10" x14ac:dyDescent="0.2">
      <c r="A7" s="20">
        <v>0</v>
      </c>
      <c r="B7" s="29">
        <v>-4000</v>
      </c>
      <c r="C7" s="11">
        <f>B7/(1+C$4)^$A7</f>
        <v>-4000</v>
      </c>
      <c r="D7" s="11">
        <f>C7/(1+D$4)^$A7</f>
        <v>-4000</v>
      </c>
      <c r="E7" s="11">
        <f>D7/(1+E$4)^$A7</f>
        <v>-4000</v>
      </c>
      <c r="F7" s="11">
        <f>E7/(1+F$4)^$A7</f>
        <v>-4000</v>
      </c>
      <c r="G7" s="11">
        <f>F7/(1+G$4)^$A7</f>
        <v>-4000</v>
      </c>
      <c r="H7" s="11"/>
      <c r="J7" s="11"/>
    </row>
    <row r="8" spans="1:10" x14ac:dyDescent="0.2">
      <c r="A8" s="20">
        <v>1</v>
      </c>
      <c r="B8" s="30">
        <v>639</v>
      </c>
      <c r="C8" s="11">
        <f>$B8/(1+C$4)^$A8</f>
        <v>639</v>
      </c>
      <c r="D8" s="11">
        <f>$B8/(1+D$4)^$A8</f>
        <v>608.57142857142856</v>
      </c>
      <c r="E8" s="11">
        <f>$B8/(1+E$4)^$A8</f>
        <v>580.90909090909088</v>
      </c>
      <c r="F8" s="11">
        <f>$B8/(1+F$4)^$A8</f>
        <v>555.6521739130435</v>
      </c>
      <c r="G8" s="11">
        <f>$B8/(1+G$4)^$A8</f>
        <v>532.5</v>
      </c>
      <c r="H8" s="11"/>
      <c r="J8" s="11"/>
    </row>
    <row r="9" spans="1:10" x14ac:dyDescent="0.2">
      <c r="A9" s="20">
        <v>2</v>
      </c>
      <c r="B9" s="30">
        <f>B8</f>
        <v>639</v>
      </c>
      <c r="C9" s="11">
        <f t="shared" ref="C9:G28" si="0">$B9/(1+C$4)^$A9</f>
        <v>639</v>
      </c>
      <c r="D9" s="11">
        <f t="shared" ref="D9:D37" si="1">$B9/(1+D$4)^$A9</f>
        <v>579.59183673469386</v>
      </c>
      <c r="E9" s="11">
        <f t="shared" si="0"/>
        <v>528.09917355371897</v>
      </c>
      <c r="F9" s="11">
        <f t="shared" si="0"/>
        <v>483.17580340264658</v>
      </c>
      <c r="G9" s="11">
        <f t="shared" si="0"/>
        <v>443.75</v>
      </c>
      <c r="H9" s="11"/>
      <c r="J9" s="11"/>
    </row>
    <row r="10" spans="1:10" x14ac:dyDescent="0.2">
      <c r="A10" s="20">
        <v>3</v>
      </c>
      <c r="B10" s="30">
        <f t="shared" ref="B10:B26" si="2">B9</f>
        <v>639</v>
      </c>
      <c r="C10" s="11">
        <f t="shared" si="0"/>
        <v>639</v>
      </c>
      <c r="D10" s="11">
        <f t="shared" si="1"/>
        <v>551.9922254616132</v>
      </c>
      <c r="E10" s="11">
        <f t="shared" si="0"/>
        <v>480.09015777610807</v>
      </c>
      <c r="F10" s="11">
        <f t="shared" si="0"/>
        <v>420.15287252404056</v>
      </c>
      <c r="G10" s="11">
        <f t="shared" si="0"/>
        <v>369.79166666666669</v>
      </c>
      <c r="H10" s="11"/>
      <c r="J10" s="11"/>
    </row>
    <row r="11" spans="1:10" x14ac:dyDescent="0.2">
      <c r="A11" s="20">
        <v>4</v>
      </c>
      <c r="B11" s="30">
        <f t="shared" si="2"/>
        <v>639</v>
      </c>
      <c r="C11" s="11">
        <f t="shared" si="0"/>
        <v>639</v>
      </c>
      <c r="D11" s="11">
        <f t="shared" si="1"/>
        <v>525.70688139201263</v>
      </c>
      <c r="E11" s="11">
        <f t="shared" si="0"/>
        <v>436.44559797828003</v>
      </c>
      <c r="F11" s="11">
        <f t="shared" si="0"/>
        <v>365.35032393394835</v>
      </c>
      <c r="G11" s="11">
        <f t="shared" si="0"/>
        <v>308.15972222222223</v>
      </c>
      <c r="H11" s="11"/>
      <c r="J11" s="11"/>
    </row>
    <row r="12" spans="1:10" x14ac:dyDescent="0.2">
      <c r="A12" s="20">
        <v>5</v>
      </c>
      <c r="B12" s="30">
        <f>B11-1000</f>
        <v>-361</v>
      </c>
      <c r="C12" s="11">
        <f t="shared" si="0"/>
        <v>-361</v>
      </c>
      <c r="D12" s="11">
        <f t="shared" si="1"/>
        <v>-282.85294609511368</v>
      </c>
      <c r="E12" s="11">
        <f t="shared" si="0"/>
        <v>-224.15259762435494</v>
      </c>
      <c r="F12" s="11">
        <f t="shared" si="0"/>
        <v>-179.48080144268266</v>
      </c>
      <c r="G12" s="11">
        <f t="shared" si="0"/>
        <v>-145.0778034979424</v>
      </c>
      <c r="H12" s="11"/>
      <c r="J12" s="11"/>
    </row>
    <row r="13" spans="1:10" x14ac:dyDescent="0.2">
      <c r="A13" s="20">
        <v>6</v>
      </c>
      <c r="B13" s="30">
        <f>B11</f>
        <v>639</v>
      </c>
      <c r="C13" s="11">
        <f t="shared" si="0"/>
        <v>639</v>
      </c>
      <c r="D13" s="11">
        <f t="shared" si="1"/>
        <v>476.83163845080509</v>
      </c>
      <c r="E13" s="11">
        <f t="shared" si="0"/>
        <v>360.69884130436361</v>
      </c>
      <c r="F13" s="11">
        <f t="shared" si="0"/>
        <v>276.25733378748458</v>
      </c>
      <c r="G13" s="11">
        <f t="shared" si="0"/>
        <v>213.99980709876544</v>
      </c>
      <c r="H13" s="11"/>
      <c r="J13" s="11"/>
    </row>
    <row r="14" spans="1:10" x14ac:dyDescent="0.2">
      <c r="A14" s="20">
        <v>7</v>
      </c>
      <c r="B14" s="30">
        <f t="shared" si="2"/>
        <v>639</v>
      </c>
      <c r="C14" s="11">
        <f t="shared" si="0"/>
        <v>639</v>
      </c>
      <c r="D14" s="11">
        <f t="shared" si="1"/>
        <v>454.12536995314758</v>
      </c>
      <c r="E14" s="11">
        <f t="shared" si="0"/>
        <v>327.90803754942141</v>
      </c>
      <c r="F14" s="11">
        <f t="shared" si="0"/>
        <v>240.22376851085622</v>
      </c>
      <c r="G14" s="11">
        <f t="shared" si="0"/>
        <v>178.33317258230454</v>
      </c>
      <c r="H14" s="11"/>
      <c r="J14" s="11"/>
    </row>
    <row r="15" spans="1:10" x14ac:dyDescent="0.2">
      <c r="A15" s="20">
        <v>8</v>
      </c>
      <c r="B15" s="30">
        <f t="shared" si="2"/>
        <v>639</v>
      </c>
      <c r="C15" s="11">
        <f t="shared" si="0"/>
        <v>639</v>
      </c>
      <c r="D15" s="11">
        <f t="shared" si="1"/>
        <v>432.5003523363311</v>
      </c>
      <c r="E15" s="11">
        <f t="shared" si="0"/>
        <v>298.09821595401951</v>
      </c>
      <c r="F15" s="11">
        <f t="shared" si="0"/>
        <v>208.89023348770107</v>
      </c>
      <c r="G15" s="11">
        <f t="shared" si="0"/>
        <v>148.61097715192045</v>
      </c>
      <c r="H15" s="11"/>
      <c r="J15" s="11"/>
    </row>
    <row r="16" spans="1:10" x14ac:dyDescent="0.2">
      <c r="A16" s="20">
        <v>9</v>
      </c>
      <c r="B16" s="30">
        <f t="shared" si="2"/>
        <v>639</v>
      </c>
      <c r="C16" s="11">
        <f t="shared" si="0"/>
        <v>639</v>
      </c>
      <c r="D16" s="11">
        <f t="shared" si="1"/>
        <v>411.90509746317247</v>
      </c>
      <c r="E16" s="11">
        <f t="shared" si="0"/>
        <v>270.99837814001768</v>
      </c>
      <c r="F16" s="11">
        <f t="shared" si="0"/>
        <v>181.64368129365312</v>
      </c>
      <c r="G16" s="11">
        <f t="shared" si="0"/>
        <v>123.84248095993371</v>
      </c>
      <c r="H16" s="11"/>
      <c r="J16" s="11"/>
    </row>
    <row r="17" spans="1:10" x14ac:dyDescent="0.2">
      <c r="A17" s="20">
        <v>10</v>
      </c>
      <c r="B17" s="30">
        <f>B16-1000</f>
        <v>-361</v>
      </c>
      <c r="C17" s="11">
        <f t="shared" si="0"/>
        <v>-361</v>
      </c>
      <c r="D17" s="11">
        <f t="shared" si="1"/>
        <v>-221.62268452821411</v>
      </c>
      <c r="E17" s="11">
        <f t="shared" si="0"/>
        <v>-139.18112748406085</v>
      </c>
      <c r="F17" s="11">
        <f t="shared" si="0"/>
        <v>-89.233678909993571</v>
      </c>
      <c r="G17" s="11">
        <f t="shared" si="0"/>
        <v>-58.303515423234316</v>
      </c>
      <c r="H17" s="11"/>
      <c r="J17" s="11"/>
    </row>
    <row r="18" spans="1:10" x14ac:dyDescent="0.2">
      <c r="A18" s="20">
        <v>11</v>
      </c>
      <c r="B18" s="30">
        <f>B16</f>
        <v>639</v>
      </c>
      <c r="C18" s="11">
        <f t="shared" si="0"/>
        <v>639</v>
      </c>
      <c r="D18" s="11">
        <f t="shared" si="1"/>
        <v>373.61006572623347</v>
      </c>
      <c r="E18" s="11">
        <f t="shared" si="0"/>
        <v>223.96560176860962</v>
      </c>
      <c r="F18" s="11">
        <f t="shared" si="0"/>
        <v>137.34871931467157</v>
      </c>
      <c r="G18" s="11">
        <f t="shared" si="0"/>
        <v>86.001722888842863</v>
      </c>
      <c r="H18" s="11"/>
      <c r="J18" s="11"/>
    </row>
    <row r="19" spans="1:10" x14ac:dyDescent="0.2">
      <c r="A19" s="20">
        <v>12</v>
      </c>
      <c r="B19" s="30">
        <f t="shared" si="2"/>
        <v>639</v>
      </c>
      <c r="C19" s="11">
        <f t="shared" si="0"/>
        <v>639</v>
      </c>
      <c r="D19" s="11">
        <f t="shared" si="1"/>
        <v>355.81911021546051</v>
      </c>
      <c r="E19" s="11">
        <f t="shared" si="0"/>
        <v>203.60509251691784</v>
      </c>
      <c r="F19" s="11">
        <f t="shared" si="0"/>
        <v>119.43366896927964</v>
      </c>
      <c r="G19" s="11">
        <f t="shared" si="0"/>
        <v>71.668102407369062</v>
      </c>
      <c r="H19" s="11"/>
      <c r="J19" s="11"/>
    </row>
    <row r="20" spans="1:10" x14ac:dyDescent="0.2">
      <c r="A20" s="20">
        <v>13</v>
      </c>
      <c r="B20" s="30">
        <f t="shared" si="2"/>
        <v>639</v>
      </c>
      <c r="C20" s="11">
        <f t="shared" si="0"/>
        <v>639</v>
      </c>
      <c r="D20" s="11">
        <f t="shared" si="1"/>
        <v>338.87534306234329</v>
      </c>
      <c r="E20" s="11">
        <f t="shared" si="0"/>
        <v>185.09553865174348</v>
      </c>
      <c r="F20" s="11">
        <f t="shared" si="0"/>
        <v>103.85536432111273</v>
      </c>
      <c r="G20" s="11">
        <f t="shared" si="0"/>
        <v>59.72341867280754</v>
      </c>
      <c r="H20" s="11"/>
      <c r="J20" s="11"/>
    </row>
    <row r="21" spans="1:10" x14ac:dyDescent="0.2">
      <c r="A21" s="20">
        <v>14</v>
      </c>
      <c r="B21" s="30">
        <f t="shared" si="2"/>
        <v>639</v>
      </c>
      <c r="C21" s="11">
        <f t="shared" si="0"/>
        <v>639</v>
      </c>
      <c r="D21" s="11">
        <f t="shared" si="1"/>
        <v>322.73842196413653</v>
      </c>
      <c r="E21" s="11">
        <f t="shared" si="0"/>
        <v>168.26867150158495</v>
      </c>
      <c r="F21" s="11">
        <f>$B21/(1+F$4)^$A21</f>
        <v>90.309012453141506</v>
      </c>
      <c r="G21" s="11">
        <f t="shared" si="0"/>
        <v>49.769515560672957</v>
      </c>
      <c r="H21" s="11"/>
      <c r="J21" s="11"/>
    </row>
    <row r="22" spans="1:10" x14ac:dyDescent="0.2">
      <c r="A22" s="20">
        <v>15</v>
      </c>
      <c r="B22" s="30">
        <f>B21-1000</f>
        <v>-361</v>
      </c>
      <c r="C22" s="11">
        <f t="shared" si="0"/>
        <v>-361</v>
      </c>
      <c r="D22" s="11">
        <f t="shared" si="1"/>
        <v>-173.64717241084023</v>
      </c>
      <c r="E22" s="11">
        <f t="shared" si="0"/>
        <v>-86.42052982226798</v>
      </c>
      <c r="F22" s="11">
        <f t="shared" si="0"/>
        <v>-44.364909159126476</v>
      </c>
      <c r="G22" s="11">
        <f t="shared" si="0"/>
        <v>-23.430875218313687</v>
      </c>
      <c r="H22" s="11"/>
      <c r="J22" s="11"/>
    </row>
    <row r="23" spans="1:10" x14ac:dyDescent="0.2">
      <c r="A23" s="20">
        <v>16</v>
      </c>
      <c r="B23" s="30">
        <f>B21</f>
        <v>639</v>
      </c>
      <c r="C23" s="11">
        <f t="shared" si="0"/>
        <v>639</v>
      </c>
      <c r="D23" s="11">
        <f t="shared" si="1"/>
        <v>292.73326255250475</v>
      </c>
      <c r="E23" s="11">
        <f t="shared" si="0"/>
        <v>139.06501776990493</v>
      </c>
      <c r="F23" s="11">
        <f t="shared" si="0"/>
        <v>68.286587866269599</v>
      </c>
      <c r="G23" s="11">
        <f t="shared" si="0"/>
        <v>34.562163583800668</v>
      </c>
      <c r="H23" s="11"/>
      <c r="J23" s="11"/>
    </row>
    <row r="24" spans="1:10" x14ac:dyDescent="0.2">
      <c r="A24" s="20">
        <v>17</v>
      </c>
      <c r="B24" s="30">
        <f t="shared" si="2"/>
        <v>639</v>
      </c>
      <c r="C24" s="11">
        <f t="shared" si="0"/>
        <v>639</v>
      </c>
      <c r="D24" s="11">
        <f t="shared" si="1"/>
        <v>278.79358338333782</v>
      </c>
      <c r="E24" s="11">
        <f t="shared" si="0"/>
        <v>126.42274342718629</v>
      </c>
      <c r="F24" s="11">
        <f t="shared" si="0"/>
        <v>59.379641622843131</v>
      </c>
      <c r="G24" s="11">
        <f t="shared" si="0"/>
        <v>28.801802986500558</v>
      </c>
      <c r="H24" s="11"/>
      <c r="J24" s="11"/>
    </row>
    <row r="25" spans="1:10" x14ac:dyDescent="0.2">
      <c r="A25" s="20">
        <v>18</v>
      </c>
      <c r="B25" s="30">
        <f t="shared" si="2"/>
        <v>639</v>
      </c>
      <c r="C25" s="11">
        <f t="shared" si="0"/>
        <v>639</v>
      </c>
      <c r="D25" s="11">
        <f t="shared" si="1"/>
        <v>265.51769846032175</v>
      </c>
      <c r="E25" s="11">
        <f t="shared" si="0"/>
        <v>114.92976675198753</v>
      </c>
      <c r="F25" s="11">
        <f t="shared" si="0"/>
        <v>51.634470976385337</v>
      </c>
      <c r="G25" s="11">
        <f t="shared" si="0"/>
        <v>24.001502488750464</v>
      </c>
      <c r="H25" s="11"/>
      <c r="J25" s="11"/>
    </row>
    <row r="26" spans="1:10" x14ac:dyDescent="0.2">
      <c r="A26" s="20">
        <v>19</v>
      </c>
      <c r="B26" s="30">
        <f t="shared" si="2"/>
        <v>639</v>
      </c>
      <c r="C26" s="11">
        <f t="shared" si="0"/>
        <v>639</v>
      </c>
      <c r="D26" s="11">
        <f t="shared" si="1"/>
        <v>252.87399853363974</v>
      </c>
      <c r="E26" s="11">
        <f t="shared" si="0"/>
        <v>104.48160613817045</v>
      </c>
      <c r="F26" s="11">
        <f t="shared" si="0"/>
        <v>44.899539979465516</v>
      </c>
      <c r="G26" s="11">
        <f t="shared" si="0"/>
        <v>20.001252073958721</v>
      </c>
      <c r="H26" s="11"/>
      <c r="J26" s="11"/>
    </row>
    <row r="27" spans="1:10" x14ac:dyDescent="0.2">
      <c r="A27" s="20">
        <v>20</v>
      </c>
      <c r="B27" s="30">
        <f>B26-1000</f>
        <v>-361</v>
      </c>
      <c r="C27" s="11">
        <f t="shared" si="0"/>
        <v>-361</v>
      </c>
      <c r="D27" s="11">
        <f t="shared" si="1"/>
        <v>-136.05710331715321</v>
      </c>
      <c r="E27" s="11">
        <f t="shared" si="0"/>
        <v>-53.6603497167158</v>
      </c>
      <c r="F27" s="11">
        <f t="shared" si="0"/>
        <v>-22.057200697539706</v>
      </c>
      <c r="G27" s="11">
        <f t="shared" si="0"/>
        <v>-9.4163432429565699</v>
      </c>
      <c r="H27" s="11"/>
      <c r="J27" s="11"/>
    </row>
    <row r="28" spans="1:10" x14ac:dyDescent="0.2">
      <c r="A28" s="20">
        <v>21</v>
      </c>
      <c r="B28" s="30">
        <f>B26</f>
        <v>639</v>
      </c>
      <c r="C28" s="11">
        <f t="shared" si="0"/>
        <v>639</v>
      </c>
      <c r="D28" s="11">
        <f t="shared" si="1"/>
        <v>229.36417100556895</v>
      </c>
      <c r="E28" s="11">
        <f t="shared" si="0"/>
        <v>86.348434824934259</v>
      </c>
      <c r="F28" s="11">
        <f t="shared" si="0"/>
        <v>33.950502820011735</v>
      </c>
      <c r="G28" s="11">
        <f t="shared" si="0"/>
        <v>13.889758384693556</v>
      </c>
      <c r="H28" s="11"/>
      <c r="J28" s="11"/>
    </row>
    <row r="29" spans="1:10" x14ac:dyDescent="0.2">
      <c r="A29" s="20">
        <v>22</v>
      </c>
      <c r="B29" s="30">
        <f t="shared" ref="B29:B36" si="3">B28</f>
        <v>639</v>
      </c>
      <c r="C29" s="11">
        <f t="shared" ref="C29:G37" si="4">$B29/(1+C$4)^$A29</f>
        <v>639</v>
      </c>
      <c r="D29" s="11">
        <f t="shared" si="1"/>
        <v>218.44206762435138</v>
      </c>
      <c r="E29" s="11">
        <f t="shared" si="4"/>
        <v>78.498577113576587</v>
      </c>
      <c r="F29" s="11">
        <f t="shared" si="4"/>
        <v>29.522176365227597</v>
      </c>
      <c r="G29" s="11">
        <f t="shared" si="4"/>
        <v>11.574798653911298</v>
      </c>
      <c r="H29" s="11"/>
      <c r="J29" s="11"/>
    </row>
    <row r="30" spans="1:10" x14ac:dyDescent="0.2">
      <c r="A30" s="20">
        <v>23</v>
      </c>
      <c r="B30" s="30">
        <f t="shared" si="3"/>
        <v>639</v>
      </c>
      <c r="C30" s="11">
        <f t="shared" si="4"/>
        <v>639</v>
      </c>
      <c r="D30" s="11">
        <f t="shared" si="1"/>
        <v>208.04006440414415</v>
      </c>
      <c r="E30" s="11">
        <f t="shared" si="4"/>
        <v>71.362342830524156</v>
      </c>
      <c r="F30" s="11">
        <f t="shared" si="4"/>
        <v>25.671457708893566</v>
      </c>
      <c r="G30" s="11">
        <f t="shared" si="4"/>
        <v>9.6456655449260822</v>
      </c>
      <c r="H30" s="11"/>
      <c r="J30" s="11"/>
    </row>
    <row r="31" spans="1:10" x14ac:dyDescent="0.2">
      <c r="A31" s="20">
        <v>24</v>
      </c>
      <c r="B31" s="30">
        <f t="shared" si="3"/>
        <v>639</v>
      </c>
      <c r="C31" s="11">
        <f t="shared" si="4"/>
        <v>639</v>
      </c>
      <c r="D31" s="11">
        <f t="shared" si="1"/>
        <v>198.13339467061348</v>
      </c>
      <c r="E31" s="11">
        <f t="shared" si="4"/>
        <v>64.87485711865834</v>
      </c>
      <c r="F31" s="11">
        <f t="shared" si="4"/>
        <v>22.323006703385712</v>
      </c>
      <c r="G31" s="11">
        <f t="shared" si="4"/>
        <v>8.0380546207717352</v>
      </c>
      <c r="H31" s="11"/>
      <c r="J31" s="11"/>
    </row>
    <row r="32" spans="1:10" x14ac:dyDescent="0.2">
      <c r="A32" s="20">
        <v>25</v>
      </c>
      <c r="B32" s="30">
        <f>B31-5000</f>
        <v>-4361</v>
      </c>
      <c r="C32" s="11">
        <f t="shared" si="4"/>
        <v>-4361</v>
      </c>
      <c r="D32" s="11">
        <f t="shared" si="1"/>
        <v>-1287.8153873739404</v>
      </c>
      <c r="E32" s="11">
        <f t="shared" si="4"/>
        <v>-402.50284805017634</v>
      </c>
      <c r="F32" s="11">
        <f t="shared" si="4"/>
        <v>-132.47687587053835</v>
      </c>
      <c r="G32" s="11">
        <f t="shared" si="4"/>
        <v>-45.714601201337416</v>
      </c>
      <c r="H32" s="11"/>
      <c r="J32" s="11"/>
    </row>
    <row r="33" spans="1:10" x14ac:dyDescent="0.2">
      <c r="A33" s="20">
        <v>26</v>
      </c>
      <c r="B33" s="30">
        <f>B31</f>
        <v>639</v>
      </c>
      <c r="C33" s="11">
        <f t="shared" si="4"/>
        <v>639</v>
      </c>
      <c r="D33" s="11">
        <f t="shared" si="1"/>
        <v>179.71282963320951</v>
      </c>
      <c r="E33" s="11">
        <f t="shared" si="4"/>
        <v>53.615584395585387</v>
      </c>
      <c r="F33" s="11">
        <f t="shared" si="4"/>
        <v>16.879400153788822</v>
      </c>
      <c r="G33" s="11">
        <f t="shared" si="4"/>
        <v>5.5819823755359268</v>
      </c>
      <c r="H33" s="11"/>
      <c r="J33" s="11"/>
    </row>
    <row r="34" spans="1:10" x14ac:dyDescent="0.2">
      <c r="A34" s="20">
        <v>27</v>
      </c>
      <c r="B34" s="30">
        <f t="shared" si="3"/>
        <v>639</v>
      </c>
      <c r="C34" s="11">
        <f t="shared" si="4"/>
        <v>639</v>
      </c>
      <c r="D34" s="11">
        <f t="shared" si="1"/>
        <v>171.1550758411519</v>
      </c>
      <c r="E34" s="11">
        <f t="shared" si="4"/>
        <v>48.74144035962307</v>
      </c>
      <c r="F34" s="11">
        <f t="shared" si="4"/>
        <v>14.677739264164194</v>
      </c>
      <c r="G34" s="11">
        <f t="shared" si="4"/>
        <v>4.6516519796132725</v>
      </c>
      <c r="H34" s="11"/>
      <c r="J34" s="11"/>
    </row>
    <row r="35" spans="1:10" x14ac:dyDescent="0.2">
      <c r="A35" s="20">
        <v>28</v>
      </c>
      <c r="B35" s="30">
        <f t="shared" si="3"/>
        <v>639</v>
      </c>
      <c r="C35" s="11">
        <f t="shared" si="4"/>
        <v>639</v>
      </c>
      <c r="D35" s="11">
        <f t="shared" si="1"/>
        <v>163.00483413443038</v>
      </c>
      <c r="E35" s="11">
        <f t="shared" si="4"/>
        <v>44.310400326930065</v>
      </c>
      <c r="F35" s="11">
        <f t="shared" si="4"/>
        <v>12.763251534055822</v>
      </c>
      <c r="G35" s="11">
        <f t="shared" si="4"/>
        <v>3.8763766496777272</v>
      </c>
      <c r="H35" s="11"/>
      <c r="J35" s="11"/>
    </row>
    <row r="36" spans="1:10" x14ac:dyDescent="0.2">
      <c r="A36" s="20">
        <v>29</v>
      </c>
      <c r="B36" s="30">
        <f t="shared" si="3"/>
        <v>639</v>
      </c>
      <c r="C36" s="11">
        <f t="shared" si="4"/>
        <v>639</v>
      </c>
      <c r="D36" s="11">
        <f t="shared" si="1"/>
        <v>155.24269917564797</v>
      </c>
      <c r="E36" s="11">
        <f t="shared" si="4"/>
        <v>40.282182115390967</v>
      </c>
      <c r="F36" s="11">
        <f t="shared" si="4"/>
        <v>11.098479594831151</v>
      </c>
      <c r="G36" s="11">
        <f t="shared" si="4"/>
        <v>3.2303138747314395</v>
      </c>
      <c r="H36" s="11"/>
      <c r="J36" s="11"/>
    </row>
    <row r="37" spans="1:10" x14ac:dyDescent="0.2">
      <c r="A37" s="20">
        <v>30</v>
      </c>
      <c r="B37" s="30">
        <f>B36-10000</f>
        <v>-9361</v>
      </c>
      <c r="C37" s="11">
        <f t="shared" si="4"/>
        <v>-9361</v>
      </c>
      <c r="D37" s="11">
        <f t="shared" si="1"/>
        <v>-2165.924296867488</v>
      </c>
      <c r="E37" s="11">
        <f t="shared" si="4"/>
        <v>-536.46536745223329</v>
      </c>
      <c r="F37" s="11">
        <f t="shared" si="4"/>
        <v>-141.37969311725439</v>
      </c>
      <c r="G37" s="11">
        <f t="shared" si="4"/>
        <v>-39.435274101931412</v>
      </c>
      <c r="H37" s="11"/>
      <c r="J37" s="11"/>
    </row>
    <row r="38" spans="1:10" x14ac:dyDescent="0.2">
      <c r="B38" s="1"/>
      <c r="C38" s="1"/>
      <c r="D38" s="1"/>
      <c r="E38" s="1"/>
      <c r="F38" s="1"/>
      <c r="G38" s="1"/>
      <c r="H38" s="1"/>
      <c r="J38" s="1"/>
    </row>
    <row r="39" spans="1:10" x14ac:dyDescent="0.2">
      <c r="A39" t="s">
        <v>45</v>
      </c>
      <c r="C39" s="10">
        <f>SUM(C7:C27)</f>
        <v>4780</v>
      </c>
      <c r="D39" s="10">
        <f>SUM(D7:D27)</f>
        <v>1708.0064079098611</v>
      </c>
      <c r="E39" s="10">
        <f>SUM(E7:E27)</f>
        <v>45.666927043725437</v>
      </c>
      <c r="F39" s="10">
        <f>SUM(F7:F27)</f>
        <v>-928.64339385279902</v>
      </c>
      <c r="G39" s="10">
        <f>SUM(G7:G27)</f>
        <v>-1542.7112300379315</v>
      </c>
      <c r="H39" s="10"/>
      <c r="J39" s="10"/>
    </row>
    <row r="40" spans="1:10" hidden="1" x14ac:dyDescent="0.2">
      <c r="A40" t="s">
        <v>46</v>
      </c>
      <c r="C40" s="18">
        <f>C8/-C7</f>
        <v>0.15975</v>
      </c>
      <c r="D40" s="18"/>
      <c r="E40" s="18"/>
      <c r="F40" s="18"/>
      <c r="G40" s="18"/>
      <c r="H40" s="18"/>
      <c r="J40" s="18"/>
    </row>
    <row r="41" spans="1:10" x14ac:dyDescent="0.2">
      <c r="A41" t="s">
        <v>51</v>
      </c>
      <c r="B41" s="19" t="e">
        <f>IRR(B7:B37)</f>
        <v>#NUM!</v>
      </c>
      <c r="C41" s="19"/>
      <c r="D41" s="19"/>
      <c r="E41" s="19"/>
      <c r="F41" s="19"/>
      <c r="G41" s="19"/>
      <c r="H41" s="19"/>
      <c r="J41" s="19"/>
    </row>
    <row r="43" spans="1:10" x14ac:dyDescent="0.2">
      <c r="A43" t="s">
        <v>101</v>
      </c>
    </row>
    <row r="44" spans="1:10" x14ac:dyDescent="0.2">
      <c r="A44" t="s">
        <v>102</v>
      </c>
    </row>
    <row r="46" spans="1:10" x14ac:dyDescent="0.2">
      <c r="A46" t="s">
        <v>104</v>
      </c>
    </row>
    <row r="47" spans="1:10" x14ac:dyDescent="0.2">
      <c r="A47" t="s">
        <v>105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33"/>
  <sheetViews>
    <sheetView zoomScaleNormal="100" workbookViewId="0">
      <selection activeCell="H10" sqref="H10"/>
    </sheetView>
  </sheetViews>
  <sheetFormatPr baseColWidth="10" defaultColWidth="8.83203125" defaultRowHeight="15" outlineLevelRow="1" x14ac:dyDescent="0.2"/>
  <cols>
    <col min="1" max="1" width="4.1640625" customWidth="1"/>
    <col min="2" max="2" width="16.83203125" customWidth="1"/>
    <col min="3" max="3" width="11.5" customWidth="1"/>
    <col min="8" max="8" width="7.5" customWidth="1"/>
    <col min="9" max="9" width="6.6640625" customWidth="1"/>
    <col min="10" max="10" width="11.5" customWidth="1"/>
    <col min="11" max="12" width="16.33203125" customWidth="1"/>
    <col min="13" max="13" width="17.1640625" customWidth="1"/>
    <col min="14" max="14" width="19.5" customWidth="1"/>
    <col min="15" max="15" width="3.1640625" customWidth="1"/>
    <col min="16" max="16" width="13.83203125" bestFit="1" customWidth="1"/>
    <col min="17" max="17" width="12.33203125" bestFit="1" customWidth="1"/>
  </cols>
  <sheetData>
    <row r="1" spans="1:17" x14ac:dyDescent="0.2">
      <c r="A1" s="34" t="s">
        <v>407</v>
      </c>
    </row>
    <row r="2" spans="1:17" x14ac:dyDescent="0.2">
      <c r="B2" s="3" t="s">
        <v>418</v>
      </c>
      <c r="I2" s="3" t="s">
        <v>419</v>
      </c>
    </row>
    <row r="3" spans="1:17" x14ac:dyDescent="0.2">
      <c r="B3" t="s">
        <v>93</v>
      </c>
      <c r="C3" s="11">
        <v>99000</v>
      </c>
      <c r="J3" t="s">
        <v>406</v>
      </c>
      <c r="M3" s="40">
        <v>0.08</v>
      </c>
    </row>
    <row r="4" spans="1:17" x14ac:dyDescent="0.2">
      <c r="B4" t="s">
        <v>163</v>
      </c>
      <c r="C4">
        <v>20</v>
      </c>
    </row>
    <row r="5" spans="1:17" x14ac:dyDescent="0.2">
      <c r="B5" t="s">
        <v>162</v>
      </c>
      <c r="C5" s="19">
        <v>0.08</v>
      </c>
      <c r="I5" t="s">
        <v>11</v>
      </c>
      <c r="J5" t="s">
        <v>345</v>
      </c>
      <c r="K5" t="s">
        <v>355</v>
      </c>
      <c r="L5" s="227" t="s">
        <v>345</v>
      </c>
      <c r="M5" t="s">
        <v>361</v>
      </c>
      <c r="N5" t="s">
        <v>362</v>
      </c>
      <c r="P5" t="s">
        <v>578</v>
      </c>
      <c r="Q5" t="s">
        <v>579</v>
      </c>
    </row>
    <row r="6" spans="1:17" x14ac:dyDescent="0.2">
      <c r="I6">
        <v>0</v>
      </c>
      <c r="J6" s="26">
        <v>1500000</v>
      </c>
      <c r="K6" s="26">
        <v>0</v>
      </c>
      <c r="L6" s="228"/>
      <c r="M6" s="11">
        <f>J6/(1+$M$3)^$I6</f>
        <v>1500000</v>
      </c>
      <c r="N6" s="11">
        <f>K6/(1+$M$3)^$I6</f>
        <v>0</v>
      </c>
      <c r="P6" s="11">
        <f>J6*(1+C5)^(20-I6)</f>
        <v>6991435.7157739596</v>
      </c>
    </row>
    <row r="7" spans="1:17" x14ac:dyDescent="0.2">
      <c r="B7" t="s">
        <v>416</v>
      </c>
      <c r="C7" s="11">
        <f>C3*((1+$C$5)^$C$4-1)/($C$5*(1+$C$5)^$C$4)</f>
        <v>971996.59333747998</v>
      </c>
      <c r="I7">
        <v>1</v>
      </c>
      <c r="J7" s="26"/>
      <c r="K7" s="26">
        <v>99000</v>
      </c>
      <c r="L7" s="228">
        <v>25000</v>
      </c>
      <c r="M7" s="11">
        <f t="shared" ref="M7:M26" si="0">J7/(1+$M$3)^I7</f>
        <v>0</v>
      </c>
      <c r="N7" s="11">
        <f t="shared" ref="N7:N26" si="1">K7/(1+$M$3)^$I7</f>
        <v>91666.666666666657</v>
      </c>
      <c r="Q7" s="11">
        <f t="shared" ref="Q7:Q26" si="2">K7*(1+C$5)^(20-I7)</f>
        <v>427254.4048528531</v>
      </c>
    </row>
    <row r="8" spans="1:17" x14ac:dyDescent="0.2">
      <c r="I8">
        <v>2</v>
      </c>
      <c r="J8" s="26"/>
      <c r="K8" s="26">
        <v>99000</v>
      </c>
      <c r="L8" s="228">
        <v>25000</v>
      </c>
      <c r="M8" s="11">
        <f t="shared" si="0"/>
        <v>0</v>
      </c>
      <c r="N8" s="11">
        <f t="shared" si="1"/>
        <v>84876.54320987653</v>
      </c>
      <c r="Q8" s="11">
        <f t="shared" si="2"/>
        <v>395605.93041930842</v>
      </c>
    </row>
    <row r="9" spans="1:17" x14ac:dyDescent="0.2">
      <c r="B9" t="s">
        <v>414</v>
      </c>
      <c r="C9" s="11">
        <v>300000</v>
      </c>
      <c r="I9">
        <v>3</v>
      </c>
      <c r="J9" s="26"/>
      <c r="K9" s="26">
        <v>99000</v>
      </c>
      <c r="L9" s="228">
        <v>25000</v>
      </c>
      <c r="M9" s="11">
        <f t="shared" si="0"/>
        <v>0</v>
      </c>
      <c r="N9" s="11">
        <f t="shared" si="1"/>
        <v>78589.391860996795</v>
      </c>
      <c r="Q9" s="11">
        <f t="shared" si="2"/>
        <v>366301.7874252855</v>
      </c>
    </row>
    <row r="10" spans="1:17" outlineLevel="1" x14ac:dyDescent="0.2">
      <c r="B10" t="s">
        <v>415</v>
      </c>
      <c r="C10" s="11">
        <f>C9/(1+C5)^$C$4</f>
        <v>64364.462221216963</v>
      </c>
      <c r="I10">
        <v>4</v>
      </c>
      <c r="J10" s="26"/>
      <c r="K10" s="26">
        <v>99000</v>
      </c>
      <c r="L10" s="228">
        <v>25000</v>
      </c>
      <c r="M10" s="11">
        <f t="shared" si="0"/>
        <v>0</v>
      </c>
      <c r="N10" s="11">
        <f t="shared" si="1"/>
        <v>72767.955426848872</v>
      </c>
      <c r="Q10" s="11">
        <f t="shared" si="2"/>
        <v>339168.32169007917</v>
      </c>
    </row>
    <row r="11" spans="1:17" outlineLevel="1" x14ac:dyDescent="0.2">
      <c r="I11">
        <v>5</v>
      </c>
      <c r="J11" s="26"/>
      <c r="K11" s="26">
        <v>99000</v>
      </c>
      <c r="L11" s="228">
        <v>25000</v>
      </c>
      <c r="M11" s="11">
        <f t="shared" si="0"/>
        <v>0</v>
      </c>
      <c r="N11" s="11">
        <f t="shared" si="1"/>
        <v>67377.736506341549</v>
      </c>
      <c r="Q11" s="11">
        <f t="shared" si="2"/>
        <v>314044.7423056289</v>
      </c>
    </row>
    <row r="12" spans="1:17" outlineLevel="1" x14ac:dyDescent="0.2">
      <c r="B12" t="s">
        <v>417</v>
      </c>
      <c r="C12" s="11">
        <f>C7+C10</f>
        <v>1036361.055558697</v>
      </c>
      <c r="I12">
        <v>6</v>
      </c>
      <c r="J12" s="26"/>
      <c r="K12" s="26">
        <v>99000</v>
      </c>
      <c r="L12" s="228">
        <v>25000</v>
      </c>
      <c r="M12" s="11">
        <f t="shared" si="0"/>
        <v>0</v>
      </c>
      <c r="N12" s="11">
        <f t="shared" si="1"/>
        <v>62386.79306142735</v>
      </c>
      <c r="Q12" s="11">
        <f t="shared" si="2"/>
        <v>290782.1688015082</v>
      </c>
    </row>
    <row r="13" spans="1:17" outlineLevel="1" x14ac:dyDescent="0.2">
      <c r="I13">
        <v>7</v>
      </c>
      <c r="J13" s="26"/>
      <c r="K13" s="26">
        <v>99000</v>
      </c>
      <c r="L13" s="228">
        <v>25000</v>
      </c>
      <c r="M13" s="11">
        <f t="shared" si="0"/>
        <v>0</v>
      </c>
      <c r="N13" s="11">
        <f t="shared" si="1"/>
        <v>57765.549130951251</v>
      </c>
      <c r="Q13" s="11">
        <f t="shared" si="2"/>
        <v>269242.74889028532</v>
      </c>
    </row>
    <row r="14" spans="1:17" outlineLevel="1" x14ac:dyDescent="0.2">
      <c r="B14" t="s">
        <v>420</v>
      </c>
      <c r="C14" s="137">
        <v>1500000</v>
      </c>
      <c r="I14">
        <v>8</v>
      </c>
      <c r="J14" s="26"/>
      <c r="K14" s="26">
        <v>99000</v>
      </c>
      <c r="L14" s="228">
        <v>25000</v>
      </c>
      <c r="M14" s="11">
        <f t="shared" si="0"/>
        <v>0</v>
      </c>
      <c r="N14" s="11">
        <f t="shared" si="1"/>
        <v>53486.619565695604</v>
      </c>
      <c r="Q14" s="11">
        <f t="shared" si="2"/>
        <v>249298.841565079</v>
      </c>
    </row>
    <row r="15" spans="1:17" outlineLevel="1" x14ac:dyDescent="0.2">
      <c r="I15">
        <v>9</v>
      </c>
      <c r="J15" s="26"/>
      <c r="K15" s="26">
        <v>99000</v>
      </c>
      <c r="L15" s="228">
        <v>25000</v>
      </c>
      <c r="M15" s="11">
        <f t="shared" si="0"/>
        <v>0</v>
      </c>
      <c r="N15" s="11">
        <f t="shared" si="1"/>
        <v>49524.647746014445</v>
      </c>
      <c r="Q15" s="11">
        <f t="shared" si="2"/>
        <v>230832.26070840645</v>
      </c>
    </row>
    <row r="16" spans="1:17" outlineLevel="1" x14ac:dyDescent="0.2">
      <c r="B16" t="s">
        <v>46</v>
      </c>
      <c r="C16" s="18">
        <f>C12/C14</f>
        <v>0.69090737037246464</v>
      </c>
      <c r="I16">
        <v>10</v>
      </c>
      <c r="J16" s="26"/>
      <c r="K16" s="26">
        <v>99000</v>
      </c>
      <c r="L16" s="228">
        <v>25000</v>
      </c>
      <c r="M16" s="11">
        <f t="shared" si="0"/>
        <v>0</v>
      </c>
      <c r="N16" s="11">
        <f t="shared" si="1"/>
        <v>45856.155320383739</v>
      </c>
      <c r="Q16" s="11">
        <f t="shared" si="2"/>
        <v>213733.57473000599</v>
      </c>
    </row>
    <row r="17" spans="9:17" outlineLevel="1" x14ac:dyDescent="0.2">
      <c r="I17">
        <v>11</v>
      </c>
      <c r="J17" s="26"/>
      <c r="K17" s="26">
        <v>99000</v>
      </c>
      <c r="L17" s="228">
        <v>25000</v>
      </c>
      <c r="M17" s="11">
        <f t="shared" si="0"/>
        <v>0</v>
      </c>
      <c r="N17" s="11">
        <f t="shared" si="1"/>
        <v>42459.403074429392</v>
      </c>
      <c r="Q17" s="11">
        <f t="shared" si="2"/>
        <v>197901.45808333886</v>
      </c>
    </row>
    <row r="18" spans="9:17" outlineLevel="1" x14ac:dyDescent="0.2">
      <c r="I18">
        <v>12</v>
      </c>
      <c r="J18" s="26"/>
      <c r="K18" s="26">
        <v>99000</v>
      </c>
      <c r="L18" s="228">
        <v>25000</v>
      </c>
      <c r="M18" s="11">
        <f t="shared" si="0"/>
        <v>0</v>
      </c>
      <c r="N18" s="11">
        <f t="shared" si="1"/>
        <v>39314.262105953138</v>
      </c>
      <c r="Q18" s="11">
        <f t="shared" si="2"/>
        <v>183242.09081790634</v>
      </c>
    </row>
    <row r="19" spans="9:17" outlineLevel="1" x14ac:dyDescent="0.2">
      <c r="I19">
        <v>13</v>
      </c>
      <c r="J19" s="26"/>
      <c r="K19" s="26">
        <v>99000</v>
      </c>
      <c r="L19" s="228">
        <v>25000</v>
      </c>
      <c r="M19" s="11">
        <f t="shared" si="0"/>
        <v>0</v>
      </c>
      <c r="N19" s="11">
        <f t="shared" si="1"/>
        <v>36402.094542549203</v>
      </c>
      <c r="Q19" s="11">
        <f t="shared" si="2"/>
        <v>169668.60260917255</v>
      </c>
    </row>
    <row r="20" spans="9:17" outlineLevel="1" x14ac:dyDescent="0.2">
      <c r="I20">
        <v>14</v>
      </c>
      <c r="J20" s="26"/>
      <c r="K20" s="26">
        <v>99000</v>
      </c>
      <c r="L20" s="228">
        <v>25000</v>
      </c>
      <c r="M20" s="11">
        <f t="shared" si="0"/>
        <v>0</v>
      </c>
      <c r="N20" s="11">
        <f t="shared" si="1"/>
        <v>33705.643094952953</v>
      </c>
      <c r="Q20" s="11">
        <f t="shared" si="2"/>
        <v>157100.55797145606</v>
      </c>
    </row>
    <row r="21" spans="9:17" outlineLevel="1" x14ac:dyDescent="0.2">
      <c r="I21">
        <v>15</v>
      </c>
      <c r="J21" s="26"/>
      <c r="K21" s="26">
        <v>99000</v>
      </c>
      <c r="L21" s="228">
        <v>25000</v>
      </c>
      <c r="M21" s="11">
        <f t="shared" si="0"/>
        <v>0</v>
      </c>
      <c r="N21" s="11">
        <f t="shared" si="1"/>
        <v>31208.928791623104</v>
      </c>
      <c r="Q21" s="11">
        <f t="shared" si="2"/>
        <v>145463.47960320004</v>
      </c>
    </row>
    <row r="22" spans="9:17" outlineLevel="1" x14ac:dyDescent="0.2">
      <c r="I22">
        <v>16</v>
      </c>
      <c r="J22" s="26"/>
      <c r="K22" s="26">
        <v>99000</v>
      </c>
      <c r="L22" s="228">
        <v>25000</v>
      </c>
      <c r="M22" s="11">
        <f t="shared" si="0"/>
        <v>0</v>
      </c>
      <c r="N22" s="11">
        <f t="shared" si="1"/>
        <v>28897.156288539914</v>
      </c>
      <c r="Q22" s="11">
        <f t="shared" si="2"/>
        <v>134688.40704000002</v>
      </c>
    </row>
    <row r="23" spans="9:17" outlineLevel="1" x14ac:dyDescent="0.2">
      <c r="I23">
        <v>17</v>
      </c>
      <c r="J23" s="26"/>
      <c r="K23" s="26">
        <v>99000</v>
      </c>
      <c r="L23" s="228">
        <v>25000</v>
      </c>
      <c r="M23" s="11">
        <f t="shared" si="0"/>
        <v>0</v>
      </c>
      <c r="N23" s="11">
        <f t="shared" si="1"/>
        <v>26756.626193092514</v>
      </c>
      <c r="Q23" s="11">
        <f t="shared" si="2"/>
        <v>124711.48800000001</v>
      </c>
    </row>
    <row r="24" spans="9:17" outlineLevel="1" x14ac:dyDescent="0.2">
      <c r="I24">
        <v>18</v>
      </c>
      <c r="J24" s="26"/>
      <c r="K24" s="26">
        <v>99000</v>
      </c>
      <c r="L24" s="228">
        <v>25000</v>
      </c>
      <c r="M24" s="11">
        <f t="shared" si="0"/>
        <v>0</v>
      </c>
      <c r="N24" s="11">
        <f t="shared" si="1"/>
        <v>24774.653882493065</v>
      </c>
      <c r="Q24" s="11">
        <f t="shared" si="2"/>
        <v>115473.60000000001</v>
      </c>
    </row>
    <row r="25" spans="9:17" outlineLevel="1" x14ac:dyDescent="0.2">
      <c r="I25">
        <v>19</v>
      </c>
      <c r="J25" s="26"/>
      <c r="K25" s="26">
        <v>99000</v>
      </c>
      <c r="L25" s="228">
        <v>25000</v>
      </c>
      <c r="M25" s="11">
        <f t="shared" si="0"/>
        <v>0</v>
      </c>
      <c r="N25" s="11">
        <f t="shared" si="1"/>
        <v>22939.494335641724</v>
      </c>
      <c r="Q25" s="11">
        <f t="shared" si="2"/>
        <v>106920</v>
      </c>
    </row>
    <row r="26" spans="9:17" x14ac:dyDescent="0.2">
      <c r="I26">
        <v>20</v>
      </c>
      <c r="J26" s="26"/>
      <c r="K26" s="26">
        <f>99000+300000</f>
        <v>399000</v>
      </c>
      <c r="L26" s="228">
        <v>25000</v>
      </c>
      <c r="M26" s="11">
        <f t="shared" si="0"/>
        <v>0</v>
      </c>
      <c r="N26" s="11">
        <f t="shared" si="1"/>
        <v>85604.73475421856</v>
      </c>
      <c r="Q26" s="11">
        <f t="shared" si="2"/>
        <v>399000</v>
      </c>
    </row>
    <row r="27" spans="9:17" x14ac:dyDescent="0.2">
      <c r="K27" s="17"/>
      <c r="L27" s="17"/>
      <c r="M27" s="11"/>
      <c r="Q27" s="11"/>
    </row>
    <row r="28" spans="9:17" x14ac:dyDescent="0.2">
      <c r="J28" s="1"/>
      <c r="K28" s="1"/>
      <c r="L28" s="1"/>
      <c r="M28" s="133">
        <f>SUM(M6:M26)</f>
        <v>1500000</v>
      </c>
      <c r="N28" s="133">
        <f>SUM(N6:N26)</f>
        <v>1036361.0555586963</v>
      </c>
      <c r="P28" s="17">
        <f>P6</f>
        <v>6991435.7157739596</v>
      </c>
      <c r="Q28" s="11">
        <f>SUM(Q6:Q26)</f>
        <v>4830434.4655135144</v>
      </c>
    </row>
    <row r="30" spans="9:17" x14ac:dyDescent="0.2">
      <c r="I30" t="s">
        <v>408</v>
      </c>
      <c r="J30" s="39"/>
      <c r="K30" s="39"/>
      <c r="L30" s="39"/>
      <c r="N30" s="132">
        <f>N28/M28</f>
        <v>0.69090737037246419</v>
      </c>
      <c r="Q30" s="132">
        <f>Q28/P28</f>
        <v>0.6909073703724643</v>
      </c>
    </row>
    <row r="31" spans="9:17" x14ac:dyDescent="0.2">
      <c r="I31" t="s">
        <v>409</v>
      </c>
      <c r="J31" s="4"/>
      <c r="N31" s="17">
        <f>-M28+N28</f>
        <v>-463638.94444130373</v>
      </c>
    </row>
    <row r="33" spans="9:9" x14ac:dyDescent="0.2">
      <c r="I33" t="s">
        <v>410</v>
      </c>
    </row>
  </sheetData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3"/>
  <sheetViews>
    <sheetView zoomScale="85" zoomScaleNormal="85" workbookViewId="0">
      <selection activeCell="K22" sqref="K22"/>
    </sheetView>
  </sheetViews>
  <sheetFormatPr baseColWidth="10" defaultColWidth="8.83203125" defaultRowHeight="15" outlineLevelRow="1" x14ac:dyDescent="0.2"/>
  <cols>
    <col min="1" max="1" width="4.1640625" customWidth="1"/>
    <col min="2" max="2" width="16.83203125" customWidth="1"/>
    <col min="3" max="3" width="11.5" customWidth="1"/>
    <col min="8" max="8" width="7.5" customWidth="1"/>
    <col min="9" max="9" width="6.6640625" customWidth="1"/>
    <col min="10" max="10" width="11.5" customWidth="1"/>
    <col min="11" max="11" width="16.33203125" customWidth="1"/>
    <col min="12" max="12" width="17.1640625" customWidth="1"/>
    <col min="13" max="13" width="19.5" customWidth="1"/>
  </cols>
  <sheetData>
    <row r="1" spans="1:13" x14ac:dyDescent="0.2">
      <c r="A1" s="34" t="s">
        <v>421</v>
      </c>
    </row>
    <row r="2" spans="1:13" x14ac:dyDescent="0.2">
      <c r="B2" s="3" t="s">
        <v>418</v>
      </c>
      <c r="I2" s="3" t="s">
        <v>419</v>
      </c>
    </row>
    <row r="3" spans="1:13" x14ac:dyDescent="0.2">
      <c r="J3" t="s">
        <v>406</v>
      </c>
      <c r="L3" s="40">
        <v>0.09</v>
      </c>
    </row>
    <row r="4" spans="1:13" x14ac:dyDescent="0.2">
      <c r="B4" t="s">
        <v>422</v>
      </c>
      <c r="C4" s="15">
        <v>845882.88505795039</v>
      </c>
    </row>
    <row r="5" spans="1:13" x14ac:dyDescent="0.2">
      <c r="I5" t="s">
        <v>11</v>
      </c>
      <c r="J5" t="s">
        <v>345</v>
      </c>
      <c r="K5" t="s">
        <v>355</v>
      </c>
      <c r="L5" t="s">
        <v>361</v>
      </c>
      <c r="M5" t="s">
        <v>362</v>
      </c>
    </row>
    <row r="6" spans="1:13" x14ac:dyDescent="0.2">
      <c r="B6" t="s">
        <v>423</v>
      </c>
      <c r="I6">
        <v>0</v>
      </c>
      <c r="J6" s="26">
        <v>525000</v>
      </c>
      <c r="K6" s="26">
        <v>127000</v>
      </c>
      <c r="L6" s="11">
        <f>J6/(1+$L$3)^$I6</f>
        <v>525000</v>
      </c>
      <c r="M6" s="11">
        <f>K6/(1+$L$3)^$I6</f>
        <v>127000</v>
      </c>
    </row>
    <row r="7" spans="1:13" x14ac:dyDescent="0.2">
      <c r="B7" t="s">
        <v>424</v>
      </c>
      <c r="C7">
        <v>525000</v>
      </c>
      <c r="I7">
        <v>1</v>
      </c>
      <c r="J7" s="26">
        <v>50000</v>
      </c>
      <c r="K7" s="26"/>
      <c r="L7" s="11">
        <f t="shared" ref="L7:L16" si="0">J7/(1+$L$3)^I7</f>
        <v>45871.559633027522</v>
      </c>
      <c r="M7" s="11">
        <f t="shared" ref="M7:M16" si="1">K7/(1+$L$3)^$I7</f>
        <v>0</v>
      </c>
    </row>
    <row r="8" spans="1:13" x14ac:dyDescent="0.2">
      <c r="B8" t="s">
        <v>425</v>
      </c>
      <c r="C8">
        <v>50000</v>
      </c>
      <c r="I8">
        <v>2</v>
      </c>
      <c r="J8" s="26">
        <v>50000</v>
      </c>
      <c r="K8" s="26"/>
      <c r="L8" s="11">
        <f t="shared" si="0"/>
        <v>42083.999663327995</v>
      </c>
      <c r="M8" s="11">
        <f t="shared" si="1"/>
        <v>0</v>
      </c>
    </row>
    <row r="9" spans="1:13" x14ac:dyDescent="0.2">
      <c r="I9">
        <v>3</v>
      </c>
      <c r="J9" s="26">
        <v>50000</v>
      </c>
      <c r="K9" s="26"/>
      <c r="L9" s="11">
        <f t="shared" si="0"/>
        <v>38609.174003053209</v>
      </c>
      <c r="M9" s="11">
        <f t="shared" si="1"/>
        <v>0</v>
      </c>
    </row>
    <row r="10" spans="1:13" outlineLevel="1" x14ac:dyDescent="0.2">
      <c r="B10" t="s">
        <v>93</v>
      </c>
      <c r="C10" s="11">
        <v>50000</v>
      </c>
      <c r="I10">
        <v>4</v>
      </c>
      <c r="J10" s="26">
        <v>50000</v>
      </c>
      <c r="K10" s="26"/>
      <c r="L10" s="11">
        <f t="shared" si="0"/>
        <v>35421.260553259825</v>
      </c>
      <c r="M10" s="11">
        <f t="shared" si="1"/>
        <v>0</v>
      </c>
    </row>
    <row r="11" spans="1:13" outlineLevel="1" x14ac:dyDescent="0.2">
      <c r="B11" t="s">
        <v>163</v>
      </c>
      <c r="C11">
        <v>10</v>
      </c>
      <c r="I11">
        <v>5</v>
      </c>
      <c r="J11" s="26">
        <v>50000</v>
      </c>
      <c r="K11" s="26"/>
      <c r="L11" s="11">
        <f t="shared" si="0"/>
        <v>32496.569314917266</v>
      </c>
      <c r="M11" s="11">
        <f t="shared" si="1"/>
        <v>0</v>
      </c>
    </row>
    <row r="12" spans="1:13" outlineLevel="1" x14ac:dyDescent="0.2">
      <c r="B12" t="s">
        <v>162</v>
      </c>
      <c r="C12" s="19">
        <v>0.09</v>
      </c>
      <c r="I12">
        <v>6</v>
      </c>
      <c r="J12" s="26">
        <v>50000</v>
      </c>
      <c r="K12" s="26"/>
      <c r="L12" s="11">
        <f t="shared" si="0"/>
        <v>29813.366343960792</v>
      </c>
      <c r="M12" s="11">
        <f t="shared" si="1"/>
        <v>0</v>
      </c>
    </row>
    <row r="13" spans="1:13" outlineLevel="1" x14ac:dyDescent="0.2">
      <c r="I13">
        <v>7</v>
      </c>
      <c r="J13" s="26">
        <v>50000</v>
      </c>
      <c r="K13" s="26"/>
      <c r="L13" s="11">
        <f t="shared" si="0"/>
        <v>27351.712242165864</v>
      </c>
      <c r="M13" s="11">
        <f t="shared" si="1"/>
        <v>0</v>
      </c>
    </row>
    <row r="14" spans="1:13" outlineLevel="1" x14ac:dyDescent="0.2">
      <c r="B14" t="s">
        <v>416</v>
      </c>
      <c r="C14" s="11">
        <f>C10*((1+$C$12)^$C$11-1)/($C$12*(1+$C$12)^$C$11)</f>
        <v>320882.88505795063</v>
      </c>
      <c r="I14">
        <v>8</v>
      </c>
      <c r="J14" s="26">
        <v>50000</v>
      </c>
      <c r="K14" s="26"/>
      <c r="L14" s="11">
        <f t="shared" si="0"/>
        <v>25093.313983638407</v>
      </c>
      <c r="M14" s="11">
        <f t="shared" si="1"/>
        <v>0</v>
      </c>
    </row>
    <row r="15" spans="1:13" outlineLevel="1" x14ac:dyDescent="0.2">
      <c r="I15">
        <v>9</v>
      </c>
      <c r="J15" s="26">
        <v>50000</v>
      </c>
      <c r="K15" s="26"/>
      <c r="L15" s="11">
        <f t="shared" si="0"/>
        <v>23021.388975815051</v>
      </c>
      <c r="M15" s="11">
        <f t="shared" si="1"/>
        <v>0</v>
      </c>
    </row>
    <row r="16" spans="1:13" outlineLevel="1" x14ac:dyDescent="0.2">
      <c r="I16">
        <v>10</v>
      </c>
      <c r="J16" s="26">
        <v>50000</v>
      </c>
      <c r="K16" s="26"/>
      <c r="L16" s="11">
        <f t="shared" si="0"/>
        <v>21120.540344784447</v>
      </c>
      <c r="M16" s="11">
        <f t="shared" si="1"/>
        <v>0</v>
      </c>
    </row>
    <row r="17" spans="1:13" outlineLevel="1" x14ac:dyDescent="0.2">
      <c r="A17" t="s">
        <v>427</v>
      </c>
      <c r="M17" s="11"/>
    </row>
    <row r="18" spans="1:13" outlineLevel="1" x14ac:dyDescent="0.2">
      <c r="B18" t="s">
        <v>426</v>
      </c>
      <c r="C18" s="11">
        <f>C14+C7</f>
        <v>845882.88505795063</v>
      </c>
      <c r="I18" t="s">
        <v>431</v>
      </c>
      <c r="L18" s="17">
        <f>SUM(L6:L16)</f>
        <v>845882.88505795051</v>
      </c>
      <c r="M18" s="11"/>
    </row>
    <row r="19" spans="1:13" outlineLevel="1" x14ac:dyDescent="0.2">
      <c r="C19" s="11"/>
      <c r="M19" s="11"/>
    </row>
    <row r="20" spans="1:13" outlineLevel="1" x14ac:dyDescent="0.2">
      <c r="B20" t="s">
        <v>46</v>
      </c>
      <c r="C20" s="18">
        <f>C4/C18</f>
        <v>0.99999999999999978</v>
      </c>
      <c r="I20" t="s">
        <v>408</v>
      </c>
      <c r="L20" s="1">
        <f>M6/L18</f>
        <v>0.15013898761091421</v>
      </c>
      <c r="M20" s="11"/>
    </row>
    <row r="21" spans="1:13" outlineLevel="1" x14ac:dyDescent="0.2">
      <c r="C21" s="137"/>
      <c r="M21" s="11"/>
    </row>
    <row r="22" spans="1:13" outlineLevel="1" x14ac:dyDescent="0.2">
      <c r="A22" t="s">
        <v>428</v>
      </c>
      <c r="M22" s="11"/>
    </row>
    <row r="23" spans="1:13" outlineLevel="1" x14ac:dyDescent="0.2">
      <c r="B23" t="s">
        <v>429</v>
      </c>
      <c r="C23" s="11">
        <f>C4-C14</f>
        <v>524999.99999999977</v>
      </c>
      <c r="M23" s="11"/>
    </row>
    <row r="24" spans="1:13" outlineLevel="1" x14ac:dyDescent="0.2">
      <c r="B24" t="s">
        <v>430</v>
      </c>
      <c r="C24" s="11">
        <f>C7</f>
        <v>525000</v>
      </c>
      <c r="M24" s="11"/>
    </row>
    <row r="25" spans="1:13" outlineLevel="1" x14ac:dyDescent="0.2">
      <c r="B25" t="s">
        <v>46</v>
      </c>
      <c r="C25" s="18">
        <f>C23/C24</f>
        <v>0.99999999999999956</v>
      </c>
      <c r="M25" s="11"/>
    </row>
    <row r="26" spans="1:13" x14ac:dyDescent="0.2">
      <c r="M26" s="11"/>
    </row>
    <row r="27" spans="1:13" x14ac:dyDescent="0.2">
      <c r="K27" s="17"/>
      <c r="L27" s="11"/>
    </row>
    <row r="28" spans="1:13" x14ac:dyDescent="0.2">
      <c r="J28" s="1"/>
      <c r="K28" s="1"/>
      <c r="L28" s="133">
        <f>SUM(L6:L26)</f>
        <v>1691765.9202548887</v>
      </c>
      <c r="M28" s="133">
        <f>SUM(M6:M26)</f>
        <v>127000</v>
      </c>
    </row>
    <row r="30" spans="1:13" x14ac:dyDescent="0.2">
      <c r="I30" t="s">
        <v>408</v>
      </c>
      <c r="J30" s="39"/>
      <c r="K30" s="39"/>
      <c r="M30" s="132">
        <f>M28/L28</f>
        <v>7.506948714327194E-2</v>
      </c>
    </row>
    <row r="31" spans="1:13" x14ac:dyDescent="0.2">
      <c r="I31" t="s">
        <v>409</v>
      </c>
      <c r="J31" s="4"/>
      <c r="M31" s="17">
        <f>-L28+M28</f>
        <v>-1564765.9202548887</v>
      </c>
    </row>
    <row r="33" spans="9:9" x14ac:dyDescent="0.2">
      <c r="I33" t="s">
        <v>410</v>
      </c>
    </row>
  </sheetData>
  <pageMargins left="0.7" right="0.7" top="0.75" bottom="0.75" header="0.3" footer="0.3"/>
  <pageSetup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69"/>
  <sheetViews>
    <sheetView topLeftCell="A6" zoomScaleNormal="100" workbookViewId="0">
      <selection activeCell="K63" sqref="K63"/>
    </sheetView>
  </sheetViews>
  <sheetFormatPr baseColWidth="10" defaultColWidth="8.83203125" defaultRowHeight="15" outlineLevelRow="1" outlineLevelCol="1" x14ac:dyDescent="0.2"/>
  <cols>
    <col min="1" max="1" width="12.5" bestFit="1" customWidth="1"/>
    <col min="3" max="3" width="11.1640625" customWidth="1"/>
    <col min="4" max="4" width="11.5" hidden="1" customWidth="1" outlineLevel="1"/>
    <col min="5" max="5" width="12.83203125" hidden="1" customWidth="1" outlineLevel="1"/>
    <col min="6" max="6" width="9.33203125" hidden="1" customWidth="1" outlineLevel="1"/>
    <col min="7" max="7" width="9.83203125" hidden="1" customWidth="1" outlineLevel="1"/>
    <col min="8" max="8" width="12.33203125" customWidth="1" collapsed="1"/>
    <col min="9" max="9" width="11.5" customWidth="1"/>
    <col min="10" max="10" width="4" customWidth="1"/>
    <col min="11" max="11" width="11" customWidth="1"/>
    <col min="12" max="12" width="11.5" hidden="1" customWidth="1" outlineLevel="1"/>
    <col min="13" max="13" width="12.83203125" hidden="1" customWidth="1" outlineLevel="1"/>
    <col min="14" max="14" width="9.33203125" hidden="1" customWidth="1" outlineLevel="1"/>
    <col min="15" max="15" width="9.83203125" hidden="1" customWidth="1" outlineLevel="1"/>
    <col min="16" max="16" width="12.33203125" customWidth="1" collapsed="1"/>
    <col min="17" max="17" width="11.5" customWidth="1"/>
    <col min="18" max="18" width="4.6640625" customWidth="1"/>
    <col min="19" max="19" width="11" customWidth="1"/>
    <col min="20" max="20" width="11.5" hidden="1" customWidth="1" outlineLevel="1"/>
    <col min="21" max="21" width="12.83203125" hidden="1" customWidth="1" outlineLevel="1"/>
    <col min="22" max="22" width="9.33203125" hidden="1" customWidth="1" outlineLevel="1"/>
    <col min="23" max="23" width="9.83203125" hidden="1" customWidth="1" outlineLevel="1"/>
    <col min="24" max="24" width="12.33203125" customWidth="1" collapsed="1"/>
    <col min="25" max="25" width="11.5" customWidth="1"/>
    <col min="26" max="26" width="3.6640625" customWidth="1"/>
    <col min="27" max="27" width="11" customWidth="1"/>
    <col min="28" max="28" width="11.5" hidden="1" customWidth="1" outlineLevel="1"/>
    <col min="29" max="29" width="12.83203125" hidden="1" customWidth="1" outlineLevel="1"/>
    <col min="30" max="30" width="9.33203125" hidden="1" customWidth="1" outlineLevel="1"/>
    <col min="31" max="31" width="9.83203125" hidden="1" customWidth="1" outlineLevel="1"/>
    <col min="32" max="32" width="12.33203125" customWidth="1" collapsed="1"/>
    <col min="33" max="33" width="11.5" customWidth="1"/>
    <col min="34" max="34" width="3.83203125" customWidth="1"/>
    <col min="36" max="37" width="10.5" customWidth="1"/>
    <col min="41" max="41" width="11" bestFit="1" customWidth="1"/>
  </cols>
  <sheetData>
    <row r="1" spans="1:41" x14ac:dyDescent="0.2">
      <c r="A1" s="34" t="s">
        <v>432</v>
      </c>
    </row>
    <row r="2" spans="1:41" ht="52" thickBot="1" x14ac:dyDescent="0.25">
      <c r="A2" t="s">
        <v>15</v>
      </c>
      <c r="B2" s="193">
        <v>0.08</v>
      </c>
      <c r="AI2" s="107" t="s">
        <v>354</v>
      </c>
      <c r="AJ2" s="108" t="s">
        <v>358</v>
      </c>
      <c r="AK2" s="108" t="s">
        <v>359</v>
      </c>
      <c r="AL2" s="108" t="s">
        <v>356</v>
      </c>
      <c r="AM2" s="108" t="s">
        <v>51</v>
      </c>
      <c r="AN2" s="108" t="s">
        <v>46</v>
      </c>
      <c r="AO2" s="108" t="s">
        <v>357</v>
      </c>
    </row>
    <row r="3" spans="1:41" ht="17" x14ac:dyDescent="0.2">
      <c r="C3" t="s">
        <v>566</v>
      </c>
      <c r="D3" s="13"/>
      <c r="E3" s="13"/>
      <c r="F3" s="13"/>
      <c r="G3" s="13"/>
      <c r="L3" s="13"/>
      <c r="M3" s="13"/>
      <c r="N3" s="13"/>
      <c r="O3" s="13"/>
      <c r="T3" s="13"/>
      <c r="U3" s="13"/>
      <c r="V3" s="13"/>
      <c r="W3" s="13"/>
      <c r="AB3" s="13"/>
      <c r="AC3" s="13"/>
      <c r="AD3" s="13"/>
      <c r="AE3" s="13"/>
      <c r="AI3" s="109" t="s">
        <v>93</v>
      </c>
      <c r="AJ3" s="110">
        <v>50000</v>
      </c>
      <c r="AK3" s="110">
        <v>100000</v>
      </c>
      <c r="AL3" s="111">
        <v>20</v>
      </c>
      <c r="AM3" s="116">
        <f>G54</f>
        <v>0</v>
      </c>
      <c r="AN3" s="117">
        <f>AK3/AJ3</f>
        <v>2</v>
      </c>
      <c r="AO3" s="115">
        <f>AK3-AJ3</f>
        <v>50000</v>
      </c>
    </row>
    <row r="4" spans="1:41" ht="17" x14ac:dyDescent="0.2">
      <c r="C4" s="3" t="s">
        <v>433</v>
      </c>
      <c r="D4" s="3"/>
      <c r="E4" s="3"/>
      <c r="F4" s="3"/>
      <c r="G4" s="3"/>
      <c r="H4" s="3"/>
      <c r="I4" s="3"/>
      <c r="K4" s="3" t="s">
        <v>434</v>
      </c>
      <c r="L4" s="3"/>
      <c r="M4" s="3"/>
      <c r="N4" s="3"/>
      <c r="O4" s="3"/>
      <c r="P4" s="3"/>
      <c r="Q4" s="3"/>
      <c r="S4" s="3" t="s">
        <v>435</v>
      </c>
      <c r="T4" s="3"/>
      <c r="U4" s="3"/>
      <c r="V4" s="3"/>
      <c r="W4" s="3"/>
      <c r="X4" s="3"/>
      <c r="Y4" s="3"/>
      <c r="AA4" s="3" t="s">
        <v>436</v>
      </c>
      <c r="AB4" s="3"/>
      <c r="AC4" s="3"/>
      <c r="AD4" s="3"/>
      <c r="AE4" s="3"/>
      <c r="AF4" s="3"/>
      <c r="AG4" s="3"/>
      <c r="AI4" s="109" t="s">
        <v>94</v>
      </c>
      <c r="AJ4" s="110">
        <v>80000</v>
      </c>
      <c r="AK4" s="110">
        <v>150000</v>
      </c>
      <c r="AL4" s="111">
        <v>45</v>
      </c>
      <c r="AM4" s="113" t="e">
        <f>#REF!</f>
        <v>#REF!</v>
      </c>
      <c r="AN4" s="114">
        <f>AK4/AJ4</f>
        <v>1.875</v>
      </c>
      <c r="AO4" s="118">
        <f>AK4-AJ4</f>
        <v>70000</v>
      </c>
    </row>
    <row r="5" spans="1:41" ht="32" x14ac:dyDescent="0.2">
      <c r="B5" t="s">
        <v>11</v>
      </c>
      <c r="C5" s="63" t="s">
        <v>584</v>
      </c>
      <c r="D5" s="63" t="s">
        <v>437</v>
      </c>
      <c r="E5" s="63" t="s">
        <v>438</v>
      </c>
      <c r="F5" s="63" t="s">
        <v>439</v>
      </c>
      <c r="G5" s="63" t="s">
        <v>440</v>
      </c>
      <c r="H5" s="63" t="s">
        <v>361</v>
      </c>
      <c r="I5" s="63" t="s">
        <v>362</v>
      </c>
      <c r="K5" t="s">
        <v>345</v>
      </c>
      <c r="L5" s="63" t="s">
        <v>437</v>
      </c>
      <c r="M5" s="63" t="s">
        <v>438</v>
      </c>
      <c r="N5" s="63" t="s">
        <v>439</v>
      </c>
      <c r="O5" s="63" t="s">
        <v>440</v>
      </c>
      <c r="P5" s="63" t="s">
        <v>361</v>
      </c>
      <c r="Q5" s="63" t="s">
        <v>362</v>
      </c>
      <c r="S5" t="s">
        <v>345</v>
      </c>
      <c r="T5" s="63" t="s">
        <v>437</v>
      </c>
      <c r="U5" s="63" t="s">
        <v>438</v>
      </c>
      <c r="V5" s="63" t="s">
        <v>439</v>
      </c>
      <c r="W5" s="63" t="s">
        <v>440</v>
      </c>
      <c r="X5" s="63" t="s">
        <v>361</v>
      </c>
      <c r="Y5" s="63" t="s">
        <v>362</v>
      </c>
      <c r="AA5" t="s">
        <v>345</v>
      </c>
      <c r="AB5" s="63" t="s">
        <v>437</v>
      </c>
      <c r="AC5" s="63" t="s">
        <v>438</v>
      </c>
      <c r="AD5" s="63" t="s">
        <v>439</v>
      </c>
      <c r="AE5" s="63" t="s">
        <v>440</v>
      </c>
      <c r="AF5" s="63" t="s">
        <v>361</v>
      </c>
      <c r="AG5" s="63" t="s">
        <v>362</v>
      </c>
      <c r="AI5" s="109" t="s">
        <v>95</v>
      </c>
      <c r="AJ5" s="110">
        <v>120000</v>
      </c>
      <c r="AK5" s="110">
        <v>170000</v>
      </c>
      <c r="AL5" s="111">
        <v>70</v>
      </c>
      <c r="AM5" s="113" t="e">
        <f>#REF!</f>
        <v>#REF!</v>
      </c>
      <c r="AN5" s="114">
        <f>AK5/AJ5</f>
        <v>1.4166666666666667</v>
      </c>
      <c r="AO5" s="115">
        <f>AK5-AJ5</f>
        <v>50000</v>
      </c>
    </row>
    <row r="6" spans="1:41" ht="17" x14ac:dyDescent="0.2">
      <c r="A6" t="s">
        <v>360</v>
      </c>
      <c r="B6">
        <v>0</v>
      </c>
      <c r="C6" s="143">
        <v>12500</v>
      </c>
      <c r="D6" s="15"/>
      <c r="E6" s="15"/>
      <c r="F6" s="15"/>
      <c r="G6" s="15">
        <f>SUM(D6:F6)</f>
        <v>0</v>
      </c>
      <c r="H6" s="15">
        <f>C6/(1+$B$2)^$B6</f>
        <v>12500</v>
      </c>
      <c r="K6" s="143">
        <v>11000</v>
      </c>
      <c r="L6" s="15"/>
      <c r="M6" s="15"/>
      <c r="N6" s="15"/>
      <c r="O6" s="15">
        <f t="shared" ref="O6:O51" si="0">SUM(L6:N6)</f>
        <v>0</v>
      </c>
      <c r="P6" s="15">
        <f>K6/(1+$B$2)^$B6</f>
        <v>11000</v>
      </c>
      <c r="S6" s="143">
        <v>12500</v>
      </c>
      <c r="T6" s="15"/>
      <c r="U6" s="15"/>
      <c r="V6" s="15"/>
      <c r="W6" s="15">
        <f>SUM(T6:V6)</f>
        <v>0</v>
      </c>
      <c r="X6" s="15">
        <f>S6/(1+$B$2)^$B6</f>
        <v>12500</v>
      </c>
      <c r="AA6" s="143">
        <v>16800</v>
      </c>
      <c r="AB6" s="15"/>
      <c r="AC6" s="15"/>
      <c r="AD6" s="15"/>
      <c r="AE6" s="15">
        <f>SUM(AB6:AD6)</f>
        <v>0</v>
      </c>
      <c r="AF6" s="15">
        <f>AA6/(1+$B$2)^$B6</f>
        <v>16800</v>
      </c>
      <c r="AI6" s="109" t="s">
        <v>96</v>
      </c>
      <c r="AJ6" s="110">
        <v>190000</v>
      </c>
      <c r="AK6" s="110">
        <v>180000</v>
      </c>
      <c r="AL6" s="111">
        <v>95</v>
      </c>
      <c r="AM6" s="113" t="e">
        <f>#REF!</f>
        <v>#REF!</v>
      </c>
      <c r="AN6" s="114">
        <f>AK6/AJ6</f>
        <v>0.94736842105263153</v>
      </c>
      <c r="AO6" s="115">
        <f>AK6-AJ6</f>
        <v>-10000</v>
      </c>
    </row>
    <row r="7" spans="1:41" x14ac:dyDescent="0.2">
      <c r="B7">
        <v>1</v>
      </c>
      <c r="C7" s="143">
        <v>120</v>
      </c>
      <c r="D7" s="143">
        <v>580</v>
      </c>
      <c r="E7" s="143">
        <v>700</v>
      </c>
      <c r="F7" s="143">
        <v>400</v>
      </c>
      <c r="G7" s="15">
        <f>SUM(D7:F7)</f>
        <v>1680</v>
      </c>
      <c r="H7" s="15">
        <f>C7/(1+$B$2)^$B7</f>
        <v>111.1111111111111</v>
      </c>
      <c r="I7" s="15">
        <f>G7/(1+$B$2)^$B7</f>
        <v>1555.5555555555554</v>
      </c>
      <c r="K7" s="143">
        <v>480</v>
      </c>
      <c r="L7" s="15">
        <v>700</v>
      </c>
      <c r="M7" s="15">
        <v>550</v>
      </c>
      <c r="N7" s="15">
        <v>750</v>
      </c>
      <c r="O7" s="15">
        <f>SUM(L7:N7)</f>
        <v>2000</v>
      </c>
      <c r="P7" s="15">
        <f>K7/(1+$B$2)^$B7</f>
        <v>444.4444444444444</v>
      </c>
      <c r="Q7" s="15">
        <f>O7/(1+$B$2)^$B7</f>
        <v>1851.8518518518517</v>
      </c>
      <c r="S7" s="143">
        <v>325</v>
      </c>
      <c r="T7" s="15">
        <v>200</v>
      </c>
      <c r="U7" s="15">
        <v>950</v>
      </c>
      <c r="V7" s="15">
        <v>150</v>
      </c>
      <c r="W7" s="15">
        <f>SUM(T7:V7)</f>
        <v>1300</v>
      </c>
      <c r="X7" s="15">
        <f>S7/(1+$B$2)^$B7</f>
        <v>300.92592592592592</v>
      </c>
      <c r="Y7" s="15">
        <f>W7/(1+$B$2)^$B7</f>
        <v>1203.7037037037037</v>
      </c>
      <c r="AA7" s="143">
        <v>145</v>
      </c>
      <c r="AB7" s="15">
        <v>1300</v>
      </c>
      <c r="AC7" s="15">
        <v>250</v>
      </c>
      <c r="AD7" s="15">
        <v>500</v>
      </c>
      <c r="AE7" s="15">
        <f>SUM(AB7:AD7)</f>
        <v>2050</v>
      </c>
      <c r="AF7" s="15">
        <f>AA7/(1+$B$2)^$B7</f>
        <v>134.25925925925924</v>
      </c>
      <c r="AG7" s="15">
        <f>AE7/(1+$B$2)^$B7</f>
        <v>1898.148148148148</v>
      </c>
    </row>
    <row r="8" spans="1:41" x14ac:dyDescent="0.2">
      <c r="B8">
        <v>2</v>
      </c>
      <c r="C8" s="15">
        <v>120</v>
      </c>
      <c r="D8" s="15">
        <v>580</v>
      </c>
      <c r="E8" s="15">
        <v>700</v>
      </c>
      <c r="F8" s="15">
        <v>400</v>
      </c>
      <c r="G8" s="15">
        <f t="shared" ref="G8:G51" si="1">SUM(D8:F8)</f>
        <v>1680</v>
      </c>
      <c r="H8" s="15">
        <f t="shared" ref="H8:H51" si="2">C8/(1+$B$2)^$B8</f>
        <v>102.88065843621398</v>
      </c>
      <c r="I8" s="15">
        <f t="shared" ref="I8:I51" si="3">G8/(1+$B$2)^$B8</f>
        <v>1440.3292181069958</v>
      </c>
      <c r="K8" s="15">
        <v>480</v>
      </c>
      <c r="L8" s="15">
        <v>700</v>
      </c>
      <c r="M8" s="15">
        <v>550</v>
      </c>
      <c r="N8" s="15">
        <v>750</v>
      </c>
      <c r="O8" s="15">
        <f t="shared" si="0"/>
        <v>2000</v>
      </c>
      <c r="P8" s="15">
        <f t="shared" ref="P8:P51" si="4">K8/(1+$B$2)^$B8</f>
        <v>411.52263374485591</v>
      </c>
      <c r="Q8" s="15">
        <f t="shared" ref="Q8:Q51" si="5">O8/(1+$B$2)^$B8</f>
        <v>1714.6776406035665</v>
      </c>
      <c r="S8" s="15">
        <v>325</v>
      </c>
      <c r="T8" s="15">
        <v>200</v>
      </c>
      <c r="U8" s="15">
        <v>950</v>
      </c>
      <c r="V8" s="15">
        <v>150</v>
      </c>
      <c r="W8" s="15">
        <f t="shared" ref="W8:W51" si="6">SUM(T8:V8)</f>
        <v>1300</v>
      </c>
      <c r="X8" s="15">
        <f t="shared" ref="X8:X51" si="7">S8/(1+$B$2)^$B8</f>
        <v>278.63511659807955</v>
      </c>
      <c r="Y8" s="15">
        <f t="shared" ref="Y8:Y17" si="8">W8/(1+$B$2)^$B8</f>
        <v>1114.5404663923182</v>
      </c>
      <c r="AA8" s="15">
        <v>145</v>
      </c>
      <c r="AB8" s="15">
        <v>1300</v>
      </c>
      <c r="AC8" s="15">
        <v>250</v>
      </c>
      <c r="AD8" s="15">
        <v>500</v>
      </c>
      <c r="AE8" s="15">
        <f t="shared" ref="AE8:AE51" si="9">SUM(AB8:AD8)</f>
        <v>2050</v>
      </c>
      <c r="AF8" s="15">
        <f>AA8/(1+$B$2)^$B8</f>
        <v>124.31412894375856</v>
      </c>
      <c r="AG8" s="15">
        <f>AE8/(1+$B$2)^$B8</f>
        <v>1757.5445816186555</v>
      </c>
    </row>
    <row r="9" spans="1:41" x14ac:dyDescent="0.2">
      <c r="B9">
        <v>3</v>
      </c>
      <c r="C9" s="15">
        <v>120</v>
      </c>
      <c r="D9" s="15">
        <v>580</v>
      </c>
      <c r="E9" s="15">
        <v>700</v>
      </c>
      <c r="F9" s="15">
        <v>400</v>
      </c>
      <c r="G9" s="15">
        <f t="shared" si="1"/>
        <v>1680</v>
      </c>
      <c r="H9" s="15">
        <f>C9/(1+$B$2)^$B9</f>
        <v>95.259868922420353</v>
      </c>
      <c r="I9" s="15">
        <f t="shared" si="3"/>
        <v>1333.6381649138848</v>
      </c>
      <c r="K9" s="15">
        <v>480</v>
      </c>
      <c r="L9" s="15">
        <v>700</v>
      </c>
      <c r="M9" s="15">
        <v>550</v>
      </c>
      <c r="N9" s="15">
        <v>750</v>
      </c>
      <c r="O9" s="15">
        <f t="shared" si="0"/>
        <v>2000</v>
      </c>
      <c r="P9" s="15">
        <f t="shared" si="4"/>
        <v>381.03947568968141</v>
      </c>
      <c r="Q9" s="15">
        <f t="shared" si="5"/>
        <v>1587.6644820403392</v>
      </c>
      <c r="S9" s="15">
        <v>325</v>
      </c>
      <c r="T9" s="15">
        <v>200</v>
      </c>
      <c r="U9" s="15">
        <v>950</v>
      </c>
      <c r="V9" s="15">
        <v>150</v>
      </c>
      <c r="W9" s="15">
        <f t="shared" si="6"/>
        <v>1300</v>
      </c>
      <c r="X9" s="15">
        <f t="shared" si="7"/>
        <v>257.99547833155509</v>
      </c>
      <c r="Y9" s="15">
        <f t="shared" si="8"/>
        <v>1031.9819133262204</v>
      </c>
      <c r="AA9" s="15">
        <v>145</v>
      </c>
      <c r="AB9" s="15">
        <v>1300</v>
      </c>
      <c r="AC9" s="15">
        <v>250</v>
      </c>
      <c r="AD9" s="15">
        <v>500</v>
      </c>
      <c r="AE9" s="15">
        <f t="shared" si="9"/>
        <v>2050</v>
      </c>
      <c r="AF9" s="15">
        <f t="shared" ref="AF9:AF51" si="10">AA9/(1+$B$2)^$B9</f>
        <v>115.10567494792458</v>
      </c>
      <c r="AG9" s="15">
        <f>AE9/(1+$B$2)^$B9</f>
        <v>1627.3560940913476</v>
      </c>
    </row>
    <row r="10" spans="1:41" hidden="1" outlineLevel="1" x14ac:dyDescent="0.2">
      <c r="B10">
        <v>4</v>
      </c>
      <c r="C10" s="15">
        <v>120</v>
      </c>
      <c r="D10" s="15">
        <v>580</v>
      </c>
      <c r="E10" s="15">
        <v>700</v>
      </c>
      <c r="F10" s="15">
        <v>400</v>
      </c>
      <c r="G10" s="15">
        <f t="shared" si="1"/>
        <v>1680</v>
      </c>
      <c r="H10" s="15">
        <f t="shared" si="2"/>
        <v>88.203582335574396</v>
      </c>
      <c r="I10" s="15">
        <f t="shared" si="3"/>
        <v>1234.8501526980415</v>
      </c>
      <c r="K10" s="15">
        <v>480</v>
      </c>
      <c r="L10" s="15">
        <v>700</v>
      </c>
      <c r="M10" s="15">
        <v>550</v>
      </c>
      <c r="N10" s="15">
        <v>750</v>
      </c>
      <c r="O10" s="15">
        <f t="shared" si="0"/>
        <v>2000</v>
      </c>
      <c r="P10" s="15">
        <f t="shared" si="4"/>
        <v>352.81432934229758</v>
      </c>
      <c r="Q10" s="15">
        <f t="shared" si="5"/>
        <v>1470.0597055929065</v>
      </c>
      <c r="S10" s="15">
        <v>325</v>
      </c>
      <c r="T10" s="15">
        <v>200</v>
      </c>
      <c r="U10" s="15">
        <v>950</v>
      </c>
      <c r="V10" s="15">
        <v>150</v>
      </c>
      <c r="W10" s="15">
        <f t="shared" si="6"/>
        <v>1300</v>
      </c>
      <c r="X10" s="15">
        <f t="shared" si="7"/>
        <v>238.88470215884732</v>
      </c>
      <c r="Y10" s="15">
        <f t="shared" si="8"/>
        <v>955.53880863538927</v>
      </c>
      <c r="AA10" s="15">
        <v>145</v>
      </c>
      <c r="AB10" s="15">
        <v>1300</v>
      </c>
      <c r="AC10" s="15">
        <v>250</v>
      </c>
      <c r="AD10" s="15">
        <v>500</v>
      </c>
      <c r="AE10" s="15">
        <f t="shared" si="9"/>
        <v>2050</v>
      </c>
      <c r="AF10" s="15">
        <f t="shared" si="10"/>
        <v>106.57932865548572</v>
      </c>
      <c r="AG10" s="15">
        <f>AE10/(1+$B$2)^$B10</f>
        <v>1506.8111982327291</v>
      </c>
    </row>
    <row r="11" spans="1:41" hidden="1" outlineLevel="1" x14ac:dyDescent="0.2">
      <c r="B11">
        <v>5</v>
      </c>
      <c r="C11" s="15">
        <v>120</v>
      </c>
      <c r="D11" s="15">
        <v>580</v>
      </c>
      <c r="E11" s="15">
        <v>700</v>
      </c>
      <c r="F11" s="15">
        <v>400</v>
      </c>
      <c r="G11" s="15">
        <f t="shared" si="1"/>
        <v>1680</v>
      </c>
      <c r="H11" s="15">
        <f t="shared" si="2"/>
        <v>81.669983644050362</v>
      </c>
      <c r="I11" s="15">
        <f t="shared" si="3"/>
        <v>1143.379771016705</v>
      </c>
      <c r="K11" s="15">
        <v>480</v>
      </c>
      <c r="L11" s="15">
        <v>700</v>
      </c>
      <c r="M11" s="15">
        <v>550</v>
      </c>
      <c r="N11" s="15">
        <v>750</v>
      </c>
      <c r="O11" s="15">
        <f t="shared" si="0"/>
        <v>2000</v>
      </c>
      <c r="P11" s="15">
        <f t="shared" si="4"/>
        <v>326.67993457620145</v>
      </c>
      <c r="Q11" s="15">
        <f t="shared" si="5"/>
        <v>1361.166394067506</v>
      </c>
      <c r="S11" s="15">
        <v>325</v>
      </c>
      <c r="T11" s="15">
        <v>200</v>
      </c>
      <c r="U11" s="15">
        <v>950</v>
      </c>
      <c r="V11" s="15">
        <v>150</v>
      </c>
      <c r="W11" s="15">
        <f t="shared" si="6"/>
        <v>1300</v>
      </c>
      <c r="X11" s="15">
        <f t="shared" si="7"/>
        <v>221.18953903596972</v>
      </c>
      <c r="Y11" s="15">
        <f t="shared" si="8"/>
        <v>884.75815614387886</v>
      </c>
      <c r="AA11" s="15">
        <v>145</v>
      </c>
      <c r="AB11" s="15">
        <v>1300</v>
      </c>
      <c r="AC11" s="15">
        <v>250</v>
      </c>
      <c r="AD11" s="15">
        <v>500</v>
      </c>
      <c r="AE11" s="15">
        <f t="shared" si="9"/>
        <v>2050</v>
      </c>
      <c r="AF11" s="15">
        <f t="shared" si="10"/>
        <v>98.684563569894181</v>
      </c>
      <c r="AG11" s="15">
        <f t="shared" ref="AG11:AG51" si="11">AE11/(1+$B$2)^$B11</f>
        <v>1395.1955539191936</v>
      </c>
    </row>
    <row r="12" spans="1:41" hidden="1" outlineLevel="1" x14ac:dyDescent="0.2">
      <c r="B12">
        <v>6</v>
      </c>
      <c r="C12" s="15">
        <v>120</v>
      </c>
      <c r="D12" s="15">
        <v>580</v>
      </c>
      <c r="E12" s="15">
        <v>700</v>
      </c>
      <c r="F12" s="15">
        <v>400</v>
      </c>
      <c r="G12" s="15">
        <f t="shared" si="1"/>
        <v>1680</v>
      </c>
      <c r="H12" s="15">
        <f t="shared" si="2"/>
        <v>75.620355225972546</v>
      </c>
      <c r="I12" s="15">
        <f t="shared" si="3"/>
        <v>1058.6849731636157</v>
      </c>
      <c r="K12" s="15">
        <v>480</v>
      </c>
      <c r="L12" s="15">
        <v>700</v>
      </c>
      <c r="M12" s="15">
        <v>550</v>
      </c>
      <c r="N12" s="15">
        <v>750</v>
      </c>
      <c r="O12" s="15">
        <f t="shared" si="0"/>
        <v>2000</v>
      </c>
      <c r="P12" s="15">
        <f t="shared" si="4"/>
        <v>302.48142090389018</v>
      </c>
      <c r="Q12" s="15">
        <f t="shared" si="5"/>
        <v>1260.3392537662091</v>
      </c>
      <c r="S12" s="15">
        <v>325</v>
      </c>
      <c r="T12" s="15">
        <v>200</v>
      </c>
      <c r="U12" s="15">
        <v>950</v>
      </c>
      <c r="V12" s="15">
        <v>150</v>
      </c>
      <c r="W12" s="15">
        <f t="shared" si="6"/>
        <v>1300</v>
      </c>
      <c r="X12" s="15">
        <f t="shared" si="7"/>
        <v>204.80512873700897</v>
      </c>
      <c r="Y12" s="15">
        <f t="shared" si="8"/>
        <v>819.22051494803588</v>
      </c>
      <c r="AA12" s="15">
        <v>145</v>
      </c>
      <c r="AB12" s="15">
        <v>1300</v>
      </c>
      <c r="AC12" s="15">
        <v>250</v>
      </c>
      <c r="AD12" s="15">
        <v>500</v>
      </c>
      <c r="AE12" s="15">
        <f t="shared" si="9"/>
        <v>2050</v>
      </c>
      <c r="AF12" s="15">
        <f t="shared" si="10"/>
        <v>91.37459589805016</v>
      </c>
      <c r="AG12" s="15">
        <f t="shared" si="11"/>
        <v>1291.8477351103643</v>
      </c>
    </row>
    <row r="13" spans="1:41" hidden="1" outlineLevel="1" x14ac:dyDescent="0.2">
      <c r="B13">
        <v>7</v>
      </c>
      <c r="C13" s="15">
        <v>120</v>
      </c>
      <c r="D13" s="15">
        <v>580</v>
      </c>
      <c r="E13" s="15">
        <v>700</v>
      </c>
      <c r="F13" s="15">
        <v>400</v>
      </c>
      <c r="G13" s="15">
        <f t="shared" si="1"/>
        <v>1680</v>
      </c>
      <c r="H13" s="15">
        <f t="shared" si="2"/>
        <v>70.018847431456066</v>
      </c>
      <c r="I13" s="15">
        <f t="shared" si="3"/>
        <v>980.26386404038487</v>
      </c>
      <c r="K13" s="15">
        <v>480</v>
      </c>
      <c r="L13" s="15">
        <v>700</v>
      </c>
      <c r="M13" s="15">
        <v>550</v>
      </c>
      <c r="N13" s="15">
        <v>750</v>
      </c>
      <c r="O13" s="15">
        <f t="shared" si="0"/>
        <v>2000</v>
      </c>
      <c r="P13" s="15">
        <f t="shared" si="4"/>
        <v>280.07538972582427</v>
      </c>
      <c r="Q13" s="15">
        <f t="shared" si="5"/>
        <v>1166.9807905242676</v>
      </c>
      <c r="S13" s="15">
        <v>325</v>
      </c>
      <c r="T13" s="15">
        <v>200</v>
      </c>
      <c r="U13" s="15">
        <v>950</v>
      </c>
      <c r="V13" s="15">
        <v>150</v>
      </c>
      <c r="W13" s="15">
        <f t="shared" si="6"/>
        <v>1300</v>
      </c>
      <c r="X13" s="15">
        <f t="shared" si="7"/>
        <v>189.63437846019349</v>
      </c>
      <c r="Y13" s="15">
        <f t="shared" si="8"/>
        <v>758.53751384077395</v>
      </c>
      <c r="AA13" s="15">
        <v>145</v>
      </c>
      <c r="AB13" s="15">
        <v>1300</v>
      </c>
      <c r="AC13" s="15">
        <v>250</v>
      </c>
      <c r="AD13" s="15">
        <v>500</v>
      </c>
      <c r="AE13" s="15">
        <f t="shared" si="9"/>
        <v>2050</v>
      </c>
      <c r="AF13" s="15">
        <f t="shared" si="10"/>
        <v>84.606107313009403</v>
      </c>
      <c r="AG13" s="15">
        <f t="shared" si="11"/>
        <v>1196.1553102873743</v>
      </c>
    </row>
    <row r="14" spans="1:41" hidden="1" outlineLevel="1" x14ac:dyDescent="0.2">
      <c r="B14">
        <v>8</v>
      </c>
      <c r="C14" s="15">
        <v>120</v>
      </c>
      <c r="D14" s="15">
        <v>580</v>
      </c>
      <c r="E14" s="15">
        <v>700</v>
      </c>
      <c r="F14" s="15">
        <v>400</v>
      </c>
      <c r="G14" s="15">
        <f t="shared" si="1"/>
        <v>1680</v>
      </c>
      <c r="H14" s="15">
        <f t="shared" si="2"/>
        <v>64.832266140237095</v>
      </c>
      <c r="I14" s="15">
        <f t="shared" si="3"/>
        <v>907.65172596331934</v>
      </c>
      <c r="K14" s="15">
        <v>480</v>
      </c>
      <c r="L14" s="15">
        <v>700</v>
      </c>
      <c r="M14" s="15">
        <v>550</v>
      </c>
      <c r="N14" s="15">
        <v>750</v>
      </c>
      <c r="O14" s="15">
        <f t="shared" si="0"/>
        <v>2000</v>
      </c>
      <c r="P14" s="15">
        <f t="shared" si="4"/>
        <v>259.32906456094838</v>
      </c>
      <c r="Q14" s="15">
        <f t="shared" si="5"/>
        <v>1080.5377690039516</v>
      </c>
      <c r="S14" s="15">
        <v>325</v>
      </c>
      <c r="T14" s="15">
        <v>200</v>
      </c>
      <c r="U14" s="15">
        <v>950</v>
      </c>
      <c r="V14" s="15">
        <v>150</v>
      </c>
      <c r="W14" s="15">
        <f t="shared" si="6"/>
        <v>1300</v>
      </c>
      <c r="X14" s="15">
        <f t="shared" si="7"/>
        <v>175.58738746314214</v>
      </c>
      <c r="Y14" s="15">
        <f t="shared" si="8"/>
        <v>702.34954985256854</v>
      </c>
      <c r="AA14" s="15">
        <v>145</v>
      </c>
      <c r="AB14" s="15">
        <v>1300</v>
      </c>
      <c r="AC14" s="15">
        <v>250</v>
      </c>
      <c r="AD14" s="15">
        <v>500</v>
      </c>
      <c r="AE14" s="15">
        <f t="shared" si="9"/>
        <v>2050</v>
      </c>
      <c r="AF14" s="15">
        <f t="shared" si="10"/>
        <v>78.338988252786493</v>
      </c>
      <c r="AG14" s="15">
        <f t="shared" si="11"/>
        <v>1107.5512132290503</v>
      </c>
    </row>
    <row r="15" spans="1:41" hidden="1" outlineLevel="1" x14ac:dyDescent="0.2">
      <c r="B15">
        <v>9</v>
      </c>
      <c r="C15" s="15">
        <v>120</v>
      </c>
      <c r="D15" s="15">
        <v>580</v>
      </c>
      <c r="E15" s="15">
        <v>700</v>
      </c>
      <c r="F15" s="15">
        <v>400</v>
      </c>
      <c r="G15" s="15">
        <f t="shared" si="1"/>
        <v>1680</v>
      </c>
      <c r="H15" s="15">
        <f t="shared" si="2"/>
        <v>60.029876055775084</v>
      </c>
      <c r="I15" s="15">
        <f t="shared" si="3"/>
        <v>840.41826478085113</v>
      </c>
      <c r="K15" s="15">
        <v>480</v>
      </c>
      <c r="L15" s="15">
        <v>700</v>
      </c>
      <c r="M15" s="15">
        <v>550</v>
      </c>
      <c r="N15" s="15">
        <v>750</v>
      </c>
      <c r="O15" s="15">
        <f t="shared" si="0"/>
        <v>2000</v>
      </c>
      <c r="P15" s="15">
        <f t="shared" si="4"/>
        <v>240.11950422310034</v>
      </c>
      <c r="Q15" s="15">
        <f t="shared" si="5"/>
        <v>1000.497934262918</v>
      </c>
      <c r="S15" s="15">
        <v>325</v>
      </c>
      <c r="T15" s="15">
        <v>200</v>
      </c>
      <c r="U15" s="15">
        <v>950</v>
      </c>
      <c r="V15" s="15">
        <v>150</v>
      </c>
      <c r="W15" s="15">
        <f t="shared" si="6"/>
        <v>1300</v>
      </c>
      <c r="X15" s="15">
        <f t="shared" si="7"/>
        <v>162.58091431772417</v>
      </c>
      <c r="Y15" s="15">
        <f t="shared" si="8"/>
        <v>650.32365727089666</v>
      </c>
      <c r="AA15" s="15">
        <v>145</v>
      </c>
      <c r="AB15" s="15">
        <v>1300</v>
      </c>
      <c r="AC15" s="15">
        <v>250</v>
      </c>
      <c r="AD15" s="15">
        <v>500</v>
      </c>
      <c r="AE15" s="15">
        <f t="shared" si="9"/>
        <v>2050</v>
      </c>
      <c r="AF15" s="15">
        <f t="shared" si="10"/>
        <v>72.53610023406155</v>
      </c>
      <c r="AG15" s="15">
        <f t="shared" si="11"/>
        <v>1025.5103826194909</v>
      </c>
    </row>
    <row r="16" spans="1:41" hidden="1" outlineLevel="1" x14ac:dyDescent="0.2">
      <c r="B16">
        <v>10</v>
      </c>
      <c r="C16" s="15">
        <v>120</v>
      </c>
      <c r="D16" s="15">
        <v>580</v>
      </c>
      <c r="E16" s="15">
        <v>700</v>
      </c>
      <c r="F16" s="15">
        <v>400</v>
      </c>
      <c r="G16" s="15">
        <f t="shared" si="1"/>
        <v>1680</v>
      </c>
      <c r="H16" s="15">
        <f t="shared" si="2"/>
        <v>55.58321857016211</v>
      </c>
      <c r="I16" s="15">
        <f t="shared" si="3"/>
        <v>778.16505998226955</v>
      </c>
      <c r="K16" s="15">
        <v>480</v>
      </c>
      <c r="L16" s="15">
        <v>700</v>
      </c>
      <c r="M16" s="15">
        <v>550</v>
      </c>
      <c r="N16" s="15">
        <v>750</v>
      </c>
      <c r="O16" s="15">
        <f t="shared" si="0"/>
        <v>2000</v>
      </c>
      <c r="P16" s="15">
        <f t="shared" si="4"/>
        <v>222.33287428064844</v>
      </c>
      <c r="Q16" s="15">
        <f t="shared" si="5"/>
        <v>926.38697616936849</v>
      </c>
      <c r="S16" s="15">
        <v>325</v>
      </c>
      <c r="T16" s="15">
        <v>200</v>
      </c>
      <c r="U16" s="15">
        <v>950</v>
      </c>
      <c r="V16" s="15">
        <v>150</v>
      </c>
      <c r="W16" s="15">
        <f t="shared" si="6"/>
        <v>1300</v>
      </c>
      <c r="X16" s="15">
        <f t="shared" si="7"/>
        <v>150.53788362752238</v>
      </c>
      <c r="Y16" s="15">
        <f t="shared" si="8"/>
        <v>602.1515345100895</v>
      </c>
      <c r="AA16" s="15">
        <v>145</v>
      </c>
      <c r="AB16" s="15">
        <v>1300</v>
      </c>
      <c r="AC16" s="15">
        <v>250</v>
      </c>
      <c r="AD16" s="15">
        <v>500</v>
      </c>
      <c r="AE16" s="15">
        <f t="shared" si="9"/>
        <v>2050</v>
      </c>
      <c r="AF16" s="15">
        <f t="shared" si="10"/>
        <v>67.163055772279222</v>
      </c>
      <c r="AG16" s="15">
        <f t="shared" si="11"/>
        <v>949.54665057360273</v>
      </c>
    </row>
    <row r="17" spans="2:33" hidden="1" outlineLevel="1" x14ac:dyDescent="0.2">
      <c r="B17">
        <v>11</v>
      </c>
      <c r="C17" s="15">
        <v>120</v>
      </c>
      <c r="D17" s="15">
        <v>580</v>
      </c>
      <c r="E17" s="15">
        <v>700</v>
      </c>
      <c r="F17" s="15">
        <v>400</v>
      </c>
      <c r="G17" s="15">
        <f t="shared" si="1"/>
        <v>1680</v>
      </c>
      <c r="H17" s="15">
        <f t="shared" si="2"/>
        <v>51.465943120520471</v>
      </c>
      <c r="I17" s="15">
        <f t="shared" si="3"/>
        <v>720.52320368728658</v>
      </c>
      <c r="K17" s="15">
        <v>480</v>
      </c>
      <c r="L17" s="15">
        <v>700</v>
      </c>
      <c r="M17" s="15">
        <v>550</v>
      </c>
      <c r="N17" s="15">
        <v>750</v>
      </c>
      <c r="O17" s="15">
        <f t="shared" si="0"/>
        <v>2000</v>
      </c>
      <c r="P17" s="15">
        <f t="shared" si="4"/>
        <v>205.86377248208188</v>
      </c>
      <c r="Q17" s="15">
        <f t="shared" si="5"/>
        <v>857.76571867534119</v>
      </c>
      <c r="S17" s="15">
        <v>325</v>
      </c>
      <c r="T17" s="15">
        <v>200</v>
      </c>
      <c r="U17" s="15">
        <v>950</v>
      </c>
      <c r="V17" s="15">
        <v>150</v>
      </c>
      <c r="W17" s="15">
        <f t="shared" si="6"/>
        <v>1300</v>
      </c>
      <c r="X17" s="15">
        <f t="shared" si="7"/>
        <v>139.38692928474296</v>
      </c>
      <c r="Y17" s="15">
        <f t="shared" si="8"/>
        <v>557.54771713897185</v>
      </c>
      <c r="AA17" s="15">
        <v>145</v>
      </c>
      <c r="AB17" s="15">
        <v>1300</v>
      </c>
      <c r="AC17" s="15">
        <v>250</v>
      </c>
      <c r="AD17" s="15">
        <v>500</v>
      </c>
      <c r="AE17" s="15">
        <f t="shared" si="9"/>
        <v>2050</v>
      </c>
      <c r="AF17" s="15">
        <f t="shared" si="10"/>
        <v>62.188014603962237</v>
      </c>
      <c r="AG17" s="15">
        <f t="shared" si="11"/>
        <v>879.20986164222472</v>
      </c>
    </row>
    <row r="18" spans="2:33" hidden="1" outlineLevel="1" x14ac:dyDescent="0.2">
      <c r="B18">
        <v>12</v>
      </c>
      <c r="C18" s="15">
        <v>120</v>
      </c>
      <c r="D18" s="15">
        <v>580</v>
      </c>
      <c r="E18" s="15">
        <v>700</v>
      </c>
      <c r="F18" s="15">
        <v>400</v>
      </c>
      <c r="G18" s="15">
        <f t="shared" si="1"/>
        <v>1680</v>
      </c>
      <c r="H18" s="15">
        <f t="shared" si="2"/>
        <v>47.653651037518955</v>
      </c>
      <c r="I18" s="15">
        <f t="shared" si="3"/>
        <v>667.15111452526537</v>
      </c>
      <c r="K18" s="15">
        <v>480</v>
      </c>
      <c r="L18" s="15">
        <v>700</v>
      </c>
      <c r="M18" s="15">
        <v>550</v>
      </c>
      <c r="N18" s="15">
        <v>750</v>
      </c>
      <c r="O18" s="15">
        <f t="shared" si="0"/>
        <v>2000</v>
      </c>
      <c r="P18" s="15">
        <f t="shared" si="4"/>
        <v>190.61460415007582</v>
      </c>
      <c r="Q18" s="15">
        <f t="shared" si="5"/>
        <v>794.22751729198251</v>
      </c>
      <c r="S18" s="15">
        <v>325</v>
      </c>
      <c r="T18" s="15">
        <v>200</v>
      </c>
      <c r="U18" s="15">
        <v>950</v>
      </c>
      <c r="V18" s="15">
        <v>150</v>
      </c>
      <c r="W18" s="15">
        <f t="shared" si="6"/>
        <v>1300</v>
      </c>
      <c r="X18" s="15">
        <f t="shared" si="7"/>
        <v>129.06197155994715</v>
      </c>
      <c r="Y18" s="15">
        <f t="shared" ref="Y18:Y51" si="12">W18/(1+$B$2)^$B18</f>
        <v>516.24788623978861</v>
      </c>
      <c r="AA18" s="15">
        <v>145</v>
      </c>
      <c r="AB18" s="15">
        <v>1300</v>
      </c>
      <c r="AC18" s="15">
        <v>250</v>
      </c>
      <c r="AD18" s="15">
        <v>500</v>
      </c>
      <c r="AE18" s="15">
        <f t="shared" si="9"/>
        <v>2050</v>
      </c>
      <c r="AF18" s="15">
        <f t="shared" si="10"/>
        <v>57.581495003668735</v>
      </c>
      <c r="AG18" s="15">
        <f t="shared" si="11"/>
        <v>814.0832052242821</v>
      </c>
    </row>
    <row r="19" spans="2:33" hidden="1" outlineLevel="1" x14ac:dyDescent="0.2">
      <c r="B19">
        <v>13</v>
      </c>
      <c r="C19" s="15">
        <v>120</v>
      </c>
      <c r="D19" s="15">
        <v>580</v>
      </c>
      <c r="E19" s="15">
        <v>700</v>
      </c>
      <c r="F19" s="15">
        <v>400</v>
      </c>
      <c r="G19" s="15">
        <f t="shared" si="1"/>
        <v>1680</v>
      </c>
      <c r="H19" s="15">
        <f t="shared" si="2"/>
        <v>44.123750960665696</v>
      </c>
      <c r="I19" s="15">
        <f t="shared" si="3"/>
        <v>617.73251344931975</v>
      </c>
      <c r="K19" s="15">
        <v>480</v>
      </c>
      <c r="L19" s="15">
        <v>700</v>
      </c>
      <c r="M19" s="15">
        <v>550</v>
      </c>
      <c r="N19" s="15">
        <v>750</v>
      </c>
      <c r="O19" s="15">
        <f t="shared" si="0"/>
        <v>2000</v>
      </c>
      <c r="P19" s="15">
        <f t="shared" si="4"/>
        <v>176.49500384266278</v>
      </c>
      <c r="Q19" s="15">
        <f t="shared" si="5"/>
        <v>735.39584934442826</v>
      </c>
      <c r="S19" s="15">
        <v>325</v>
      </c>
      <c r="T19" s="15">
        <v>200</v>
      </c>
      <c r="U19" s="15">
        <v>950</v>
      </c>
      <c r="V19" s="15">
        <v>150</v>
      </c>
      <c r="W19" s="15">
        <f t="shared" si="6"/>
        <v>1300</v>
      </c>
      <c r="X19" s="15">
        <f t="shared" si="7"/>
        <v>119.5018255184696</v>
      </c>
      <c r="Y19" s="15">
        <f t="shared" si="12"/>
        <v>478.00730207387841</v>
      </c>
      <c r="AA19" s="15">
        <v>145</v>
      </c>
      <c r="AB19" s="15">
        <v>1300</v>
      </c>
      <c r="AC19" s="15">
        <v>250</v>
      </c>
      <c r="AD19" s="15">
        <v>500</v>
      </c>
      <c r="AE19" s="15">
        <f t="shared" si="9"/>
        <v>2050</v>
      </c>
      <c r="AF19" s="15">
        <f t="shared" si="10"/>
        <v>53.316199077471047</v>
      </c>
      <c r="AG19" s="15">
        <f t="shared" si="11"/>
        <v>753.78074557803893</v>
      </c>
    </row>
    <row r="20" spans="2:33" hidden="1" outlineLevel="1" x14ac:dyDescent="0.2">
      <c r="B20">
        <v>14</v>
      </c>
      <c r="C20" s="15">
        <v>120</v>
      </c>
      <c r="D20" s="15">
        <v>580</v>
      </c>
      <c r="E20" s="15">
        <v>700</v>
      </c>
      <c r="F20" s="15">
        <v>400</v>
      </c>
      <c r="G20" s="15">
        <f t="shared" si="1"/>
        <v>1680</v>
      </c>
      <c r="H20" s="15">
        <f t="shared" si="2"/>
        <v>40.855324963579342</v>
      </c>
      <c r="I20" s="15">
        <f t="shared" si="3"/>
        <v>571.9745494901108</v>
      </c>
      <c r="K20" s="15">
        <v>480</v>
      </c>
      <c r="L20" s="15">
        <v>700</v>
      </c>
      <c r="M20" s="15">
        <v>550</v>
      </c>
      <c r="N20" s="15">
        <v>750</v>
      </c>
      <c r="O20" s="15">
        <f t="shared" si="0"/>
        <v>2000</v>
      </c>
      <c r="P20" s="15">
        <f t="shared" si="4"/>
        <v>163.42129985431737</v>
      </c>
      <c r="Q20" s="15">
        <f t="shared" si="5"/>
        <v>680.9220827263224</v>
      </c>
      <c r="S20" s="15">
        <v>325</v>
      </c>
      <c r="T20" s="15">
        <v>200</v>
      </c>
      <c r="U20" s="15">
        <v>950</v>
      </c>
      <c r="V20" s="15">
        <v>150</v>
      </c>
      <c r="W20" s="15">
        <f t="shared" si="6"/>
        <v>1300</v>
      </c>
      <c r="X20" s="15">
        <f t="shared" si="7"/>
        <v>110.64983844302738</v>
      </c>
      <c r="Y20" s="15">
        <f t="shared" si="12"/>
        <v>442.59935377210951</v>
      </c>
      <c r="AA20" s="15">
        <v>145</v>
      </c>
      <c r="AB20" s="15">
        <v>1300</v>
      </c>
      <c r="AC20" s="15">
        <v>250</v>
      </c>
      <c r="AD20" s="15">
        <v>500</v>
      </c>
      <c r="AE20" s="15">
        <f t="shared" si="9"/>
        <v>2050</v>
      </c>
      <c r="AF20" s="15">
        <f t="shared" si="10"/>
        <v>49.366850997658368</v>
      </c>
      <c r="AG20" s="15">
        <f t="shared" si="11"/>
        <v>697.9451347944804</v>
      </c>
    </row>
    <row r="21" spans="2:33" hidden="1" outlineLevel="1" x14ac:dyDescent="0.2">
      <c r="B21">
        <v>15</v>
      </c>
      <c r="C21" s="15">
        <v>120</v>
      </c>
      <c r="D21" s="15">
        <v>580</v>
      </c>
      <c r="E21" s="15">
        <v>700</v>
      </c>
      <c r="F21" s="15">
        <v>400</v>
      </c>
      <c r="G21" s="15">
        <f t="shared" si="1"/>
        <v>1680</v>
      </c>
      <c r="H21" s="15">
        <f t="shared" si="2"/>
        <v>37.829004595906795</v>
      </c>
      <c r="I21" s="15">
        <f t="shared" si="3"/>
        <v>529.60606434269516</v>
      </c>
      <c r="K21" s="15">
        <v>480</v>
      </c>
      <c r="L21" s="15">
        <v>700</v>
      </c>
      <c r="M21" s="15">
        <v>550</v>
      </c>
      <c r="N21" s="15">
        <v>750</v>
      </c>
      <c r="O21" s="15">
        <f t="shared" si="0"/>
        <v>2000</v>
      </c>
      <c r="P21" s="15">
        <f t="shared" si="4"/>
        <v>151.31601838362718</v>
      </c>
      <c r="Q21" s="15">
        <f t="shared" si="5"/>
        <v>630.48340993177987</v>
      </c>
      <c r="S21" s="15">
        <v>325</v>
      </c>
      <c r="T21" s="15">
        <v>200</v>
      </c>
      <c r="U21" s="15">
        <v>950</v>
      </c>
      <c r="V21" s="15">
        <v>150</v>
      </c>
      <c r="W21" s="15">
        <f t="shared" si="6"/>
        <v>1300</v>
      </c>
      <c r="X21" s="15">
        <f t="shared" si="7"/>
        <v>102.45355411391424</v>
      </c>
      <c r="Y21" s="15">
        <f t="shared" si="12"/>
        <v>409.81421645565695</v>
      </c>
      <c r="AA21" s="15">
        <v>145</v>
      </c>
      <c r="AB21" s="15">
        <v>1300</v>
      </c>
      <c r="AC21" s="15">
        <v>250</v>
      </c>
      <c r="AD21" s="15">
        <v>500</v>
      </c>
      <c r="AE21" s="15">
        <f t="shared" si="9"/>
        <v>2050</v>
      </c>
      <c r="AF21" s="15">
        <f t="shared" si="10"/>
        <v>45.710047220054044</v>
      </c>
      <c r="AG21" s="15">
        <f t="shared" si="11"/>
        <v>646.24549518007439</v>
      </c>
    </row>
    <row r="22" spans="2:33" hidden="1" outlineLevel="1" x14ac:dyDescent="0.2">
      <c r="B22">
        <v>16</v>
      </c>
      <c r="C22" s="15">
        <v>120</v>
      </c>
      <c r="D22" s="15">
        <v>580</v>
      </c>
      <c r="E22" s="15">
        <v>700</v>
      </c>
      <c r="F22" s="15">
        <v>400</v>
      </c>
      <c r="G22" s="15">
        <f t="shared" si="1"/>
        <v>1680</v>
      </c>
      <c r="H22" s="15">
        <f t="shared" si="2"/>
        <v>35.026856107321109</v>
      </c>
      <c r="I22" s="15">
        <f t="shared" si="3"/>
        <v>490.3759855024955</v>
      </c>
      <c r="K22" s="15">
        <v>480</v>
      </c>
      <c r="L22" s="15">
        <v>700</v>
      </c>
      <c r="M22" s="15">
        <v>550</v>
      </c>
      <c r="N22" s="15">
        <v>750</v>
      </c>
      <c r="O22" s="15">
        <f t="shared" si="0"/>
        <v>2000</v>
      </c>
      <c r="P22" s="15">
        <f t="shared" si="4"/>
        <v>140.10742442928444</v>
      </c>
      <c r="Q22" s="15">
        <f t="shared" si="5"/>
        <v>583.78093512201849</v>
      </c>
      <c r="S22" s="15">
        <v>325</v>
      </c>
      <c r="T22" s="15">
        <v>200</v>
      </c>
      <c r="U22" s="15">
        <v>950</v>
      </c>
      <c r="V22" s="15">
        <v>150</v>
      </c>
      <c r="W22" s="15">
        <f t="shared" si="6"/>
        <v>1300</v>
      </c>
      <c r="X22" s="15">
        <f t="shared" si="7"/>
        <v>94.864401957327999</v>
      </c>
      <c r="Y22" s="15">
        <f t="shared" si="12"/>
        <v>379.457607829312</v>
      </c>
      <c r="AA22" s="15">
        <v>145</v>
      </c>
      <c r="AB22" s="15">
        <v>1300</v>
      </c>
      <c r="AC22" s="15">
        <v>250</v>
      </c>
      <c r="AD22" s="15">
        <v>500</v>
      </c>
      <c r="AE22" s="15">
        <f t="shared" si="9"/>
        <v>2050</v>
      </c>
      <c r="AF22" s="15">
        <f t="shared" si="10"/>
        <v>42.324117796346336</v>
      </c>
      <c r="AG22" s="15">
        <f t="shared" si="11"/>
        <v>598.37545850006893</v>
      </c>
    </row>
    <row r="23" spans="2:33" hidden="1" outlineLevel="1" x14ac:dyDescent="0.2">
      <c r="B23">
        <v>17</v>
      </c>
      <c r="C23" s="15">
        <v>120</v>
      </c>
      <c r="D23" s="15">
        <v>580</v>
      </c>
      <c r="E23" s="15">
        <v>700</v>
      </c>
      <c r="F23" s="15">
        <v>400</v>
      </c>
      <c r="G23" s="15">
        <f t="shared" si="1"/>
        <v>1680</v>
      </c>
      <c r="H23" s="15">
        <f t="shared" si="2"/>
        <v>32.432274173445471</v>
      </c>
      <c r="I23" s="15">
        <f t="shared" si="3"/>
        <v>454.05183842823658</v>
      </c>
      <c r="K23" s="15">
        <v>480</v>
      </c>
      <c r="L23" s="15">
        <v>700</v>
      </c>
      <c r="M23" s="15">
        <v>550</v>
      </c>
      <c r="N23" s="15">
        <v>750</v>
      </c>
      <c r="O23" s="15">
        <f t="shared" si="0"/>
        <v>2000</v>
      </c>
      <c r="P23" s="15">
        <f t="shared" si="4"/>
        <v>129.72909669378188</v>
      </c>
      <c r="Q23" s="15">
        <f t="shared" si="5"/>
        <v>540.53790289075778</v>
      </c>
      <c r="S23" s="15">
        <v>325</v>
      </c>
      <c r="T23" s="15">
        <v>200</v>
      </c>
      <c r="U23" s="15">
        <v>950</v>
      </c>
      <c r="V23" s="15">
        <v>150</v>
      </c>
      <c r="W23" s="15">
        <f t="shared" si="6"/>
        <v>1300</v>
      </c>
      <c r="X23" s="15">
        <f t="shared" si="7"/>
        <v>87.837409219748139</v>
      </c>
      <c r="Y23" s="15">
        <f t="shared" si="12"/>
        <v>351.34963687899256</v>
      </c>
      <c r="AA23" s="15">
        <v>145</v>
      </c>
      <c r="AB23" s="15">
        <v>1300</v>
      </c>
      <c r="AC23" s="15">
        <v>250</v>
      </c>
      <c r="AD23" s="15">
        <v>500</v>
      </c>
      <c r="AE23" s="15">
        <f t="shared" si="9"/>
        <v>2050</v>
      </c>
      <c r="AF23" s="15">
        <f t="shared" si="10"/>
        <v>39.188997959579943</v>
      </c>
      <c r="AG23" s="15">
        <f t="shared" si="11"/>
        <v>554.05135046302678</v>
      </c>
    </row>
    <row r="24" spans="2:33" hidden="1" outlineLevel="1" x14ac:dyDescent="0.2">
      <c r="B24">
        <v>18</v>
      </c>
      <c r="C24" s="15">
        <v>120</v>
      </c>
      <c r="D24" s="15">
        <v>580</v>
      </c>
      <c r="E24" s="15">
        <v>700</v>
      </c>
      <c r="F24" s="15">
        <v>400</v>
      </c>
      <c r="G24" s="15">
        <f t="shared" si="1"/>
        <v>1680</v>
      </c>
      <c r="H24" s="15">
        <f t="shared" si="2"/>
        <v>30.029883493930988</v>
      </c>
      <c r="I24" s="15">
        <f t="shared" si="3"/>
        <v>420.4183689150338</v>
      </c>
      <c r="K24" s="15">
        <v>480</v>
      </c>
      <c r="L24" s="15">
        <v>700</v>
      </c>
      <c r="M24" s="15">
        <v>550</v>
      </c>
      <c r="N24" s="15">
        <v>750</v>
      </c>
      <c r="O24" s="15">
        <f t="shared" si="0"/>
        <v>2000</v>
      </c>
      <c r="P24" s="15">
        <f t="shared" si="4"/>
        <v>120.11953397572395</v>
      </c>
      <c r="Q24" s="15">
        <f t="shared" si="5"/>
        <v>500.4980582321831</v>
      </c>
      <c r="S24" s="15">
        <v>325</v>
      </c>
      <c r="T24" s="15">
        <v>200</v>
      </c>
      <c r="U24" s="15">
        <v>950</v>
      </c>
      <c r="V24" s="15">
        <v>150</v>
      </c>
      <c r="W24" s="15">
        <f t="shared" si="6"/>
        <v>1300</v>
      </c>
      <c r="X24" s="15">
        <f t="shared" si="7"/>
        <v>81.330934462729758</v>
      </c>
      <c r="Y24" s="15">
        <f t="shared" si="12"/>
        <v>325.32373785091903</v>
      </c>
      <c r="AA24" s="15">
        <v>145</v>
      </c>
      <c r="AB24" s="15">
        <v>1300</v>
      </c>
      <c r="AC24" s="15">
        <v>250</v>
      </c>
      <c r="AD24" s="15">
        <v>500</v>
      </c>
      <c r="AE24" s="15">
        <f t="shared" si="9"/>
        <v>2050</v>
      </c>
      <c r="AF24" s="15">
        <f t="shared" si="10"/>
        <v>36.286109221833279</v>
      </c>
      <c r="AG24" s="15">
        <f t="shared" si="11"/>
        <v>513.01050968798768</v>
      </c>
    </row>
    <row r="25" spans="2:33" hidden="1" outlineLevel="1" x14ac:dyDescent="0.2">
      <c r="B25">
        <v>19</v>
      </c>
      <c r="C25" s="15">
        <v>120</v>
      </c>
      <c r="D25" s="15">
        <v>580</v>
      </c>
      <c r="E25" s="15">
        <v>700</v>
      </c>
      <c r="F25" s="15">
        <v>400</v>
      </c>
      <c r="G25" s="15">
        <f t="shared" si="1"/>
        <v>1680</v>
      </c>
      <c r="H25" s="15">
        <f t="shared" si="2"/>
        <v>27.805447679565727</v>
      </c>
      <c r="I25" s="15">
        <f t="shared" si="3"/>
        <v>389.27626751392017</v>
      </c>
      <c r="K25" s="15">
        <v>480</v>
      </c>
      <c r="L25" s="15">
        <v>700</v>
      </c>
      <c r="M25" s="15">
        <v>550</v>
      </c>
      <c r="N25" s="15">
        <v>750</v>
      </c>
      <c r="O25" s="15">
        <f t="shared" si="0"/>
        <v>2000</v>
      </c>
      <c r="P25" s="15">
        <f t="shared" si="4"/>
        <v>111.22179071826291</v>
      </c>
      <c r="Q25" s="15">
        <f t="shared" si="5"/>
        <v>463.42412799276212</v>
      </c>
      <c r="S25" s="15">
        <v>325</v>
      </c>
      <c r="T25" s="15">
        <v>200</v>
      </c>
      <c r="U25" s="15">
        <v>950</v>
      </c>
      <c r="V25" s="15">
        <v>150</v>
      </c>
      <c r="W25" s="15">
        <f t="shared" si="6"/>
        <v>1300</v>
      </c>
      <c r="X25" s="15">
        <f t="shared" si="7"/>
        <v>75.306420798823837</v>
      </c>
      <c r="Y25" s="15">
        <f t="shared" si="12"/>
        <v>301.22568319529535</v>
      </c>
      <c r="AA25" s="15">
        <v>145</v>
      </c>
      <c r="AB25" s="15">
        <v>1300</v>
      </c>
      <c r="AC25" s="15">
        <v>250</v>
      </c>
      <c r="AD25" s="15">
        <v>500</v>
      </c>
      <c r="AE25" s="15">
        <f t="shared" si="9"/>
        <v>2050</v>
      </c>
      <c r="AF25" s="15">
        <f t="shared" si="10"/>
        <v>33.598249279475255</v>
      </c>
      <c r="AG25" s="15">
        <f t="shared" si="11"/>
        <v>475.00973119258117</v>
      </c>
    </row>
    <row r="26" spans="2:33" hidden="1" outlineLevel="1" x14ac:dyDescent="0.2">
      <c r="B26">
        <v>20</v>
      </c>
      <c r="C26" s="15">
        <v>120</v>
      </c>
      <c r="D26" s="15">
        <v>580</v>
      </c>
      <c r="E26" s="15">
        <v>700</v>
      </c>
      <c r="F26" s="15">
        <v>400</v>
      </c>
      <c r="G26" s="15">
        <f t="shared" si="1"/>
        <v>1680</v>
      </c>
      <c r="H26" s="15">
        <f t="shared" si="2"/>
        <v>25.745784888486785</v>
      </c>
      <c r="I26" s="15">
        <f t="shared" si="3"/>
        <v>360.440988438815</v>
      </c>
      <c r="K26" s="15">
        <v>480</v>
      </c>
      <c r="L26" s="15">
        <v>700</v>
      </c>
      <c r="M26" s="15">
        <v>550</v>
      </c>
      <c r="N26" s="15">
        <v>750</v>
      </c>
      <c r="O26" s="15">
        <f t="shared" si="0"/>
        <v>2000</v>
      </c>
      <c r="P26" s="15">
        <f t="shared" si="4"/>
        <v>102.98313955394714</v>
      </c>
      <c r="Q26" s="15">
        <f t="shared" si="5"/>
        <v>429.09641480811308</v>
      </c>
      <c r="S26" s="15">
        <v>325</v>
      </c>
      <c r="T26" s="15">
        <v>200</v>
      </c>
      <c r="U26" s="15">
        <v>950</v>
      </c>
      <c r="V26" s="15">
        <v>150</v>
      </c>
      <c r="W26" s="15">
        <f t="shared" si="6"/>
        <v>1300</v>
      </c>
      <c r="X26" s="15">
        <f t="shared" si="7"/>
        <v>69.728167406318377</v>
      </c>
      <c r="Y26" s="15">
        <f t="shared" si="12"/>
        <v>278.91266962527351</v>
      </c>
      <c r="AA26" s="15">
        <v>145</v>
      </c>
      <c r="AB26" s="15">
        <v>1300</v>
      </c>
      <c r="AC26" s="15">
        <v>250</v>
      </c>
      <c r="AD26" s="15">
        <v>500</v>
      </c>
      <c r="AE26" s="15">
        <f t="shared" si="9"/>
        <v>2050</v>
      </c>
      <c r="AF26" s="15">
        <f t="shared" si="10"/>
        <v>31.109490073588198</v>
      </c>
      <c r="AG26" s="15">
        <f t="shared" si="11"/>
        <v>439.82382517831593</v>
      </c>
    </row>
    <row r="27" spans="2:33" hidden="1" outlineLevel="1" x14ac:dyDescent="0.2">
      <c r="B27">
        <v>21</v>
      </c>
      <c r="C27" s="15">
        <v>120</v>
      </c>
      <c r="D27" s="15">
        <v>580</v>
      </c>
      <c r="E27" s="15">
        <v>700</v>
      </c>
      <c r="F27" s="15">
        <v>400</v>
      </c>
      <c r="G27" s="15">
        <f t="shared" si="1"/>
        <v>1680</v>
      </c>
      <c r="H27" s="15">
        <f t="shared" si="2"/>
        <v>23.838689711561837</v>
      </c>
      <c r="I27" s="15">
        <f t="shared" si="3"/>
        <v>333.74165596186572</v>
      </c>
      <c r="K27" s="15">
        <v>480</v>
      </c>
      <c r="L27" s="15">
        <v>700</v>
      </c>
      <c r="M27" s="15">
        <v>550</v>
      </c>
      <c r="N27" s="15">
        <v>750</v>
      </c>
      <c r="O27" s="15">
        <f t="shared" si="0"/>
        <v>2000</v>
      </c>
      <c r="P27" s="15">
        <f t="shared" si="4"/>
        <v>95.35475884624735</v>
      </c>
      <c r="Q27" s="15">
        <f t="shared" si="5"/>
        <v>397.31149519269729</v>
      </c>
      <c r="S27" s="15">
        <v>325</v>
      </c>
      <c r="T27" s="15">
        <v>200</v>
      </c>
      <c r="U27" s="15">
        <v>950</v>
      </c>
      <c r="V27" s="15">
        <v>150</v>
      </c>
      <c r="W27" s="15">
        <f t="shared" si="6"/>
        <v>1300</v>
      </c>
      <c r="X27" s="15">
        <f t="shared" si="7"/>
        <v>64.563117968813302</v>
      </c>
      <c r="Y27" s="15">
        <f t="shared" si="12"/>
        <v>258.25247187525321</v>
      </c>
      <c r="AA27" s="15">
        <v>145</v>
      </c>
      <c r="AB27" s="15">
        <v>1300</v>
      </c>
      <c r="AC27" s="15">
        <v>250</v>
      </c>
      <c r="AD27" s="15">
        <v>500</v>
      </c>
      <c r="AE27" s="15">
        <f t="shared" si="9"/>
        <v>2050</v>
      </c>
      <c r="AF27" s="15">
        <f t="shared" si="10"/>
        <v>28.805083401470554</v>
      </c>
      <c r="AG27" s="15">
        <f t="shared" si="11"/>
        <v>407.24428257251469</v>
      </c>
    </row>
    <row r="28" spans="2:33" hidden="1" outlineLevel="1" x14ac:dyDescent="0.2">
      <c r="B28">
        <v>22</v>
      </c>
      <c r="C28" s="15">
        <v>120</v>
      </c>
      <c r="D28" s="15">
        <v>580</v>
      </c>
      <c r="E28" s="15">
        <v>700</v>
      </c>
      <c r="F28" s="15">
        <v>400</v>
      </c>
      <c r="G28" s="15">
        <f t="shared" si="1"/>
        <v>1680</v>
      </c>
      <c r="H28" s="15">
        <f t="shared" si="2"/>
        <v>22.072860844038736</v>
      </c>
      <c r="I28" s="15">
        <f t="shared" si="3"/>
        <v>309.02005181654226</v>
      </c>
      <c r="K28" s="15">
        <v>480</v>
      </c>
      <c r="L28" s="15">
        <v>700</v>
      </c>
      <c r="M28" s="15">
        <v>550</v>
      </c>
      <c r="N28" s="15">
        <v>750</v>
      </c>
      <c r="O28" s="15">
        <f t="shared" si="0"/>
        <v>2000</v>
      </c>
      <c r="P28" s="15">
        <f t="shared" si="4"/>
        <v>88.291443376154945</v>
      </c>
      <c r="Q28" s="15">
        <f t="shared" si="5"/>
        <v>367.88101406731226</v>
      </c>
      <c r="S28" s="15">
        <v>325</v>
      </c>
      <c r="T28" s="15">
        <v>200</v>
      </c>
      <c r="U28" s="15">
        <v>950</v>
      </c>
      <c r="V28" s="15">
        <v>150</v>
      </c>
      <c r="W28" s="15">
        <f t="shared" si="6"/>
        <v>1300</v>
      </c>
      <c r="X28" s="15">
        <f t="shared" si="7"/>
        <v>59.780664785938242</v>
      </c>
      <c r="Y28" s="15">
        <f t="shared" si="12"/>
        <v>239.12265914375297</v>
      </c>
      <c r="AA28" s="15">
        <v>145</v>
      </c>
      <c r="AB28" s="15">
        <v>1300</v>
      </c>
      <c r="AC28" s="15">
        <v>250</v>
      </c>
      <c r="AD28" s="15">
        <v>500</v>
      </c>
      <c r="AE28" s="15">
        <f t="shared" si="9"/>
        <v>2050</v>
      </c>
      <c r="AF28" s="15">
        <f t="shared" si="10"/>
        <v>26.671373519880138</v>
      </c>
      <c r="AG28" s="15">
        <f t="shared" si="11"/>
        <v>377.07803941899505</v>
      </c>
    </row>
    <row r="29" spans="2:33" hidden="1" outlineLevel="1" x14ac:dyDescent="0.2">
      <c r="B29">
        <v>23</v>
      </c>
      <c r="C29" s="15">
        <v>120</v>
      </c>
      <c r="D29" s="15">
        <v>580</v>
      </c>
      <c r="E29" s="15">
        <v>700</v>
      </c>
      <c r="F29" s="15">
        <v>400</v>
      </c>
      <c r="G29" s="15">
        <f t="shared" si="1"/>
        <v>1680</v>
      </c>
      <c r="H29" s="15">
        <f t="shared" si="2"/>
        <v>20.437834114850681</v>
      </c>
      <c r="I29" s="15">
        <f t="shared" si="3"/>
        <v>286.12967760790951</v>
      </c>
      <c r="K29" s="15">
        <v>480</v>
      </c>
      <c r="L29" s="15">
        <v>700</v>
      </c>
      <c r="M29" s="15">
        <v>550</v>
      </c>
      <c r="N29" s="15">
        <v>750</v>
      </c>
      <c r="O29" s="15">
        <f t="shared" si="0"/>
        <v>2000</v>
      </c>
      <c r="P29" s="15">
        <f t="shared" si="4"/>
        <v>81.751336459402722</v>
      </c>
      <c r="Q29" s="15">
        <f t="shared" si="5"/>
        <v>340.63056858084468</v>
      </c>
      <c r="S29" s="15">
        <v>325</v>
      </c>
      <c r="T29" s="15">
        <v>200</v>
      </c>
      <c r="U29" s="15">
        <v>950</v>
      </c>
      <c r="V29" s="15">
        <v>150</v>
      </c>
      <c r="W29" s="15">
        <f t="shared" si="6"/>
        <v>1300</v>
      </c>
      <c r="X29" s="15">
        <f t="shared" si="7"/>
        <v>55.352467394387261</v>
      </c>
      <c r="Y29" s="15">
        <f t="shared" si="12"/>
        <v>221.40986957754905</v>
      </c>
      <c r="AA29" s="15">
        <v>145</v>
      </c>
      <c r="AB29" s="15">
        <v>1300</v>
      </c>
      <c r="AC29" s="15">
        <v>250</v>
      </c>
      <c r="AD29" s="15">
        <v>500</v>
      </c>
      <c r="AE29" s="15">
        <f t="shared" si="9"/>
        <v>2050</v>
      </c>
      <c r="AF29" s="15">
        <f t="shared" si="10"/>
        <v>24.695716222111237</v>
      </c>
      <c r="AG29" s="15">
        <f t="shared" si="11"/>
        <v>349.14633279536577</v>
      </c>
    </row>
    <row r="30" spans="2:33" hidden="1" outlineLevel="1" x14ac:dyDescent="0.2">
      <c r="B30">
        <v>24</v>
      </c>
      <c r="C30" s="15">
        <v>120</v>
      </c>
      <c r="D30" s="15">
        <v>580</v>
      </c>
      <c r="E30" s="15">
        <v>700</v>
      </c>
      <c r="F30" s="15">
        <v>400</v>
      </c>
      <c r="G30" s="15">
        <f t="shared" si="1"/>
        <v>1680</v>
      </c>
      <c r="H30" s="15">
        <f t="shared" si="2"/>
        <v>18.923920476713594</v>
      </c>
      <c r="I30" s="15">
        <f t="shared" si="3"/>
        <v>264.93488667399026</v>
      </c>
      <c r="K30" s="15">
        <v>480</v>
      </c>
      <c r="L30" s="15">
        <v>700</v>
      </c>
      <c r="M30" s="15">
        <v>550</v>
      </c>
      <c r="N30" s="15">
        <v>750</v>
      </c>
      <c r="O30" s="15">
        <f t="shared" si="0"/>
        <v>2000</v>
      </c>
      <c r="P30" s="15">
        <f t="shared" si="4"/>
        <v>75.695681906854375</v>
      </c>
      <c r="Q30" s="15">
        <f t="shared" si="5"/>
        <v>315.39867461189323</v>
      </c>
      <c r="S30" s="15">
        <v>325</v>
      </c>
      <c r="T30" s="15">
        <v>200</v>
      </c>
      <c r="U30" s="15">
        <v>950</v>
      </c>
      <c r="V30" s="15">
        <v>150</v>
      </c>
      <c r="W30" s="15">
        <f t="shared" si="6"/>
        <v>1300</v>
      </c>
      <c r="X30" s="15">
        <f t="shared" si="7"/>
        <v>51.252284624432647</v>
      </c>
      <c r="Y30" s="15">
        <f t="shared" si="12"/>
        <v>205.00913849773059</v>
      </c>
      <c r="AA30" s="15">
        <v>145</v>
      </c>
      <c r="AB30" s="15">
        <v>1300</v>
      </c>
      <c r="AC30" s="15">
        <v>250</v>
      </c>
      <c r="AD30" s="15">
        <v>500</v>
      </c>
      <c r="AE30" s="15">
        <f t="shared" si="9"/>
        <v>2050</v>
      </c>
      <c r="AF30" s="15">
        <f t="shared" si="10"/>
        <v>22.866403909362258</v>
      </c>
      <c r="AG30" s="15">
        <f t="shared" si="11"/>
        <v>323.28364147719054</v>
      </c>
    </row>
    <row r="31" spans="2:33" hidden="1" outlineLevel="1" x14ac:dyDescent="0.2">
      <c r="B31">
        <v>25</v>
      </c>
      <c r="C31" s="15">
        <v>120</v>
      </c>
      <c r="D31" s="15">
        <v>580</v>
      </c>
      <c r="E31" s="15">
        <v>700</v>
      </c>
      <c r="F31" s="15">
        <v>400</v>
      </c>
      <c r="G31" s="15">
        <f t="shared" si="1"/>
        <v>1680</v>
      </c>
      <c r="H31" s="15">
        <f t="shared" si="2"/>
        <v>17.522148589549619</v>
      </c>
      <c r="I31" s="15">
        <f t="shared" si="3"/>
        <v>245.31008025369468</v>
      </c>
      <c r="K31" s="15">
        <v>480</v>
      </c>
      <c r="L31" s="15">
        <v>700</v>
      </c>
      <c r="M31" s="15">
        <v>550</v>
      </c>
      <c r="N31" s="15">
        <v>750</v>
      </c>
      <c r="O31" s="15">
        <f t="shared" si="0"/>
        <v>2000</v>
      </c>
      <c r="P31" s="15">
        <f t="shared" si="4"/>
        <v>70.088594358198478</v>
      </c>
      <c r="Q31" s="15">
        <f t="shared" si="5"/>
        <v>292.03580982582702</v>
      </c>
      <c r="S31" s="15">
        <v>325</v>
      </c>
      <c r="T31" s="15">
        <v>200</v>
      </c>
      <c r="U31" s="15">
        <v>950</v>
      </c>
      <c r="V31" s="15">
        <v>150</v>
      </c>
      <c r="W31" s="15">
        <f t="shared" si="6"/>
        <v>1300</v>
      </c>
      <c r="X31" s="15">
        <f t="shared" si="7"/>
        <v>47.455819096696885</v>
      </c>
      <c r="Y31" s="15">
        <f t="shared" si="12"/>
        <v>189.82327638678754</v>
      </c>
      <c r="AA31" s="15">
        <v>145</v>
      </c>
      <c r="AB31" s="15">
        <v>1300</v>
      </c>
      <c r="AC31" s="15">
        <v>250</v>
      </c>
      <c r="AD31" s="15">
        <v>500</v>
      </c>
      <c r="AE31" s="15">
        <f t="shared" si="9"/>
        <v>2050</v>
      </c>
      <c r="AF31" s="15">
        <f t="shared" si="10"/>
        <v>21.172596212372458</v>
      </c>
      <c r="AG31" s="15">
        <f t="shared" si="11"/>
        <v>299.33670507147269</v>
      </c>
    </row>
    <row r="32" spans="2:33" hidden="1" outlineLevel="1" x14ac:dyDescent="0.2">
      <c r="B32">
        <v>26</v>
      </c>
      <c r="C32" s="15">
        <v>120</v>
      </c>
      <c r="D32" s="15">
        <v>580</v>
      </c>
      <c r="E32" s="15">
        <v>700</v>
      </c>
      <c r="F32" s="15">
        <v>400</v>
      </c>
      <c r="G32" s="15">
        <f t="shared" si="1"/>
        <v>1680</v>
      </c>
      <c r="H32" s="15">
        <f t="shared" si="2"/>
        <v>16.224211656990391</v>
      </c>
      <c r="I32" s="15">
        <f t="shared" si="3"/>
        <v>227.13896319786545</v>
      </c>
      <c r="K32" s="15">
        <v>480</v>
      </c>
      <c r="L32" s="15">
        <v>700</v>
      </c>
      <c r="M32" s="15">
        <v>550</v>
      </c>
      <c r="N32" s="15">
        <v>750</v>
      </c>
      <c r="O32" s="15">
        <f t="shared" si="0"/>
        <v>2000</v>
      </c>
      <c r="P32" s="15">
        <f t="shared" si="4"/>
        <v>64.896846627961565</v>
      </c>
      <c r="Q32" s="15">
        <f t="shared" si="5"/>
        <v>270.40352761650649</v>
      </c>
      <c r="S32" s="15">
        <v>325</v>
      </c>
      <c r="T32" s="15">
        <v>200</v>
      </c>
      <c r="U32" s="15">
        <v>950</v>
      </c>
      <c r="V32" s="15">
        <v>150</v>
      </c>
      <c r="W32" s="15">
        <f t="shared" si="6"/>
        <v>1300</v>
      </c>
      <c r="X32" s="15">
        <f t="shared" si="7"/>
        <v>43.940573237682308</v>
      </c>
      <c r="Y32" s="15">
        <f t="shared" si="12"/>
        <v>175.76229295072923</v>
      </c>
      <c r="AA32" s="15">
        <v>145</v>
      </c>
      <c r="AB32" s="15">
        <v>1300</v>
      </c>
      <c r="AC32" s="15">
        <v>250</v>
      </c>
      <c r="AD32" s="15">
        <v>500</v>
      </c>
      <c r="AE32" s="15">
        <f t="shared" si="9"/>
        <v>2050</v>
      </c>
      <c r="AF32" s="15">
        <f t="shared" si="10"/>
        <v>19.604255752196721</v>
      </c>
      <c r="AG32" s="15">
        <f t="shared" si="11"/>
        <v>277.16361580691915</v>
      </c>
    </row>
    <row r="33" spans="2:33" hidden="1" outlineLevel="1" x14ac:dyDescent="0.2">
      <c r="B33">
        <v>27</v>
      </c>
      <c r="C33" s="15">
        <v>120</v>
      </c>
      <c r="D33" s="15">
        <v>580</v>
      </c>
      <c r="E33" s="15">
        <v>700</v>
      </c>
      <c r="F33" s="15">
        <v>400</v>
      </c>
      <c r="G33" s="15">
        <f t="shared" si="1"/>
        <v>1680</v>
      </c>
      <c r="H33" s="15">
        <f t="shared" si="2"/>
        <v>15.022418200917027</v>
      </c>
      <c r="I33" s="15">
        <f t="shared" si="3"/>
        <v>210.3138548128384</v>
      </c>
      <c r="K33" s="15">
        <v>480</v>
      </c>
      <c r="L33" s="15">
        <v>700</v>
      </c>
      <c r="M33" s="15">
        <v>550</v>
      </c>
      <c r="N33" s="15">
        <v>750</v>
      </c>
      <c r="O33" s="15">
        <f t="shared" si="0"/>
        <v>2000</v>
      </c>
      <c r="P33" s="15">
        <f t="shared" si="4"/>
        <v>60.089672803668108</v>
      </c>
      <c r="Q33" s="15">
        <f t="shared" si="5"/>
        <v>250.37363668195047</v>
      </c>
      <c r="S33" s="15">
        <v>325</v>
      </c>
      <c r="T33" s="15">
        <v>200</v>
      </c>
      <c r="U33" s="15">
        <v>950</v>
      </c>
      <c r="V33" s="15">
        <v>150</v>
      </c>
      <c r="W33" s="15">
        <f t="shared" si="6"/>
        <v>1300</v>
      </c>
      <c r="X33" s="15">
        <f t="shared" si="7"/>
        <v>40.68571596081695</v>
      </c>
      <c r="Y33" s="15">
        <f t="shared" si="12"/>
        <v>162.7428638432678</v>
      </c>
      <c r="AA33" s="15">
        <v>145</v>
      </c>
      <c r="AB33" s="15">
        <v>1300</v>
      </c>
      <c r="AC33" s="15">
        <v>250</v>
      </c>
      <c r="AD33" s="15">
        <v>500</v>
      </c>
      <c r="AE33" s="15">
        <f t="shared" si="9"/>
        <v>2050</v>
      </c>
      <c r="AF33" s="15">
        <f t="shared" si="10"/>
        <v>18.152088659441407</v>
      </c>
      <c r="AG33" s="15">
        <f t="shared" si="11"/>
        <v>256.63297759899922</v>
      </c>
    </row>
    <row r="34" spans="2:33" hidden="1" outlineLevel="1" x14ac:dyDescent="0.2">
      <c r="B34">
        <v>28</v>
      </c>
      <c r="C34" s="15">
        <v>120</v>
      </c>
      <c r="D34" s="15">
        <v>580</v>
      </c>
      <c r="E34" s="15">
        <v>700</v>
      </c>
      <c r="F34" s="15">
        <v>400</v>
      </c>
      <c r="G34" s="15">
        <f t="shared" si="1"/>
        <v>1680</v>
      </c>
      <c r="H34" s="15">
        <f t="shared" si="2"/>
        <v>13.909646482330581</v>
      </c>
      <c r="I34" s="15">
        <f t="shared" si="3"/>
        <v>194.73505075262813</v>
      </c>
      <c r="K34" s="15">
        <v>480</v>
      </c>
      <c r="L34" s="15">
        <v>700</v>
      </c>
      <c r="M34" s="15">
        <v>550</v>
      </c>
      <c r="N34" s="15">
        <v>750</v>
      </c>
      <c r="O34" s="15">
        <f t="shared" si="0"/>
        <v>2000</v>
      </c>
      <c r="P34" s="15">
        <f t="shared" si="4"/>
        <v>55.638585929322325</v>
      </c>
      <c r="Q34" s="15">
        <f t="shared" si="5"/>
        <v>231.82744137217634</v>
      </c>
      <c r="S34" s="15">
        <v>325</v>
      </c>
      <c r="T34" s="15">
        <v>200</v>
      </c>
      <c r="U34" s="15">
        <v>950</v>
      </c>
      <c r="V34" s="15">
        <v>150</v>
      </c>
      <c r="W34" s="15">
        <f t="shared" si="6"/>
        <v>1300</v>
      </c>
      <c r="X34" s="15">
        <f t="shared" si="7"/>
        <v>37.671959222978657</v>
      </c>
      <c r="Y34" s="15">
        <f t="shared" si="12"/>
        <v>150.68783689191463</v>
      </c>
      <c r="AA34" s="15">
        <v>145</v>
      </c>
      <c r="AB34" s="15">
        <v>1300</v>
      </c>
      <c r="AC34" s="15">
        <v>250</v>
      </c>
      <c r="AD34" s="15">
        <v>500</v>
      </c>
      <c r="AE34" s="15">
        <f t="shared" si="9"/>
        <v>2050</v>
      </c>
      <c r="AF34" s="15">
        <f t="shared" si="10"/>
        <v>16.807489499482784</v>
      </c>
      <c r="AG34" s="15">
        <f t="shared" si="11"/>
        <v>237.62312740648076</v>
      </c>
    </row>
    <row r="35" spans="2:33" hidden="1" outlineLevel="1" x14ac:dyDescent="0.2">
      <c r="B35">
        <v>29</v>
      </c>
      <c r="C35" s="15">
        <v>120</v>
      </c>
      <c r="D35" s="15">
        <v>580</v>
      </c>
      <c r="E35" s="15">
        <v>700</v>
      </c>
      <c r="F35" s="15">
        <v>400</v>
      </c>
      <c r="G35" s="15">
        <f t="shared" si="1"/>
        <v>1680</v>
      </c>
      <c r="H35" s="15">
        <f t="shared" si="2"/>
        <v>12.87930229845424</v>
      </c>
      <c r="I35" s="15">
        <f t="shared" si="3"/>
        <v>180.31023217835937</v>
      </c>
      <c r="K35" s="15">
        <v>480</v>
      </c>
      <c r="L35" s="15">
        <v>700</v>
      </c>
      <c r="M35" s="15">
        <v>550</v>
      </c>
      <c r="N35" s="15">
        <v>750</v>
      </c>
      <c r="O35" s="15">
        <f t="shared" si="0"/>
        <v>2000</v>
      </c>
      <c r="P35" s="15">
        <f t="shared" si="4"/>
        <v>51.51720919381696</v>
      </c>
      <c r="Q35" s="15">
        <f t="shared" si="5"/>
        <v>214.65503830757066</v>
      </c>
      <c r="S35" s="15">
        <v>325</v>
      </c>
      <c r="T35" s="15">
        <v>200</v>
      </c>
      <c r="U35" s="15">
        <v>950</v>
      </c>
      <c r="V35" s="15">
        <v>150</v>
      </c>
      <c r="W35" s="15">
        <f t="shared" si="6"/>
        <v>1300</v>
      </c>
      <c r="X35" s="15">
        <f t="shared" si="7"/>
        <v>34.881443724980237</v>
      </c>
      <c r="Y35" s="15">
        <f t="shared" si="12"/>
        <v>139.52577489992095</v>
      </c>
      <c r="AA35" s="15">
        <v>145</v>
      </c>
      <c r="AB35" s="15">
        <v>1300</v>
      </c>
      <c r="AC35" s="15">
        <v>250</v>
      </c>
      <c r="AD35" s="15">
        <v>500</v>
      </c>
      <c r="AE35" s="15">
        <f t="shared" si="9"/>
        <v>2050</v>
      </c>
      <c r="AF35" s="15">
        <f t="shared" si="10"/>
        <v>15.562490277298874</v>
      </c>
      <c r="AG35" s="15">
        <f t="shared" si="11"/>
        <v>220.02141426525995</v>
      </c>
    </row>
    <row r="36" spans="2:33" hidden="1" outlineLevel="1" x14ac:dyDescent="0.2">
      <c r="B36">
        <v>30</v>
      </c>
      <c r="C36" s="15">
        <v>120</v>
      </c>
      <c r="D36" s="15">
        <v>580</v>
      </c>
      <c r="E36" s="15">
        <v>700</v>
      </c>
      <c r="F36" s="15">
        <v>400</v>
      </c>
      <c r="G36" s="15">
        <f t="shared" si="1"/>
        <v>1680</v>
      </c>
      <c r="H36" s="15">
        <f t="shared" si="2"/>
        <v>11.925279905976147</v>
      </c>
      <c r="I36" s="15">
        <f t="shared" si="3"/>
        <v>166.95391868366607</v>
      </c>
      <c r="K36" s="15">
        <v>480</v>
      </c>
      <c r="L36" s="15">
        <v>700</v>
      </c>
      <c r="M36" s="15">
        <v>550</v>
      </c>
      <c r="N36" s="15">
        <v>750</v>
      </c>
      <c r="O36" s="15">
        <f t="shared" si="0"/>
        <v>2000</v>
      </c>
      <c r="P36" s="15">
        <f t="shared" si="4"/>
        <v>47.701119623904589</v>
      </c>
      <c r="Q36" s="15">
        <f t="shared" si="5"/>
        <v>198.75466509960245</v>
      </c>
      <c r="S36" s="15">
        <v>325</v>
      </c>
      <c r="T36" s="15">
        <v>200</v>
      </c>
      <c r="U36" s="15">
        <v>950</v>
      </c>
      <c r="V36" s="15">
        <v>150</v>
      </c>
      <c r="W36" s="15">
        <f t="shared" si="6"/>
        <v>1300</v>
      </c>
      <c r="X36" s="15">
        <f t="shared" si="7"/>
        <v>32.297633078685401</v>
      </c>
      <c r="Y36" s="15">
        <f t="shared" si="12"/>
        <v>129.1905323147416</v>
      </c>
      <c r="AA36" s="15">
        <v>145</v>
      </c>
      <c r="AB36" s="15">
        <v>1300</v>
      </c>
      <c r="AC36" s="15">
        <v>250</v>
      </c>
      <c r="AD36" s="15">
        <v>500</v>
      </c>
      <c r="AE36" s="15">
        <f t="shared" si="9"/>
        <v>2050</v>
      </c>
      <c r="AF36" s="15">
        <f t="shared" si="10"/>
        <v>14.409713219721178</v>
      </c>
      <c r="AG36" s="15">
        <f t="shared" si="11"/>
        <v>203.72353172709251</v>
      </c>
    </row>
    <row r="37" spans="2:33" hidden="1" outlineLevel="1" x14ac:dyDescent="0.2">
      <c r="B37">
        <v>31</v>
      </c>
      <c r="C37" s="15">
        <v>120</v>
      </c>
      <c r="D37" s="15">
        <v>580</v>
      </c>
      <c r="E37" s="15">
        <v>700</v>
      </c>
      <c r="F37" s="15">
        <v>400</v>
      </c>
      <c r="G37" s="15">
        <f t="shared" si="1"/>
        <v>1680</v>
      </c>
      <c r="H37" s="15">
        <f t="shared" si="2"/>
        <v>11.041925838866801</v>
      </c>
      <c r="I37" s="15">
        <f t="shared" si="3"/>
        <v>154.58696174413524</v>
      </c>
      <c r="K37" s="15">
        <v>480</v>
      </c>
      <c r="L37" s="15">
        <v>700</v>
      </c>
      <c r="M37" s="15">
        <v>550</v>
      </c>
      <c r="N37" s="15">
        <v>750</v>
      </c>
      <c r="O37" s="15">
        <f t="shared" si="0"/>
        <v>2000</v>
      </c>
      <c r="P37" s="15">
        <f t="shared" si="4"/>
        <v>44.167703355467204</v>
      </c>
      <c r="Q37" s="15">
        <f t="shared" si="5"/>
        <v>184.0320973144467</v>
      </c>
      <c r="S37" s="15">
        <v>325</v>
      </c>
      <c r="T37" s="15">
        <v>200</v>
      </c>
      <c r="U37" s="15">
        <v>950</v>
      </c>
      <c r="V37" s="15">
        <v>150</v>
      </c>
      <c r="W37" s="15">
        <f t="shared" si="6"/>
        <v>1300</v>
      </c>
      <c r="X37" s="15">
        <f t="shared" si="7"/>
        <v>29.905215813597589</v>
      </c>
      <c r="Y37" s="15">
        <f t="shared" si="12"/>
        <v>119.62086325439036</v>
      </c>
      <c r="AA37" s="15">
        <v>145</v>
      </c>
      <c r="AB37" s="15">
        <v>1300</v>
      </c>
      <c r="AC37" s="15">
        <v>250</v>
      </c>
      <c r="AD37" s="15">
        <v>500</v>
      </c>
      <c r="AE37" s="15">
        <f t="shared" si="9"/>
        <v>2050</v>
      </c>
      <c r="AF37" s="15">
        <f t="shared" si="10"/>
        <v>13.342327055297385</v>
      </c>
      <c r="AG37" s="15">
        <f t="shared" si="11"/>
        <v>188.63289974730787</v>
      </c>
    </row>
    <row r="38" spans="2:33" hidden="1" outlineLevel="1" x14ac:dyDescent="0.2">
      <c r="B38">
        <v>32</v>
      </c>
      <c r="C38" s="15">
        <v>120</v>
      </c>
      <c r="D38" s="15">
        <v>580</v>
      </c>
      <c r="E38" s="15">
        <v>700</v>
      </c>
      <c r="F38" s="15">
        <v>400</v>
      </c>
      <c r="G38" s="15">
        <f t="shared" si="1"/>
        <v>1680</v>
      </c>
      <c r="H38" s="15">
        <f t="shared" si="2"/>
        <v>10.224005406358149</v>
      </c>
      <c r="I38" s="15">
        <f t="shared" si="3"/>
        <v>143.13607568901409</v>
      </c>
      <c r="K38" s="15">
        <v>480</v>
      </c>
      <c r="L38" s="15">
        <v>700</v>
      </c>
      <c r="M38" s="15">
        <v>550</v>
      </c>
      <c r="N38" s="15">
        <v>750</v>
      </c>
      <c r="O38" s="15">
        <f t="shared" si="0"/>
        <v>2000</v>
      </c>
      <c r="P38" s="15">
        <f t="shared" si="4"/>
        <v>40.896021625432596</v>
      </c>
      <c r="Q38" s="15">
        <f t="shared" si="5"/>
        <v>170.40009010596916</v>
      </c>
      <c r="S38" s="15">
        <v>325</v>
      </c>
      <c r="T38" s="15">
        <v>200</v>
      </c>
      <c r="U38" s="15">
        <v>950</v>
      </c>
      <c r="V38" s="15">
        <v>150</v>
      </c>
      <c r="W38" s="15">
        <f t="shared" si="6"/>
        <v>1300</v>
      </c>
      <c r="X38" s="15">
        <f t="shared" si="7"/>
        <v>27.690014642219989</v>
      </c>
      <c r="Y38" s="15">
        <f t="shared" si="12"/>
        <v>110.76005856887996</v>
      </c>
      <c r="AA38" s="15">
        <v>145</v>
      </c>
      <c r="AB38" s="15">
        <v>1300</v>
      </c>
      <c r="AC38" s="15">
        <v>250</v>
      </c>
      <c r="AD38" s="15">
        <v>500</v>
      </c>
      <c r="AE38" s="15">
        <f t="shared" si="9"/>
        <v>2050</v>
      </c>
      <c r="AF38" s="15">
        <f t="shared" si="10"/>
        <v>12.354006532682764</v>
      </c>
      <c r="AG38" s="15">
        <f t="shared" si="11"/>
        <v>174.66009235861839</v>
      </c>
    </row>
    <row r="39" spans="2:33" hidden="1" outlineLevel="1" x14ac:dyDescent="0.2">
      <c r="B39">
        <v>33</v>
      </c>
      <c r="C39" s="15">
        <v>120</v>
      </c>
      <c r="D39" s="15">
        <v>580</v>
      </c>
      <c r="E39" s="15">
        <v>700</v>
      </c>
      <c r="F39" s="15">
        <v>400</v>
      </c>
      <c r="G39" s="15">
        <f t="shared" si="1"/>
        <v>1680</v>
      </c>
      <c r="H39" s="15">
        <f t="shared" si="2"/>
        <v>9.4666716725538418</v>
      </c>
      <c r="I39" s="15">
        <f t="shared" si="3"/>
        <v>132.53340341575378</v>
      </c>
      <c r="K39" s="15">
        <v>480</v>
      </c>
      <c r="L39" s="15">
        <v>700</v>
      </c>
      <c r="M39" s="15">
        <v>550</v>
      </c>
      <c r="N39" s="15">
        <v>750</v>
      </c>
      <c r="O39" s="15">
        <f t="shared" si="0"/>
        <v>2000</v>
      </c>
      <c r="P39" s="15">
        <f t="shared" si="4"/>
        <v>37.866686690215367</v>
      </c>
      <c r="Q39" s="15">
        <f t="shared" si="5"/>
        <v>157.77786120923071</v>
      </c>
      <c r="S39" s="15">
        <v>325</v>
      </c>
      <c r="T39" s="15">
        <v>200</v>
      </c>
      <c r="U39" s="15">
        <v>950</v>
      </c>
      <c r="V39" s="15">
        <v>150</v>
      </c>
      <c r="W39" s="15">
        <f t="shared" si="6"/>
        <v>1300</v>
      </c>
      <c r="X39" s="15">
        <f t="shared" si="7"/>
        <v>25.638902446499987</v>
      </c>
      <c r="Y39" s="15">
        <f t="shared" si="12"/>
        <v>102.55560978599995</v>
      </c>
      <c r="AA39" s="15">
        <v>145</v>
      </c>
      <c r="AB39" s="15">
        <v>1300</v>
      </c>
      <c r="AC39" s="15">
        <v>250</v>
      </c>
      <c r="AD39" s="15">
        <v>500</v>
      </c>
      <c r="AE39" s="15">
        <f t="shared" si="9"/>
        <v>2050</v>
      </c>
      <c r="AF39" s="15">
        <f t="shared" si="10"/>
        <v>11.438894937669225</v>
      </c>
      <c r="AG39" s="15">
        <f t="shared" si="11"/>
        <v>161.72230773946146</v>
      </c>
    </row>
    <row r="40" spans="2:33" hidden="1" outlineLevel="1" x14ac:dyDescent="0.2">
      <c r="B40">
        <v>34</v>
      </c>
      <c r="C40" s="15">
        <v>120</v>
      </c>
      <c r="D40" s="15">
        <v>580</v>
      </c>
      <c r="E40" s="15">
        <v>700</v>
      </c>
      <c r="F40" s="15">
        <v>400</v>
      </c>
      <c r="G40" s="15">
        <f t="shared" si="1"/>
        <v>1680</v>
      </c>
      <c r="H40" s="15">
        <f t="shared" si="2"/>
        <v>8.7654367338461494</v>
      </c>
      <c r="I40" s="15">
        <f t="shared" si="3"/>
        <v>122.7161142738461</v>
      </c>
      <c r="K40" s="15">
        <v>480</v>
      </c>
      <c r="L40" s="15">
        <v>700</v>
      </c>
      <c r="M40" s="15">
        <v>550</v>
      </c>
      <c r="N40" s="15">
        <v>750</v>
      </c>
      <c r="O40" s="15">
        <f t="shared" si="0"/>
        <v>2000</v>
      </c>
      <c r="P40" s="15">
        <f t="shared" si="4"/>
        <v>35.061746935384598</v>
      </c>
      <c r="Q40" s="15">
        <f t="shared" si="5"/>
        <v>146.09061223076915</v>
      </c>
      <c r="S40" s="15">
        <v>325</v>
      </c>
      <c r="T40" s="15">
        <v>200</v>
      </c>
      <c r="U40" s="15">
        <v>950</v>
      </c>
      <c r="V40" s="15">
        <v>150</v>
      </c>
      <c r="W40" s="15">
        <f t="shared" si="6"/>
        <v>1300</v>
      </c>
      <c r="X40" s="15">
        <f t="shared" si="7"/>
        <v>23.739724487499988</v>
      </c>
      <c r="Y40" s="15">
        <f t="shared" si="12"/>
        <v>94.958897949999951</v>
      </c>
      <c r="AA40" s="15">
        <v>145</v>
      </c>
      <c r="AB40" s="15">
        <v>1300</v>
      </c>
      <c r="AC40" s="15">
        <v>250</v>
      </c>
      <c r="AD40" s="15">
        <v>500</v>
      </c>
      <c r="AE40" s="15">
        <f t="shared" si="9"/>
        <v>2050</v>
      </c>
      <c r="AF40" s="15">
        <f t="shared" si="10"/>
        <v>10.591569386730765</v>
      </c>
      <c r="AG40" s="15">
        <f t="shared" si="11"/>
        <v>149.7428775365384</v>
      </c>
    </row>
    <row r="41" spans="2:33" hidden="1" outlineLevel="1" x14ac:dyDescent="0.2">
      <c r="B41">
        <v>35</v>
      </c>
      <c r="C41" s="15">
        <v>120</v>
      </c>
      <c r="D41" s="15">
        <v>580</v>
      </c>
      <c r="E41" s="15">
        <v>700</v>
      </c>
      <c r="F41" s="15">
        <v>400</v>
      </c>
      <c r="G41" s="15">
        <f t="shared" si="1"/>
        <v>1680</v>
      </c>
      <c r="H41" s="15">
        <f t="shared" si="2"/>
        <v>8.11614512393162</v>
      </c>
      <c r="I41" s="15">
        <f t="shared" si="3"/>
        <v>113.62603173504267</v>
      </c>
      <c r="K41" s="15">
        <v>480</v>
      </c>
      <c r="L41" s="15">
        <v>700</v>
      </c>
      <c r="M41" s="15">
        <v>550</v>
      </c>
      <c r="N41" s="15">
        <v>750</v>
      </c>
      <c r="O41" s="15">
        <f t="shared" si="0"/>
        <v>2000</v>
      </c>
      <c r="P41" s="15">
        <f t="shared" si="4"/>
        <v>32.46458049572648</v>
      </c>
      <c r="Q41" s="15">
        <f t="shared" si="5"/>
        <v>135.26908539886031</v>
      </c>
      <c r="S41" s="15">
        <v>325</v>
      </c>
      <c r="T41" s="15">
        <v>200</v>
      </c>
      <c r="U41" s="15">
        <v>950</v>
      </c>
      <c r="V41" s="15">
        <v>150</v>
      </c>
      <c r="W41" s="15">
        <f t="shared" si="6"/>
        <v>1300</v>
      </c>
      <c r="X41" s="15">
        <f t="shared" si="7"/>
        <v>21.981226377314805</v>
      </c>
      <c r="Y41" s="15">
        <f t="shared" si="12"/>
        <v>87.924905509259219</v>
      </c>
      <c r="AA41" s="15">
        <v>145</v>
      </c>
      <c r="AB41" s="15">
        <v>1300</v>
      </c>
      <c r="AC41" s="15">
        <v>250</v>
      </c>
      <c r="AD41" s="15">
        <v>500</v>
      </c>
      <c r="AE41" s="15">
        <f t="shared" si="9"/>
        <v>2050</v>
      </c>
      <c r="AF41" s="15">
        <f t="shared" si="10"/>
        <v>9.8070086914173729</v>
      </c>
      <c r="AG41" s="15">
        <f t="shared" si="11"/>
        <v>138.65081253383184</v>
      </c>
    </row>
    <row r="42" spans="2:33" hidden="1" outlineLevel="1" x14ac:dyDescent="0.2">
      <c r="B42">
        <v>36</v>
      </c>
      <c r="C42" s="15">
        <v>120</v>
      </c>
      <c r="D42" s="15">
        <v>580</v>
      </c>
      <c r="E42" s="15">
        <v>700</v>
      </c>
      <c r="F42" s="15">
        <v>400</v>
      </c>
      <c r="G42" s="15">
        <f t="shared" si="1"/>
        <v>1680</v>
      </c>
      <c r="H42" s="15">
        <f t="shared" si="2"/>
        <v>7.5149491888255726</v>
      </c>
      <c r="I42" s="15">
        <f t="shared" si="3"/>
        <v>105.20928864355801</v>
      </c>
      <c r="K42" s="15">
        <v>480</v>
      </c>
      <c r="L42" s="15">
        <v>700</v>
      </c>
      <c r="M42" s="15">
        <v>550</v>
      </c>
      <c r="N42" s="15">
        <v>750</v>
      </c>
      <c r="O42" s="15">
        <f t="shared" si="0"/>
        <v>2000</v>
      </c>
      <c r="P42" s="15">
        <f t="shared" si="4"/>
        <v>30.05979675530229</v>
      </c>
      <c r="Q42" s="15">
        <f t="shared" si="5"/>
        <v>125.24915314709287</v>
      </c>
      <c r="S42" s="15">
        <v>325</v>
      </c>
      <c r="T42" s="15">
        <v>200</v>
      </c>
      <c r="U42" s="15">
        <v>950</v>
      </c>
      <c r="V42" s="15">
        <v>150</v>
      </c>
      <c r="W42" s="15">
        <f t="shared" si="6"/>
        <v>1300</v>
      </c>
      <c r="X42" s="15">
        <f t="shared" si="7"/>
        <v>20.352987386402592</v>
      </c>
      <c r="Y42" s="15">
        <f t="shared" si="12"/>
        <v>81.411949545610369</v>
      </c>
      <c r="AA42" s="15">
        <v>145</v>
      </c>
      <c r="AB42" s="15">
        <v>1300</v>
      </c>
      <c r="AC42" s="15">
        <v>250</v>
      </c>
      <c r="AD42" s="15">
        <v>500</v>
      </c>
      <c r="AE42" s="15">
        <f t="shared" si="9"/>
        <v>2050</v>
      </c>
      <c r="AF42" s="15">
        <f t="shared" si="10"/>
        <v>9.0805636031642329</v>
      </c>
      <c r="AG42" s="15">
        <f t="shared" si="11"/>
        <v>128.38038197577021</v>
      </c>
    </row>
    <row r="43" spans="2:33" hidden="1" outlineLevel="1" x14ac:dyDescent="0.2">
      <c r="B43">
        <v>37</v>
      </c>
      <c r="C43" s="15">
        <v>120</v>
      </c>
      <c r="D43" s="15">
        <v>580</v>
      </c>
      <c r="E43" s="15">
        <v>700</v>
      </c>
      <c r="F43" s="15">
        <v>400</v>
      </c>
      <c r="G43" s="15">
        <f t="shared" si="1"/>
        <v>1680</v>
      </c>
      <c r="H43" s="15">
        <f t="shared" si="2"/>
        <v>6.9582862859496037</v>
      </c>
      <c r="I43" s="15">
        <f t="shared" si="3"/>
        <v>97.416008003294465</v>
      </c>
      <c r="K43" s="15">
        <v>480</v>
      </c>
      <c r="L43" s="15">
        <v>700</v>
      </c>
      <c r="M43" s="15">
        <v>550</v>
      </c>
      <c r="N43" s="15">
        <v>750</v>
      </c>
      <c r="O43" s="15">
        <f t="shared" si="0"/>
        <v>2000</v>
      </c>
      <c r="P43" s="15">
        <f t="shared" si="4"/>
        <v>27.833145143798415</v>
      </c>
      <c r="Q43" s="15">
        <f t="shared" si="5"/>
        <v>115.97143809916007</v>
      </c>
      <c r="S43" s="15">
        <v>325</v>
      </c>
      <c r="T43" s="15">
        <v>200</v>
      </c>
      <c r="U43" s="15">
        <v>950</v>
      </c>
      <c r="V43" s="15">
        <v>150</v>
      </c>
      <c r="W43" s="15">
        <f t="shared" si="6"/>
        <v>1300</v>
      </c>
      <c r="X43" s="15">
        <f t="shared" si="7"/>
        <v>18.84535869111351</v>
      </c>
      <c r="Y43" s="15">
        <f t="shared" si="12"/>
        <v>75.381434764454042</v>
      </c>
      <c r="AA43" s="15">
        <v>145</v>
      </c>
      <c r="AB43" s="15">
        <v>1300</v>
      </c>
      <c r="AC43" s="15">
        <v>250</v>
      </c>
      <c r="AD43" s="15">
        <v>500</v>
      </c>
      <c r="AE43" s="15">
        <f t="shared" si="9"/>
        <v>2050</v>
      </c>
      <c r="AF43" s="15">
        <f t="shared" si="10"/>
        <v>8.4079292621891053</v>
      </c>
      <c r="AG43" s="15">
        <f t="shared" si="11"/>
        <v>118.87072405163907</v>
      </c>
    </row>
    <row r="44" spans="2:33" hidden="1" outlineLevel="1" x14ac:dyDescent="0.2">
      <c r="B44">
        <v>38</v>
      </c>
      <c r="C44" s="15">
        <v>120</v>
      </c>
      <c r="D44" s="15">
        <v>580</v>
      </c>
      <c r="E44" s="15">
        <v>700</v>
      </c>
      <c r="F44" s="15">
        <v>400</v>
      </c>
      <c r="G44" s="15">
        <f t="shared" si="1"/>
        <v>1680</v>
      </c>
      <c r="H44" s="15">
        <f t="shared" si="2"/>
        <v>6.4428576721755588</v>
      </c>
      <c r="I44" s="15">
        <f t="shared" si="3"/>
        <v>90.200007410457815</v>
      </c>
      <c r="K44" s="15">
        <v>480</v>
      </c>
      <c r="L44" s="15">
        <v>700</v>
      </c>
      <c r="M44" s="15">
        <v>550</v>
      </c>
      <c r="N44" s="15">
        <v>750</v>
      </c>
      <c r="O44" s="15">
        <f t="shared" si="0"/>
        <v>2000</v>
      </c>
      <c r="P44" s="15">
        <f t="shared" si="4"/>
        <v>25.771430688702235</v>
      </c>
      <c r="Q44" s="15">
        <f t="shared" si="5"/>
        <v>107.38096120292597</v>
      </c>
      <c r="S44" s="15">
        <v>325</v>
      </c>
      <c r="T44" s="15">
        <v>200</v>
      </c>
      <c r="U44" s="15">
        <v>950</v>
      </c>
      <c r="V44" s="15">
        <v>150</v>
      </c>
      <c r="W44" s="15">
        <f t="shared" si="6"/>
        <v>1300</v>
      </c>
      <c r="X44" s="15">
        <f t="shared" si="7"/>
        <v>17.449406195475472</v>
      </c>
      <c r="Y44" s="15">
        <f t="shared" si="12"/>
        <v>69.797624781901888</v>
      </c>
      <c r="AA44" s="15">
        <v>145</v>
      </c>
      <c r="AB44" s="15">
        <v>1300</v>
      </c>
      <c r="AC44" s="15">
        <v>250</v>
      </c>
      <c r="AD44" s="15">
        <v>500</v>
      </c>
      <c r="AE44" s="15">
        <f t="shared" si="9"/>
        <v>2050</v>
      </c>
      <c r="AF44" s="15">
        <f t="shared" si="10"/>
        <v>7.7851196872121333</v>
      </c>
      <c r="AG44" s="15">
        <f t="shared" si="11"/>
        <v>110.06548523299912</v>
      </c>
    </row>
    <row r="45" spans="2:33" hidden="1" outlineLevel="1" x14ac:dyDescent="0.2">
      <c r="B45">
        <v>39</v>
      </c>
      <c r="C45" s="15">
        <v>120</v>
      </c>
      <c r="D45" s="15">
        <v>580</v>
      </c>
      <c r="E45" s="15">
        <v>700</v>
      </c>
      <c r="F45" s="15">
        <v>400</v>
      </c>
      <c r="G45" s="15">
        <f t="shared" si="1"/>
        <v>1680</v>
      </c>
      <c r="H45" s="15">
        <f t="shared" si="2"/>
        <v>5.9656089557181096</v>
      </c>
      <c r="I45" s="15">
        <f t="shared" si="3"/>
        <v>83.518525380053532</v>
      </c>
      <c r="K45" s="15">
        <v>480</v>
      </c>
      <c r="L45" s="15">
        <v>700</v>
      </c>
      <c r="M45" s="15">
        <v>550</v>
      </c>
      <c r="N45" s="15">
        <v>750</v>
      </c>
      <c r="O45" s="15">
        <f t="shared" si="0"/>
        <v>2000</v>
      </c>
      <c r="P45" s="15">
        <f t="shared" si="4"/>
        <v>23.862435822872438</v>
      </c>
      <c r="Q45" s="15">
        <f t="shared" si="5"/>
        <v>99.426815928635165</v>
      </c>
      <c r="S45" s="15">
        <v>325</v>
      </c>
      <c r="T45" s="15">
        <v>200</v>
      </c>
      <c r="U45" s="15">
        <v>950</v>
      </c>
      <c r="V45" s="15">
        <v>150</v>
      </c>
      <c r="W45" s="15">
        <f t="shared" si="6"/>
        <v>1300</v>
      </c>
      <c r="X45" s="15">
        <f t="shared" si="7"/>
        <v>16.156857588403213</v>
      </c>
      <c r="Y45" s="15">
        <f t="shared" si="12"/>
        <v>64.627430353612851</v>
      </c>
      <c r="AA45" s="15">
        <v>145</v>
      </c>
      <c r="AB45" s="15">
        <v>1300</v>
      </c>
      <c r="AC45" s="15">
        <v>250</v>
      </c>
      <c r="AD45" s="15">
        <v>500</v>
      </c>
      <c r="AE45" s="15">
        <f t="shared" si="9"/>
        <v>2050</v>
      </c>
      <c r="AF45" s="15">
        <f t="shared" si="10"/>
        <v>7.2084441548260498</v>
      </c>
      <c r="AG45" s="15">
        <f t="shared" si="11"/>
        <v>101.91248632685104</v>
      </c>
    </row>
    <row r="46" spans="2:33" hidden="1" outlineLevel="1" x14ac:dyDescent="0.2">
      <c r="B46">
        <v>40</v>
      </c>
      <c r="C46" s="15">
        <v>120</v>
      </c>
      <c r="D46" s="15">
        <v>580</v>
      </c>
      <c r="E46" s="15">
        <v>700</v>
      </c>
      <c r="F46" s="15">
        <v>400</v>
      </c>
      <c r="G46" s="15">
        <f t="shared" si="1"/>
        <v>1680</v>
      </c>
      <c r="H46" s="15">
        <f t="shared" si="2"/>
        <v>5.5237119960352867</v>
      </c>
      <c r="I46" s="15">
        <f t="shared" si="3"/>
        <v>77.331967944494011</v>
      </c>
      <c r="K46" s="15">
        <v>480</v>
      </c>
      <c r="L46" s="15">
        <v>700</v>
      </c>
      <c r="M46" s="15">
        <v>550</v>
      </c>
      <c r="N46" s="15">
        <v>750</v>
      </c>
      <c r="O46" s="15">
        <f t="shared" si="0"/>
        <v>2000</v>
      </c>
      <c r="P46" s="15">
        <f t="shared" si="4"/>
        <v>22.094847984141147</v>
      </c>
      <c r="Q46" s="15">
        <f t="shared" si="5"/>
        <v>92.061866600588104</v>
      </c>
      <c r="S46" s="15">
        <v>325</v>
      </c>
      <c r="T46" s="15">
        <v>200</v>
      </c>
      <c r="U46" s="15">
        <v>950</v>
      </c>
      <c r="V46" s="15">
        <v>150</v>
      </c>
      <c r="W46" s="15">
        <f t="shared" si="6"/>
        <v>1300</v>
      </c>
      <c r="X46" s="15">
        <f t="shared" si="7"/>
        <v>14.960053322595568</v>
      </c>
      <c r="Y46" s="15">
        <f t="shared" si="12"/>
        <v>59.840213290382273</v>
      </c>
      <c r="AA46" s="15">
        <v>145</v>
      </c>
      <c r="AB46" s="15">
        <v>1300</v>
      </c>
      <c r="AC46" s="15">
        <v>250</v>
      </c>
      <c r="AD46" s="15">
        <v>500</v>
      </c>
      <c r="AE46" s="15">
        <f t="shared" si="9"/>
        <v>2050</v>
      </c>
      <c r="AF46" s="15">
        <f t="shared" si="10"/>
        <v>6.6744853285426382</v>
      </c>
      <c r="AG46" s="15">
        <f t="shared" si="11"/>
        <v>94.363413265602816</v>
      </c>
    </row>
    <row r="47" spans="2:33" hidden="1" outlineLevel="1" x14ac:dyDescent="0.2">
      <c r="B47">
        <v>41</v>
      </c>
      <c r="C47" s="15">
        <v>120</v>
      </c>
      <c r="D47" s="15">
        <v>580</v>
      </c>
      <c r="E47" s="15">
        <v>700</v>
      </c>
      <c r="F47" s="15">
        <v>400</v>
      </c>
      <c r="G47" s="15">
        <f t="shared" si="1"/>
        <v>1680</v>
      </c>
      <c r="H47" s="15">
        <f t="shared" si="2"/>
        <v>5.1145481444771166</v>
      </c>
      <c r="I47" s="15">
        <f t="shared" si="3"/>
        <v>71.603674022679641</v>
      </c>
      <c r="K47" s="15">
        <v>480</v>
      </c>
      <c r="L47" s="15">
        <v>700</v>
      </c>
      <c r="M47" s="15">
        <v>550</v>
      </c>
      <c r="N47" s="15">
        <v>750</v>
      </c>
      <c r="O47" s="15">
        <f t="shared" si="0"/>
        <v>2000</v>
      </c>
      <c r="P47" s="15">
        <f t="shared" si="4"/>
        <v>20.458192577908466</v>
      </c>
      <c r="Q47" s="15">
        <f t="shared" si="5"/>
        <v>85.242469074618612</v>
      </c>
      <c r="S47" s="15">
        <v>325</v>
      </c>
      <c r="T47" s="15">
        <v>200</v>
      </c>
      <c r="U47" s="15">
        <v>950</v>
      </c>
      <c r="V47" s="15">
        <v>150</v>
      </c>
      <c r="W47" s="15">
        <f t="shared" si="6"/>
        <v>1300</v>
      </c>
      <c r="X47" s="15">
        <f t="shared" si="7"/>
        <v>13.851901224625525</v>
      </c>
      <c r="Y47" s="15">
        <f t="shared" si="12"/>
        <v>55.4076048985021</v>
      </c>
      <c r="AA47" s="15">
        <v>145</v>
      </c>
      <c r="AB47" s="15">
        <v>1300</v>
      </c>
      <c r="AC47" s="15">
        <v>250</v>
      </c>
      <c r="AD47" s="15">
        <v>500</v>
      </c>
      <c r="AE47" s="15">
        <f t="shared" si="9"/>
        <v>2050</v>
      </c>
      <c r="AF47" s="15">
        <f t="shared" si="10"/>
        <v>6.1800790079098498</v>
      </c>
      <c r="AG47" s="15">
        <f t="shared" si="11"/>
        <v>87.37353080148408</v>
      </c>
    </row>
    <row r="48" spans="2:33" hidden="1" outlineLevel="1" x14ac:dyDescent="0.2">
      <c r="B48">
        <v>42</v>
      </c>
      <c r="C48" s="15">
        <v>120</v>
      </c>
      <c r="D48" s="15">
        <v>580</v>
      </c>
      <c r="E48" s="15">
        <v>700</v>
      </c>
      <c r="F48" s="15">
        <v>400</v>
      </c>
      <c r="G48" s="15">
        <f t="shared" si="1"/>
        <v>1680</v>
      </c>
      <c r="H48" s="15">
        <f t="shared" si="2"/>
        <v>4.7356927263677013</v>
      </c>
      <c r="I48" s="15">
        <f t="shared" si="3"/>
        <v>66.299698169147817</v>
      </c>
      <c r="K48" s="15">
        <v>480</v>
      </c>
      <c r="L48" s="15">
        <v>700</v>
      </c>
      <c r="M48" s="15">
        <v>550</v>
      </c>
      <c r="N48" s="15">
        <v>750</v>
      </c>
      <c r="O48" s="15">
        <f t="shared" si="0"/>
        <v>2000</v>
      </c>
      <c r="P48" s="15">
        <f t="shared" si="4"/>
        <v>18.942770905470805</v>
      </c>
      <c r="Q48" s="15">
        <f t="shared" si="5"/>
        <v>78.928212106128356</v>
      </c>
      <c r="S48" s="15">
        <v>325</v>
      </c>
      <c r="T48" s="15">
        <v>200</v>
      </c>
      <c r="U48" s="15">
        <v>950</v>
      </c>
      <c r="V48" s="15">
        <v>150</v>
      </c>
      <c r="W48" s="15">
        <f t="shared" si="6"/>
        <v>1300</v>
      </c>
      <c r="X48" s="15">
        <f t="shared" si="7"/>
        <v>12.825834467245858</v>
      </c>
      <c r="Y48" s="15">
        <f t="shared" si="12"/>
        <v>51.303337868983434</v>
      </c>
      <c r="AA48" s="15">
        <v>145</v>
      </c>
      <c r="AB48" s="15">
        <v>1300</v>
      </c>
      <c r="AC48" s="15">
        <v>250</v>
      </c>
      <c r="AD48" s="15">
        <v>500</v>
      </c>
      <c r="AE48" s="15">
        <f t="shared" si="9"/>
        <v>2050</v>
      </c>
      <c r="AF48" s="15">
        <f t="shared" si="10"/>
        <v>5.722295377694306</v>
      </c>
      <c r="AG48" s="15">
        <f t="shared" si="11"/>
        <v>80.901417408781569</v>
      </c>
    </row>
    <row r="49" spans="1:33" hidden="1" outlineLevel="1" x14ac:dyDescent="0.2">
      <c r="B49">
        <v>43</v>
      </c>
      <c r="C49" s="15">
        <v>120</v>
      </c>
      <c r="D49" s="15">
        <v>580</v>
      </c>
      <c r="E49" s="15">
        <v>700</v>
      </c>
      <c r="F49" s="15">
        <v>400</v>
      </c>
      <c r="G49" s="15">
        <f t="shared" si="1"/>
        <v>1680</v>
      </c>
      <c r="H49" s="15">
        <f t="shared" si="2"/>
        <v>4.3849006725626865</v>
      </c>
      <c r="I49" s="15">
        <f t="shared" si="3"/>
        <v>61.38860941587761</v>
      </c>
      <c r="K49" s="15">
        <v>480</v>
      </c>
      <c r="L49" s="15">
        <v>700</v>
      </c>
      <c r="M49" s="15">
        <v>550</v>
      </c>
      <c r="N49" s="15">
        <v>750</v>
      </c>
      <c r="O49" s="15">
        <f t="shared" si="0"/>
        <v>2000</v>
      </c>
      <c r="P49" s="15">
        <f t="shared" si="4"/>
        <v>17.539602690250746</v>
      </c>
      <c r="Q49" s="15">
        <f t="shared" si="5"/>
        <v>73.081677876044779</v>
      </c>
      <c r="S49" s="15">
        <v>325</v>
      </c>
      <c r="T49" s="15">
        <v>200</v>
      </c>
      <c r="U49" s="15">
        <v>950</v>
      </c>
      <c r="V49" s="15">
        <v>150</v>
      </c>
      <c r="W49" s="15">
        <f t="shared" si="6"/>
        <v>1300</v>
      </c>
      <c r="X49" s="15">
        <f t="shared" si="7"/>
        <v>11.875772654857276</v>
      </c>
      <c r="Y49" s="15">
        <f t="shared" si="12"/>
        <v>47.503090619429102</v>
      </c>
      <c r="AA49" s="15">
        <v>145</v>
      </c>
      <c r="AB49" s="15">
        <v>1300</v>
      </c>
      <c r="AC49" s="15">
        <v>250</v>
      </c>
      <c r="AD49" s="15">
        <v>500</v>
      </c>
      <c r="AE49" s="15">
        <f t="shared" si="9"/>
        <v>2050</v>
      </c>
      <c r="AF49" s="15">
        <f t="shared" si="10"/>
        <v>5.2984216460132458</v>
      </c>
      <c r="AG49" s="15">
        <f t="shared" si="11"/>
        <v>74.908719822945898</v>
      </c>
    </row>
    <row r="50" spans="1:33" hidden="1" outlineLevel="1" x14ac:dyDescent="0.2">
      <c r="B50">
        <v>44</v>
      </c>
      <c r="C50" s="15">
        <v>120</v>
      </c>
      <c r="D50" s="15">
        <v>580</v>
      </c>
      <c r="E50" s="15">
        <v>700</v>
      </c>
      <c r="F50" s="15">
        <v>400</v>
      </c>
      <c r="G50" s="15">
        <f t="shared" si="1"/>
        <v>1680</v>
      </c>
      <c r="H50" s="15">
        <f t="shared" si="2"/>
        <v>4.0600932153358196</v>
      </c>
      <c r="I50" s="15">
        <f t="shared" si="3"/>
        <v>56.841305014701476</v>
      </c>
      <c r="K50" s="15">
        <v>480</v>
      </c>
      <c r="L50" s="15">
        <v>700</v>
      </c>
      <c r="M50" s="15">
        <v>550</v>
      </c>
      <c r="N50" s="15">
        <v>750</v>
      </c>
      <c r="O50" s="15">
        <f t="shared" si="0"/>
        <v>2000</v>
      </c>
      <c r="P50" s="15">
        <f t="shared" si="4"/>
        <v>16.240372861343278</v>
      </c>
      <c r="Q50" s="15">
        <f t="shared" si="5"/>
        <v>67.668220255596992</v>
      </c>
      <c r="S50" s="15">
        <v>325</v>
      </c>
      <c r="T50" s="15">
        <v>200</v>
      </c>
      <c r="U50" s="15">
        <v>950</v>
      </c>
      <c r="V50" s="15">
        <v>150</v>
      </c>
      <c r="W50" s="15">
        <f t="shared" si="6"/>
        <v>1300</v>
      </c>
      <c r="X50" s="15">
        <f t="shared" si="7"/>
        <v>10.996085791534512</v>
      </c>
      <c r="Y50" s="15">
        <f t="shared" si="12"/>
        <v>43.984343166138046</v>
      </c>
      <c r="AA50" s="15">
        <v>145</v>
      </c>
      <c r="AB50" s="15">
        <v>1300</v>
      </c>
      <c r="AC50" s="15">
        <v>250</v>
      </c>
      <c r="AD50" s="15">
        <v>500</v>
      </c>
      <c r="AE50" s="15">
        <f t="shared" si="9"/>
        <v>2050</v>
      </c>
      <c r="AF50" s="15">
        <f t="shared" si="10"/>
        <v>4.9059459685307827</v>
      </c>
      <c r="AG50" s="15">
        <f t="shared" si="11"/>
        <v>69.359925761986929</v>
      </c>
    </row>
    <row r="51" spans="1:33" collapsed="1" x14ac:dyDescent="0.2">
      <c r="B51">
        <v>45</v>
      </c>
      <c r="C51" s="15">
        <v>120</v>
      </c>
      <c r="D51" s="15">
        <v>580</v>
      </c>
      <c r="E51" s="15">
        <v>700</v>
      </c>
      <c r="F51" s="15">
        <v>400</v>
      </c>
      <c r="G51" s="15">
        <f t="shared" si="1"/>
        <v>1680</v>
      </c>
      <c r="H51" s="15">
        <f t="shared" si="2"/>
        <v>3.7593455697553892</v>
      </c>
      <c r="I51" s="15">
        <f t="shared" si="3"/>
        <v>52.630837976575449</v>
      </c>
      <c r="K51" s="15">
        <v>480</v>
      </c>
      <c r="L51" s="15">
        <v>700</v>
      </c>
      <c r="M51" s="15">
        <v>550</v>
      </c>
      <c r="N51" s="15">
        <v>750</v>
      </c>
      <c r="O51" s="15">
        <f t="shared" si="0"/>
        <v>2000</v>
      </c>
      <c r="P51" s="15">
        <f t="shared" si="4"/>
        <v>15.037382279021557</v>
      </c>
      <c r="Q51" s="15">
        <f t="shared" si="5"/>
        <v>62.655759495923149</v>
      </c>
      <c r="S51" s="15">
        <v>325</v>
      </c>
      <c r="T51" s="15">
        <v>200</v>
      </c>
      <c r="U51" s="15">
        <v>950</v>
      </c>
      <c r="V51" s="15">
        <v>150</v>
      </c>
      <c r="W51" s="15">
        <f t="shared" si="6"/>
        <v>1300</v>
      </c>
      <c r="X51" s="15">
        <f t="shared" si="7"/>
        <v>10.181560918087513</v>
      </c>
      <c r="Y51" s="15">
        <f t="shared" si="12"/>
        <v>40.726243672350051</v>
      </c>
      <c r="AA51" s="15">
        <v>145</v>
      </c>
      <c r="AB51" s="15">
        <v>1300</v>
      </c>
      <c r="AC51" s="15">
        <v>250</v>
      </c>
      <c r="AD51" s="15">
        <v>500</v>
      </c>
      <c r="AE51" s="15">
        <f t="shared" si="9"/>
        <v>2050</v>
      </c>
      <c r="AF51" s="15">
        <f t="shared" si="10"/>
        <v>4.5425425634544281</v>
      </c>
      <c r="AG51" s="15">
        <f t="shared" si="11"/>
        <v>64.222153483321236</v>
      </c>
    </row>
    <row r="53" spans="1:33" x14ac:dyDescent="0.2">
      <c r="B53" s="69" t="s">
        <v>326</v>
      </c>
      <c r="C53" s="69"/>
      <c r="D53" s="69"/>
      <c r="E53" s="69"/>
      <c r="F53" s="69"/>
      <c r="G53" s="69"/>
      <c r="H53" s="112">
        <f>SUM(H6:H51)</f>
        <v>13953.008180378049</v>
      </c>
      <c r="I53" s="112">
        <f>SUM(I6:I51)</f>
        <v>20342.114525292796</v>
      </c>
      <c r="K53" s="69"/>
      <c r="L53" s="69"/>
      <c r="M53" s="69"/>
      <c r="N53" s="69"/>
      <c r="O53" s="69"/>
      <c r="P53" s="112">
        <f>SUM(P6:P51)</f>
        <v>16812.032721512234</v>
      </c>
      <c r="Q53" s="112">
        <f>SUM(Q6:Q51)</f>
        <v>24216.803006300943</v>
      </c>
      <c r="S53" s="69"/>
      <c r="T53" s="69"/>
      <c r="U53" s="69"/>
      <c r="V53" s="69"/>
      <c r="W53" s="69"/>
      <c r="X53" s="112">
        <f>SUM(X6:X51)</f>
        <v>16435.230488523906</v>
      </c>
      <c r="Y53" s="112">
        <f>SUM(Y6:Y51)</f>
        <v>15740.92195409562</v>
      </c>
      <c r="AA53" s="69"/>
      <c r="AB53" s="69"/>
      <c r="AC53" s="69"/>
      <c r="AD53" s="69"/>
      <c r="AE53" s="69"/>
      <c r="AF53" s="112">
        <f>SUM(AF6:AF51)</f>
        <v>18555.718217956819</v>
      </c>
      <c r="AG53" s="112">
        <f>SUM(AG6:AG51)</f>
        <v>24822.223081458469</v>
      </c>
    </row>
    <row r="54" spans="1:33" x14ac:dyDescent="0.2">
      <c r="B54" t="s">
        <v>565</v>
      </c>
      <c r="G54" s="19"/>
      <c r="I54" s="187">
        <f>I53/H53</f>
        <v>1.4579017128291856</v>
      </c>
      <c r="O54" s="19"/>
      <c r="Q54" s="1">
        <f>Q53/P53</f>
        <v>1.4404446748020994</v>
      </c>
      <c r="W54" s="19"/>
      <c r="Y54" s="1">
        <f>Y53/X53</f>
        <v>0.95775486477581828</v>
      </c>
      <c r="AE54" s="19"/>
      <c r="AG54" s="1">
        <f>AG53/AF53</f>
        <v>1.3377128704960286</v>
      </c>
    </row>
    <row r="55" spans="1:33" x14ac:dyDescent="0.2">
      <c r="B55" t="s">
        <v>567</v>
      </c>
      <c r="G55" s="19"/>
      <c r="I55" s="5">
        <v>1</v>
      </c>
      <c r="O55" s="19"/>
      <c r="Q55" s="5">
        <v>3</v>
      </c>
      <c r="W55" s="19"/>
      <c r="Y55" s="5">
        <v>2</v>
      </c>
      <c r="AE55" s="19"/>
      <c r="AG55" s="5">
        <v>4</v>
      </c>
    </row>
    <row r="56" spans="1:33" x14ac:dyDescent="0.2">
      <c r="B56" t="s">
        <v>568</v>
      </c>
      <c r="G56" s="19"/>
      <c r="I56" s="1"/>
      <c r="O56" s="19"/>
      <c r="Q56" s="1"/>
      <c r="W56" s="19"/>
      <c r="Y56" s="1"/>
      <c r="AE56" s="19"/>
      <c r="AG56" s="1"/>
    </row>
    <row r="58" spans="1:33" x14ac:dyDescent="0.2">
      <c r="P58" t="s">
        <v>571</v>
      </c>
    </row>
    <row r="59" spans="1:33" x14ac:dyDescent="0.2">
      <c r="A59" t="s">
        <v>442</v>
      </c>
      <c r="C59" s="244" t="s">
        <v>446</v>
      </c>
      <c r="D59" s="244"/>
      <c r="E59" s="244"/>
      <c r="F59" s="244"/>
      <c r="G59" s="244"/>
      <c r="H59" s="244"/>
      <c r="I59" s="244"/>
      <c r="K59" s="244" t="s">
        <v>449</v>
      </c>
      <c r="L59" s="244"/>
      <c r="M59" s="244"/>
      <c r="N59" s="244"/>
      <c r="O59" s="244"/>
      <c r="P59" s="244"/>
      <c r="Q59" s="244"/>
      <c r="S59" s="243" t="s">
        <v>445</v>
      </c>
      <c r="T59" s="243"/>
      <c r="U59" s="243"/>
      <c r="V59" s="243"/>
      <c r="W59" s="243"/>
      <c r="X59" s="243"/>
      <c r="Y59" s="243"/>
      <c r="AA59" s="244" t="s">
        <v>450</v>
      </c>
      <c r="AB59" s="244"/>
      <c r="AC59" s="244"/>
      <c r="AD59" s="244"/>
      <c r="AE59" s="244"/>
      <c r="AF59" s="244"/>
      <c r="AG59" s="244"/>
    </row>
    <row r="60" spans="1:33" x14ac:dyDescent="0.2">
      <c r="B60" t="s">
        <v>443</v>
      </c>
      <c r="Q60" s="16">
        <f>P53-$H53</f>
        <v>2859.0245411341857</v>
      </c>
      <c r="S60" s="75"/>
      <c r="T60" s="75"/>
      <c r="U60" s="75"/>
      <c r="V60" s="75"/>
      <c r="W60" s="75"/>
      <c r="X60" s="189"/>
      <c r="Y60" s="189">
        <f>X53-$H53</f>
        <v>2482.2223081458578</v>
      </c>
      <c r="AF60" s="16"/>
      <c r="AG60" s="16">
        <f>AF53-$P53</f>
        <v>1743.6854964445847</v>
      </c>
    </row>
    <row r="61" spans="1:33" x14ac:dyDescent="0.2">
      <c r="B61" t="s">
        <v>444</v>
      </c>
      <c r="Q61" s="16">
        <f>Q53-$I53</f>
        <v>3874.6884810081465</v>
      </c>
      <c r="S61" s="75"/>
      <c r="T61" s="75"/>
      <c r="U61" s="75"/>
      <c r="V61" s="75"/>
      <c r="W61" s="75"/>
      <c r="X61" s="75"/>
      <c r="Y61" s="189">
        <f>Y53-$I53</f>
        <v>-4601.1925711971762</v>
      </c>
      <c r="AG61" s="16">
        <f>AG53-$Q53</f>
        <v>605.4200751575263</v>
      </c>
    </row>
    <row r="62" spans="1:33" x14ac:dyDescent="0.2">
      <c r="B62" t="s">
        <v>569</v>
      </c>
      <c r="I62" s="139">
        <f>I54</f>
        <v>1.4579017128291856</v>
      </c>
      <c r="Q62" s="136">
        <f>(Q61)/(Q60)</f>
        <v>1.3552484161157439</v>
      </c>
      <c r="S62" s="75"/>
      <c r="T62" s="75"/>
      <c r="U62" s="75"/>
      <c r="V62" s="75"/>
      <c r="W62" s="75"/>
      <c r="X62" s="75"/>
      <c r="Y62" s="190">
        <f>(Y61)/(Y60)</f>
        <v>-1.8536585365853564</v>
      </c>
      <c r="AG62" s="136">
        <f>(AG61)/(AG60)</f>
        <v>0.34720715197321528</v>
      </c>
    </row>
    <row r="63" spans="1:33" x14ac:dyDescent="0.2">
      <c r="B63" t="s">
        <v>570</v>
      </c>
      <c r="I63" s="20" t="s">
        <v>447</v>
      </c>
      <c r="Q63" s="20" t="s">
        <v>447</v>
      </c>
      <c r="S63" s="75"/>
      <c r="T63" s="75"/>
      <c r="U63" s="75"/>
      <c r="V63" s="75"/>
      <c r="W63" s="75"/>
      <c r="X63" s="75"/>
      <c r="Y63" s="191" t="s">
        <v>448</v>
      </c>
      <c r="AG63" s="20" t="s">
        <v>448</v>
      </c>
    </row>
    <row r="64" spans="1:33" x14ac:dyDescent="0.2">
      <c r="B64" t="s">
        <v>572</v>
      </c>
      <c r="Y64" s="1"/>
    </row>
    <row r="65" spans="2:33" x14ac:dyDescent="0.2">
      <c r="Y65" s="1"/>
    </row>
    <row r="66" spans="2:33" x14ac:dyDescent="0.2">
      <c r="B66" t="s">
        <v>573</v>
      </c>
    </row>
    <row r="67" spans="2:33" x14ac:dyDescent="0.2">
      <c r="B67" t="s">
        <v>441</v>
      </c>
      <c r="I67" s="16">
        <f>I53-H53</f>
        <v>6389.1063449147478</v>
      </c>
      <c r="Q67" s="188">
        <f>Q53-P53</f>
        <v>7404.7702847887085</v>
      </c>
      <c r="Y67" s="16">
        <f>Y53-X53</f>
        <v>-694.30853442828629</v>
      </c>
      <c r="AG67" s="16">
        <f>AG53-AF53</f>
        <v>6266.5048635016501</v>
      </c>
    </row>
    <row r="69" spans="2:33" x14ac:dyDescent="0.2">
      <c r="B69" s="73" t="s">
        <v>574</v>
      </c>
    </row>
  </sheetData>
  <mergeCells count="4">
    <mergeCell ref="S59:Y59"/>
    <mergeCell ref="C59:I59"/>
    <mergeCell ref="K59:Q59"/>
    <mergeCell ref="AA59:AG59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AA32"/>
  <sheetViews>
    <sheetView topLeftCell="A10" zoomScaleNormal="100" workbookViewId="0">
      <selection activeCell="N19" sqref="N19"/>
    </sheetView>
  </sheetViews>
  <sheetFormatPr baseColWidth="10" defaultColWidth="8.83203125" defaultRowHeight="15" outlineLevelRow="1" outlineLevelCol="1" x14ac:dyDescent="0.2"/>
  <cols>
    <col min="1" max="1" width="6.83203125" customWidth="1"/>
    <col min="2" max="2" width="13.1640625" customWidth="1"/>
    <col min="3" max="3" width="17.33203125" customWidth="1"/>
    <col min="4" max="4" width="2.83203125" customWidth="1"/>
    <col min="5" max="5" width="10.5" customWidth="1"/>
    <col min="6" max="6" width="6.83203125" customWidth="1"/>
    <col min="7" max="7" width="3.5" customWidth="1"/>
    <col min="8" max="8" width="10.5" customWidth="1"/>
    <col min="9" max="9" width="8.5" customWidth="1"/>
    <col min="10" max="10" width="2.5" customWidth="1"/>
    <col min="11" max="11" width="11.5" customWidth="1"/>
    <col min="12" max="12" width="8.5" customWidth="1"/>
    <col min="13" max="13" width="3.33203125" customWidth="1"/>
    <col min="14" max="14" width="11.1640625" customWidth="1"/>
    <col min="15" max="15" width="8.5" customWidth="1"/>
    <col min="16" max="16" width="2.6640625" hidden="1" customWidth="1" outlineLevel="1"/>
    <col min="17" max="17" width="9.83203125" hidden="1" customWidth="1" outlineLevel="1"/>
    <col min="18" max="18" width="8.6640625" hidden="1" customWidth="1" outlineLevel="1"/>
    <col min="19" max="19" width="2.5" customWidth="1" collapsed="1"/>
    <col min="20" max="20" width="10.33203125" hidden="1" customWidth="1" outlineLevel="1"/>
    <col min="21" max="21" width="8.33203125" hidden="1" customWidth="1" outlineLevel="1"/>
    <col min="22" max="22" width="2.5" customWidth="1" collapsed="1"/>
    <col min="23" max="23" width="10.5" hidden="1" customWidth="1" outlineLevel="1"/>
    <col min="24" max="24" width="8.5" hidden="1" customWidth="1" outlineLevel="1"/>
    <col min="25" max="25" width="3.33203125" customWidth="1" collapsed="1"/>
    <col min="26" max="26" width="13.33203125" customWidth="1"/>
    <col min="27" max="27" width="7.83203125" customWidth="1"/>
  </cols>
  <sheetData>
    <row r="2" spans="1:27" x14ac:dyDescent="0.2">
      <c r="B2" s="3" t="s">
        <v>47</v>
      </c>
      <c r="C2" s="3"/>
      <c r="E2" s="3" t="s">
        <v>48</v>
      </c>
      <c r="F2" s="3"/>
      <c r="H2" s="3" t="s">
        <v>49</v>
      </c>
      <c r="I2" s="3"/>
      <c r="K2" s="3" t="s">
        <v>55</v>
      </c>
      <c r="L2" s="3"/>
      <c r="N2" s="3" t="s">
        <v>401</v>
      </c>
      <c r="O2" s="3"/>
      <c r="Q2" s="3" t="s">
        <v>54</v>
      </c>
      <c r="R2" s="3"/>
      <c r="T2" s="3" t="s">
        <v>399</v>
      </c>
      <c r="U2" s="3"/>
      <c r="W2" s="3" t="s">
        <v>402</v>
      </c>
      <c r="X2" s="3"/>
      <c r="Z2" s="3" t="s">
        <v>52</v>
      </c>
      <c r="AA2" s="3"/>
    </row>
    <row r="4" spans="1:27" x14ac:dyDescent="0.2">
      <c r="B4" t="s">
        <v>6</v>
      </c>
      <c r="C4" s="13">
        <v>0.1</v>
      </c>
      <c r="F4" s="13">
        <v>0.1</v>
      </c>
      <c r="I4" s="13">
        <v>0.1</v>
      </c>
      <c r="L4" s="13">
        <v>0.1</v>
      </c>
      <c r="O4" s="13">
        <v>0.1</v>
      </c>
      <c r="R4" s="13">
        <v>0.1</v>
      </c>
      <c r="U4" s="13">
        <v>0.1</v>
      </c>
      <c r="X4" s="13">
        <v>0.1</v>
      </c>
      <c r="Z4" t="s">
        <v>6</v>
      </c>
      <c r="AA4" s="13">
        <v>0.1</v>
      </c>
    </row>
    <row r="6" spans="1:27" ht="32" x14ac:dyDescent="0.2">
      <c r="A6" t="s">
        <v>11</v>
      </c>
      <c r="B6" s="63" t="s">
        <v>50</v>
      </c>
      <c r="C6" s="9" t="s">
        <v>56</v>
      </c>
      <c r="E6" s="63" t="s">
        <v>50</v>
      </c>
      <c r="F6" s="20" t="s">
        <v>57</v>
      </c>
      <c r="H6" s="63" t="s">
        <v>50</v>
      </c>
      <c r="I6" s="20" t="s">
        <v>57</v>
      </c>
      <c r="K6" s="63" t="s">
        <v>50</v>
      </c>
      <c r="L6" s="20" t="s">
        <v>57</v>
      </c>
      <c r="N6" s="63" t="s">
        <v>50</v>
      </c>
      <c r="O6" s="20" t="s">
        <v>57</v>
      </c>
      <c r="Q6" s="63" t="s">
        <v>50</v>
      </c>
      <c r="R6" s="20" t="s">
        <v>57</v>
      </c>
      <c r="T6" s="63" t="s">
        <v>50</v>
      </c>
      <c r="U6" s="20" t="s">
        <v>57</v>
      </c>
      <c r="W6" s="63" t="s">
        <v>50</v>
      </c>
      <c r="X6" s="20" t="s">
        <v>57</v>
      </c>
      <c r="Z6" s="63" t="s">
        <v>50</v>
      </c>
      <c r="AA6" s="20" t="s">
        <v>57</v>
      </c>
    </row>
    <row r="7" spans="1:27" x14ac:dyDescent="0.2">
      <c r="A7" s="20">
        <v>0</v>
      </c>
      <c r="B7">
        <v>-1500</v>
      </c>
      <c r="C7" s="11">
        <f>B7/(1+$C$4)^A7</f>
        <v>-1500</v>
      </c>
      <c r="E7">
        <v>-600</v>
      </c>
      <c r="F7" s="11">
        <f>E7/(1+$C$4)^A7</f>
        <v>-600</v>
      </c>
      <c r="H7">
        <v>-1000</v>
      </c>
      <c r="I7" s="11">
        <f>H7/(1+$C$4)^A7</f>
        <v>-1000</v>
      </c>
      <c r="K7">
        <v>-900</v>
      </c>
      <c r="L7" s="11">
        <f>K7/(1+$C$4)^A7</f>
        <v>-900</v>
      </c>
      <c r="N7">
        <v>-500</v>
      </c>
      <c r="O7" s="11">
        <f>N7/(1+$C$4)^$A7</f>
        <v>-500</v>
      </c>
      <c r="Q7">
        <f>E7+H7</f>
        <v>-1600</v>
      </c>
      <c r="R7" s="11">
        <f>Q7/(1+$C$4)^A7</f>
        <v>-1600</v>
      </c>
      <c r="T7">
        <f>E7+K7</f>
        <v>-1500</v>
      </c>
      <c r="U7" s="11">
        <f>T7/(1+$C$4)^$A7</f>
        <v>-1500</v>
      </c>
      <c r="W7">
        <f>H7+N7</f>
        <v>-1500</v>
      </c>
      <c r="X7" s="11">
        <f>W7/(1+$C$4)^$A7</f>
        <v>-1500</v>
      </c>
      <c r="Z7">
        <v>-1500</v>
      </c>
      <c r="AA7" s="11">
        <f>Z7/(1+$C$4)^D7</f>
        <v>-1500</v>
      </c>
    </row>
    <row r="8" spans="1:27" x14ac:dyDescent="0.2">
      <c r="A8" s="20">
        <v>1</v>
      </c>
      <c r="B8" s="10">
        <v>2000</v>
      </c>
      <c r="C8" s="11">
        <f>B8/(1+$C$4)^A8</f>
        <v>1818.181818181818</v>
      </c>
      <c r="E8" s="10">
        <v>850</v>
      </c>
      <c r="F8" s="11">
        <f>E8/(1+$C$4)^A8</f>
        <v>772.72727272727263</v>
      </c>
      <c r="H8" s="10">
        <v>1400</v>
      </c>
      <c r="I8" s="11">
        <f>H8/(1+$C$4)^A8</f>
        <v>1272.7272727272725</v>
      </c>
      <c r="K8" s="10">
        <v>1050</v>
      </c>
      <c r="L8" s="11">
        <f>K8/(1+$C$4)^A8</f>
        <v>954.5454545454545</v>
      </c>
      <c r="N8" s="10">
        <v>700</v>
      </c>
      <c r="O8" s="11">
        <f>N8/(1+$C$4)^$A8</f>
        <v>636.36363636363626</v>
      </c>
      <c r="Q8">
        <f>E8+H8</f>
        <v>2250</v>
      </c>
      <c r="R8" s="11">
        <f>Q8/(1+$C$4)^A8</f>
        <v>2045.4545454545453</v>
      </c>
      <c r="T8">
        <f>E8+K8</f>
        <v>1900</v>
      </c>
      <c r="U8" s="11">
        <f>T8/(1+$C$4)^$A8</f>
        <v>1727.272727272727</v>
      </c>
      <c r="W8">
        <f>H8+N8</f>
        <v>2100</v>
      </c>
      <c r="X8" s="11">
        <f>W8/(1+$C$4)^$A8</f>
        <v>1909.090909090909</v>
      </c>
      <c r="Z8" s="10">
        <v>1650</v>
      </c>
      <c r="AA8" s="11">
        <f>Z8/(1+$C$4)^D8</f>
        <v>1650</v>
      </c>
    </row>
    <row r="9" spans="1:27" x14ac:dyDescent="0.2">
      <c r="B9" s="1"/>
      <c r="C9" s="1"/>
      <c r="E9" s="1"/>
      <c r="F9" s="1"/>
      <c r="H9" s="1"/>
      <c r="I9" s="1"/>
      <c r="K9" s="1"/>
      <c r="L9" s="1"/>
      <c r="N9" s="1"/>
      <c r="O9" s="1"/>
      <c r="Q9" s="1"/>
      <c r="R9" s="1"/>
      <c r="T9" s="1"/>
      <c r="U9" s="1"/>
      <c r="W9" s="1"/>
      <c r="X9" s="1"/>
      <c r="Z9" s="1"/>
      <c r="AA9" s="1"/>
    </row>
    <row r="10" spans="1:27" x14ac:dyDescent="0.2">
      <c r="B10" s="1"/>
      <c r="C10" s="1"/>
      <c r="E10" s="1"/>
      <c r="F10" s="1"/>
      <c r="H10" s="1"/>
      <c r="I10" s="1"/>
      <c r="K10" s="1"/>
      <c r="L10" s="1"/>
      <c r="N10" s="1"/>
      <c r="O10" s="1"/>
      <c r="Q10" s="1"/>
      <c r="R10" s="1"/>
      <c r="T10" s="1"/>
      <c r="U10" s="1"/>
      <c r="W10" s="1"/>
      <c r="X10" s="1"/>
      <c r="Z10" s="1"/>
      <c r="AA10" s="1"/>
    </row>
    <row r="11" spans="1:27" outlineLevel="1" x14ac:dyDescent="0.2">
      <c r="A11" t="s">
        <v>45</v>
      </c>
      <c r="C11" s="129">
        <f>SUM(C7:C8)</f>
        <v>318.18181818181802</v>
      </c>
      <c r="F11" s="10">
        <f>SUM(F7:F8)</f>
        <v>172.72727272727263</v>
      </c>
      <c r="I11" s="10">
        <f>SUM(I7:I8)</f>
        <v>272.72727272727252</v>
      </c>
      <c r="L11" s="10">
        <f>SUM(L7:L8)</f>
        <v>54.545454545454504</v>
      </c>
      <c r="O11" s="10">
        <f>SUM(O7:O8)</f>
        <v>136.36363636363626</v>
      </c>
      <c r="R11" s="130">
        <f>SUM(R7:R8)</f>
        <v>445.45454545454527</v>
      </c>
      <c r="U11" s="10">
        <f>SUM(U7:U8)</f>
        <v>227.27272727272702</v>
      </c>
      <c r="X11" s="129">
        <f>SUM(X7:X8)</f>
        <v>409.09090909090901</v>
      </c>
      <c r="AA11" s="10">
        <f>SUM(AA7:AA8)</f>
        <v>150</v>
      </c>
    </row>
    <row r="12" spans="1:27" outlineLevel="1" x14ac:dyDescent="0.2">
      <c r="A12" t="s">
        <v>46</v>
      </c>
      <c r="C12" s="18">
        <f>C8/-C7</f>
        <v>1.2121212121212119</v>
      </c>
      <c r="F12" s="18">
        <f>F8/-F7</f>
        <v>1.2878787878787876</v>
      </c>
      <c r="I12" s="18">
        <f>I8/-I7</f>
        <v>1.2727272727272725</v>
      </c>
      <c r="L12" s="18">
        <f>L8/-L7</f>
        <v>1.0606060606060606</v>
      </c>
      <c r="O12" s="18">
        <f>O8/-O7</f>
        <v>1.2727272727272725</v>
      </c>
      <c r="R12" s="18">
        <f>R8/-R7</f>
        <v>1.2784090909090908</v>
      </c>
      <c r="U12" s="18">
        <f>U8/-U7</f>
        <v>1.1515151515151514</v>
      </c>
      <c r="X12" s="18">
        <f>X8/-X7</f>
        <v>1.2727272727272727</v>
      </c>
      <c r="AA12" s="18">
        <f>AA8/-AA7</f>
        <v>1.1000000000000001</v>
      </c>
    </row>
    <row r="13" spans="1:27" x14ac:dyDescent="0.2">
      <c r="A13" t="s">
        <v>51</v>
      </c>
      <c r="C13" s="19">
        <f>IRR(B7:B8)</f>
        <v>0.33333333333333326</v>
      </c>
      <c r="F13" s="128">
        <f>IRR(E7:E8)</f>
        <v>0.41666666666666674</v>
      </c>
      <c r="I13" s="19">
        <f>IRR(H7:H8)</f>
        <v>0.40000000000000013</v>
      </c>
      <c r="L13" s="19">
        <f>IRR(K7:K8)</f>
        <v>0.16666666666666652</v>
      </c>
      <c r="O13" s="19">
        <f>IRR(N7:N8)</f>
        <v>0.40000000000000013</v>
      </c>
      <c r="R13" s="131">
        <f>IRR(Q7:Q8)</f>
        <v>0.40625000000000022</v>
      </c>
      <c r="U13" s="19">
        <f>IRR(T7:T8)</f>
        <v>0.26666666666666661</v>
      </c>
      <c r="X13" s="128">
        <f>IRR(W7:W8)</f>
        <v>0.39999999999999991</v>
      </c>
      <c r="AA13" s="19">
        <f>IRR(Z7:Z8)</f>
        <v>0.10000000000000009</v>
      </c>
    </row>
    <row r="15" spans="1:27" x14ac:dyDescent="0.2">
      <c r="A15" t="s">
        <v>404</v>
      </c>
      <c r="I15" s="17"/>
      <c r="L15" s="17">
        <f>F11+L11</f>
        <v>227.27272727272714</v>
      </c>
      <c r="O15" s="17">
        <f>I11+O11</f>
        <v>409.09090909090878</v>
      </c>
    </row>
    <row r="16" spans="1:27" x14ac:dyDescent="0.2">
      <c r="A16" t="s">
        <v>395</v>
      </c>
    </row>
    <row r="17" spans="1:7" x14ac:dyDescent="0.2">
      <c r="A17" t="s">
        <v>363</v>
      </c>
    </row>
    <row r="18" spans="1:7" x14ac:dyDescent="0.2">
      <c r="A18" t="s">
        <v>53</v>
      </c>
    </row>
    <row r="20" spans="1:7" x14ac:dyDescent="0.2">
      <c r="A20" t="s">
        <v>60</v>
      </c>
      <c r="G20" t="s">
        <v>403</v>
      </c>
    </row>
    <row r="22" spans="1:7" x14ac:dyDescent="0.2">
      <c r="A22" t="s">
        <v>396</v>
      </c>
      <c r="G22" t="s">
        <v>398</v>
      </c>
    </row>
    <row r="23" spans="1:7" x14ac:dyDescent="0.2">
      <c r="G23" t="s">
        <v>400</v>
      </c>
    </row>
    <row r="24" spans="1:7" x14ac:dyDescent="0.2">
      <c r="G24" t="s">
        <v>405</v>
      </c>
    </row>
    <row r="25" spans="1:7" x14ac:dyDescent="0.2">
      <c r="A25" t="s">
        <v>397</v>
      </c>
    </row>
    <row r="26" spans="1:7" x14ac:dyDescent="0.2">
      <c r="A26" t="s">
        <v>72</v>
      </c>
    </row>
    <row r="28" spans="1:7" outlineLevel="1" x14ac:dyDescent="0.2">
      <c r="A28" t="s">
        <v>63</v>
      </c>
    </row>
    <row r="29" spans="1:7" outlineLevel="1" x14ac:dyDescent="0.2">
      <c r="A29" t="s">
        <v>62</v>
      </c>
    </row>
    <row r="30" spans="1:7" outlineLevel="1" x14ac:dyDescent="0.2">
      <c r="A30" t="s">
        <v>58</v>
      </c>
    </row>
    <row r="31" spans="1:7" outlineLevel="1" x14ac:dyDescent="0.2">
      <c r="A31" t="s">
        <v>59</v>
      </c>
    </row>
    <row r="32" spans="1:7" outlineLevel="1" x14ac:dyDescent="0.2">
      <c r="A32" t="s">
        <v>61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22"/>
  <sheetViews>
    <sheetView zoomScale="115" zoomScaleNormal="115" workbookViewId="0">
      <selection activeCell="H19" sqref="H19"/>
    </sheetView>
  </sheetViews>
  <sheetFormatPr baseColWidth="10" defaultColWidth="8.83203125" defaultRowHeight="15" x14ac:dyDescent="0.2"/>
  <cols>
    <col min="2" max="2" width="15.5" bestFit="1" customWidth="1"/>
    <col min="3" max="3" width="13.1640625" customWidth="1"/>
    <col min="4" max="4" width="15.6640625" customWidth="1"/>
    <col min="5" max="5" width="5.5" customWidth="1"/>
    <col min="6" max="6" width="6.5" customWidth="1"/>
    <col min="7" max="7" width="14.33203125" customWidth="1"/>
    <col min="8" max="8" width="20.5" customWidth="1"/>
    <col min="9" max="9" width="4" customWidth="1"/>
    <col min="10" max="10" width="7" customWidth="1"/>
    <col min="11" max="11" width="12.1640625" customWidth="1"/>
    <col min="12" max="12" width="20.6640625" customWidth="1"/>
  </cols>
  <sheetData>
    <row r="1" spans="1:12" x14ac:dyDescent="0.2">
      <c r="A1" s="34" t="s">
        <v>461</v>
      </c>
    </row>
    <row r="2" spans="1:12" x14ac:dyDescent="0.2">
      <c r="C2" s="34" t="s">
        <v>452</v>
      </c>
      <c r="D2" s="34" t="s">
        <v>453</v>
      </c>
      <c r="F2" s="34" t="s">
        <v>451</v>
      </c>
      <c r="J2" s="34" t="s">
        <v>458</v>
      </c>
    </row>
    <row r="3" spans="1:12" x14ac:dyDescent="0.2">
      <c r="B3" t="s">
        <v>106</v>
      </c>
      <c r="C3" s="198">
        <v>2000</v>
      </c>
      <c r="D3" s="198">
        <v>3000</v>
      </c>
    </row>
    <row r="4" spans="1:12" x14ac:dyDescent="0.2">
      <c r="B4" t="s">
        <v>456</v>
      </c>
      <c r="C4" s="143">
        <v>450</v>
      </c>
      <c r="D4" s="143">
        <v>600</v>
      </c>
      <c r="G4" t="s">
        <v>6</v>
      </c>
      <c r="H4" s="40">
        <v>0.08</v>
      </c>
      <c r="L4" s="40">
        <v>0.08</v>
      </c>
    </row>
    <row r="6" spans="1:12" x14ac:dyDescent="0.2">
      <c r="B6" t="s">
        <v>454</v>
      </c>
      <c r="C6" s="143">
        <v>100</v>
      </c>
      <c r="D6" s="143">
        <v>700</v>
      </c>
    </row>
    <row r="7" spans="1:12" x14ac:dyDescent="0.2">
      <c r="B7" t="s">
        <v>6</v>
      </c>
      <c r="C7" s="158">
        <v>0.08</v>
      </c>
      <c r="F7" t="s">
        <v>11</v>
      </c>
      <c r="G7" t="s">
        <v>121</v>
      </c>
      <c r="H7" t="s">
        <v>122</v>
      </c>
      <c r="J7" t="s">
        <v>11</v>
      </c>
      <c r="K7" t="s">
        <v>121</v>
      </c>
      <c r="L7" t="s">
        <v>122</v>
      </c>
    </row>
    <row r="8" spans="1:12" x14ac:dyDescent="0.2">
      <c r="C8" s="20"/>
      <c r="D8" s="20"/>
    </row>
    <row r="9" spans="1:12" x14ac:dyDescent="0.2">
      <c r="B9" t="s">
        <v>455</v>
      </c>
      <c r="C9" s="138">
        <f>C3/C4</f>
        <v>4.4444444444444446</v>
      </c>
      <c r="D9" s="138">
        <f>D3/D4</f>
        <v>5</v>
      </c>
      <c r="F9">
        <v>0</v>
      </c>
      <c r="G9" s="26">
        <v>-2000</v>
      </c>
      <c r="H9" s="11">
        <f t="shared" ref="H9:H15" si="0">G9/(1+$H$4)^F9</f>
        <v>-2000</v>
      </c>
      <c r="J9">
        <v>0</v>
      </c>
      <c r="K9" s="26">
        <v>-3000</v>
      </c>
      <c r="L9" s="11">
        <f t="shared" ref="L9:L15" si="1">K9/(1+$H$4)^J9</f>
        <v>-3000</v>
      </c>
    </row>
    <row r="10" spans="1:12" x14ac:dyDescent="0.2">
      <c r="F10">
        <v>1</v>
      </c>
      <c r="G10" s="26">
        <v>450</v>
      </c>
      <c r="H10" s="11">
        <f t="shared" si="0"/>
        <v>416.66666666666663</v>
      </c>
      <c r="J10">
        <v>1</v>
      </c>
      <c r="K10" s="26">
        <v>600</v>
      </c>
      <c r="L10" s="11">
        <f t="shared" si="1"/>
        <v>555.55555555555554</v>
      </c>
    </row>
    <row r="11" spans="1:12" x14ac:dyDescent="0.2">
      <c r="F11">
        <v>2</v>
      </c>
      <c r="G11" s="26">
        <v>450</v>
      </c>
      <c r="H11" s="11">
        <f t="shared" si="0"/>
        <v>385.80246913580243</v>
      </c>
      <c r="J11">
        <v>2</v>
      </c>
      <c r="K11" s="26">
        <v>600</v>
      </c>
      <c r="L11" s="11">
        <f t="shared" si="1"/>
        <v>514.4032921810699</v>
      </c>
    </row>
    <row r="12" spans="1:12" x14ac:dyDescent="0.2">
      <c r="F12">
        <v>3</v>
      </c>
      <c r="G12" s="26">
        <v>450</v>
      </c>
      <c r="H12" s="11">
        <f t="shared" si="0"/>
        <v>357.22450845907633</v>
      </c>
      <c r="J12">
        <v>3</v>
      </c>
      <c r="K12" s="26">
        <v>600</v>
      </c>
      <c r="L12" s="11">
        <f t="shared" si="1"/>
        <v>476.29934461210178</v>
      </c>
    </row>
    <row r="13" spans="1:12" x14ac:dyDescent="0.2">
      <c r="F13">
        <v>4</v>
      </c>
      <c r="G13" s="26">
        <v>450</v>
      </c>
      <c r="H13" s="11">
        <f t="shared" si="0"/>
        <v>330.76343375840395</v>
      </c>
      <c r="J13">
        <v>4</v>
      </c>
      <c r="K13" s="26">
        <v>600</v>
      </c>
      <c r="L13" s="11">
        <f t="shared" si="1"/>
        <v>441.01791167787195</v>
      </c>
    </row>
    <row r="14" spans="1:12" x14ac:dyDescent="0.2">
      <c r="F14">
        <v>5</v>
      </c>
      <c r="G14" s="26">
        <v>450</v>
      </c>
      <c r="H14" s="11">
        <f t="shared" si="0"/>
        <v>306.26243866518888</v>
      </c>
      <c r="J14">
        <v>5</v>
      </c>
      <c r="K14" s="26">
        <v>600</v>
      </c>
      <c r="L14" s="11">
        <f t="shared" si="1"/>
        <v>408.34991822025182</v>
      </c>
    </row>
    <row r="15" spans="1:12" x14ac:dyDescent="0.2">
      <c r="F15">
        <v>6</v>
      </c>
      <c r="G15" s="26">
        <f>C4+C6</f>
        <v>550</v>
      </c>
      <c r="H15" s="11">
        <f t="shared" si="0"/>
        <v>346.59329478570749</v>
      </c>
      <c r="J15">
        <v>6</v>
      </c>
      <c r="K15" s="26">
        <f>D4+D6</f>
        <v>1300</v>
      </c>
      <c r="L15" s="11">
        <f t="shared" si="1"/>
        <v>819.22051494803588</v>
      </c>
    </row>
    <row r="16" spans="1:12" x14ac:dyDescent="0.2">
      <c r="G16" s="1"/>
      <c r="H16" s="1"/>
      <c r="K16" s="1"/>
      <c r="L16" s="1"/>
    </row>
    <row r="17" spans="2:12" x14ac:dyDescent="0.2">
      <c r="B17" s="73"/>
      <c r="F17" t="s">
        <v>457</v>
      </c>
      <c r="G17" s="39"/>
      <c r="H17" s="43">
        <f>SUM(H9:H15)</f>
        <v>143.31281147084547</v>
      </c>
      <c r="K17" s="39"/>
      <c r="L17" s="43">
        <f>SUM(L9:L15)</f>
        <v>214.84653719488699</v>
      </c>
    </row>
    <row r="18" spans="2:12" x14ac:dyDescent="0.2">
      <c r="B18" s="73"/>
      <c r="G18" s="19"/>
      <c r="K18" s="19"/>
    </row>
    <row r="19" spans="2:12" x14ac:dyDescent="0.2">
      <c r="F19" t="s">
        <v>124</v>
      </c>
      <c r="H19" s="140">
        <f>-G9/G10</f>
        <v>4.4444444444444446</v>
      </c>
      <c r="J19" t="s">
        <v>459</v>
      </c>
      <c r="L19" s="140">
        <f>-K9/K10</f>
        <v>5</v>
      </c>
    </row>
    <row r="21" spans="2:12" x14ac:dyDescent="0.2">
      <c r="F21" t="s">
        <v>460</v>
      </c>
    </row>
    <row r="22" spans="2:12" x14ac:dyDescent="0.2">
      <c r="F22" t="s">
        <v>127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24"/>
  <sheetViews>
    <sheetView topLeftCell="E1" zoomScaleNormal="100" workbookViewId="0">
      <selection activeCell="J20" sqref="J20"/>
    </sheetView>
  </sheetViews>
  <sheetFormatPr baseColWidth="10" defaultColWidth="8.83203125" defaultRowHeight="15" x14ac:dyDescent="0.2"/>
  <cols>
    <col min="1" max="1" width="4.33203125" customWidth="1"/>
    <col min="2" max="2" width="31.6640625" customWidth="1"/>
    <col min="3" max="3" width="30.33203125" customWidth="1"/>
    <col min="4" max="4" width="24" customWidth="1"/>
    <col min="5" max="5" width="2.6640625" customWidth="1"/>
    <col min="6" max="6" width="4.1640625" customWidth="1"/>
    <col min="7" max="7" width="15" customWidth="1"/>
    <col min="8" max="9" width="22.5" customWidth="1"/>
    <col min="10" max="10" width="20.33203125" customWidth="1"/>
    <col min="11" max="11" width="4" customWidth="1"/>
    <col min="12" max="12" width="14.83203125" customWidth="1"/>
    <col min="13" max="13" width="23.5" customWidth="1"/>
    <col min="14" max="14" width="22.5" customWidth="1"/>
    <col min="15" max="15" width="20.6640625" customWidth="1"/>
  </cols>
  <sheetData>
    <row r="1" spans="1:15" x14ac:dyDescent="0.2">
      <c r="A1" s="34" t="s">
        <v>575</v>
      </c>
      <c r="C1" s="34" t="s">
        <v>111</v>
      </c>
      <c r="D1" s="34" t="s">
        <v>114</v>
      </c>
      <c r="E1" s="34"/>
      <c r="G1" s="34" t="s">
        <v>111</v>
      </c>
      <c r="L1" s="34" t="s">
        <v>114</v>
      </c>
    </row>
    <row r="2" spans="1:15" x14ac:dyDescent="0.2">
      <c r="B2" t="s">
        <v>106</v>
      </c>
      <c r="C2" s="38">
        <v>30000</v>
      </c>
      <c r="D2" s="38">
        <v>35000</v>
      </c>
      <c r="E2" s="38"/>
    </row>
    <row r="3" spans="1:15" x14ac:dyDescent="0.2">
      <c r="B3" t="s">
        <v>107</v>
      </c>
      <c r="C3" t="s">
        <v>112</v>
      </c>
      <c r="D3" t="s">
        <v>115</v>
      </c>
      <c r="H3" t="s">
        <v>120</v>
      </c>
      <c r="J3" s="40">
        <v>0.1</v>
      </c>
      <c r="M3" t="s">
        <v>120</v>
      </c>
      <c r="O3" s="40">
        <v>0.1</v>
      </c>
    </row>
    <row r="4" spans="1:15" x14ac:dyDescent="0.2">
      <c r="B4" t="s">
        <v>108</v>
      </c>
      <c r="C4" t="s">
        <v>113</v>
      </c>
      <c r="D4" t="s">
        <v>116</v>
      </c>
      <c r="H4" t="s">
        <v>119</v>
      </c>
      <c r="M4" t="s">
        <v>119</v>
      </c>
    </row>
    <row r="5" spans="1:15" x14ac:dyDescent="0.2">
      <c r="B5" t="s">
        <v>109</v>
      </c>
      <c r="D5" t="s">
        <v>117</v>
      </c>
      <c r="H5" t="s">
        <v>111</v>
      </c>
      <c r="M5" t="s">
        <v>111</v>
      </c>
    </row>
    <row r="6" spans="1:15" x14ac:dyDescent="0.2">
      <c r="B6" t="s">
        <v>110</v>
      </c>
      <c r="C6" s="20">
        <v>8</v>
      </c>
      <c r="D6" s="20">
        <v>8</v>
      </c>
      <c r="E6" s="20"/>
      <c r="G6" t="s">
        <v>11</v>
      </c>
      <c r="H6" t="s">
        <v>121</v>
      </c>
      <c r="I6" t="s">
        <v>123</v>
      </c>
      <c r="J6" t="s">
        <v>122</v>
      </c>
      <c r="L6" t="s">
        <v>11</v>
      </c>
      <c r="M6" t="s">
        <v>121</v>
      </c>
      <c r="N6" t="s">
        <v>123</v>
      </c>
      <c r="O6" t="s">
        <v>122</v>
      </c>
    </row>
    <row r="8" spans="1:15" x14ac:dyDescent="0.2">
      <c r="B8" t="s">
        <v>118</v>
      </c>
      <c r="G8">
        <v>0</v>
      </c>
      <c r="H8" s="26">
        <v>-30000</v>
      </c>
      <c r="I8" s="17">
        <f>H8</f>
        <v>-30000</v>
      </c>
      <c r="J8" s="11">
        <f t="shared" ref="J8:J16" si="0">H8/(1+$J$3)^G8</f>
        <v>-30000</v>
      </c>
      <c r="L8">
        <v>0</v>
      </c>
      <c r="M8" s="26">
        <v>-35000</v>
      </c>
      <c r="N8" s="17">
        <f>M8</f>
        <v>-35000</v>
      </c>
      <c r="O8" s="11">
        <f t="shared" ref="O8:O16" si="1">M8/(1+$J$3)^L8</f>
        <v>-35000</v>
      </c>
    </row>
    <row r="9" spans="1:15" x14ac:dyDescent="0.2">
      <c r="G9">
        <v>1</v>
      </c>
      <c r="H9" s="26">
        <v>12000</v>
      </c>
      <c r="I9" s="17">
        <f>I8+H9</f>
        <v>-18000</v>
      </c>
      <c r="J9" s="11">
        <f>H9/(1+$J$3)^G9</f>
        <v>10909.090909090908</v>
      </c>
      <c r="L9">
        <v>1</v>
      </c>
      <c r="M9" s="26">
        <v>1000</v>
      </c>
      <c r="N9" s="17">
        <f>N8+M9</f>
        <v>-34000</v>
      </c>
      <c r="O9" s="11">
        <f t="shared" si="1"/>
        <v>909.09090909090901</v>
      </c>
    </row>
    <row r="10" spans="1:15" x14ac:dyDescent="0.2">
      <c r="G10">
        <v>2</v>
      </c>
      <c r="H10" s="26">
        <v>9000</v>
      </c>
      <c r="I10" s="17">
        <f t="shared" ref="I10:I16" si="2">I9+H10</f>
        <v>-9000</v>
      </c>
      <c r="J10" s="11">
        <f t="shared" si="0"/>
        <v>7438.0165289256183</v>
      </c>
      <c r="L10">
        <v>2</v>
      </c>
      <c r="M10" s="26">
        <v>4000</v>
      </c>
      <c r="N10" s="17">
        <f t="shared" ref="N10:N16" si="3">N9+M10</f>
        <v>-30000</v>
      </c>
      <c r="O10" s="11">
        <f t="shared" si="1"/>
        <v>3305.7851239669417</v>
      </c>
    </row>
    <row r="11" spans="1:15" x14ac:dyDescent="0.2">
      <c r="G11">
        <v>3</v>
      </c>
      <c r="H11" s="26">
        <v>6000</v>
      </c>
      <c r="I11" s="17">
        <f t="shared" si="2"/>
        <v>-3000</v>
      </c>
      <c r="J11" s="11">
        <f t="shared" si="0"/>
        <v>4507.888805409465</v>
      </c>
      <c r="L11">
        <v>3</v>
      </c>
      <c r="M11" s="26">
        <v>7000</v>
      </c>
      <c r="N11" s="17">
        <f t="shared" si="3"/>
        <v>-23000</v>
      </c>
      <c r="O11" s="11">
        <f t="shared" si="1"/>
        <v>5259.2036063110427</v>
      </c>
    </row>
    <row r="12" spans="1:15" x14ac:dyDescent="0.2">
      <c r="G12" s="41">
        <v>4</v>
      </c>
      <c r="H12" s="26">
        <v>3000</v>
      </c>
      <c r="I12" s="42">
        <f t="shared" si="2"/>
        <v>0</v>
      </c>
      <c r="J12" s="11">
        <f t="shared" si="0"/>
        <v>2049.0403660952115</v>
      </c>
      <c r="L12">
        <v>4</v>
      </c>
      <c r="M12" s="26">
        <v>10000</v>
      </c>
      <c r="N12" s="17">
        <f t="shared" si="3"/>
        <v>-13000</v>
      </c>
      <c r="O12" s="11">
        <f>M12/(1+$J$3)^L12</f>
        <v>6830.1345536507051</v>
      </c>
    </row>
    <row r="13" spans="1:15" x14ac:dyDescent="0.2">
      <c r="G13">
        <v>5</v>
      </c>
      <c r="H13" s="26">
        <v>0</v>
      </c>
      <c r="I13" s="17">
        <f t="shared" si="2"/>
        <v>0</v>
      </c>
      <c r="J13" s="11">
        <f t="shared" si="0"/>
        <v>0</v>
      </c>
      <c r="L13" s="41">
        <v>5</v>
      </c>
      <c r="M13" s="26">
        <v>13000</v>
      </c>
      <c r="N13" s="42">
        <f t="shared" si="3"/>
        <v>0</v>
      </c>
      <c r="O13" s="11">
        <f t="shared" si="1"/>
        <v>8071.9771997690141</v>
      </c>
    </row>
    <row r="14" spans="1:15" x14ac:dyDescent="0.2">
      <c r="G14">
        <v>6</v>
      </c>
      <c r="H14" s="26"/>
      <c r="I14" s="17">
        <f t="shared" si="2"/>
        <v>0</v>
      </c>
      <c r="J14" s="11">
        <f t="shared" si="0"/>
        <v>0</v>
      </c>
      <c r="L14">
        <v>6</v>
      </c>
      <c r="M14" s="26">
        <v>16000</v>
      </c>
      <c r="N14" s="17">
        <f t="shared" si="3"/>
        <v>16000</v>
      </c>
      <c r="O14" s="11">
        <f t="shared" si="1"/>
        <v>9031.5828808604347</v>
      </c>
    </row>
    <row r="15" spans="1:15" x14ac:dyDescent="0.2">
      <c r="G15">
        <v>7</v>
      </c>
      <c r="H15" s="26"/>
      <c r="I15" s="17">
        <f t="shared" si="2"/>
        <v>0</v>
      </c>
      <c r="J15" s="11">
        <f t="shared" si="0"/>
        <v>0</v>
      </c>
      <c r="L15">
        <v>7</v>
      </c>
      <c r="M15" s="26">
        <v>19000</v>
      </c>
      <c r="N15" s="17">
        <f t="shared" si="3"/>
        <v>35000</v>
      </c>
      <c r="O15" s="11">
        <f t="shared" si="1"/>
        <v>9750.0042463834216</v>
      </c>
    </row>
    <row r="16" spans="1:15" x14ac:dyDescent="0.2">
      <c r="G16">
        <v>8</v>
      </c>
      <c r="H16" s="26"/>
      <c r="I16" s="17">
        <f t="shared" si="2"/>
        <v>0</v>
      </c>
      <c r="J16" s="11">
        <f t="shared" si="0"/>
        <v>0</v>
      </c>
      <c r="L16">
        <v>8</v>
      </c>
      <c r="M16" s="26">
        <v>22000</v>
      </c>
      <c r="N16" s="17">
        <f t="shared" si="3"/>
        <v>57000</v>
      </c>
      <c r="O16" s="11">
        <f t="shared" si="1"/>
        <v>10263.162364614131</v>
      </c>
    </row>
    <row r="17" spans="7:15" x14ac:dyDescent="0.2">
      <c r="H17" s="1"/>
      <c r="I17" s="1"/>
      <c r="J17" s="1"/>
      <c r="M17" s="1"/>
      <c r="N17" s="1"/>
      <c r="O17" s="1"/>
    </row>
    <row r="18" spans="7:15" x14ac:dyDescent="0.2">
      <c r="G18" t="s">
        <v>577</v>
      </c>
      <c r="H18" s="39">
        <f>SUM(H8:H16)</f>
        <v>0</v>
      </c>
      <c r="I18" s="39"/>
      <c r="J18" s="43">
        <f>SUM(J8:J12)</f>
        <v>-5095.963390478797</v>
      </c>
      <c r="L18" t="s">
        <v>17</v>
      </c>
      <c r="M18" s="39">
        <f>SUM(M8:M16)</f>
        <v>57000</v>
      </c>
      <c r="N18" s="39"/>
      <c r="O18" s="43">
        <f>SUM(O8:O16)</f>
        <v>18420.940884646603</v>
      </c>
    </row>
    <row r="19" spans="7:15" x14ac:dyDescent="0.2">
      <c r="G19" t="s">
        <v>51</v>
      </c>
      <c r="H19" s="19">
        <f>IRR(H8:H16)</f>
        <v>1.3322676295501878E-15</v>
      </c>
      <c r="I19" s="19"/>
      <c r="L19" t="s">
        <v>51</v>
      </c>
      <c r="M19" s="19">
        <f>IRR(M8:M16)</f>
        <v>0.18987461893870794</v>
      </c>
      <c r="N19" s="19"/>
    </row>
    <row r="20" spans="7:15" x14ac:dyDescent="0.2">
      <c r="G20" t="s">
        <v>124</v>
      </c>
      <c r="H20" s="4" t="s">
        <v>125</v>
      </c>
      <c r="L20" t="s">
        <v>124</v>
      </c>
      <c r="M20" s="4" t="s">
        <v>480</v>
      </c>
    </row>
    <row r="23" spans="7:15" x14ac:dyDescent="0.2">
      <c r="G23" t="s">
        <v>126</v>
      </c>
    </row>
    <row r="24" spans="7:15" x14ac:dyDescent="0.2">
      <c r="G24" t="s">
        <v>127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7"/>
  <sheetViews>
    <sheetView zoomScale="175" zoomScaleNormal="175" workbookViewId="0">
      <selection activeCell="E2" sqref="E2"/>
    </sheetView>
  </sheetViews>
  <sheetFormatPr baseColWidth="10" defaultColWidth="8.83203125" defaultRowHeight="15" x14ac:dyDescent="0.2"/>
  <cols>
    <col min="2" max="2" width="3.33203125" customWidth="1"/>
    <col min="3" max="3" width="7.33203125" bestFit="1" customWidth="1"/>
    <col min="4" max="4" width="11.5" customWidth="1"/>
    <col min="5" max="5" width="13.1640625" customWidth="1"/>
    <col min="6" max="6" width="6.5" customWidth="1"/>
    <col min="9" max="9" width="13.83203125" bestFit="1" customWidth="1"/>
    <col min="10" max="10" width="11.1640625" customWidth="1"/>
  </cols>
  <sheetData>
    <row r="1" spans="1:10" x14ac:dyDescent="0.2">
      <c r="A1" s="34" t="s">
        <v>472</v>
      </c>
    </row>
    <row r="2" spans="1:10" x14ac:dyDescent="0.2">
      <c r="C2" t="s">
        <v>476</v>
      </c>
      <c r="G2" t="s">
        <v>475</v>
      </c>
    </row>
    <row r="3" spans="1:10" ht="33" thickBot="1" x14ac:dyDescent="0.25">
      <c r="C3" t="s">
        <v>92</v>
      </c>
      <c r="D3" t="s">
        <v>390</v>
      </c>
      <c r="E3" t="s">
        <v>473</v>
      </c>
      <c r="G3" t="s">
        <v>92</v>
      </c>
      <c r="H3" t="s">
        <v>390</v>
      </c>
      <c r="I3" t="s">
        <v>473</v>
      </c>
      <c r="J3" s="145" t="s">
        <v>474</v>
      </c>
    </row>
    <row r="4" spans="1:10" x14ac:dyDescent="0.2">
      <c r="C4">
        <v>1</v>
      </c>
      <c r="D4" s="45">
        <v>100</v>
      </c>
      <c r="E4" s="144">
        <v>0.2</v>
      </c>
      <c r="G4" s="148">
        <v>3</v>
      </c>
      <c r="H4" s="15">
        <v>50</v>
      </c>
      <c r="I4" s="144">
        <v>0.25</v>
      </c>
      <c r="J4" s="146">
        <f>H4</f>
        <v>50</v>
      </c>
    </row>
    <row r="5" spans="1:10" x14ac:dyDescent="0.2">
      <c r="C5">
        <v>2</v>
      </c>
      <c r="D5" s="45">
        <v>200</v>
      </c>
      <c r="E5" s="144">
        <v>0.15</v>
      </c>
      <c r="G5" s="149">
        <v>1</v>
      </c>
      <c r="H5" s="15">
        <v>100</v>
      </c>
      <c r="I5" s="144">
        <v>0.2</v>
      </c>
      <c r="J5" s="146">
        <f>J4+H5</f>
        <v>150</v>
      </c>
    </row>
    <row r="6" spans="1:10" x14ac:dyDescent="0.2">
      <c r="C6">
        <v>3</v>
      </c>
      <c r="D6" s="45">
        <v>50</v>
      </c>
      <c r="E6" s="144">
        <v>0.25</v>
      </c>
      <c r="G6" s="149">
        <v>4</v>
      </c>
      <c r="H6" s="15">
        <v>100</v>
      </c>
      <c r="I6" s="144">
        <v>0.2</v>
      </c>
      <c r="J6" s="146">
        <f t="shared" ref="J6:J12" si="0">J5+H6</f>
        <v>250</v>
      </c>
    </row>
    <row r="7" spans="1:10" x14ac:dyDescent="0.2">
      <c r="C7">
        <v>4</v>
      </c>
      <c r="D7" s="45">
        <v>100</v>
      </c>
      <c r="E7" s="144">
        <v>0.2</v>
      </c>
      <c r="G7" s="149">
        <v>5</v>
      </c>
      <c r="H7" s="15">
        <v>100</v>
      </c>
      <c r="I7" s="144">
        <v>0.2</v>
      </c>
      <c r="J7" s="146">
        <f t="shared" si="0"/>
        <v>350</v>
      </c>
    </row>
    <row r="8" spans="1:10" x14ac:dyDescent="0.2">
      <c r="C8">
        <v>5</v>
      </c>
      <c r="D8" s="45">
        <v>100</v>
      </c>
      <c r="E8" s="144">
        <v>0.2</v>
      </c>
      <c r="G8" s="149">
        <v>6</v>
      </c>
      <c r="H8" s="15">
        <v>100</v>
      </c>
      <c r="I8" s="144">
        <v>0.18</v>
      </c>
      <c r="J8" s="146">
        <f t="shared" si="0"/>
        <v>450</v>
      </c>
    </row>
    <row r="9" spans="1:10" ht="16" thickBot="1" x14ac:dyDescent="0.25">
      <c r="C9">
        <v>6</v>
      </c>
      <c r="D9" s="45">
        <v>100</v>
      </c>
      <c r="E9" s="144">
        <v>0.18</v>
      </c>
      <c r="G9" s="150">
        <v>2</v>
      </c>
      <c r="H9" s="15">
        <v>200</v>
      </c>
      <c r="I9" s="144">
        <v>0.15</v>
      </c>
      <c r="J9" s="147">
        <f t="shared" si="0"/>
        <v>650</v>
      </c>
    </row>
    <row r="10" spans="1:10" x14ac:dyDescent="0.2">
      <c r="C10">
        <v>7</v>
      </c>
      <c r="D10" s="45">
        <v>300</v>
      </c>
      <c r="E10" s="144">
        <v>0.1</v>
      </c>
      <c r="G10">
        <v>9</v>
      </c>
      <c r="H10" s="15">
        <v>50</v>
      </c>
      <c r="I10" s="144">
        <v>0.14000000000000001</v>
      </c>
      <c r="J10" s="146">
        <f t="shared" si="0"/>
        <v>700</v>
      </c>
    </row>
    <row r="11" spans="1:10" x14ac:dyDescent="0.2">
      <c r="C11">
        <v>8</v>
      </c>
      <c r="D11" s="45">
        <v>300</v>
      </c>
      <c r="E11" s="144">
        <v>0.12</v>
      </c>
      <c r="G11">
        <v>8</v>
      </c>
      <c r="H11" s="15">
        <v>300</v>
      </c>
      <c r="I11" s="144">
        <v>0.12</v>
      </c>
      <c r="J11" s="146">
        <f t="shared" si="0"/>
        <v>1000</v>
      </c>
    </row>
    <row r="12" spans="1:10" x14ac:dyDescent="0.2">
      <c r="C12">
        <v>9</v>
      </c>
      <c r="D12" s="45">
        <v>50</v>
      </c>
      <c r="E12" s="144">
        <v>0.14000000000000001</v>
      </c>
      <c r="G12">
        <v>7</v>
      </c>
      <c r="H12" s="15">
        <v>300</v>
      </c>
      <c r="I12" s="144">
        <v>0.1</v>
      </c>
      <c r="J12" s="146">
        <f t="shared" si="0"/>
        <v>1300</v>
      </c>
    </row>
    <row r="14" spans="1:10" x14ac:dyDescent="0.2">
      <c r="G14" t="s">
        <v>477</v>
      </c>
    </row>
    <row r="16" spans="1:10" x14ac:dyDescent="0.2">
      <c r="G16" t="s">
        <v>478</v>
      </c>
    </row>
    <row r="17" spans="7:7" x14ac:dyDescent="0.2">
      <c r="G17" s="87" t="s">
        <v>479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7"/>
  <sheetViews>
    <sheetView zoomScale="85" zoomScaleNormal="85" workbookViewId="0">
      <selection activeCell="D35" sqref="D35"/>
    </sheetView>
  </sheetViews>
  <sheetFormatPr baseColWidth="10" defaultColWidth="8.83203125" defaultRowHeight="15" x14ac:dyDescent="0.2"/>
  <cols>
    <col min="1" max="1" width="11" customWidth="1"/>
    <col min="2" max="2" width="19" customWidth="1"/>
    <col min="3" max="3" width="12" customWidth="1"/>
    <col min="4" max="4" width="23.5" customWidth="1"/>
    <col min="5" max="5" width="14.6640625" customWidth="1"/>
    <col min="7" max="7" width="13.1640625" bestFit="1" customWidth="1"/>
    <col min="10" max="10" width="11" customWidth="1"/>
  </cols>
  <sheetData>
    <row r="1" spans="1:10" x14ac:dyDescent="0.2">
      <c r="A1" s="34" t="s">
        <v>167</v>
      </c>
    </row>
    <row r="3" spans="1:10" x14ac:dyDescent="0.2">
      <c r="B3" s="3" t="s">
        <v>153</v>
      </c>
      <c r="C3" s="3"/>
    </row>
    <row r="4" spans="1:10" x14ac:dyDescent="0.2">
      <c r="B4" t="s">
        <v>40</v>
      </c>
      <c r="C4" s="143">
        <v>275</v>
      </c>
      <c r="D4" s="15"/>
    </row>
    <row r="5" spans="1:10" x14ac:dyDescent="0.2">
      <c r="B5" t="s">
        <v>6</v>
      </c>
      <c r="C5" s="157">
        <v>0.09</v>
      </c>
      <c r="D5" s="13"/>
      <c r="E5">
        <f>C5/12</f>
        <v>7.4999999999999997E-3</v>
      </c>
      <c r="G5">
        <v>7.4999999999999997E-3</v>
      </c>
    </row>
    <row r="7" spans="1:10" x14ac:dyDescent="0.2">
      <c r="A7" s="3" t="s">
        <v>22</v>
      </c>
      <c r="B7" s="3" t="s">
        <v>154</v>
      </c>
      <c r="C7" s="3" t="s">
        <v>41</v>
      </c>
      <c r="D7" s="3" t="s">
        <v>43</v>
      </c>
      <c r="G7">
        <f>((1+G5)^60)-1</f>
        <v>0.56568102694157307</v>
      </c>
      <c r="H7">
        <f>G7/(0.09/12)</f>
        <v>75.424136925543081</v>
      </c>
    </row>
    <row r="8" spans="1:10" x14ac:dyDescent="0.2">
      <c r="A8" s="57">
        <v>36192</v>
      </c>
      <c r="B8" s="16">
        <f>C4</f>
        <v>275</v>
      </c>
      <c r="C8" s="10"/>
      <c r="D8" s="10">
        <f>B8+C8</f>
        <v>275</v>
      </c>
      <c r="G8">
        <f>((1.0075^60)-1)/0.0075</f>
        <v>75.424136925543081</v>
      </c>
    </row>
    <row r="9" spans="1:10" x14ac:dyDescent="0.2">
      <c r="A9" s="57">
        <v>36220</v>
      </c>
      <c r="B9" s="16">
        <v>275</v>
      </c>
      <c r="C9" s="10">
        <f>B9*($C$5/12)</f>
        <v>2.0625</v>
      </c>
      <c r="D9" s="10">
        <f t="shared" ref="D9:D40" si="0">D8+B9+C9</f>
        <v>552.0625</v>
      </c>
      <c r="G9" s="45">
        <f>275*G8</f>
        <v>20741.637654524347</v>
      </c>
    </row>
    <row r="10" spans="1:10" x14ac:dyDescent="0.2">
      <c r="A10" s="57">
        <v>36251</v>
      </c>
      <c r="B10" s="16">
        <v>275</v>
      </c>
      <c r="C10" s="10">
        <f t="shared" ref="C10:C28" si="1">D9*($C$5/12)</f>
        <v>4.1404687500000001</v>
      </c>
      <c r="D10" s="10">
        <f t="shared" si="0"/>
        <v>831.20296874999997</v>
      </c>
    </row>
    <row r="11" spans="1:10" x14ac:dyDescent="0.2">
      <c r="A11" s="57">
        <v>36281</v>
      </c>
      <c r="B11" s="16">
        <v>275</v>
      </c>
      <c r="C11" s="10">
        <f t="shared" si="1"/>
        <v>6.2340222656249997</v>
      </c>
      <c r="D11" s="10">
        <f t="shared" si="0"/>
        <v>1112.4369910156249</v>
      </c>
      <c r="J11" s="56">
        <f>(1+(0.09/12))^12-1</f>
        <v>9.3806897670984268E-2</v>
      </c>
    </row>
    <row r="12" spans="1:10" x14ac:dyDescent="0.2">
      <c r="A12" s="57">
        <v>36312</v>
      </c>
      <c r="B12" s="16">
        <v>275</v>
      </c>
      <c r="C12" s="10">
        <f t="shared" si="1"/>
        <v>8.343277432617187</v>
      </c>
      <c r="D12" s="10">
        <f t="shared" si="0"/>
        <v>1395.7802684482422</v>
      </c>
    </row>
    <row r="13" spans="1:10" x14ac:dyDescent="0.2">
      <c r="A13" s="57">
        <v>36342</v>
      </c>
      <c r="B13" s="16">
        <v>275</v>
      </c>
      <c r="C13" s="10">
        <f t="shared" si="1"/>
        <v>10.468352013361816</v>
      </c>
      <c r="D13" s="10">
        <f t="shared" si="0"/>
        <v>1681.2486204616039</v>
      </c>
    </row>
    <row r="14" spans="1:10" x14ac:dyDescent="0.2">
      <c r="A14" s="57">
        <v>36373</v>
      </c>
      <c r="B14" s="16">
        <v>275</v>
      </c>
      <c r="C14" s="10">
        <f t="shared" si="1"/>
        <v>12.609364653462029</v>
      </c>
      <c r="D14" s="10">
        <f t="shared" si="0"/>
        <v>1968.857985115066</v>
      </c>
    </row>
    <row r="15" spans="1:10" x14ac:dyDescent="0.2">
      <c r="A15" s="57">
        <v>36404</v>
      </c>
      <c r="B15" s="16">
        <v>275</v>
      </c>
      <c r="C15" s="10">
        <f t="shared" si="1"/>
        <v>14.766434888362994</v>
      </c>
      <c r="D15" s="10">
        <f t="shared" si="0"/>
        <v>2258.6244200034293</v>
      </c>
    </row>
    <row r="16" spans="1:10" x14ac:dyDescent="0.2">
      <c r="A16" s="57">
        <v>36434</v>
      </c>
      <c r="B16" s="16">
        <v>275</v>
      </c>
      <c r="C16" s="10">
        <f t="shared" si="1"/>
        <v>16.939683150025719</v>
      </c>
      <c r="D16" s="10">
        <f t="shared" si="0"/>
        <v>2550.5641031534551</v>
      </c>
    </row>
    <row r="17" spans="1:4" x14ac:dyDescent="0.2">
      <c r="A17" s="57">
        <v>36465</v>
      </c>
      <c r="B17" s="16">
        <v>275</v>
      </c>
      <c r="C17" s="10">
        <f t="shared" si="1"/>
        <v>19.129230773650914</v>
      </c>
      <c r="D17" s="10">
        <f t="shared" si="0"/>
        <v>2844.6933339271059</v>
      </c>
    </row>
    <row r="18" spans="1:4" x14ac:dyDescent="0.2">
      <c r="A18" s="57">
        <v>36495</v>
      </c>
      <c r="B18" s="16">
        <v>275</v>
      </c>
      <c r="C18" s="10">
        <f t="shared" si="1"/>
        <v>21.335200004453291</v>
      </c>
      <c r="D18" s="10">
        <f t="shared" si="0"/>
        <v>3141.0285339315592</v>
      </c>
    </row>
    <row r="19" spans="1:4" x14ac:dyDescent="0.2">
      <c r="A19" s="57">
        <v>36526</v>
      </c>
      <c r="B19" s="16">
        <v>275</v>
      </c>
      <c r="C19" s="10">
        <f t="shared" si="1"/>
        <v>23.557714004486694</v>
      </c>
      <c r="D19" s="10">
        <f t="shared" si="0"/>
        <v>3439.5862479360458</v>
      </c>
    </row>
    <row r="20" spans="1:4" x14ac:dyDescent="0.2">
      <c r="A20" s="57">
        <v>36557</v>
      </c>
      <c r="B20" s="16">
        <v>275</v>
      </c>
      <c r="C20" s="10">
        <f t="shared" si="1"/>
        <v>25.796896859520341</v>
      </c>
      <c r="D20" s="10">
        <f t="shared" si="0"/>
        <v>3740.3831447955663</v>
      </c>
    </row>
    <row r="21" spans="1:4" x14ac:dyDescent="0.2">
      <c r="A21" s="57">
        <v>36586</v>
      </c>
      <c r="B21" s="16">
        <v>275</v>
      </c>
      <c r="C21" s="10">
        <f t="shared" si="1"/>
        <v>28.052873585966747</v>
      </c>
      <c r="D21" s="10">
        <f t="shared" si="0"/>
        <v>4043.4360183815329</v>
      </c>
    </row>
    <row r="22" spans="1:4" x14ac:dyDescent="0.2">
      <c r="A22" s="57">
        <v>36617</v>
      </c>
      <c r="B22" s="16">
        <v>275</v>
      </c>
      <c r="C22" s="10">
        <f t="shared" si="1"/>
        <v>30.325770137861497</v>
      </c>
      <c r="D22" s="10">
        <f t="shared" si="0"/>
        <v>4348.7617885193949</v>
      </c>
    </row>
    <row r="23" spans="1:4" x14ac:dyDescent="0.2">
      <c r="A23" s="57">
        <v>36647</v>
      </c>
      <c r="B23" s="16">
        <v>275</v>
      </c>
      <c r="C23" s="10">
        <f t="shared" si="1"/>
        <v>32.615713413895463</v>
      </c>
      <c r="D23" s="10">
        <f t="shared" si="0"/>
        <v>4656.3775019332907</v>
      </c>
    </row>
    <row r="24" spans="1:4" x14ac:dyDescent="0.2">
      <c r="A24" s="57">
        <v>36678</v>
      </c>
      <c r="B24" s="16">
        <v>275</v>
      </c>
      <c r="C24" s="10">
        <f t="shared" si="1"/>
        <v>34.922831264499678</v>
      </c>
      <c r="D24" s="10">
        <f t="shared" si="0"/>
        <v>4966.3003331977907</v>
      </c>
    </row>
    <row r="25" spans="1:4" x14ac:dyDescent="0.2">
      <c r="A25" s="57">
        <v>36708</v>
      </c>
      <c r="B25" s="16">
        <v>275</v>
      </c>
      <c r="C25" s="10">
        <f t="shared" si="1"/>
        <v>37.247252498983428</v>
      </c>
      <c r="D25" s="10">
        <f t="shared" si="0"/>
        <v>5278.5475856967741</v>
      </c>
    </row>
    <row r="26" spans="1:4" x14ac:dyDescent="0.2">
      <c r="A26" s="57">
        <v>36739</v>
      </c>
      <c r="B26" s="16">
        <v>275</v>
      </c>
      <c r="C26" s="10">
        <f t="shared" si="1"/>
        <v>39.589106892725802</v>
      </c>
      <c r="D26" s="10">
        <f t="shared" si="0"/>
        <v>5593.1366925894999</v>
      </c>
    </row>
    <row r="27" spans="1:4" x14ac:dyDescent="0.2">
      <c r="A27" s="57">
        <v>36770</v>
      </c>
      <c r="B27" s="16">
        <v>275</v>
      </c>
      <c r="C27" s="10">
        <f t="shared" si="1"/>
        <v>41.948525194421251</v>
      </c>
      <c r="D27" s="10">
        <f t="shared" si="0"/>
        <v>5910.0852177839215</v>
      </c>
    </row>
    <row r="28" spans="1:4" x14ac:dyDescent="0.2">
      <c r="A28" s="57">
        <v>36800</v>
      </c>
      <c r="B28" s="16">
        <v>275</v>
      </c>
      <c r="C28" s="10">
        <f t="shared" si="1"/>
        <v>44.325639133379411</v>
      </c>
      <c r="D28" s="10">
        <f t="shared" si="0"/>
        <v>6229.4108569173013</v>
      </c>
    </row>
    <row r="29" spans="1:4" x14ac:dyDescent="0.2">
      <c r="A29" s="57">
        <v>36831</v>
      </c>
      <c r="B29" s="16">
        <v>275</v>
      </c>
      <c r="C29" s="10">
        <f t="shared" ref="C29:C67" si="2">D28*($C$5/12)</f>
        <v>46.720581426879761</v>
      </c>
      <c r="D29" s="10">
        <f t="shared" si="0"/>
        <v>6551.1314383441813</v>
      </c>
    </row>
    <row r="30" spans="1:4" x14ac:dyDescent="0.2">
      <c r="A30" s="57">
        <v>36861</v>
      </c>
      <c r="B30" s="16">
        <v>275</v>
      </c>
      <c r="C30" s="10">
        <f t="shared" si="2"/>
        <v>49.133485787581357</v>
      </c>
      <c r="D30" s="10">
        <f t="shared" si="0"/>
        <v>6875.2649241317631</v>
      </c>
    </row>
    <row r="31" spans="1:4" x14ac:dyDescent="0.2">
      <c r="A31" s="57">
        <v>36892</v>
      </c>
      <c r="B31" s="16">
        <v>275</v>
      </c>
      <c r="C31" s="10">
        <f t="shared" si="2"/>
        <v>51.564486930988224</v>
      </c>
      <c r="D31" s="10">
        <f t="shared" si="0"/>
        <v>7201.8294110627512</v>
      </c>
    </row>
    <row r="32" spans="1:4" x14ac:dyDescent="0.2">
      <c r="A32" s="57">
        <v>36923</v>
      </c>
      <c r="B32" s="16">
        <v>275</v>
      </c>
      <c r="C32" s="10">
        <f t="shared" si="2"/>
        <v>54.013720582970635</v>
      </c>
      <c r="D32" s="10">
        <f t="shared" si="0"/>
        <v>7530.8431316457218</v>
      </c>
    </row>
    <row r="33" spans="1:4" x14ac:dyDescent="0.2">
      <c r="A33" s="57">
        <v>36951</v>
      </c>
      <c r="B33" s="16">
        <v>275</v>
      </c>
      <c r="C33" s="10">
        <f t="shared" si="2"/>
        <v>56.481323487342912</v>
      </c>
      <c r="D33" s="10">
        <f t="shared" si="0"/>
        <v>7862.3244551330645</v>
      </c>
    </row>
    <row r="34" spans="1:4" x14ac:dyDescent="0.2">
      <c r="A34" s="57">
        <v>36982</v>
      </c>
      <c r="B34" s="16">
        <v>275</v>
      </c>
      <c r="C34" s="10">
        <f t="shared" si="2"/>
        <v>58.967433413497979</v>
      </c>
      <c r="D34" s="10">
        <f t="shared" si="0"/>
        <v>8196.2918885465624</v>
      </c>
    </row>
    <row r="35" spans="1:4" x14ac:dyDescent="0.2">
      <c r="A35" s="57">
        <v>37012</v>
      </c>
      <c r="B35" s="16">
        <v>275</v>
      </c>
      <c r="C35" s="10">
        <f t="shared" si="2"/>
        <v>61.472189164099213</v>
      </c>
      <c r="D35" s="10">
        <f t="shared" si="0"/>
        <v>8532.7640777106608</v>
      </c>
    </row>
    <row r="36" spans="1:4" x14ac:dyDescent="0.2">
      <c r="A36" s="57">
        <v>37043</v>
      </c>
      <c r="B36" s="16">
        <v>275</v>
      </c>
      <c r="C36" s="10">
        <f t="shared" si="2"/>
        <v>63.995730582829957</v>
      </c>
      <c r="D36" s="10">
        <f t="shared" si="0"/>
        <v>8871.759808293491</v>
      </c>
    </row>
    <row r="37" spans="1:4" x14ac:dyDescent="0.2">
      <c r="A37" s="57">
        <v>37073</v>
      </c>
      <c r="B37" s="16">
        <v>275</v>
      </c>
      <c r="C37" s="10">
        <f t="shared" si="2"/>
        <v>66.538198562201174</v>
      </c>
      <c r="D37" s="10">
        <f t="shared" si="0"/>
        <v>9213.2980068556917</v>
      </c>
    </row>
    <row r="38" spans="1:4" x14ac:dyDescent="0.2">
      <c r="A38" s="57">
        <v>37104</v>
      </c>
      <c r="B38" s="16">
        <v>275</v>
      </c>
      <c r="C38" s="10">
        <f t="shared" si="2"/>
        <v>69.099735051417682</v>
      </c>
      <c r="D38" s="10">
        <f t="shared" si="0"/>
        <v>9557.3977419071089</v>
      </c>
    </row>
    <row r="39" spans="1:4" x14ac:dyDescent="0.2">
      <c r="A39" s="57">
        <v>37135</v>
      </c>
      <c r="B39" s="16">
        <v>275</v>
      </c>
      <c r="C39" s="10">
        <f t="shared" si="2"/>
        <v>71.680483064303317</v>
      </c>
      <c r="D39" s="10">
        <f t="shared" si="0"/>
        <v>9904.0782249714121</v>
      </c>
    </row>
    <row r="40" spans="1:4" x14ac:dyDescent="0.2">
      <c r="A40" s="57">
        <v>37165</v>
      </c>
      <c r="B40" s="16">
        <v>275</v>
      </c>
      <c r="C40" s="10">
        <f t="shared" si="2"/>
        <v>74.280586687285592</v>
      </c>
      <c r="D40" s="10">
        <f t="shared" si="0"/>
        <v>10253.358811658698</v>
      </c>
    </row>
    <row r="41" spans="1:4" x14ac:dyDescent="0.2">
      <c r="A41" s="57">
        <v>37196</v>
      </c>
      <c r="B41" s="16">
        <v>275</v>
      </c>
      <c r="C41" s="10">
        <f t="shared" si="2"/>
        <v>76.900191087440234</v>
      </c>
      <c r="D41" s="10">
        <f t="shared" ref="D41:D67" si="3">D40+B41+C41</f>
        <v>10605.259002746137</v>
      </c>
    </row>
    <row r="42" spans="1:4" x14ac:dyDescent="0.2">
      <c r="A42" s="57">
        <v>37226</v>
      </c>
      <c r="B42" s="16">
        <v>275</v>
      </c>
      <c r="C42" s="10">
        <f t="shared" si="2"/>
        <v>79.539442520596026</v>
      </c>
      <c r="D42" s="10">
        <f t="shared" si="3"/>
        <v>10959.798445266733</v>
      </c>
    </row>
    <row r="43" spans="1:4" x14ac:dyDescent="0.2">
      <c r="A43" s="57">
        <v>37257</v>
      </c>
      <c r="B43" s="16">
        <v>275</v>
      </c>
      <c r="C43" s="10">
        <f t="shared" si="2"/>
        <v>82.1984883395005</v>
      </c>
      <c r="D43" s="10">
        <f t="shared" si="3"/>
        <v>11316.996933606233</v>
      </c>
    </row>
    <row r="44" spans="1:4" x14ac:dyDescent="0.2">
      <c r="A44" s="57">
        <v>37288</v>
      </c>
      <c r="B44" s="16">
        <v>275</v>
      </c>
      <c r="C44" s="10">
        <f t="shared" si="2"/>
        <v>84.877477002046746</v>
      </c>
      <c r="D44" s="10">
        <f t="shared" si="3"/>
        <v>11676.87441060828</v>
      </c>
    </row>
    <row r="45" spans="1:4" x14ac:dyDescent="0.2">
      <c r="A45" s="57">
        <v>37316</v>
      </c>
      <c r="B45" s="16">
        <v>275</v>
      </c>
      <c r="C45" s="10">
        <f t="shared" si="2"/>
        <v>87.576558079562091</v>
      </c>
      <c r="D45" s="10">
        <f t="shared" si="3"/>
        <v>12039.450968687841</v>
      </c>
    </row>
    <row r="46" spans="1:4" x14ac:dyDescent="0.2">
      <c r="A46" s="57">
        <v>37347</v>
      </c>
      <c r="B46" s="16">
        <v>275</v>
      </c>
      <c r="C46" s="10">
        <f t="shared" si="2"/>
        <v>90.295882265158809</v>
      </c>
      <c r="D46" s="10">
        <f t="shared" si="3"/>
        <v>12404.746850952999</v>
      </c>
    </row>
    <row r="47" spans="1:4" x14ac:dyDescent="0.2">
      <c r="A47" s="57">
        <v>37377</v>
      </c>
      <c r="B47" s="16">
        <v>275</v>
      </c>
      <c r="C47" s="10">
        <f t="shared" si="2"/>
        <v>93.03560138214749</v>
      </c>
      <c r="D47" s="10">
        <f t="shared" si="3"/>
        <v>12772.782452335146</v>
      </c>
    </row>
    <row r="48" spans="1:4" x14ac:dyDescent="0.2">
      <c r="A48" s="57">
        <v>37408</v>
      </c>
      <c r="B48" s="16">
        <v>275</v>
      </c>
      <c r="C48" s="10">
        <f t="shared" si="2"/>
        <v>95.795868392513597</v>
      </c>
      <c r="D48" s="10">
        <f t="shared" si="3"/>
        <v>13143.57832072766</v>
      </c>
    </row>
    <row r="49" spans="1:4" x14ac:dyDescent="0.2">
      <c r="A49" s="57">
        <v>37438</v>
      </c>
      <c r="B49" s="16">
        <v>275</v>
      </c>
      <c r="C49" s="10">
        <f t="shared" si="2"/>
        <v>98.576837405457439</v>
      </c>
      <c r="D49" s="10">
        <f t="shared" si="3"/>
        <v>13517.155158133117</v>
      </c>
    </row>
    <row r="50" spans="1:4" x14ac:dyDescent="0.2">
      <c r="A50" s="57">
        <v>37469</v>
      </c>
      <c r="B50" s="16">
        <v>275</v>
      </c>
      <c r="C50" s="10">
        <f t="shared" si="2"/>
        <v>101.37866368599838</v>
      </c>
      <c r="D50" s="10">
        <f t="shared" si="3"/>
        <v>13893.533821819115</v>
      </c>
    </row>
    <row r="51" spans="1:4" x14ac:dyDescent="0.2">
      <c r="A51" s="57">
        <v>37500</v>
      </c>
      <c r="B51" s="16">
        <v>275</v>
      </c>
      <c r="C51" s="10">
        <f t="shared" si="2"/>
        <v>104.20150366364336</v>
      </c>
      <c r="D51" s="10">
        <f t="shared" si="3"/>
        <v>14272.735325482759</v>
      </c>
    </row>
    <row r="52" spans="1:4" x14ac:dyDescent="0.2">
      <c r="A52" s="57">
        <v>37530</v>
      </c>
      <c r="B52" s="16">
        <v>275</v>
      </c>
      <c r="C52" s="10">
        <f t="shared" si="2"/>
        <v>107.04551494112069</v>
      </c>
      <c r="D52" s="10">
        <f t="shared" si="3"/>
        <v>14654.78084042388</v>
      </c>
    </row>
    <row r="53" spans="1:4" x14ac:dyDescent="0.2">
      <c r="A53" s="57">
        <v>37561</v>
      </c>
      <c r="B53" s="16">
        <v>275</v>
      </c>
      <c r="C53" s="10">
        <f t="shared" si="2"/>
        <v>109.9108563031791</v>
      </c>
      <c r="D53" s="10">
        <f t="shared" si="3"/>
        <v>15039.691696727059</v>
      </c>
    </row>
    <row r="54" spans="1:4" x14ac:dyDescent="0.2">
      <c r="A54" s="57">
        <v>37591</v>
      </c>
      <c r="B54" s="16">
        <v>275</v>
      </c>
      <c r="C54" s="10">
        <f t="shared" si="2"/>
        <v>112.79768772545295</v>
      </c>
      <c r="D54" s="10">
        <f t="shared" si="3"/>
        <v>15427.489384452512</v>
      </c>
    </row>
    <row r="55" spans="1:4" x14ac:dyDescent="0.2">
      <c r="A55" s="57">
        <v>37622</v>
      </c>
      <c r="B55" s="16">
        <v>275</v>
      </c>
      <c r="C55" s="10">
        <f t="shared" si="2"/>
        <v>115.70617038339384</v>
      </c>
      <c r="D55" s="10">
        <f t="shared" si="3"/>
        <v>15818.195554835906</v>
      </c>
    </row>
    <row r="56" spans="1:4" x14ac:dyDescent="0.2">
      <c r="A56" s="57">
        <v>37653</v>
      </c>
      <c r="B56" s="16">
        <v>275</v>
      </c>
      <c r="C56" s="10">
        <f t="shared" si="2"/>
        <v>118.63646666126928</v>
      </c>
      <c r="D56" s="10">
        <f t="shared" si="3"/>
        <v>16211.832021497175</v>
      </c>
    </row>
    <row r="57" spans="1:4" x14ac:dyDescent="0.2">
      <c r="A57" s="57">
        <v>37681</v>
      </c>
      <c r="B57" s="16">
        <v>275</v>
      </c>
      <c r="C57" s="10">
        <f t="shared" si="2"/>
        <v>121.58874016122881</v>
      </c>
      <c r="D57" s="10">
        <f t="shared" si="3"/>
        <v>16608.420761658403</v>
      </c>
    </row>
    <row r="58" spans="1:4" x14ac:dyDescent="0.2">
      <c r="A58" s="57">
        <v>37712</v>
      </c>
      <c r="B58" s="16">
        <v>275</v>
      </c>
      <c r="C58" s="10">
        <f t="shared" si="2"/>
        <v>124.56315571243802</v>
      </c>
      <c r="D58" s="10">
        <f t="shared" si="3"/>
        <v>17007.983917370842</v>
      </c>
    </row>
    <row r="59" spans="1:4" x14ac:dyDescent="0.2">
      <c r="A59" s="57">
        <v>37742</v>
      </c>
      <c r="B59" s="16">
        <v>275</v>
      </c>
      <c r="C59" s="10">
        <f t="shared" si="2"/>
        <v>127.55987938028132</v>
      </c>
      <c r="D59" s="10">
        <f t="shared" si="3"/>
        <v>17410.543796751124</v>
      </c>
    </row>
    <row r="60" spans="1:4" x14ac:dyDescent="0.2">
      <c r="A60" s="57">
        <v>37773</v>
      </c>
      <c r="B60" s="16">
        <v>275</v>
      </c>
      <c r="C60" s="10">
        <f t="shared" si="2"/>
        <v>130.57907847563342</v>
      </c>
      <c r="D60" s="10">
        <f t="shared" si="3"/>
        <v>17816.122875226756</v>
      </c>
    </row>
    <row r="61" spans="1:4" x14ac:dyDescent="0.2">
      <c r="A61" s="57">
        <v>37803</v>
      </c>
      <c r="B61" s="16">
        <v>275</v>
      </c>
      <c r="C61" s="10">
        <f t="shared" si="2"/>
        <v>133.62092156420067</v>
      </c>
      <c r="D61" s="10">
        <f t="shared" si="3"/>
        <v>18224.743796790957</v>
      </c>
    </row>
    <row r="62" spans="1:4" x14ac:dyDescent="0.2">
      <c r="A62" s="57">
        <v>37834</v>
      </c>
      <c r="B62" s="16">
        <v>275</v>
      </c>
      <c r="C62" s="10">
        <f t="shared" si="2"/>
        <v>136.68557847593218</v>
      </c>
      <c r="D62" s="10">
        <f t="shared" si="3"/>
        <v>18636.429375266889</v>
      </c>
    </row>
    <row r="63" spans="1:4" x14ac:dyDescent="0.2">
      <c r="A63" s="57">
        <v>37865</v>
      </c>
      <c r="B63" s="16">
        <v>275</v>
      </c>
      <c r="C63" s="10">
        <f t="shared" si="2"/>
        <v>139.77322031450166</v>
      </c>
      <c r="D63" s="10">
        <f t="shared" si="3"/>
        <v>19051.202595581392</v>
      </c>
    </row>
    <row r="64" spans="1:4" x14ac:dyDescent="0.2">
      <c r="A64" s="57">
        <v>37895</v>
      </c>
      <c r="B64" s="16">
        <v>275</v>
      </c>
      <c r="C64" s="10">
        <f t="shared" si="2"/>
        <v>142.88401946686042</v>
      </c>
      <c r="D64" s="10">
        <f t="shared" si="3"/>
        <v>19469.086615048251</v>
      </c>
    </row>
    <row r="65" spans="1:4" x14ac:dyDescent="0.2">
      <c r="A65" s="57">
        <v>37926</v>
      </c>
      <c r="B65" s="16">
        <v>275</v>
      </c>
      <c r="C65" s="10">
        <f t="shared" si="2"/>
        <v>146.01814961286186</v>
      </c>
      <c r="D65" s="10">
        <f t="shared" si="3"/>
        <v>19890.104764661111</v>
      </c>
    </row>
    <row r="66" spans="1:4" x14ac:dyDescent="0.2">
      <c r="A66" s="57">
        <v>37956</v>
      </c>
      <c r="B66" s="16">
        <v>275</v>
      </c>
      <c r="C66" s="10">
        <f t="shared" si="2"/>
        <v>149.17578573495834</v>
      </c>
      <c r="D66" s="10">
        <f t="shared" si="3"/>
        <v>20314.28055039607</v>
      </c>
    </row>
    <row r="67" spans="1:4" x14ac:dyDescent="0.2">
      <c r="A67" s="57">
        <v>37987</v>
      </c>
      <c r="B67" s="16">
        <v>275</v>
      </c>
      <c r="C67" s="10">
        <f t="shared" si="2"/>
        <v>152.35710412797053</v>
      </c>
      <c r="D67" s="10">
        <f t="shared" si="3"/>
        <v>20741.637654524042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zoomScale="145" zoomScaleNormal="145" workbookViewId="0">
      <selection activeCell="C18" sqref="C18"/>
    </sheetView>
  </sheetViews>
  <sheetFormatPr baseColWidth="10" defaultColWidth="8.83203125" defaultRowHeight="15" x14ac:dyDescent="0.2"/>
  <cols>
    <col min="1" max="1" width="19" customWidth="1"/>
    <col min="2" max="2" width="9.6640625" customWidth="1"/>
    <col min="3" max="3" width="14" customWidth="1"/>
    <col min="4" max="4" width="13.5" customWidth="1"/>
    <col min="5" max="5" width="12.5" customWidth="1"/>
    <col min="10" max="10" width="20.33203125" customWidth="1"/>
    <col min="11" max="11" width="19" customWidth="1"/>
    <col min="12" max="12" width="12" customWidth="1"/>
    <col min="13" max="13" width="23.5" customWidth="1"/>
    <col min="14" max="14" width="14.6640625" customWidth="1"/>
  </cols>
  <sheetData>
    <row r="1" spans="1:13" x14ac:dyDescent="0.2">
      <c r="A1" s="34" t="s">
        <v>166</v>
      </c>
    </row>
    <row r="3" spans="1:13" x14ac:dyDescent="0.2">
      <c r="A3" s="3" t="s">
        <v>160</v>
      </c>
      <c r="B3" s="3"/>
      <c r="C3" s="3"/>
      <c r="J3" s="3" t="s">
        <v>165</v>
      </c>
      <c r="K3" s="3"/>
    </row>
    <row r="4" spans="1:13" x14ac:dyDescent="0.2">
      <c r="A4" t="s">
        <v>155</v>
      </c>
      <c r="B4" t="s">
        <v>161</v>
      </c>
      <c r="C4" s="154">
        <v>10000</v>
      </c>
      <c r="K4" s="15"/>
      <c r="M4" s="15"/>
    </row>
    <row r="5" spans="1:13" x14ac:dyDescent="0.2">
      <c r="A5" t="s">
        <v>6</v>
      </c>
      <c r="B5" t="s">
        <v>162</v>
      </c>
      <c r="C5" s="158">
        <v>0.1</v>
      </c>
      <c r="M5" s="13"/>
    </row>
    <row r="6" spans="1:13" x14ac:dyDescent="0.2">
      <c r="A6" t="s">
        <v>144</v>
      </c>
      <c r="B6" t="s">
        <v>163</v>
      </c>
      <c r="C6" s="154">
        <v>4</v>
      </c>
    </row>
    <row r="7" spans="1:13" x14ac:dyDescent="0.2">
      <c r="C7">
        <f>C5*(1+C5)^C6/((1+C5)^C6-1)</f>
        <v>0.31547080370609765</v>
      </c>
    </row>
    <row r="8" spans="1:13" x14ac:dyDescent="0.2">
      <c r="A8" t="s">
        <v>64</v>
      </c>
      <c r="C8" s="59">
        <f>ROUND(C4*C7,0)</f>
        <v>3155</v>
      </c>
      <c r="J8" t="s">
        <v>64</v>
      </c>
      <c r="K8" s="2">
        <f>ROUND(PMT(C5,C6,C4),0)</f>
        <v>-3155</v>
      </c>
    </row>
    <row r="9" spans="1:13" x14ac:dyDescent="0.2">
      <c r="C9" t="s">
        <v>164</v>
      </c>
      <c r="J9" t="s">
        <v>164</v>
      </c>
    </row>
    <row r="14" spans="1:13" x14ac:dyDescent="0.2">
      <c r="A14" s="3" t="s">
        <v>156</v>
      </c>
      <c r="B14" s="3" t="s">
        <v>159</v>
      </c>
      <c r="C14" s="3" t="s">
        <v>41</v>
      </c>
      <c r="D14" s="3" t="s">
        <v>157</v>
      </c>
      <c r="E14" s="3" t="s">
        <v>158</v>
      </c>
    </row>
    <row r="15" spans="1:13" x14ac:dyDescent="0.2">
      <c r="A15">
        <v>1</v>
      </c>
      <c r="B15" s="16">
        <f>C4</f>
        <v>10000</v>
      </c>
      <c r="C15" s="10">
        <f>B15*$C$5</f>
        <v>1000</v>
      </c>
      <c r="D15" s="58">
        <f>$C$8-C15</f>
        <v>2155</v>
      </c>
      <c r="E15" s="46">
        <f>B15-D15</f>
        <v>7845</v>
      </c>
    </row>
    <row r="16" spans="1:13" x14ac:dyDescent="0.2">
      <c r="A16">
        <v>2</v>
      </c>
      <c r="B16" s="16">
        <f>E15</f>
        <v>7845</v>
      </c>
      <c r="C16" s="10">
        <f>B16*$C$5</f>
        <v>784.5</v>
      </c>
      <c r="D16" s="60">
        <f>$C$8-C16</f>
        <v>2370.5</v>
      </c>
      <c r="E16" s="46">
        <f>B16-D16</f>
        <v>5474.5</v>
      </c>
    </row>
    <row r="17" spans="1:5" x14ac:dyDescent="0.2">
      <c r="A17">
        <v>3</v>
      </c>
      <c r="B17" s="16">
        <f>E16</f>
        <v>5474.5</v>
      </c>
      <c r="C17" s="10">
        <f>B17*$C$5</f>
        <v>547.45000000000005</v>
      </c>
      <c r="D17" s="58">
        <f>$C$8-C17</f>
        <v>2607.5500000000002</v>
      </c>
      <c r="E17" s="46">
        <f>B17-D17</f>
        <v>2866.95</v>
      </c>
    </row>
    <row r="18" spans="1:5" x14ac:dyDescent="0.2">
      <c r="A18">
        <v>4</v>
      </c>
      <c r="B18" s="16">
        <f>E17</f>
        <v>2866.95</v>
      </c>
      <c r="C18" s="10">
        <f>B18*$C$5</f>
        <v>286.69499999999999</v>
      </c>
      <c r="D18" s="58">
        <f>$C$8-C18</f>
        <v>2868.3049999999998</v>
      </c>
      <c r="E18" s="46">
        <f>B18-D18</f>
        <v>-1.3550000000000182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69"/>
  <sheetViews>
    <sheetView zoomScale="85" zoomScaleNormal="85" workbookViewId="0">
      <selection activeCell="A16" sqref="A16"/>
    </sheetView>
  </sheetViews>
  <sheetFormatPr baseColWidth="10" defaultColWidth="8.83203125" defaultRowHeight="15" x14ac:dyDescent="0.2"/>
  <cols>
    <col min="2" max="2" width="16.5" customWidth="1"/>
    <col min="3" max="3" width="18" customWidth="1"/>
  </cols>
  <sheetData>
    <row r="2" spans="1:7" x14ac:dyDescent="0.2">
      <c r="B2" s="3" t="s">
        <v>27</v>
      </c>
      <c r="C2" s="3"/>
      <c r="F2" s="3" t="s">
        <v>26</v>
      </c>
      <c r="G2" s="3"/>
    </row>
    <row r="4" spans="1:7" x14ac:dyDescent="0.2">
      <c r="B4" t="s">
        <v>15</v>
      </c>
      <c r="C4" s="6">
        <v>7.207183689271951E-3</v>
      </c>
      <c r="F4" t="s">
        <v>6</v>
      </c>
    </row>
    <row r="5" spans="1:7" x14ac:dyDescent="0.2">
      <c r="G5">
        <v>7.2071836892719206E-3</v>
      </c>
    </row>
    <row r="6" spans="1:7" x14ac:dyDescent="0.2">
      <c r="A6" t="s">
        <v>22</v>
      </c>
      <c r="B6" t="s">
        <v>16</v>
      </c>
      <c r="C6" t="s">
        <v>18</v>
      </c>
      <c r="F6" t="s">
        <v>12</v>
      </c>
    </row>
    <row r="7" spans="1:7" x14ac:dyDescent="0.2">
      <c r="G7">
        <f>((1+$G$5)^60-1)/($G$5*(1+$G$5)^60)</f>
        <v>48.571428571901038</v>
      </c>
    </row>
    <row r="8" spans="1:7" x14ac:dyDescent="0.2">
      <c r="A8">
        <v>1</v>
      </c>
      <c r="B8" s="1">
        <v>140</v>
      </c>
      <c r="C8" s="1">
        <f>B8/(1+$C$4)^A8</f>
        <v>138.99821433679392</v>
      </c>
      <c r="F8" t="s">
        <v>13</v>
      </c>
    </row>
    <row r="9" spans="1:7" x14ac:dyDescent="0.2">
      <c r="A9">
        <v>2</v>
      </c>
      <c r="B9" s="1">
        <f>B8</f>
        <v>140</v>
      </c>
      <c r="C9" s="1">
        <f t="shared" ref="C9:C67" si="0">B9/(1+$C$4)^A9</f>
        <v>138.00359706298073</v>
      </c>
      <c r="G9">
        <v>140</v>
      </c>
    </row>
    <row r="10" spans="1:7" x14ac:dyDescent="0.2">
      <c r="A10">
        <v>3</v>
      </c>
      <c r="B10" s="1">
        <f>B9</f>
        <v>140</v>
      </c>
      <c r="C10" s="1">
        <f t="shared" si="0"/>
        <v>137.01609688434817</v>
      </c>
      <c r="F10" t="s">
        <v>14</v>
      </c>
    </row>
    <row r="11" spans="1:7" x14ac:dyDescent="0.2">
      <c r="A11">
        <v>4</v>
      </c>
      <c r="B11" s="1">
        <f>B10</f>
        <v>140</v>
      </c>
      <c r="C11" s="1">
        <f t="shared" si="0"/>
        <v>136.03566287372533</v>
      </c>
      <c r="G11" s="1">
        <f>G7*G9</f>
        <v>6800.0000000661457</v>
      </c>
    </row>
    <row r="12" spans="1:7" x14ac:dyDescent="0.2">
      <c r="A12">
        <v>5</v>
      </c>
      <c r="B12" s="1">
        <f>B11</f>
        <v>140</v>
      </c>
      <c r="C12" s="1">
        <f t="shared" si="0"/>
        <v>135.06224446835651</v>
      </c>
    </row>
    <row r="13" spans="1:7" x14ac:dyDescent="0.2">
      <c r="A13">
        <v>6</v>
      </c>
      <c r="B13" s="1">
        <v>140</v>
      </c>
      <c r="C13" s="1">
        <f t="shared" si="0"/>
        <v>134.09579146729342</v>
      </c>
    </row>
    <row r="14" spans="1:7" x14ac:dyDescent="0.2">
      <c r="A14">
        <v>7</v>
      </c>
      <c r="B14" s="1">
        <f>B13</f>
        <v>140</v>
      </c>
      <c r="C14" s="1">
        <f t="shared" si="0"/>
        <v>133.13625402880623</v>
      </c>
    </row>
    <row r="15" spans="1:7" x14ac:dyDescent="0.2">
      <c r="A15">
        <v>8</v>
      </c>
      <c r="B15" s="1">
        <f>B14</f>
        <v>140</v>
      </c>
      <c r="C15" s="1">
        <f t="shared" si="0"/>
        <v>132.18358266781323</v>
      </c>
    </row>
    <row r="16" spans="1:7" x14ac:dyDescent="0.2">
      <c r="A16">
        <v>9</v>
      </c>
      <c r="B16" s="1">
        <f>B15</f>
        <v>140</v>
      </c>
      <c r="C16" s="1">
        <f t="shared" si="0"/>
        <v>131.23772825332873</v>
      </c>
    </row>
    <row r="17" spans="1:3" x14ac:dyDescent="0.2">
      <c r="A17">
        <v>10</v>
      </c>
      <c r="B17" s="1">
        <f>B16</f>
        <v>140</v>
      </c>
      <c r="C17" s="1">
        <f t="shared" si="0"/>
        <v>130.29864200592928</v>
      </c>
    </row>
    <row r="18" spans="1:3" x14ac:dyDescent="0.2">
      <c r="A18">
        <v>11</v>
      </c>
      <c r="B18" s="1">
        <v>140</v>
      </c>
      <c r="C18" s="1">
        <f t="shared" si="0"/>
        <v>129.36627549523817</v>
      </c>
    </row>
    <row r="19" spans="1:3" x14ac:dyDescent="0.2">
      <c r="A19">
        <v>12</v>
      </c>
      <c r="B19" s="1">
        <f>B18</f>
        <v>140</v>
      </c>
      <c r="C19" s="1">
        <f t="shared" si="0"/>
        <v>128.44058063742744</v>
      </c>
    </row>
    <row r="20" spans="1:3" x14ac:dyDescent="0.2">
      <c r="A20">
        <v>13</v>
      </c>
      <c r="B20" s="1">
        <f>B19</f>
        <v>140</v>
      </c>
      <c r="C20" s="1">
        <f t="shared" si="0"/>
        <v>127.5215096927386</v>
      </c>
    </row>
    <row r="21" spans="1:3" x14ac:dyDescent="0.2">
      <c r="A21">
        <v>14</v>
      </c>
      <c r="B21" s="1">
        <v>140</v>
      </c>
      <c r="C21" s="1">
        <f t="shared" si="0"/>
        <v>126.60901526302015</v>
      </c>
    </row>
    <row r="22" spans="1:3" x14ac:dyDescent="0.2">
      <c r="A22">
        <v>15</v>
      </c>
      <c r="B22" s="1">
        <f>B21</f>
        <v>140</v>
      </c>
      <c r="C22" s="1">
        <f t="shared" si="0"/>
        <v>125.7030502892835</v>
      </c>
    </row>
    <row r="23" spans="1:3" x14ac:dyDescent="0.2">
      <c r="A23">
        <v>16</v>
      </c>
      <c r="B23" s="1">
        <f>B22</f>
        <v>140</v>
      </c>
      <c r="C23" s="1">
        <f t="shared" si="0"/>
        <v>124.8035680492758</v>
      </c>
    </row>
    <row r="24" spans="1:3" x14ac:dyDescent="0.2">
      <c r="A24">
        <v>17</v>
      </c>
      <c r="B24" s="1">
        <v>140</v>
      </c>
      <c r="C24" s="1">
        <f t="shared" si="0"/>
        <v>123.91052215507059</v>
      </c>
    </row>
    <row r="25" spans="1:3" x14ac:dyDescent="0.2">
      <c r="A25">
        <v>18</v>
      </c>
      <c r="B25" s="1">
        <f>B24</f>
        <v>140</v>
      </c>
      <c r="C25" s="1">
        <f t="shared" si="0"/>
        <v>123.02386655067538</v>
      </c>
    </row>
    <row r="26" spans="1:3" x14ac:dyDescent="0.2">
      <c r="A26">
        <v>19</v>
      </c>
      <c r="B26" s="1">
        <f>B25</f>
        <v>140</v>
      </c>
      <c r="C26" s="1">
        <f t="shared" si="0"/>
        <v>122.14355550965652</v>
      </c>
    </row>
    <row r="27" spans="1:3" x14ac:dyDescent="0.2">
      <c r="A27">
        <v>20</v>
      </c>
      <c r="B27" s="1">
        <v>140</v>
      </c>
      <c r="C27" s="1">
        <f t="shared" si="0"/>
        <v>121.26954363278087</v>
      </c>
    </row>
    <row r="28" spans="1:3" x14ac:dyDescent="0.2">
      <c r="A28">
        <v>21</v>
      </c>
      <c r="B28" s="1">
        <f>B27</f>
        <v>140</v>
      </c>
      <c r="C28" s="1">
        <f t="shared" si="0"/>
        <v>120.40178584567468</v>
      </c>
    </row>
    <row r="29" spans="1:3" x14ac:dyDescent="0.2">
      <c r="A29">
        <v>22</v>
      </c>
      <c r="B29" s="1">
        <f>B28</f>
        <v>140</v>
      </c>
      <c r="C29" s="1">
        <f t="shared" si="0"/>
        <v>119.54023739649894</v>
      </c>
    </row>
    <row r="30" spans="1:3" x14ac:dyDescent="0.2">
      <c r="A30">
        <v>23</v>
      </c>
      <c r="B30" s="1">
        <v>140</v>
      </c>
      <c r="C30" s="1">
        <f t="shared" si="0"/>
        <v>118.68485385364136</v>
      </c>
    </row>
    <row r="31" spans="1:3" x14ac:dyDescent="0.2">
      <c r="A31">
        <v>24</v>
      </c>
      <c r="B31" s="1">
        <f>B30</f>
        <v>140</v>
      </c>
      <c r="C31" s="1">
        <f t="shared" si="0"/>
        <v>117.83559110342499</v>
      </c>
    </row>
    <row r="32" spans="1:3" x14ac:dyDescent="0.2">
      <c r="A32">
        <v>25</v>
      </c>
      <c r="B32" s="1">
        <f>B31</f>
        <v>140</v>
      </c>
      <c r="C32" s="1">
        <f t="shared" si="0"/>
        <v>116.9924053478334</v>
      </c>
    </row>
    <row r="33" spans="1:3" x14ac:dyDescent="0.2">
      <c r="A33">
        <v>26</v>
      </c>
      <c r="B33" s="1">
        <v>140</v>
      </c>
      <c r="C33" s="1">
        <f t="shared" si="0"/>
        <v>116.15525310225159</v>
      </c>
    </row>
    <row r="34" spans="1:3" x14ac:dyDescent="0.2">
      <c r="A34">
        <v>27</v>
      </c>
      <c r="B34" s="1">
        <f>B33</f>
        <v>140</v>
      </c>
      <c r="C34" s="1">
        <f t="shared" si="0"/>
        <v>115.32409119322369</v>
      </c>
    </row>
    <row r="35" spans="1:3" x14ac:dyDescent="0.2">
      <c r="A35">
        <v>28</v>
      </c>
      <c r="B35" s="1">
        <f>B34</f>
        <v>140</v>
      </c>
      <c r="C35" s="1">
        <f t="shared" si="0"/>
        <v>114.49887675622622</v>
      </c>
    </row>
    <row r="36" spans="1:3" x14ac:dyDescent="0.2">
      <c r="A36">
        <v>29</v>
      </c>
      <c r="B36" s="1">
        <v>140</v>
      </c>
      <c r="C36" s="1">
        <f t="shared" si="0"/>
        <v>113.67956723345775</v>
      </c>
    </row>
    <row r="37" spans="1:3" x14ac:dyDescent="0.2">
      <c r="A37">
        <v>30</v>
      </c>
      <c r="B37" s="1">
        <f>B36</f>
        <v>140</v>
      </c>
      <c r="C37" s="1">
        <f t="shared" si="0"/>
        <v>112.86612037164382</v>
      </c>
    </row>
    <row r="38" spans="1:3" x14ac:dyDescent="0.2">
      <c r="A38">
        <v>31</v>
      </c>
      <c r="B38" s="1">
        <f>B37</f>
        <v>140</v>
      </c>
      <c r="C38" s="1">
        <f t="shared" si="0"/>
        <v>112.05849421985808</v>
      </c>
    </row>
    <row r="39" spans="1:3" x14ac:dyDescent="0.2">
      <c r="A39">
        <v>32</v>
      </c>
      <c r="B39" s="1">
        <v>140</v>
      </c>
      <c r="C39" s="1">
        <f t="shared" si="0"/>
        <v>111.25664712735868</v>
      </c>
    </row>
    <row r="40" spans="1:3" x14ac:dyDescent="0.2">
      <c r="A40">
        <v>33</v>
      </c>
      <c r="B40" s="1">
        <f>B39</f>
        <v>140</v>
      </c>
      <c r="C40" s="1">
        <f t="shared" si="0"/>
        <v>110.46053774144035</v>
      </c>
    </row>
    <row r="41" spans="1:3" x14ac:dyDescent="0.2">
      <c r="A41">
        <v>34</v>
      </c>
      <c r="B41" s="1">
        <f>B40</f>
        <v>140</v>
      </c>
      <c r="C41" s="1">
        <f t="shared" si="0"/>
        <v>109.67012500530171</v>
      </c>
    </row>
    <row r="42" spans="1:3" x14ac:dyDescent="0.2">
      <c r="A42">
        <v>35</v>
      </c>
      <c r="B42" s="1">
        <v>140</v>
      </c>
      <c r="C42" s="1">
        <f t="shared" si="0"/>
        <v>108.88536815592795</v>
      </c>
    </row>
    <row r="43" spans="1:3" x14ac:dyDescent="0.2">
      <c r="A43">
        <v>36</v>
      </c>
      <c r="B43" s="1">
        <f>B42</f>
        <v>140</v>
      </c>
      <c r="C43" s="1">
        <f t="shared" si="0"/>
        <v>108.10622672198848</v>
      </c>
    </row>
    <row r="44" spans="1:3" x14ac:dyDescent="0.2">
      <c r="A44">
        <v>37</v>
      </c>
      <c r="B44" s="1">
        <f>B43</f>
        <v>140</v>
      </c>
      <c r="C44" s="1">
        <f t="shared" si="0"/>
        <v>107.33266052174996</v>
      </c>
    </row>
    <row r="45" spans="1:3" x14ac:dyDescent="0.2">
      <c r="A45">
        <v>38</v>
      </c>
      <c r="B45" s="1">
        <v>140</v>
      </c>
      <c r="C45" s="1">
        <f t="shared" si="0"/>
        <v>106.56462966100383</v>
      </c>
    </row>
    <row r="46" spans="1:3" x14ac:dyDescent="0.2">
      <c r="A46">
        <v>39</v>
      </c>
      <c r="B46" s="1">
        <f>B45</f>
        <v>140</v>
      </c>
      <c r="C46" s="1">
        <f t="shared" si="0"/>
        <v>105.80209453100916</v>
      </c>
    </row>
    <row r="47" spans="1:3" x14ac:dyDescent="0.2">
      <c r="A47">
        <v>40</v>
      </c>
      <c r="B47" s="1">
        <f>B46</f>
        <v>140</v>
      </c>
      <c r="C47" s="1">
        <f t="shared" si="0"/>
        <v>105.04501580644957</v>
      </c>
    </row>
    <row r="48" spans="1:3" x14ac:dyDescent="0.2">
      <c r="A48">
        <v>41</v>
      </c>
      <c r="B48" s="1">
        <v>140</v>
      </c>
      <c r="C48" s="1">
        <f t="shared" si="0"/>
        <v>104.2933544434056</v>
      </c>
    </row>
    <row r="49" spans="1:3" x14ac:dyDescent="0.2">
      <c r="A49">
        <v>42</v>
      </c>
      <c r="B49" s="1">
        <f>B48</f>
        <v>140</v>
      </c>
      <c r="C49" s="1">
        <f t="shared" si="0"/>
        <v>103.54707167734078</v>
      </c>
    </row>
    <row r="50" spans="1:3" x14ac:dyDescent="0.2">
      <c r="A50">
        <v>43</v>
      </c>
      <c r="B50" s="1">
        <f>B49</f>
        <v>140</v>
      </c>
      <c r="C50" s="1">
        <f t="shared" si="0"/>
        <v>102.80612902110272</v>
      </c>
    </row>
    <row r="51" spans="1:3" x14ac:dyDescent="0.2">
      <c r="A51">
        <v>44</v>
      </c>
      <c r="B51" s="1">
        <v>140</v>
      </c>
      <c r="C51" s="1">
        <f t="shared" si="0"/>
        <v>102.07048826293803</v>
      </c>
    </row>
    <row r="52" spans="1:3" x14ac:dyDescent="0.2">
      <c r="A52">
        <v>45</v>
      </c>
      <c r="B52" s="1">
        <f>B51</f>
        <v>140</v>
      </c>
      <c r="C52" s="1">
        <f t="shared" si="0"/>
        <v>101.34011146452191</v>
      </c>
    </row>
    <row r="53" spans="1:3" x14ac:dyDescent="0.2">
      <c r="A53">
        <v>46</v>
      </c>
      <c r="B53" s="1">
        <f>B52</f>
        <v>140</v>
      </c>
      <c r="C53" s="1">
        <f t="shared" si="0"/>
        <v>100.61496095900144</v>
      </c>
    </row>
    <row r="54" spans="1:3" x14ac:dyDescent="0.2">
      <c r="A54">
        <v>47</v>
      </c>
      <c r="B54" s="1">
        <v>140</v>
      </c>
      <c r="C54" s="1">
        <f t="shared" si="0"/>
        <v>99.894999349053109</v>
      </c>
    </row>
    <row r="55" spans="1:3" x14ac:dyDescent="0.2">
      <c r="A55">
        <v>48</v>
      </c>
      <c r="B55" s="1">
        <f>B54</f>
        <v>140</v>
      </c>
      <c r="C55" s="1">
        <f t="shared" si="0"/>
        <v>99.1801895049541</v>
      </c>
    </row>
    <row r="56" spans="1:3" x14ac:dyDescent="0.2">
      <c r="A56">
        <v>49</v>
      </c>
      <c r="B56" s="1">
        <f>B55</f>
        <v>140</v>
      </c>
      <c r="C56" s="1">
        <f t="shared" si="0"/>
        <v>98.470494562667483</v>
      </c>
    </row>
    <row r="57" spans="1:3" x14ac:dyDescent="0.2">
      <c r="A57">
        <v>50</v>
      </c>
      <c r="B57" s="1">
        <v>140</v>
      </c>
      <c r="C57" s="1">
        <f t="shared" si="0"/>
        <v>97.765877921941112</v>
      </c>
    </row>
    <row r="58" spans="1:3" x14ac:dyDescent="0.2">
      <c r="A58">
        <v>51</v>
      </c>
      <c r="B58" s="1">
        <f>B57</f>
        <v>140</v>
      </c>
      <c r="C58" s="1">
        <f t="shared" si="0"/>
        <v>97.066303244420013</v>
      </c>
    </row>
    <row r="59" spans="1:3" x14ac:dyDescent="0.2">
      <c r="A59">
        <v>52</v>
      </c>
      <c r="B59" s="1">
        <f>B58</f>
        <v>140</v>
      </c>
      <c r="C59" s="1">
        <f t="shared" si="0"/>
        <v>96.37173445177234</v>
      </c>
    </row>
    <row r="60" spans="1:3" x14ac:dyDescent="0.2">
      <c r="A60">
        <v>53</v>
      </c>
      <c r="B60" s="1">
        <v>140</v>
      </c>
      <c r="C60" s="1">
        <f t="shared" si="0"/>
        <v>95.682135723828836</v>
      </c>
    </row>
    <row r="61" spans="1:3" x14ac:dyDescent="0.2">
      <c r="A61">
        <v>54</v>
      </c>
      <c r="B61" s="1">
        <f>B60</f>
        <v>140</v>
      </c>
      <c r="C61" s="1">
        <f t="shared" si="0"/>
        <v>94.997471496735486</v>
      </c>
    </row>
    <row r="62" spans="1:3" x14ac:dyDescent="0.2">
      <c r="A62">
        <v>55</v>
      </c>
      <c r="B62" s="1">
        <f>B61</f>
        <v>140</v>
      </c>
      <c r="C62" s="1">
        <f t="shared" si="0"/>
        <v>94.317706461119371</v>
      </c>
    </row>
    <row r="63" spans="1:3" x14ac:dyDescent="0.2">
      <c r="A63">
        <v>56</v>
      </c>
      <c r="B63" s="1">
        <v>140</v>
      </c>
      <c r="C63" s="1">
        <f t="shared" si="0"/>
        <v>93.642805560267703</v>
      </c>
    </row>
    <row r="64" spans="1:3" x14ac:dyDescent="0.2">
      <c r="A64">
        <v>57</v>
      </c>
      <c r="B64" s="1">
        <f>B63</f>
        <v>140</v>
      </c>
      <c r="C64" s="1">
        <f t="shared" si="0"/>
        <v>92.972733988320059</v>
      </c>
    </row>
    <row r="65" spans="1:3" x14ac:dyDescent="0.2">
      <c r="A65">
        <v>58</v>
      </c>
      <c r="B65" s="1">
        <f>B64</f>
        <v>140</v>
      </c>
      <c r="C65" s="1">
        <f t="shared" si="0"/>
        <v>92.307457188473137</v>
      </c>
    </row>
    <row r="66" spans="1:3" x14ac:dyDescent="0.2">
      <c r="A66">
        <v>59</v>
      </c>
      <c r="B66" s="1">
        <v>140</v>
      </c>
      <c r="C66" s="1">
        <f t="shared" si="0"/>
        <v>91.646940851198707</v>
      </c>
    </row>
    <row r="67" spans="1:3" x14ac:dyDescent="0.2">
      <c r="A67">
        <v>60</v>
      </c>
      <c r="B67" s="1">
        <f>B66</f>
        <v>140</v>
      </c>
      <c r="C67" s="1">
        <f t="shared" si="0"/>
        <v>90.991150912474211</v>
      </c>
    </row>
    <row r="69" spans="1:3" x14ac:dyDescent="0.2">
      <c r="A69" t="s">
        <v>17</v>
      </c>
      <c r="C69" s="1">
        <f>SUM(C8:C67)</f>
        <v>6800.0000000660411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14"/>
  <sheetViews>
    <sheetView workbookViewId="0">
      <selection activeCell="J28" sqref="J28"/>
    </sheetView>
  </sheetViews>
  <sheetFormatPr baseColWidth="10" defaultColWidth="8.83203125" defaultRowHeight="15" x14ac:dyDescent="0.2"/>
  <cols>
    <col min="2" max="2" width="19.1640625" customWidth="1"/>
    <col min="3" max="3" width="18" customWidth="1"/>
  </cols>
  <sheetData>
    <row r="2" spans="1:3" x14ac:dyDescent="0.2">
      <c r="B2" s="3" t="s">
        <v>27</v>
      </c>
      <c r="C2" s="3"/>
    </row>
    <row r="4" spans="1:3" x14ac:dyDescent="0.2">
      <c r="B4" t="s">
        <v>15</v>
      </c>
      <c r="C4" s="6">
        <v>0.15</v>
      </c>
    </row>
    <row r="6" spans="1:3" x14ac:dyDescent="0.2">
      <c r="A6" t="s">
        <v>11</v>
      </c>
      <c r="B6" t="s">
        <v>28</v>
      </c>
      <c r="C6" t="s">
        <v>18</v>
      </c>
    </row>
    <row r="8" spans="1:3" x14ac:dyDescent="0.2">
      <c r="A8">
        <v>1</v>
      </c>
      <c r="B8" s="1">
        <v>100</v>
      </c>
      <c r="C8" s="1">
        <f>B8/(1+$C$4)^A8</f>
        <v>86.956521739130437</v>
      </c>
    </row>
    <row r="9" spans="1:3" x14ac:dyDescent="0.2">
      <c r="A9">
        <v>2</v>
      </c>
      <c r="B9" s="1">
        <f>B8</f>
        <v>100</v>
      </c>
      <c r="C9" s="1">
        <f>B9/(1+$C$4)^A9</f>
        <v>75.61436672967865</v>
      </c>
    </row>
    <row r="10" spans="1:3" x14ac:dyDescent="0.2">
      <c r="A10">
        <v>3</v>
      </c>
      <c r="B10" s="1">
        <f>B9</f>
        <v>100</v>
      </c>
      <c r="C10" s="1">
        <f>B10/(1+$C$4)^A10</f>
        <v>65.751623243198836</v>
      </c>
    </row>
    <row r="11" spans="1:3" x14ac:dyDescent="0.2">
      <c r="A11">
        <v>4</v>
      </c>
      <c r="B11" s="1"/>
      <c r="C11" s="1">
        <f>B11/(1+$C$4)^A11</f>
        <v>0</v>
      </c>
    </row>
    <row r="12" spans="1:3" x14ac:dyDescent="0.2">
      <c r="A12">
        <v>5</v>
      </c>
      <c r="B12" s="8">
        <v>-459.23812499999991</v>
      </c>
      <c r="C12" s="1">
        <f>B12/(1+$C$4)^A12</f>
        <v>-228.32251171200792</v>
      </c>
    </row>
    <row r="13" spans="1:3" x14ac:dyDescent="0.2">
      <c r="B13" s="1"/>
      <c r="C13" s="1"/>
    </row>
    <row r="14" spans="1:3" x14ac:dyDescent="0.2">
      <c r="A14" t="s">
        <v>17</v>
      </c>
      <c r="C14" s="7">
        <f>SUM(C8:C13)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simple earnings example</vt:lpstr>
      <vt:lpstr>Ex 4-2</vt:lpstr>
      <vt:lpstr>Ex 4-3</vt:lpstr>
      <vt:lpstr>Ex 4-4</vt:lpstr>
      <vt:lpstr>Ex 4-4 revisioned</vt:lpstr>
      <vt:lpstr>Ch4 ppt ex 1</vt:lpstr>
      <vt:lpstr>Ch4 ppt ex 2</vt:lpstr>
      <vt:lpstr>Ex 4-5</vt:lpstr>
      <vt:lpstr>Ex 4-6</vt:lpstr>
      <vt:lpstr>Ex 4-7</vt:lpstr>
      <vt:lpstr>Ex 4-8</vt:lpstr>
      <vt:lpstr>Ex 4-9</vt:lpstr>
      <vt:lpstr>Ex 4-10</vt:lpstr>
      <vt:lpstr>Ex 4-12</vt:lpstr>
      <vt:lpstr>Ex 4-13</vt:lpstr>
      <vt:lpstr>Ex 4-14</vt:lpstr>
      <vt:lpstr>Ex 5-1</vt:lpstr>
      <vt:lpstr>Ex 5-2</vt:lpstr>
      <vt:lpstr>Ex 5-3</vt:lpstr>
      <vt:lpstr>Ex 5-4</vt:lpstr>
      <vt:lpstr>Ex 5-6</vt:lpstr>
      <vt:lpstr>Ch5 ppt ex 2</vt:lpstr>
      <vt:lpstr>Ex 5-7</vt:lpstr>
      <vt:lpstr>Ex 5-9</vt:lpstr>
      <vt:lpstr>Ex 5-9 (2)</vt:lpstr>
      <vt:lpstr>formulas</vt:lpstr>
      <vt:lpstr>Ex 5-10</vt:lpstr>
      <vt:lpstr>Ex 6-1</vt:lpstr>
      <vt:lpstr>Ex 6-2</vt:lpstr>
      <vt:lpstr>Ex 6-3</vt:lpstr>
      <vt:lpstr>Ch6 ppt ex 1</vt:lpstr>
      <vt:lpstr>Ch6 ppt ex 2</vt:lpstr>
      <vt:lpstr>Ex 6-5 and 6-6</vt:lpstr>
      <vt:lpstr>Ex 6-7</vt:lpstr>
      <vt:lpstr>Ex 6-9</vt:lpstr>
      <vt:lpstr>mortgage ex 0 fixed pymt</vt:lpstr>
      <vt:lpstr>mortgage ex 1</vt:lpstr>
      <vt:lpstr>mortgage ex 1-1 (15yr)</vt:lpstr>
      <vt:lpstr>mortgage ex 2</vt:lpstr>
      <vt:lpstr>mortgage ex 3</vt:lpstr>
      <vt:lpstr>mortgage - monthly v annual</vt:lpstr>
      <vt:lpstr>Ch7 ppt ex 1</vt:lpstr>
      <vt:lpstr>Ch7 ppt ex 2</vt:lpstr>
      <vt:lpstr>Ch7 ppt ex 3</vt:lpstr>
      <vt:lpstr>Ex 7-2</vt:lpstr>
      <vt:lpstr>Ex 7-5</vt:lpstr>
      <vt:lpstr>Ex7-7</vt:lpstr>
      <vt:lpstr>Ex 7-10</vt:lpstr>
      <vt:lpstr>Ex 7-11</vt:lpstr>
      <vt:lpstr>Ex 7-12</vt:lpstr>
      <vt:lpstr>Ex 7-IRR limitations</vt:lpstr>
      <vt:lpstr>Ch8 ppt ex 1</vt:lpstr>
      <vt:lpstr>Ch8 ppt ex 2</vt:lpstr>
      <vt:lpstr>Ex 8-2</vt:lpstr>
      <vt:lpstr>Ch4 ppt ex 4</vt:lpstr>
      <vt:lpstr>Ex 8-6</vt:lpstr>
      <vt:lpstr>Ex 8-7</vt:lpstr>
      <vt:lpstr>Ex 9-3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Carmichael</dc:creator>
  <cp:lastModifiedBy>chanp1@student.ubc.ca</cp:lastModifiedBy>
  <dcterms:created xsi:type="dcterms:W3CDTF">2019-12-29T15:58:59Z</dcterms:created>
  <dcterms:modified xsi:type="dcterms:W3CDTF">2023-04-17T22:36:27Z</dcterms:modified>
</cp:coreProperties>
</file>