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omments1.xml" ContentType="application/vnd.openxmlformats-officedocument.spreadsheetml.comments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09"/>
  <workbookPr/>
  <mc:AlternateContent xmlns:mc="http://schemas.openxmlformats.org/markup-compatibility/2006">
    <mc:Choice Requires="x15">
      <x15ac:absPath xmlns:x15ac="http://schemas.microsoft.com/office/spreadsheetml/2010/11/ac" url="https://ubcca-my.sharepoint.com/personal/chanp1_student_ubc_ca/Documents/Active Use/UBC/30 Year 3/57 CPEN 481/03 Excel Examples/"/>
    </mc:Choice>
  </mc:AlternateContent>
  <xr:revisionPtr revIDLastSave="12" documentId="11_B2C1967C740501C2ACF34B8CBC9EAFA5814EA5B6" xr6:coauthVersionLast="47" xr6:coauthVersionMax="47" xr10:uidLastSave="{A8213C80-FD16-3F4E-A990-B3B2D951F3E0}"/>
  <bookViews>
    <workbookView xWindow="1340" yWindow="500" windowWidth="27460" windowHeight="17500" tabRatio="805" firstSheet="14" activeTab="22" xr2:uid="{00000000-000D-0000-FFFF-FFFF00000000}"/>
  </bookViews>
  <sheets>
    <sheet name="Ch14 ppt ex 1" sheetId="23" r:id="rId1"/>
    <sheet name="Ex 14-1" sheetId="24" r:id="rId2"/>
    <sheet name="Ex 14-7" sheetId="25" r:id="rId3"/>
    <sheet name="Ex 14-8" sheetId="26" r:id="rId4"/>
    <sheet name="Ch14 new example 1" sheetId="27" r:id="rId5"/>
    <sheet name="Ch14 new example 2" sheetId="28" r:id="rId6"/>
    <sheet name="Ex 14-5" sheetId="29" r:id="rId7"/>
    <sheet name="Ch14 ppt ex 2" sheetId="30" r:id="rId8"/>
    <sheet name="Ex10-3" sheetId="31" r:id="rId9"/>
    <sheet name="Ex10-5" sheetId="32" r:id="rId10"/>
    <sheet name="Ex10-7 and 8" sheetId="33" r:id="rId11"/>
    <sheet name="CH10 ex1" sheetId="34" r:id="rId12"/>
    <sheet name="Ex10-13" sheetId="35" r:id="rId13"/>
    <sheet name="CH10 ex2" sheetId="36" r:id="rId14"/>
    <sheet name="another ppt ex" sheetId="37" r:id="rId15"/>
    <sheet name="Ch11" sheetId="1" r:id="rId16"/>
    <sheet name="11-5" sheetId="40" r:id="rId17"/>
    <sheet name="CCA example" sheetId="17" r:id="rId18"/>
    <sheet name="12-1" sheetId="13" r:id="rId19"/>
    <sheet name="12-3" sheetId="14" r:id="rId20"/>
    <sheet name="12-6" sheetId="16" r:id="rId21"/>
    <sheet name="12-12 (outdated)" sheetId="2" state="hidden" r:id="rId22"/>
    <sheet name="12-8" sheetId="39" r:id="rId23"/>
    <sheet name="12-11" sheetId="21" r:id="rId24"/>
    <sheet name="12-12" sheetId="19" r:id="rId25"/>
    <sheet name="practice Q Ch 12" sheetId="15" r:id="rId26"/>
    <sheet name="13-1" sheetId="3" r:id="rId27"/>
    <sheet name="13-3" sheetId="4" r:id="rId28"/>
    <sheet name="13-4" sheetId="5" r:id="rId29"/>
    <sheet name="13-5" sheetId="7" r:id="rId30"/>
    <sheet name="13-8" sheetId="9" r:id="rId31"/>
    <sheet name="13 Prob 1" sheetId="18" r:id="rId32"/>
    <sheet name="13 Prob 2" sheetId="22" r:id="rId33"/>
    <sheet name="13-9" sheetId="12" r:id="rId34"/>
    <sheet name="Ch 15 linear prog" sheetId="41" r:id="rId35"/>
    <sheet name="formulas" sheetId="38" r:id="rId3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8" i="39" l="1"/>
  <c r="M37" i="39"/>
  <c r="M45" i="39"/>
  <c r="N14" i="19" l="1"/>
  <c r="N9" i="19"/>
  <c r="N11" i="19"/>
  <c r="G7" i="19"/>
  <c r="E20" i="41" l="1"/>
  <c r="F21" i="41" s="1"/>
  <c r="C22" i="41" s="1"/>
  <c r="C23" i="41" s="1"/>
  <c r="C20" i="41"/>
  <c r="E14" i="41"/>
  <c r="F15" i="41" s="1"/>
  <c r="D10" i="41"/>
  <c r="D12" i="41" s="1"/>
  <c r="I5" i="41"/>
  <c r="C4" i="41"/>
  <c r="C12" i="41" s="1"/>
  <c r="C13" i="41" s="1"/>
  <c r="C14" i="41" s="1"/>
  <c r="I4" i="41" l="1"/>
  <c r="F26" i="41"/>
  <c r="F24" i="41"/>
  <c r="C10" i="41"/>
  <c r="F11" i="41" s="1"/>
  <c r="F17" i="41" s="1"/>
  <c r="C6" i="19" l="1"/>
  <c r="H3" i="19"/>
  <c r="F4" i="1" l="1"/>
  <c r="D11" i="36" l="1"/>
  <c r="D11" i="34"/>
  <c r="M10" i="12" l="1"/>
  <c r="M11" i="12"/>
  <c r="M9" i="12"/>
  <c r="V9" i="12"/>
  <c r="V10" i="12"/>
  <c r="V11" i="12"/>
  <c r="V12" i="12"/>
  <c r="V8" i="12"/>
  <c r="V7" i="12"/>
  <c r="V6" i="12"/>
  <c r="D6" i="29" l="1"/>
  <c r="D13" i="25" l="1"/>
  <c r="T7" i="12" l="1"/>
  <c r="N4" i="4"/>
  <c r="J4" i="4"/>
  <c r="F4" i="3"/>
  <c r="G5" i="3"/>
  <c r="H5" i="3" s="1"/>
  <c r="I4" i="7" l="1"/>
  <c r="G11" i="19" l="1"/>
  <c r="H7" i="19"/>
  <c r="I7" i="19" s="1"/>
  <c r="M42" i="39"/>
  <c r="G36" i="39" s="1"/>
  <c r="C17" i="16"/>
  <c r="C9" i="16"/>
  <c r="C10" i="16" s="1"/>
  <c r="M43" i="39" l="1"/>
  <c r="G21" i="17"/>
  <c r="G20" i="17"/>
  <c r="F11" i="40" l="1"/>
  <c r="F12" i="40"/>
  <c r="F13" i="40"/>
  <c r="F14" i="40"/>
  <c r="F10" i="40"/>
  <c r="R11" i="28" l="1"/>
  <c r="G5" i="27"/>
  <c r="H5" i="27" s="1"/>
  <c r="I5" i="27"/>
  <c r="I6" i="27" s="1"/>
  <c r="I7" i="27" s="1"/>
  <c r="C8" i="23"/>
  <c r="J7" i="3" l="1"/>
  <c r="K7" i="3" s="1"/>
  <c r="G7" i="3"/>
  <c r="H7" i="3" s="1"/>
  <c r="J5" i="3"/>
  <c r="K5" i="3" s="1"/>
  <c r="M33" i="39" l="1"/>
  <c r="M34" i="39" s="1"/>
  <c r="G37" i="39"/>
  <c r="M39" i="39"/>
  <c r="M36" i="39"/>
  <c r="M15" i="39"/>
  <c r="M16" i="39" s="1"/>
  <c r="N6" i="39"/>
  <c r="I27" i="39"/>
  <c r="F5" i="39"/>
  <c r="M40" i="39" l="1"/>
  <c r="G5" i="39"/>
  <c r="H5" i="39"/>
  <c r="F6" i="39" s="1"/>
  <c r="G6" i="39" s="1"/>
  <c r="O7" i="39" s="1"/>
  <c r="N9" i="39"/>
  <c r="M22" i="39"/>
  <c r="O6" i="39"/>
  <c r="N7" i="39"/>
  <c r="N12" i="39" s="1"/>
  <c r="N10" i="39" l="1"/>
  <c r="N11" i="39" s="1"/>
  <c r="N14" i="39" s="1"/>
  <c r="P6" i="39"/>
  <c r="O12" i="39"/>
  <c r="D4" i="29"/>
  <c r="O9" i="39" l="1"/>
  <c r="Q6" i="39"/>
  <c r="H6" i="39"/>
  <c r="F7" i="39" s="1"/>
  <c r="R6" i="39" l="1"/>
  <c r="O10" i="39"/>
  <c r="O11" i="39" s="1"/>
  <c r="O14" i="39" s="1"/>
  <c r="O16" i="39" s="1"/>
  <c r="O22" i="39" s="1"/>
  <c r="G7" i="39"/>
  <c r="P7" i="39" s="1"/>
  <c r="J5" i="26"/>
  <c r="H5" i="26"/>
  <c r="N16" i="39" l="1"/>
  <c r="P12" i="39"/>
  <c r="P9" i="39"/>
  <c r="S6" i="39"/>
  <c r="H7" i="39"/>
  <c r="F8" i="39" s="1"/>
  <c r="K43" i="38"/>
  <c r="N22" i="39" l="1"/>
  <c r="T6" i="39"/>
  <c r="P10" i="39"/>
  <c r="P11" i="39" s="1"/>
  <c r="P14" i="39" s="1"/>
  <c r="G8" i="39"/>
  <c r="Q7" i="39" s="1"/>
  <c r="AF3" i="37"/>
  <c r="AG3" i="37"/>
  <c r="AF4" i="37"/>
  <c r="AG4" i="37"/>
  <c r="AF5" i="37"/>
  <c r="AG5" i="37"/>
  <c r="E6" i="37"/>
  <c r="F6" i="37"/>
  <c r="K6" i="37"/>
  <c r="L6" i="37"/>
  <c r="L13" i="37" s="1"/>
  <c r="Q6" i="37"/>
  <c r="R6" i="37"/>
  <c r="W6" i="37"/>
  <c r="X6" i="37"/>
  <c r="AF6" i="37"/>
  <c r="AG6" i="37"/>
  <c r="E7" i="37"/>
  <c r="G7" i="37"/>
  <c r="K7" i="37"/>
  <c r="M7" i="37"/>
  <c r="Q7" i="37"/>
  <c r="S7" i="37"/>
  <c r="W7" i="37"/>
  <c r="Y7" i="37"/>
  <c r="D8" i="37"/>
  <c r="D9" i="37" s="1"/>
  <c r="E8" i="37"/>
  <c r="J8" i="37"/>
  <c r="K8" i="37" s="1"/>
  <c r="P8" i="37"/>
  <c r="S8" i="37" s="1"/>
  <c r="Q8" i="37"/>
  <c r="V8" i="37"/>
  <c r="W8" i="37" s="1"/>
  <c r="Y8" i="37"/>
  <c r="J9" i="37"/>
  <c r="K9" i="37" s="1"/>
  <c r="P9" i="37"/>
  <c r="S9" i="37" s="1"/>
  <c r="Q9" i="37"/>
  <c r="V9" i="37"/>
  <c r="W9" i="37" s="1"/>
  <c r="Y9" i="37"/>
  <c r="J10" i="37"/>
  <c r="K10" i="37" s="1"/>
  <c r="P10" i="37"/>
  <c r="S10" i="37" s="1"/>
  <c r="J11" i="37"/>
  <c r="K11" i="37" s="1"/>
  <c r="P11" i="37"/>
  <c r="S11" i="37" s="1"/>
  <c r="F13" i="37"/>
  <c r="R13" i="37"/>
  <c r="X13" i="37"/>
  <c r="D13" i="36"/>
  <c r="G5" i="35"/>
  <c r="H5" i="35"/>
  <c r="I5" i="35"/>
  <c r="I6" i="35" s="1"/>
  <c r="I7" i="35" s="1"/>
  <c r="M5" i="35"/>
  <c r="N5" i="35"/>
  <c r="G6" i="35"/>
  <c r="H6" i="35"/>
  <c r="G7" i="35"/>
  <c r="H7" i="35"/>
  <c r="G8" i="35"/>
  <c r="H8" i="35"/>
  <c r="I8" i="35"/>
  <c r="N8" i="35"/>
  <c r="D9" i="35"/>
  <c r="H10" i="35" s="1"/>
  <c r="G9" i="35"/>
  <c r="H9" i="35"/>
  <c r="I9" i="35"/>
  <c r="I10" i="35" s="1"/>
  <c r="N9" i="35"/>
  <c r="G10" i="35"/>
  <c r="D11" i="35"/>
  <c r="D14" i="35"/>
  <c r="D15" i="35"/>
  <c r="J8" i="35" s="1"/>
  <c r="J9" i="35" s="1"/>
  <c r="J10" i="35" s="1"/>
  <c r="G11" i="34"/>
  <c r="D15" i="34"/>
  <c r="G4" i="33"/>
  <c r="S5" i="33"/>
  <c r="T5" i="33"/>
  <c r="U5" i="33"/>
  <c r="S6" i="33"/>
  <c r="T6" i="33"/>
  <c r="S7" i="33"/>
  <c r="S8" i="33"/>
  <c r="T8" i="33"/>
  <c r="U8" i="33"/>
  <c r="Z8" i="33" s="1"/>
  <c r="D9" i="33"/>
  <c r="T7" i="33" s="1"/>
  <c r="S9" i="33"/>
  <c r="T9" i="33"/>
  <c r="S10" i="33"/>
  <c r="D14" i="33"/>
  <c r="D15" i="33"/>
  <c r="V8" i="33" s="1"/>
  <c r="F4" i="32"/>
  <c r="G4" i="32"/>
  <c r="H4" i="32"/>
  <c r="F5" i="32"/>
  <c r="G5" i="32"/>
  <c r="H5" i="32"/>
  <c r="D6" i="32"/>
  <c r="F6" i="32"/>
  <c r="H6" i="32"/>
  <c r="F7" i="32"/>
  <c r="G7" i="32"/>
  <c r="H7" i="32"/>
  <c r="F8" i="32"/>
  <c r="G8" i="32"/>
  <c r="H8" i="32"/>
  <c r="D9" i="32"/>
  <c r="F9" i="32"/>
  <c r="H9" i="32"/>
  <c r="H4" i="31"/>
  <c r="I4" i="31"/>
  <c r="J4" i="31"/>
  <c r="J5" i="31" s="1"/>
  <c r="H5" i="31"/>
  <c r="H10" i="31" s="1"/>
  <c r="I5" i="31"/>
  <c r="Q6" i="31"/>
  <c r="T6" i="31"/>
  <c r="U6" i="31" s="1"/>
  <c r="W6" i="31"/>
  <c r="X6" i="31"/>
  <c r="H7" i="31"/>
  <c r="H8" i="31" s="1"/>
  <c r="I7" i="31"/>
  <c r="I8" i="31" s="1"/>
  <c r="J7" i="31"/>
  <c r="J8" i="31" s="1"/>
  <c r="Q7" i="31"/>
  <c r="R7" i="31" s="1"/>
  <c r="T7" i="31"/>
  <c r="U7" i="31" s="1"/>
  <c r="W7" i="31"/>
  <c r="X7" i="31" s="1"/>
  <c r="T8" i="31"/>
  <c r="U8" i="31" s="1"/>
  <c r="C11" i="30"/>
  <c r="C13" i="30" s="1"/>
  <c r="E5" i="30" s="1"/>
  <c r="K14" i="30"/>
  <c r="K16" i="30" s="1"/>
  <c r="L14" i="30"/>
  <c r="M14" i="30"/>
  <c r="L16" i="30"/>
  <c r="M16" i="30"/>
  <c r="C10" i="29"/>
  <c r="C11" i="29"/>
  <c r="C12" i="29"/>
  <c r="V4" i="28"/>
  <c r="V5" i="28"/>
  <c r="V6" i="28"/>
  <c r="K11" i="28"/>
  <c r="V11" i="28"/>
  <c r="G12" i="28"/>
  <c r="K12" i="28" s="1"/>
  <c r="H12" i="28"/>
  <c r="I12" i="28"/>
  <c r="I13" i="28" s="1"/>
  <c r="I14" i="28" s="1"/>
  <c r="I15" i="28" s="1"/>
  <c r="I16" i="28" s="1"/>
  <c r="I17" i="28" s="1"/>
  <c r="I18" i="28" s="1"/>
  <c r="I19" i="28" s="1"/>
  <c r="I20" i="28" s="1"/>
  <c r="I21" i="28" s="1"/>
  <c r="Q12" i="28"/>
  <c r="S12" i="28"/>
  <c r="S13" i="28" s="1"/>
  <c r="Q13" i="28"/>
  <c r="Q14" i="28" s="1"/>
  <c r="S14" i="28"/>
  <c r="S15" i="28" s="1"/>
  <c r="S16" i="28" s="1"/>
  <c r="S17" i="28" s="1"/>
  <c r="S18" i="28" s="1"/>
  <c r="S19" i="28" s="1"/>
  <c r="S20" i="28" s="1"/>
  <c r="S21" i="28" s="1"/>
  <c r="I27" i="28"/>
  <c r="K7" i="27"/>
  <c r="G6" i="27"/>
  <c r="H6" i="27" s="1"/>
  <c r="G7" i="27"/>
  <c r="F5" i="26"/>
  <c r="F6" i="26" s="1"/>
  <c r="F7" i="26" s="1"/>
  <c r="F8" i="26" s="1"/>
  <c r="F9" i="26" s="1"/>
  <c r="F10" i="26" s="1"/>
  <c r="F11" i="26" s="1"/>
  <c r="F12" i="26" s="1"/>
  <c r="F13" i="26" s="1"/>
  <c r="F14" i="26" s="1"/>
  <c r="F15" i="26" s="1"/>
  <c r="F16" i="26" s="1"/>
  <c r="F17" i="26" s="1"/>
  <c r="H6" i="26"/>
  <c r="H7" i="26" s="1"/>
  <c r="H8" i="26" s="1"/>
  <c r="H9" i="26" s="1"/>
  <c r="H10" i="26" s="1"/>
  <c r="H11" i="26" s="1"/>
  <c r="H12" i="26" s="1"/>
  <c r="H13" i="26" s="1"/>
  <c r="H14" i="26" s="1"/>
  <c r="H15" i="26" s="1"/>
  <c r="H16" i="26" s="1"/>
  <c r="H17" i="26" s="1"/>
  <c r="J6" i="26"/>
  <c r="J7" i="26"/>
  <c r="J8" i="26"/>
  <c r="J9" i="26"/>
  <c r="J10" i="26"/>
  <c r="J11" i="26"/>
  <c r="J12" i="26"/>
  <c r="J13" i="26"/>
  <c r="J14" i="26"/>
  <c r="J15" i="26"/>
  <c r="J16" i="26"/>
  <c r="J17" i="26"/>
  <c r="M6" i="25"/>
  <c r="M5" i="25" s="1"/>
  <c r="C17" i="25"/>
  <c r="C18" i="25" s="1"/>
  <c r="C19" i="25" s="1"/>
  <c r="C20" i="25" s="1"/>
  <c r="C21" i="25" s="1"/>
  <c r="D14" i="25"/>
  <c r="D17" i="25"/>
  <c r="D18" i="25" s="1"/>
  <c r="D19" i="25" s="1"/>
  <c r="D20" i="25" s="1"/>
  <c r="D21" i="25" s="1"/>
  <c r="D22" i="25" s="1"/>
  <c r="C27" i="25"/>
  <c r="C8" i="24"/>
  <c r="C10" i="24"/>
  <c r="C12" i="24"/>
  <c r="C13" i="24"/>
  <c r="D10" i="37" l="1"/>
  <c r="E9" i="37"/>
  <c r="G9" i="37"/>
  <c r="H13" i="28"/>
  <c r="K13" i="28" s="1"/>
  <c r="C15" i="29"/>
  <c r="F3" i="29" s="1"/>
  <c r="F6" i="29" s="1"/>
  <c r="R6" i="31"/>
  <c r="O9" i="35"/>
  <c r="G8" i="37"/>
  <c r="V5" i="33"/>
  <c r="D17" i="33"/>
  <c r="G5" i="33" s="1"/>
  <c r="Q8" i="31"/>
  <c r="U6" i="33"/>
  <c r="U7" i="33" s="1"/>
  <c r="Z5" i="33"/>
  <c r="Z6" i="33" s="1"/>
  <c r="H7" i="27"/>
  <c r="AA5" i="33"/>
  <c r="O8" i="35"/>
  <c r="O5" i="35"/>
  <c r="P5" i="35" s="1"/>
  <c r="Q11" i="37"/>
  <c r="Q10" i="37"/>
  <c r="I10" i="31"/>
  <c r="J10" i="31"/>
  <c r="N10" i="35"/>
  <c r="O10" i="35" s="1"/>
  <c r="V10" i="37"/>
  <c r="C14" i="24"/>
  <c r="V7" i="28"/>
  <c r="R12" i="28" s="1"/>
  <c r="J4" i="32"/>
  <c r="G13" i="28"/>
  <c r="G14" i="28" s="1"/>
  <c r="G15" i="28" s="1"/>
  <c r="G16" i="28" s="1"/>
  <c r="K8" i="35"/>
  <c r="P16" i="39"/>
  <c r="Q12" i="39"/>
  <c r="Q9" i="39"/>
  <c r="U6" i="39"/>
  <c r="H8" i="39"/>
  <c r="F9" i="39" s="1"/>
  <c r="E17" i="25"/>
  <c r="R14" i="28"/>
  <c r="T14" i="28" s="1"/>
  <c r="Z9" i="33"/>
  <c r="AA8" i="33"/>
  <c r="G7" i="29"/>
  <c r="K14" i="37"/>
  <c r="AE4" i="37" s="1"/>
  <c r="G17" i="28"/>
  <c r="Q15" i="28"/>
  <c r="F9" i="29"/>
  <c r="W8" i="31"/>
  <c r="G9" i="32"/>
  <c r="G6" i="32"/>
  <c r="D11" i="33"/>
  <c r="I5" i="32"/>
  <c r="J5" i="32" s="1"/>
  <c r="L5" i="32" s="1"/>
  <c r="D10" i="32"/>
  <c r="U9" i="33"/>
  <c r="U10" i="33" s="1"/>
  <c r="O5" i="33"/>
  <c r="D7" i="29"/>
  <c r="T9" i="31"/>
  <c r="I6" i="32"/>
  <c r="T10" i="33"/>
  <c r="Y5" i="33"/>
  <c r="J5" i="35"/>
  <c r="J6" i="35" s="1"/>
  <c r="D17" i="35"/>
  <c r="I4" i="32"/>
  <c r="W8" i="33"/>
  <c r="V9" i="33"/>
  <c r="V10" i="33" s="1"/>
  <c r="K10" i="35"/>
  <c r="K9" i="35"/>
  <c r="S13" i="37"/>
  <c r="N6" i="35"/>
  <c r="M6" i="35"/>
  <c r="M11" i="37"/>
  <c r="M10" i="37"/>
  <c r="M9" i="37"/>
  <c r="M8" i="37"/>
  <c r="M13" i="37" s="1"/>
  <c r="L12" i="32" l="1"/>
  <c r="R17" i="28"/>
  <c r="T17" i="28" s="1"/>
  <c r="U17" i="28" s="1"/>
  <c r="R13" i="28"/>
  <c r="V6" i="33"/>
  <c r="W5" i="33"/>
  <c r="G6" i="33"/>
  <c r="G7" i="33" s="1"/>
  <c r="R20" i="28"/>
  <c r="T20" i="28" s="1"/>
  <c r="U20" i="28" s="1"/>
  <c r="R8" i="31"/>
  <c r="Q9" i="31"/>
  <c r="R15" i="28"/>
  <c r="T15" i="28" s="1"/>
  <c r="U15" i="28" s="1"/>
  <c r="W10" i="37"/>
  <c r="Y10" i="37"/>
  <c r="V11" i="37"/>
  <c r="L4" i="32"/>
  <c r="R19" i="28"/>
  <c r="T19" i="28" s="1"/>
  <c r="R18" i="28"/>
  <c r="T18" i="28" s="1"/>
  <c r="U18" i="28" s="1"/>
  <c r="Z7" i="33"/>
  <c r="AA7" i="33" s="1"/>
  <c r="AA6" i="33"/>
  <c r="H14" i="28"/>
  <c r="R16" i="28"/>
  <c r="T16" i="28" s="1"/>
  <c r="U16" i="28" s="1"/>
  <c r="AB5" i="33"/>
  <c r="AC5" i="33" s="1"/>
  <c r="R21" i="28"/>
  <c r="T21" i="28" s="1"/>
  <c r="U21" i="28" s="1"/>
  <c r="Q14" i="37"/>
  <c r="AE5" i="37" s="1"/>
  <c r="E10" i="37"/>
  <c r="D11" i="37"/>
  <c r="G10" i="37"/>
  <c r="P22" i="39"/>
  <c r="V6" i="39"/>
  <c r="Q10" i="39"/>
  <c r="Q11" i="39" s="1"/>
  <c r="Q14" i="39" s="1"/>
  <c r="Q16" i="39" s="1"/>
  <c r="Q22" i="39" s="1"/>
  <c r="G9" i="39"/>
  <c r="R7" i="39" s="1"/>
  <c r="P6" i="35"/>
  <c r="M7" i="35"/>
  <c r="O6" i="33"/>
  <c r="E18" i="25"/>
  <c r="F18" i="25" s="1"/>
  <c r="O6" i="35"/>
  <c r="N7" i="35"/>
  <c r="O7" i="35" s="1"/>
  <c r="Y6" i="33"/>
  <c r="J6" i="32"/>
  <c r="L6" i="32" s="1"/>
  <c r="AA9" i="33"/>
  <c r="Z10" i="33"/>
  <c r="AA10" i="33" s="1"/>
  <c r="T12" i="28"/>
  <c r="V12" i="28"/>
  <c r="W10" i="33"/>
  <c r="U9" i="31"/>
  <c r="T10" i="31"/>
  <c r="I7" i="32"/>
  <c r="J7" i="32" s="1"/>
  <c r="L7" i="32" s="1"/>
  <c r="I8" i="32"/>
  <c r="J8" i="32" s="1"/>
  <c r="L8" i="32" s="1"/>
  <c r="I9" i="32"/>
  <c r="K5" i="35"/>
  <c r="R5" i="35" s="1"/>
  <c r="J9" i="32"/>
  <c r="L9" i="32" s="1"/>
  <c r="V14" i="28"/>
  <c r="K6" i="35"/>
  <c r="J7" i="35"/>
  <c r="K7" i="35" s="1"/>
  <c r="G18" i="28"/>
  <c r="P5" i="33"/>
  <c r="W9" i="33"/>
  <c r="X8" i="31"/>
  <c r="W9" i="31"/>
  <c r="Q16" i="28"/>
  <c r="V15" i="28"/>
  <c r="Q5" i="35" l="1"/>
  <c r="H15" i="28"/>
  <c r="K14" i="28"/>
  <c r="W6" i="33"/>
  <c r="V7" i="33"/>
  <c r="W7" i="33" s="1"/>
  <c r="W12" i="33" s="1"/>
  <c r="R9" i="31"/>
  <c r="Q10" i="31"/>
  <c r="U19" i="28"/>
  <c r="J11" i="32"/>
  <c r="L11" i="32"/>
  <c r="W11" i="37"/>
  <c r="Y11" i="37"/>
  <c r="Y13" i="37" s="1"/>
  <c r="W14" i="37"/>
  <c r="AE6" i="37" s="1"/>
  <c r="E11" i="37"/>
  <c r="E14" i="37" s="1"/>
  <c r="AE3" i="37" s="1"/>
  <c r="G11" i="37"/>
  <c r="G13" i="37" s="1"/>
  <c r="T13" i="28"/>
  <c r="V13" i="28"/>
  <c r="R12" i="39"/>
  <c r="R9" i="39"/>
  <c r="W6" i="39"/>
  <c r="H9" i="39"/>
  <c r="P7" i="35"/>
  <c r="M8" i="35"/>
  <c r="Y7" i="33"/>
  <c r="AB6" i="33"/>
  <c r="AC6" i="33" s="1"/>
  <c r="Q6" i="35"/>
  <c r="R6" i="35"/>
  <c r="V16" i="28"/>
  <c r="Q17" i="28"/>
  <c r="U10" i="31"/>
  <c r="T11" i="31"/>
  <c r="O7" i="33"/>
  <c r="P6" i="33"/>
  <c r="E19" i="25"/>
  <c r="F19" i="25" s="1"/>
  <c r="W10" i="31"/>
  <c r="X9" i="31"/>
  <c r="G19" i="28"/>
  <c r="H16" i="28" l="1"/>
  <c r="K15" i="28"/>
  <c r="Q11" i="31"/>
  <c r="R10" i="31"/>
  <c r="U13" i="28"/>
  <c r="U23" i="28" s="1"/>
  <c r="S27" i="28" s="1"/>
  <c r="U14" i="28"/>
  <c r="F10" i="39"/>
  <c r="G10" i="39" s="1"/>
  <c r="R10" i="39"/>
  <c r="R11" i="39" s="1"/>
  <c r="R14" i="39" s="1"/>
  <c r="T12" i="31"/>
  <c r="U11" i="31"/>
  <c r="AB7" i="33"/>
  <c r="AC7" i="33" s="1"/>
  <c r="Y8" i="33"/>
  <c r="M9" i="35"/>
  <c r="P8" i="35"/>
  <c r="P7" i="33"/>
  <c r="O8" i="33"/>
  <c r="P8" i="33" s="1"/>
  <c r="Q18" i="28"/>
  <c r="V17" i="28"/>
  <c r="E20" i="25"/>
  <c r="F20" i="25" s="1"/>
  <c r="G20" i="28"/>
  <c r="W11" i="31"/>
  <c r="X10" i="31"/>
  <c r="Q7" i="35"/>
  <c r="R7" i="35"/>
  <c r="Q12" i="31" l="1"/>
  <c r="R11" i="31"/>
  <c r="H17" i="28"/>
  <c r="K16" i="28"/>
  <c r="R16" i="39"/>
  <c r="H10" i="39"/>
  <c r="F11" i="39" s="1"/>
  <c r="S7" i="39"/>
  <c r="Q8" i="35"/>
  <c r="R8" i="35"/>
  <c r="X11" i="31"/>
  <c r="W12" i="31"/>
  <c r="V18" i="28"/>
  <c r="Q19" i="28"/>
  <c r="P9" i="35"/>
  <c r="M10" i="35"/>
  <c r="P10" i="35" s="1"/>
  <c r="G21" i="28"/>
  <c r="O9" i="33"/>
  <c r="C22" i="25"/>
  <c r="E22" i="25" s="1"/>
  <c r="F22" i="25" s="1"/>
  <c r="E21" i="25"/>
  <c r="F21" i="25" s="1"/>
  <c r="F23" i="25" s="1"/>
  <c r="C25" i="25" s="1"/>
  <c r="C29" i="25" s="1"/>
  <c r="AB8" i="33"/>
  <c r="AC8" i="33" s="1"/>
  <c r="Y9" i="33"/>
  <c r="U12" i="31"/>
  <c r="T13" i="31"/>
  <c r="S4" i="7"/>
  <c r="I7" i="22"/>
  <c r="J7" i="22" s="1"/>
  <c r="I6" i="22"/>
  <c r="J6" i="22" s="1"/>
  <c r="X6" i="22" s="1"/>
  <c r="J5" i="22"/>
  <c r="X5" i="22" s="1"/>
  <c r="F4" i="22"/>
  <c r="H18" i="28" l="1"/>
  <c r="K17" i="28"/>
  <c r="Y7" i="22"/>
  <c r="L7" i="22"/>
  <c r="M7" i="22" s="1"/>
  <c r="P7" i="22" s="1"/>
  <c r="L4" i="22"/>
  <c r="M4" i="22" s="1"/>
  <c r="R12" i="31"/>
  <c r="Q13" i="31"/>
  <c r="X7" i="22"/>
  <c r="Z7" i="22" s="1"/>
  <c r="R22" i="39"/>
  <c r="S12" i="39"/>
  <c r="S9" i="39"/>
  <c r="G11" i="39"/>
  <c r="T7" i="39" s="1"/>
  <c r="T14" i="31"/>
  <c r="U13" i="31"/>
  <c r="Q9" i="35"/>
  <c r="R9" i="35"/>
  <c r="R12" i="35" s="1"/>
  <c r="V19" i="28"/>
  <c r="Q20" i="28"/>
  <c r="W13" i="31"/>
  <c r="X12" i="31"/>
  <c r="Q10" i="35"/>
  <c r="R10" i="35"/>
  <c r="AB9" i="33"/>
  <c r="AC9" i="33" s="1"/>
  <c r="Y10" i="33"/>
  <c r="AB10" i="33" s="1"/>
  <c r="AC10" i="33" s="1"/>
  <c r="AC12" i="33" s="1"/>
  <c r="P9" i="33"/>
  <c r="O10" i="33"/>
  <c r="AC5" i="22"/>
  <c r="O6" i="22"/>
  <c r="AC4" i="22"/>
  <c r="L6" i="22"/>
  <c r="M6" i="22" s="1"/>
  <c r="P6" i="22" s="1"/>
  <c r="O5" i="22"/>
  <c r="O4" i="22"/>
  <c r="L5" i="22"/>
  <c r="M5" i="22" s="1"/>
  <c r="P5" i="22" s="1"/>
  <c r="O7" i="22"/>
  <c r="Y4" i="22"/>
  <c r="S5" i="22"/>
  <c r="Y5" i="22"/>
  <c r="Z5" i="22" s="1"/>
  <c r="AC6" i="22"/>
  <c r="S4" i="22"/>
  <c r="T4" i="22" s="1"/>
  <c r="U4" i="22" s="1"/>
  <c r="S6" i="22"/>
  <c r="T6" i="22" s="1"/>
  <c r="Y6" i="22"/>
  <c r="Z6" i="22" s="1"/>
  <c r="AC7" i="22"/>
  <c r="S7" i="22"/>
  <c r="T7" i="22" s="1"/>
  <c r="P4" i="22" l="1"/>
  <c r="T5" i="22"/>
  <c r="AF5" i="22"/>
  <c r="Q12" i="35"/>
  <c r="O15" i="35" s="1"/>
  <c r="O17" i="35" s="1"/>
  <c r="H19" i="28"/>
  <c r="K18" i="28"/>
  <c r="Q14" i="31"/>
  <c r="R13" i="31"/>
  <c r="T12" i="39"/>
  <c r="T9" i="39"/>
  <c r="H11" i="39"/>
  <c r="F12" i="39" s="1"/>
  <c r="G12" i="39" s="1"/>
  <c r="S10" i="39"/>
  <c r="S11" i="39" s="1"/>
  <c r="S14" i="39" s="1"/>
  <c r="P10" i="33"/>
  <c r="O11" i="33"/>
  <c r="V20" i="28"/>
  <c r="Q21" i="28"/>
  <c r="V21" i="28" s="1"/>
  <c r="W14" i="31"/>
  <c r="X14" i="31" s="1"/>
  <c r="X21" i="31" s="1"/>
  <c r="X13" i="31"/>
  <c r="W20" i="31"/>
  <c r="U14" i="31"/>
  <c r="T15" i="31"/>
  <c r="U7" i="22"/>
  <c r="U6" i="22"/>
  <c r="AF4" i="22"/>
  <c r="AA4" i="22"/>
  <c r="Z4" i="22"/>
  <c r="AF7" i="22"/>
  <c r="AG7" i="22" s="1"/>
  <c r="AF6" i="22"/>
  <c r="AG6" i="22" s="1"/>
  <c r="S4" i="5"/>
  <c r="O4" i="5"/>
  <c r="Q15" i="31" l="1"/>
  <c r="R14" i="31"/>
  <c r="H20" i="28"/>
  <c r="K19" i="28"/>
  <c r="U5" i="22"/>
  <c r="AG5" i="22"/>
  <c r="S16" i="39"/>
  <c r="H12" i="39"/>
  <c r="F13" i="39" s="1"/>
  <c r="G13" i="39" s="1"/>
  <c r="U7" i="39"/>
  <c r="T10" i="39"/>
  <c r="T11" i="39" s="1"/>
  <c r="T14" i="39" s="1"/>
  <c r="P11" i="33"/>
  <c r="O12" i="33"/>
  <c r="P12" i="33" s="1"/>
  <c r="P15" i="33" s="1"/>
  <c r="T16" i="31"/>
  <c r="U16" i="31" s="1"/>
  <c r="U15" i="31"/>
  <c r="V23" i="28"/>
  <c r="AG4" i="22"/>
  <c r="AA5" i="22"/>
  <c r="AD4" i="22"/>
  <c r="N5" i="19"/>
  <c r="N4" i="19"/>
  <c r="G38" i="19"/>
  <c r="G39" i="19" s="1"/>
  <c r="G40" i="19" s="1"/>
  <c r="H21" i="28" l="1"/>
  <c r="K21" i="28" s="1"/>
  <c r="K20" i="28"/>
  <c r="K23" i="28" s="1"/>
  <c r="T20" i="31"/>
  <c r="Q16" i="31"/>
  <c r="R15" i="31"/>
  <c r="S22" i="39"/>
  <c r="T16" i="39"/>
  <c r="T22" i="39" s="1"/>
  <c r="U12" i="39"/>
  <c r="U9" i="39"/>
  <c r="H13" i="39"/>
  <c r="F14" i="39" s="1"/>
  <c r="G14" i="39" s="1"/>
  <c r="V7" i="39"/>
  <c r="U21" i="31"/>
  <c r="O14" i="33"/>
  <c r="AD5" i="22"/>
  <c r="AA6" i="22"/>
  <c r="M7" i="3"/>
  <c r="J6" i="3"/>
  <c r="K6" i="3" s="1"/>
  <c r="Q17" i="31" l="1"/>
  <c r="R16" i="31"/>
  <c r="H14" i="39"/>
  <c r="W7" i="39"/>
  <c r="U10" i="39"/>
  <c r="U11" i="39" s="1"/>
  <c r="U14" i="39" s="1"/>
  <c r="V12" i="39"/>
  <c r="V9" i="39"/>
  <c r="AD6" i="22"/>
  <c r="AA7" i="22"/>
  <c r="AD7" i="22" s="1"/>
  <c r="R52" i="19"/>
  <c r="M52" i="19"/>
  <c r="M23" i="19"/>
  <c r="G16" i="39" l="1"/>
  <c r="I26" i="39" s="1"/>
  <c r="F25" i="39"/>
  <c r="Q18" i="31"/>
  <c r="R17" i="31"/>
  <c r="U16" i="39"/>
  <c r="V10" i="39"/>
  <c r="V11" i="39" s="1"/>
  <c r="V14" i="39" s="1"/>
  <c r="W12" i="39"/>
  <c r="W9" i="39"/>
  <c r="N8" i="19"/>
  <c r="Q20" i="31" l="1"/>
  <c r="R18" i="31"/>
  <c r="R21" i="31" s="1"/>
  <c r="U22" i="39"/>
  <c r="W15" i="39"/>
  <c r="W23" i="39" s="1"/>
  <c r="V16" i="39"/>
  <c r="V22" i="39" s="1"/>
  <c r="W10" i="39"/>
  <c r="W11" i="39" s="1"/>
  <c r="W14" i="39" s="1"/>
  <c r="W16" i="39" l="1"/>
  <c r="M26" i="39" s="1"/>
  <c r="M7" i="12"/>
  <c r="N7" i="12"/>
  <c r="O7" i="12" s="1"/>
  <c r="W22" i="39" l="1"/>
  <c r="M24" i="39" s="1"/>
  <c r="M25" i="39" s="1"/>
  <c r="I9" i="5" l="1"/>
  <c r="I10" i="5"/>
  <c r="I6" i="5"/>
  <c r="I7" i="5"/>
  <c r="I8" i="5"/>
  <c r="I5" i="5"/>
  <c r="I4" i="5"/>
  <c r="H4" i="5"/>
  <c r="J4" i="3"/>
  <c r="K4" i="3" s="1"/>
  <c r="M4" i="5" l="1"/>
  <c r="M26" i="19"/>
  <c r="N13" i="19"/>
  <c r="M53" i="19"/>
  <c r="N43" i="19"/>
  <c r="N42" i="19"/>
  <c r="R23" i="19"/>
  <c r="M21" i="19"/>
  <c r="M20" i="19"/>
  <c r="M24" i="19" s="1"/>
  <c r="M51" i="19"/>
  <c r="M56" i="19" s="1"/>
  <c r="G44" i="19"/>
  <c r="G45" i="19" s="1"/>
  <c r="I31" i="19"/>
  <c r="F15" i="19"/>
  <c r="G15" i="19" s="1"/>
  <c r="N7" i="19" s="1"/>
  <c r="H11" i="19"/>
  <c r="R21" i="19" s="1"/>
  <c r="R48" i="19" s="1"/>
  <c r="R8" i="19"/>
  <c r="H10" i="19"/>
  <c r="Q21" i="19" s="1"/>
  <c r="Q48" i="19" s="1"/>
  <c r="G10" i="19"/>
  <c r="Q8" i="19" s="1"/>
  <c r="Q44" i="19" s="1"/>
  <c r="H9" i="19"/>
  <c r="P21" i="19" s="1"/>
  <c r="P48" i="19" s="1"/>
  <c r="G9" i="19"/>
  <c r="P8" i="19" s="1"/>
  <c r="P44" i="19" s="1"/>
  <c r="H8" i="19"/>
  <c r="O21" i="19" s="1"/>
  <c r="O48" i="19" s="1"/>
  <c r="G8" i="19"/>
  <c r="O8" i="19" s="1"/>
  <c r="O44" i="19" s="1"/>
  <c r="O5" i="19"/>
  <c r="P5" i="19" s="1"/>
  <c r="Q5" i="19" s="1"/>
  <c r="R5" i="19" s="1"/>
  <c r="R43" i="19" s="1"/>
  <c r="N6" i="19"/>
  <c r="M22" i="2"/>
  <c r="M21" i="2"/>
  <c r="N5" i="2"/>
  <c r="O5" i="2" s="1"/>
  <c r="P5" i="2" s="1"/>
  <c r="Q5" i="2" s="1"/>
  <c r="R5" i="2" s="1"/>
  <c r="N4" i="2"/>
  <c r="O4" i="2" s="1"/>
  <c r="O6" i="2" s="1"/>
  <c r="H3" i="2"/>
  <c r="N6" i="2" l="1"/>
  <c r="N10" i="19"/>
  <c r="M27" i="2"/>
  <c r="Q4" i="5"/>
  <c r="P4" i="5"/>
  <c r="Q43" i="19"/>
  <c r="P43" i="19"/>
  <c r="O43" i="19"/>
  <c r="Q13" i="19"/>
  <c r="Q15" i="19" s="1"/>
  <c r="P13" i="19"/>
  <c r="P15" i="19" s="1"/>
  <c r="R13" i="19"/>
  <c r="R15" i="19" s="1"/>
  <c r="F8" i="19"/>
  <c r="I8" i="19" s="1"/>
  <c r="F9" i="19" s="1"/>
  <c r="I9" i="19" s="1"/>
  <c r="F10" i="19" s="1"/>
  <c r="I10" i="19" s="1"/>
  <c r="F11" i="19" s="1"/>
  <c r="I11" i="19" s="1"/>
  <c r="N21" i="19"/>
  <c r="N48" i="19" s="1"/>
  <c r="O13" i="19"/>
  <c r="O15" i="19" s="1"/>
  <c r="N44" i="19"/>
  <c r="R44" i="19"/>
  <c r="N15" i="19"/>
  <c r="M58" i="19"/>
  <c r="H15" i="19"/>
  <c r="F16" i="19" s="1"/>
  <c r="G16" i="19" s="1"/>
  <c r="N12" i="19"/>
  <c r="O4" i="19"/>
  <c r="O42" i="19" s="1"/>
  <c r="P4" i="2"/>
  <c r="P6" i="2" s="1"/>
  <c r="T4" i="5" l="1"/>
  <c r="P4" i="19"/>
  <c r="P42" i="19" s="1"/>
  <c r="O6" i="19"/>
  <c r="O7" i="19"/>
  <c r="O12" i="19" s="1"/>
  <c r="Q4" i="2"/>
  <c r="Q6" i="2" s="1"/>
  <c r="W6" i="12"/>
  <c r="O9" i="19" l="1"/>
  <c r="O10" i="19" s="1"/>
  <c r="H16" i="19"/>
  <c r="F17" i="19" s="1"/>
  <c r="G17" i="19" s="1"/>
  <c r="Q4" i="19"/>
  <c r="Q42" i="19" s="1"/>
  <c r="P6" i="19"/>
  <c r="R4" i="2"/>
  <c r="R6" i="2" s="1"/>
  <c r="O11" i="19" l="1"/>
  <c r="O14" i="19" s="1"/>
  <c r="O16" i="19" s="1"/>
  <c r="O19" i="19" s="1"/>
  <c r="O24" i="19" s="1"/>
  <c r="O26" i="19" s="1"/>
  <c r="O45" i="19"/>
  <c r="N16" i="19"/>
  <c r="N45" i="19"/>
  <c r="N46" i="19" s="1"/>
  <c r="N49" i="19" s="1"/>
  <c r="N56" i="19" s="1"/>
  <c r="Q6" i="19"/>
  <c r="R4" i="19"/>
  <c r="R42" i="19" s="1"/>
  <c r="P7" i="19"/>
  <c r="P12" i="19" s="1"/>
  <c r="M6" i="12"/>
  <c r="N6" i="12" s="1"/>
  <c r="W7" i="12" s="1"/>
  <c r="I6" i="12"/>
  <c r="AA6" i="12" s="1"/>
  <c r="J7" i="12"/>
  <c r="K7" i="12" s="1"/>
  <c r="J8" i="12"/>
  <c r="K8" i="12" s="1"/>
  <c r="J9" i="12"/>
  <c r="K9" i="12" s="1"/>
  <c r="J10" i="12"/>
  <c r="K10" i="12" s="1"/>
  <c r="J6" i="12"/>
  <c r="K6" i="12" s="1"/>
  <c r="I7" i="12"/>
  <c r="I8" i="12"/>
  <c r="I9" i="12"/>
  <c r="I10" i="12"/>
  <c r="I11" i="12"/>
  <c r="I12" i="12"/>
  <c r="T6" i="12"/>
  <c r="I31" i="2"/>
  <c r="N19" i="19" l="1"/>
  <c r="N24" i="19" s="1"/>
  <c r="O46" i="19"/>
  <c r="O49" i="19" s="1"/>
  <c r="O56" i="19" s="1"/>
  <c r="O58" i="19" s="1"/>
  <c r="H17" i="19"/>
  <c r="F18" i="19" s="1"/>
  <c r="P9" i="19"/>
  <c r="N58" i="19"/>
  <c r="G18" i="19"/>
  <c r="Q7" i="19" s="1"/>
  <c r="Q12" i="19" s="1"/>
  <c r="R6" i="19"/>
  <c r="O6" i="12"/>
  <c r="P7" i="12" s="1"/>
  <c r="AB7" i="12" s="1"/>
  <c r="AA10" i="12"/>
  <c r="AA12" i="12"/>
  <c r="AA8" i="12"/>
  <c r="AA9" i="12"/>
  <c r="AA11" i="12"/>
  <c r="AA7" i="12"/>
  <c r="N26" i="19" l="1"/>
  <c r="Y7" i="12"/>
  <c r="Q9" i="19"/>
  <c r="H18" i="19"/>
  <c r="F19" i="19" s="1"/>
  <c r="G19" i="19" s="1"/>
  <c r="R7" i="19" s="1"/>
  <c r="R9" i="19" s="1"/>
  <c r="P10" i="19"/>
  <c r="H5" i="5"/>
  <c r="M5" i="5" s="1"/>
  <c r="P11" i="19" l="1"/>
  <c r="P14" i="19" s="1"/>
  <c r="P16" i="19" s="1"/>
  <c r="P19" i="19" s="1"/>
  <c r="P24" i="19" s="1"/>
  <c r="P45" i="19"/>
  <c r="Q10" i="19"/>
  <c r="H19" i="19"/>
  <c r="G21" i="19" s="1"/>
  <c r="I30" i="19" s="1"/>
  <c r="R22" i="19" s="1"/>
  <c r="R12" i="19"/>
  <c r="R17" i="18"/>
  <c r="R13" i="18"/>
  <c r="C19" i="18"/>
  <c r="Q17" i="18" s="1"/>
  <c r="C10" i="18"/>
  <c r="Q13" i="18" s="1"/>
  <c r="C18" i="18"/>
  <c r="P17" i="18" s="1"/>
  <c r="C9" i="18"/>
  <c r="O17" i="18" s="1"/>
  <c r="P46" i="19" l="1"/>
  <c r="P49" i="19" s="1"/>
  <c r="P56" i="19" s="1"/>
  <c r="P26" i="19"/>
  <c r="Q11" i="19"/>
  <c r="Q14" i="19" s="1"/>
  <c r="Q16" i="19" s="1"/>
  <c r="Q19" i="19" s="1"/>
  <c r="Q24" i="19" s="1"/>
  <c r="Q26" i="19" s="1"/>
  <c r="Q45" i="19"/>
  <c r="F29" i="19"/>
  <c r="S13" i="18"/>
  <c r="U17" i="18"/>
  <c r="S17" i="18"/>
  <c r="U13" i="18"/>
  <c r="M4" i="3"/>
  <c r="N4" i="3" s="1"/>
  <c r="G4" i="3"/>
  <c r="H4" i="3" s="1"/>
  <c r="C6" i="3" l="1"/>
  <c r="C5" i="3"/>
  <c r="O4" i="3"/>
  <c r="P58" i="19"/>
  <c r="Q46" i="19"/>
  <c r="Q49" i="19" s="1"/>
  <c r="Q56" i="19" s="1"/>
  <c r="Q58" i="19" s="1"/>
  <c r="R54" i="19" l="1"/>
  <c r="G23" i="17"/>
  <c r="G24" i="17"/>
  <c r="I19" i="17"/>
  <c r="I20" i="17"/>
  <c r="I21" i="17" s="1"/>
  <c r="I22" i="17" s="1"/>
  <c r="I23" i="17" s="1"/>
  <c r="I24" i="17" s="1"/>
  <c r="G22" i="17"/>
  <c r="G6" i="17"/>
  <c r="D9" i="16"/>
  <c r="D10" i="16" s="1"/>
  <c r="D17" i="16"/>
  <c r="H6" i="17" l="1"/>
  <c r="I6" i="17" s="1"/>
  <c r="G7" i="17" s="1"/>
  <c r="R10" i="19"/>
  <c r="R45" i="19" s="1"/>
  <c r="H7" i="17" l="1"/>
  <c r="I7" i="17"/>
  <c r="G8" i="17" s="1"/>
  <c r="H8" i="17" s="1"/>
  <c r="R46" i="19"/>
  <c r="R49" i="19" s="1"/>
  <c r="R56" i="19" s="1"/>
  <c r="M61" i="19" s="1"/>
  <c r="R11" i="19"/>
  <c r="R14" i="19" s="1"/>
  <c r="R16" i="19" s="1"/>
  <c r="I8" i="17" l="1"/>
  <c r="G9" i="17" s="1"/>
  <c r="H9" i="17" s="1"/>
  <c r="I9" i="17"/>
  <c r="G10" i="17" s="1"/>
  <c r="H10" i="17" s="1"/>
  <c r="R19" i="19" l="1"/>
  <c r="R24" i="19" s="1"/>
  <c r="M29" i="19" s="1"/>
  <c r="I10" i="17"/>
  <c r="H27" i="17" s="1"/>
  <c r="R26" i="19" l="1"/>
  <c r="M27" i="19" s="1"/>
  <c r="M28" i="19" s="1"/>
  <c r="R58" i="19"/>
  <c r="M59" i="19" s="1"/>
  <c r="M60" i="19" s="1"/>
  <c r="X21" i="15"/>
  <c r="M11" i="15"/>
  <c r="M12" i="15" s="1"/>
  <c r="M14" i="15" s="1"/>
  <c r="M18" i="15" s="1"/>
  <c r="M25" i="15" s="1"/>
  <c r="M27" i="15" s="1"/>
  <c r="M19" i="15"/>
  <c r="N5" i="15"/>
  <c r="O5" i="15" s="1"/>
  <c r="P5" i="15" s="1"/>
  <c r="Q5" i="15" s="1"/>
  <c r="R5" i="15" s="1"/>
  <c r="S5" i="15" s="1"/>
  <c r="N4" i="15"/>
  <c r="N6" i="15" s="1"/>
  <c r="G17" i="15"/>
  <c r="N7" i="15" s="1"/>
  <c r="C10" i="15"/>
  <c r="G10" i="15" s="1"/>
  <c r="C9" i="15"/>
  <c r="F17" i="15"/>
  <c r="G9" i="15"/>
  <c r="H8" i="15"/>
  <c r="P8" i="15" l="1"/>
  <c r="P20" i="15"/>
  <c r="P17" i="15"/>
  <c r="G11" i="15"/>
  <c r="Q8" i="15"/>
  <c r="Q20" i="15"/>
  <c r="G13" i="15"/>
  <c r="F7" i="15"/>
  <c r="I7" i="15" s="1"/>
  <c r="F8" i="15" s="1"/>
  <c r="I8" i="15" s="1"/>
  <c r="F9" i="15" s="1"/>
  <c r="I9" i="15" s="1"/>
  <c r="F10" i="15" s="1"/>
  <c r="I10" i="15" s="1"/>
  <c r="F11" i="15" s="1"/>
  <c r="I11" i="15" s="1"/>
  <c r="F12" i="15" s="1"/>
  <c r="I12" i="15" s="1"/>
  <c r="F13" i="15" s="1"/>
  <c r="I13" i="15" s="1"/>
  <c r="H12" i="15"/>
  <c r="H9" i="15"/>
  <c r="G7" i="15"/>
  <c r="G12" i="15"/>
  <c r="H10" i="15"/>
  <c r="G3" i="15"/>
  <c r="H11" i="15"/>
  <c r="H7" i="15"/>
  <c r="G8" i="15"/>
  <c r="H13" i="15"/>
  <c r="O4" i="15"/>
  <c r="M22" i="15"/>
  <c r="T5" i="15"/>
  <c r="U5" i="15" s="1"/>
  <c r="V5" i="15" s="1"/>
  <c r="W5" i="15" s="1"/>
  <c r="T8" i="15" l="1"/>
  <c r="T20" i="15"/>
  <c r="S17" i="15"/>
  <c r="S8" i="15"/>
  <c r="S20" i="15"/>
  <c r="R17" i="15"/>
  <c r="Q17" i="15"/>
  <c r="R20" i="15"/>
  <c r="R8" i="15"/>
  <c r="N17" i="15"/>
  <c r="N20" i="15"/>
  <c r="N8" i="15"/>
  <c r="N10" i="15" s="1"/>
  <c r="N12" i="15" s="1"/>
  <c r="O8" i="15"/>
  <c r="O17" i="15"/>
  <c r="O20" i="15"/>
  <c r="O6" i="15"/>
  <c r="P4" i="15"/>
  <c r="N15" i="15"/>
  <c r="H17" i="15"/>
  <c r="F18" i="15" s="1"/>
  <c r="G18" i="15" s="1"/>
  <c r="C9" i="14"/>
  <c r="C8" i="14"/>
  <c r="C7" i="14"/>
  <c r="C6" i="14"/>
  <c r="E3" i="14"/>
  <c r="E6" i="14" s="1"/>
  <c r="P6" i="15" l="1"/>
  <c r="Q4" i="15"/>
  <c r="O7" i="15"/>
  <c r="O10" i="15" s="1"/>
  <c r="O12" i="15" s="1"/>
  <c r="E8" i="14"/>
  <c r="D4" i="13"/>
  <c r="F4" i="13" s="1"/>
  <c r="E4" i="13"/>
  <c r="R4" i="13"/>
  <c r="B5" i="13"/>
  <c r="D5" i="13" s="1"/>
  <c r="R5" i="13"/>
  <c r="B6" i="13"/>
  <c r="D6" i="13"/>
  <c r="P6" i="13"/>
  <c r="R6" i="13"/>
  <c r="B7" i="13"/>
  <c r="D7" i="13"/>
  <c r="P7" i="13"/>
  <c r="R7" i="13"/>
  <c r="R9" i="13" l="1"/>
  <c r="Q6" i="15"/>
  <c r="R4" i="15"/>
  <c r="N14" i="15"/>
  <c r="N18" i="15" s="1"/>
  <c r="N22" i="15" s="1"/>
  <c r="H18" i="15"/>
  <c r="F19" i="15" s="1"/>
  <c r="O15" i="15"/>
  <c r="F5" i="13"/>
  <c r="F6" i="13" s="1"/>
  <c r="F7" i="13" s="1"/>
  <c r="E5" i="13"/>
  <c r="E6" i="13" s="1"/>
  <c r="E7" i="13" s="1"/>
  <c r="R6" i="15" l="1"/>
  <c r="S4" i="15"/>
  <c r="N25" i="15"/>
  <c r="N27" i="15" s="1"/>
  <c r="G19" i="15"/>
  <c r="P7" i="15" s="1"/>
  <c r="P10" i="15" s="1"/>
  <c r="P12" i="15" s="1"/>
  <c r="O14" i="15"/>
  <c r="O18" i="15" s="1"/>
  <c r="AH12" i="12"/>
  <c r="AP7" i="12"/>
  <c r="AP8" i="12"/>
  <c r="AP9" i="12"/>
  <c r="AP10" i="12"/>
  <c r="AP11" i="12"/>
  <c r="AP12" i="12"/>
  <c r="AP6" i="12"/>
  <c r="AH6" i="12"/>
  <c r="AL6" i="12"/>
  <c r="AL7" i="12"/>
  <c r="AL8" i="12"/>
  <c r="AL9" i="12"/>
  <c r="AL10" i="12"/>
  <c r="AL11" i="12"/>
  <c r="AL12" i="12"/>
  <c r="AL5" i="12"/>
  <c r="AM5" i="12" s="1"/>
  <c r="AD5" i="12"/>
  <c r="AE5" i="12" s="1"/>
  <c r="AD12" i="12"/>
  <c r="T12" i="12"/>
  <c r="T8" i="12"/>
  <c r="T9" i="12"/>
  <c r="T10" i="12"/>
  <c r="T11" i="12"/>
  <c r="M12" i="12"/>
  <c r="N12" i="12" s="1"/>
  <c r="N11" i="12"/>
  <c r="N10" i="12"/>
  <c r="M8" i="12"/>
  <c r="N8" i="12" s="1"/>
  <c r="N9" i="12"/>
  <c r="O5" i="12"/>
  <c r="AH11" i="12"/>
  <c r="AD11" i="12"/>
  <c r="AH10" i="12"/>
  <c r="AD10" i="12"/>
  <c r="AH9" i="12"/>
  <c r="AD9" i="12"/>
  <c r="AH8" i="12"/>
  <c r="AD8" i="12"/>
  <c r="AH7" i="12"/>
  <c r="AD7" i="12"/>
  <c r="AD6" i="12"/>
  <c r="I5" i="7"/>
  <c r="C18" i="9"/>
  <c r="C19" i="9" s="1"/>
  <c r="C25" i="9"/>
  <c r="C26" i="9" s="1"/>
  <c r="P6" i="12" l="1"/>
  <c r="AB6" i="12" s="1"/>
  <c r="Y6" i="12"/>
  <c r="T4" i="15"/>
  <c r="S6" i="15"/>
  <c r="O25" i="15"/>
  <c r="O27" i="15" s="1"/>
  <c r="O22" i="15"/>
  <c r="W10" i="12"/>
  <c r="W9" i="12"/>
  <c r="W8" i="12"/>
  <c r="W11" i="12"/>
  <c r="W12" i="12"/>
  <c r="O12" i="12"/>
  <c r="O8" i="12"/>
  <c r="AM7" i="12"/>
  <c r="O10" i="12"/>
  <c r="O9" i="12"/>
  <c r="O11" i="12"/>
  <c r="AN5" i="12"/>
  <c r="P15" i="15"/>
  <c r="P14" i="15"/>
  <c r="P18" i="15" s="1"/>
  <c r="H19" i="15"/>
  <c r="F20" i="15" s="1"/>
  <c r="AE10" i="12"/>
  <c r="AE6" i="12"/>
  <c r="AF5" i="12"/>
  <c r="S18" i="7"/>
  <c r="S17" i="7"/>
  <c r="S16" i="7"/>
  <c r="S15" i="7"/>
  <c r="S14" i="7"/>
  <c r="O14" i="7"/>
  <c r="Q14" i="7" s="1"/>
  <c r="O18" i="7"/>
  <c r="P18" i="7" s="1"/>
  <c r="O17" i="7"/>
  <c r="P17" i="7" s="1"/>
  <c r="O16" i="7"/>
  <c r="P16" i="7" s="1"/>
  <c r="O15" i="7"/>
  <c r="P15" i="7" s="1"/>
  <c r="F15" i="7"/>
  <c r="F16" i="7" s="1"/>
  <c r="S10" i="7"/>
  <c r="O10" i="7"/>
  <c r="I10" i="7"/>
  <c r="H10" i="7"/>
  <c r="M10" i="7" s="1"/>
  <c r="P10" i="7" s="1"/>
  <c r="S9" i="7"/>
  <c r="O9" i="7"/>
  <c r="M9" i="7"/>
  <c r="P9" i="7" s="1"/>
  <c r="I9" i="7"/>
  <c r="H9" i="7"/>
  <c r="S8" i="7"/>
  <c r="O8" i="7"/>
  <c r="M8" i="7"/>
  <c r="P8" i="7" s="1"/>
  <c r="I8" i="7"/>
  <c r="H8" i="7"/>
  <c r="S7" i="7"/>
  <c r="O7" i="7"/>
  <c r="I7" i="7"/>
  <c r="H7" i="7"/>
  <c r="M7" i="7" s="1"/>
  <c r="P7" i="7" s="1"/>
  <c r="S6" i="7"/>
  <c r="O6" i="7"/>
  <c r="I6" i="7"/>
  <c r="M6" i="7" s="1"/>
  <c r="P6" i="7" s="1"/>
  <c r="H6" i="7"/>
  <c r="S5" i="7"/>
  <c r="O5" i="7"/>
  <c r="H5" i="7"/>
  <c r="M5" i="7" s="1"/>
  <c r="P5" i="7" s="1"/>
  <c r="O4" i="7"/>
  <c r="H4" i="7"/>
  <c r="M4" i="7" s="1"/>
  <c r="P4" i="7" s="1"/>
  <c r="O6" i="5"/>
  <c r="O7" i="5"/>
  <c r="O8" i="5"/>
  <c r="O9" i="5"/>
  <c r="O10" i="5"/>
  <c r="O5" i="5"/>
  <c r="P5" i="5" s="1"/>
  <c r="Q5" i="5" s="1"/>
  <c r="Q4" i="7" l="1"/>
  <c r="T14" i="7"/>
  <c r="T15" i="7"/>
  <c r="T6" i="15"/>
  <c r="U4" i="15"/>
  <c r="Y9" i="12"/>
  <c r="Y11" i="12"/>
  <c r="Y12" i="12"/>
  <c r="P8" i="12"/>
  <c r="AB8" i="12" s="1"/>
  <c r="Y8" i="12"/>
  <c r="Y10" i="12"/>
  <c r="AM6" i="12"/>
  <c r="AN6" i="12" s="1"/>
  <c r="P11" i="12"/>
  <c r="AB11" i="12" s="1"/>
  <c r="P9" i="12"/>
  <c r="AB9" i="12" s="1"/>
  <c r="P12" i="12"/>
  <c r="AB12" i="12" s="1"/>
  <c r="P10" i="12"/>
  <c r="AB10" i="12" s="1"/>
  <c r="G20" i="15"/>
  <c r="H20" i="15" s="1"/>
  <c r="F21" i="15" s="1"/>
  <c r="G21" i="15" s="1"/>
  <c r="R7" i="15" s="1"/>
  <c r="R10" i="15" s="1"/>
  <c r="AE11" i="12"/>
  <c r="AE12" i="12"/>
  <c r="AE9" i="12"/>
  <c r="AE8" i="12"/>
  <c r="AE7" i="12"/>
  <c r="AF6" i="12"/>
  <c r="AI6" i="12" s="1"/>
  <c r="Q15" i="7"/>
  <c r="Q16" i="7" s="1"/>
  <c r="Q17" i="7" s="1"/>
  <c r="Q18" i="7" s="1"/>
  <c r="T18" i="7" s="1"/>
  <c r="P14" i="7"/>
  <c r="Q5" i="7"/>
  <c r="T4" i="7"/>
  <c r="F17" i="7"/>
  <c r="S5" i="5"/>
  <c r="S6" i="5"/>
  <c r="S7" i="5"/>
  <c r="S8" i="5"/>
  <c r="S9" i="5"/>
  <c r="S10" i="5"/>
  <c r="H6" i="5"/>
  <c r="H7" i="5"/>
  <c r="H8" i="5"/>
  <c r="H9" i="5"/>
  <c r="H10" i="5"/>
  <c r="J15" i="5"/>
  <c r="J16" i="5" s="1"/>
  <c r="J17" i="5" s="1"/>
  <c r="J18" i="5" s="1"/>
  <c r="F15" i="5"/>
  <c r="F16" i="5" s="1"/>
  <c r="I14" i="5"/>
  <c r="F5" i="4"/>
  <c r="J5" i="4" s="1"/>
  <c r="I5" i="4"/>
  <c r="R12" i="15" l="1"/>
  <c r="R14" i="15"/>
  <c r="T17" i="7"/>
  <c r="T16" i="7"/>
  <c r="U6" i="15"/>
  <c r="V4" i="15"/>
  <c r="P25" i="15"/>
  <c r="P27" i="15" s="1"/>
  <c r="P22" i="15"/>
  <c r="F6" i="4"/>
  <c r="J6" i="4" s="1"/>
  <c r="N5" i="4"/>
  <c r="I6" i="4"/>
  <c r="AM12" i="12"/>
  <c r="AM11" i="12"/>
  <c r="AM10" i="12"/>
  <c r="AM9" i="12"/>
  <c r="AM8" i="12"/>
  <c r="AN7" i="12"/>
  <c r="AQ7" i="12" s="1"/>
  <c r="AQ6" i="12"/>
  <c r="Q7" i="15"/>
  <c r="Q10" i="15" s="1"/>
  <c r="Q12" i="15" s="1"/>
  <c r="Q14" i="15" s="1"/>
  <c r="H21" i="15"/>
  <c r="F22" i="15" s="1"/>
  <c r="R15" i="15"/>
  <c r="AF7" i="12"/>
  <c r="F18" i="7"/>
  <c r="Q6" i="7"/>
  <c r="T5" i="7"/>
  <c r="I15" i="5"/>
  <c r="I16" i="5"/>
  <c r="H15" i="5"/>
  <c r="M15" i="5" s="1"/>
  <c r="F17" i="5"/>
  <c r="H14" i="5"/>
  <c r="M14" i="5" s="1"/>
  <c r="H4" i="4"/>
  <c r="F5" i="3"/>
  <c r="F6" i="3" s="1"/>
  <c r="F7" i="3" s="1"/>
  <c r="L5" i="3"/>
  <c r="M5" i="3"/>
  <c r="F8" i="3"/>
  <c r="F9" i="3" s="1"/>
  <c r="F10" i="3" s="1"/>
  <c r="F11" i="3" s="1"/>
  <c r="F12" i="3" s="1"/>
  <c r="F13" i="3" s="1"/>
  <c r="F14" i="3" s="1"/>
  <c r="F15" i="3" s="1"/>
  <c r="F16" i="3" s="1"/>
  <c r="F17" i="3" s="1"/>
  <c r="F18" i="3" s="1"/>
  <c r="G6" i="3"/>
  <c r="H6" i="3" s="1"/>
  <c r="I6" i="3"/>
  <c r="I7" i="3" s="1"/>
  <c r="I8" i="3" s="1"/>
  <c r="I9" i="3" s="1"/>
  <c r="I10" i="3" s="1"/>
  <c r="I11" i="3" s="1"/>
  <c r="I12" i="3" s="1"/>
  <c r="I13" i="3" s="1"/>
  <c r="I14" i="3" s="1"/>
  <c r="I15" i="3" s="1"/>
  <c r="I16" i="3" s="1"/>
  <c r="I17" i="3" s="1"/>
  <c r="I18" i="3" s="1"/>
  <c r="M6" i="3"/>
  <c r="G8" i="3"/>
  <c r="H8" i="3" s="1"/>
  <c r="J8" i="3"/>
  <c r="K8" i="3" s="1"/>
  <c r="M8" i="3"/>
  <c r="G9" i="3"/>
  <c r="H9" i="3"/>
  <c r="J9" i="3"/>
  <c r="K9" i="3" s="1"/>
  <c r="M9" i="3"/>
  <c r="G10" i="3"/>
  <c r="H10" i="3" s="1"/>
  <c r="J10" i="3"/>
  <c r="K10" i="3" s="1"/>
  <c r="M10" i="3"/>
  <c r="G11" i="3"/>
  <c r="H11" i="3"/>
  <c r="J11" i="3"/>
  <c r="K11" i="3"/>
  <c r="M11" i="3"/>
  <c r="G12" i="3"/>
  <c r="H12" i="3"/>
  <c r="J12" i="3"/>
  <c r="K12" i="3" s="1"/>
  <c r="M12" i="3"/>
  <c r="G13" i="3"/>
  <c r="H13" i="3"/>
  <c r="J13" i="3"/>
  <c r="K13" i="3"/>
  <c r="M13" i="3"/>
  <c r="G14" i="3"/>
  <c r="H14" i="3"/>
  <c r="J14" i="3"/>
  <c r="K14" i="3" s="1"/>
  <c r="M14" i="3"/>
  <c r="G15" i="3"/>
  <c r="H15" i="3"/>
  <c r="J15" i="3"/>
  <c r="K15" i="3" s="1"/>
  <c r="M15" i="3"/>
  <c r="G16" i="3"/>
  <c r="H16" i="3"/>
  <c r="J16" i="3"/>
  <c r="K16" i="3" s="1"/>
  <c r="M16" i="3"/>
  <c r="G17" i="3"/>
  <c r="H17" i="3"/>
  <c r="J17" i="3"/>
  <c r="K17" i="3"/>
  <c r="M17" i="3"/>
  <c r="G18" i="3"/>
  <c r="H18" i="3"/>
  <c r="J18" i="3"/>
  <c r="K18" i="3" s="1"/>
  <c r="M18" i="3"/>
  <c r="L4" i="4" l="1"/>
  <c r="M4" i="4"/>
  <c r="Q18" i="15"/>
  <c r="N5" i="3"/>
  <c r="O5" i="3" s="1"/>
  <c r="R18" i="15"/>
  <c r="R22" i="15" s="1"/>
  <c r="V6" i="15"/>
  <c r="W4" i="15"/>
  <c r="T5" i="5"/>
  <c r="O4" i="4"/>
  <c r="I7" i="4"/>
  <c r="F7" i="4"/>
  <c r="H5" i="4"/>
  <c r="N6" i="4"/>
  <c r="G22" i="15"/>
  <c r="S7" i="15" s="1"/>
  <c r="S10" i="15" s="1"/>
  <c r="S12" i="15" s="1"/>
  <c r="Q15" i="15"/>
  <c r="AF8" i="12"/>
  <c r="AI7" i="12"/>
  <c r="Q7" i="7"/>
  <c r="T6" i="7"/>
  <c r="M6" i="5"/>
  <c r="P6" i="5" s="1"/>
  <c r="Q6" i="5" s="1"/>
  <c r="F18" i="5"/>
  <c r="H16" i="5"/>
  <c r="M16" i="5" s="1"/>
  <c r="I17" i="5"/>
  <c r="L6" i="3"/>
  <c r="N6" i="3" s="1"/>
  <c r="M29" i="2"/>
  <c r="G44" i="2"/>
  <c r="G45" i="2" s="1"/>
  <c r="G38" i="2"/>
  <c r="W6" i="15" l="1"/>
  <c r="T6" i="5"/>
  <c r="I8" i="4"/>
  <c r="L5" i="4"/>
  <c r="M5" i="4"/>
  <c r="O5" i="4" s="1"/>
  <c r="F8" i="4"/>
  <c r="J8" i="4" s="1"/>
  <c r="J7" i="4"/>
  <c r="N7" i="4" s="1"/>
  <c r="H6" i="4"/>
  <c r="S15" i="15"/>
  <c r="S14" i="15"/>
  <c r="S18" i="15" s="1"/>
  <c r="H22" i="15"/>
  <c r="F23" i="15" s="1"/>
  <c r="G23" i="15" s="1"/>
  <c r="AF9" i="12"/>
  <c r="AI8" i="12"/>
  <c r="AN8" i="12" s="1"/>
  <c r="Q8" i="7"/>
  <c r="T7" i="7"/>
  <c r="M7" i="5"/>
  <c r="P7" i="5" s="1"/>
  <c r="Q7" i="5" s="1"/>
  <c r="T7" i="5" s="1"/>
  <c r="H17" i="5"/>
  <c r="M17" i="5" s="1"/>
  <c r="I18" i="5"/>
  <c r="H18" i="5"/>
  <c r="O6" i="3"/>
  <c r="L7" i="3"/>
  <c r="N7" i="3" s="1"/>
  <c r="G39" i="2"/>
  <c r="G40" i="2" s="1"/>
  <c r="F15" i="2"/>
  <c r="G15" i="2" s="1"/>
  <c r="N7" i="2" s="1"/>
  <c r="N10" i="2" s="1"/>
  <c r="H8" i="2"/>
  <c r="O22" i="2" s="1"/>
  <c r="H9" i="2"/>
  <c r="P22" i="2" s="1"/>
  <c r="H10" i="2"/>
  <c r="Q22" i="2" s="1"/>
  <c r="H11" i="2"/>
  <c r="R22" i="2" s="1"/>
  <c r="G8" i="2"/>
  <c r="O8" i="2" s="1"/>
  <c r="O15" i="2" s="1"/>
  <c r="G9" i="2"/>
  <c r="P8" i="2" s="1"/>
  <c r="P15" i="2" s="1"/>
  <c r="G10" i="2"/>
  <c r="Q8" i="2" s="1"/>
  <c r="Q15" i="2" s="1"/>
  <c r="G11" i="2"/>
  <c r="R8" i="2" s="1"/>
  <c r="R15" i="2" s="1"/>
  <c r="G7" i="2"/>
  <c r="N8" i="2" s="1"/>
  <c r="N15" i="2" s="1"/>
  <c r="H7" i="2"/>
  <c r="Q25" i="15" l="1"/>
  <c r="Q27" i="15" s="1"/>
  <c r="Q22" i="15"/>
  <c r="L6" i="4"/>
  <c r="M6" i="4"/>
  <c r="O6" i="4" s="1"/>
  <c r="H8" i="4"/>
  <c r="M8" i="4" s="1"/>
  <c r="N8" i="4"/>
  <c r="H7" i="4"/>
  <c r="N14" i="2"/>
  <c r="N12" i="2"/>
  <c r="N22" i="2"/>
  <c r="I7" i="2"/>
  <c r="F8" i="2" s="1"/>
  <c r="I8" i="2" s="1"/>
  <c r="F9" i="2" s="1"/>
  <c r="I9" i="2" s="1"/>
  <c r="F10" i="2" s="1"/>
  <c r="I10" i="2" s="1"/>
  <c r="F11" i="2" s="1"/>
  <c r="I11" i="2" s="1"/>
  <c r="H23" i="15"/>
  <c r="F24" i="15" s="1"/>
  <c r="G24" i="15" s="1"/>
  <c r="T7" i="15"/>
  <c r="T10" i="15" s="1"/>
  <c r="T12" i="15" s="1"/>
  <c r="R25" i="15"/>
  <c r="R27" i="15" s="1"/>
  <c r="AQ8" i="12"/>
  <c r="AN9" i="12"/>
  <c r="AI9" i="12"/>
  <c r="AF10" i="12"/>
  <c r="Q9" i="7"/>
  <c r="T8" i="7"/>
  <c r="V14" i="7" s="1"/>
  <c r="V15" i="7" s="1"/>
  <c r="V16" i="7" s="1"/>
  <c r="V17" i="7" s="1"/>
  <c r="V18" i="7" s="1"/>
  <c r="M9" i="5"/>
  <c r="P9" i="5" s="1"/>
  <c r="M8" i="5"/>
  <c r="P8" i="5" s="1"/>
  <c r="Q8" i="5" s="1"/>
  <c r="M18" i="5"/>
  <c r="O7" i="3"/>
  <c r="L8" i="3"/>
  <c r="N8" i="3" s="1"/>
  <c r="H15" i="2"/>
  <c r="F16" i="2" s="1"/>
  <c r="G16" i="2" s="1"/>
  <c r="E5" i="1"/>
  <c r="B3" i="1"/>
  <c r="A1" i="1"/>
  <c r="N13" i="2" l="1"/>
  <c r="N17" i="2" s="1"/>
  <c r="N20" i="2" s="1"/>
  <c r="N27" i="2" s="1"/>
  <c r="N29" i="2" s="1"/>
  <c r="S25" i="15"/>
  <c r="S27" i="15" s="1"/>
  <c r="S22" i="15"/>
  <c r="Q9" i="5"/>
  <c r="T8" i="5"/>
  <c r="T14" i="5" s="1"/>
  <c r="T15" i="5" s="1"/>
  <c r="T16" i="5" s="1"/>
  <c r="L7" i="4"/>
  <c r="M7" i="4"/>
  <c r="O7" i="4" s="1"/>
  <c r="O8" i="4"/>
  <c r="L8" i="4"/>
  <c r="T15" i="15"/>
  <c r="T14" i="15"/>
  <c r="T18" i="15" s="1"/>
  <c r="H24" i="15"/>
  <c r="F25" i="15" s="1"/>
  <c r="U7" i="15"/>
  <c r="U10" i="15" s="1"/>
  <c r="U12" i="15" s="1"/>
  <c r="AQ9" i="12"/>
  <c r="AN10" i="12"/>
  <c r="AI10" i="12"/>
  <c r="AF11" i="12"/>
  <c r="Q10" i="7"/>
  <c r="T10" i="7" s="1"/>
  <c r="T9" i="7"/>
  <c r="M10" i="5"/>
  <c r="P10" i="5" s="1"/>
  <c r="O8" i="3"/>
  <c r="L9" i="3"/>
  <c r="H16" i="2"/>
  <c r="F17" i="2" s="1"/>
  <c r="G17" i="2" s="1"/>
  <c r="O7" i="2"/>
  <c r="F5" i="1"/>
  <c r="E6" i="1" s="1"/>
  <c r="O10" i="2" l="1"/>
  <c r="O12" i="2" s="1"/>
  <c r="O13" i="2" s="1"/>
  <c r="O17" i="2" s="1"/>
  <c r="Q10" i="5"/>
  <c r="T10" i="5" s="1"/>
  <c r="T9" i="5"/>
  <c r="T25" i="15"/>
  <c r="T27" i="15" s="1"/>
  <c r="T22" i="15"/>
  <c r="U15" i="15"/>
  <c r="U14" i="15"/>
  <c r="U18" i="15" s="1"/>
  <c r="G25" i="15"/>
  <c r="V7" i="15" s="1"/>
  <c r="V10" i="15" s="1"/>
  <c r="V12" i="15" s="1"/>
  <c r="H25" i="15"/>
  <c r="F26" i="15" s="1"/>
  <c r="AQ10" i="12"/>
  <c r="AN11" i="12"/>
  <c r="AI11" i="12"/>
  <c r="AF12" i="12"/>
  <c r="AI12" i="12" s="1"/>
  <c r="N9" i="3"/>
  <c r="O9" i="3" s="1"/>
  <c r="L10" i="3"/>
  <c r="O14" i="2"/>
  <c r="P7" i="2"/>
  <c r="P10" i="2" s="1"/>
  <c r="F6" i="1"/>
  <c r="E7" i="1" s="1"/>
  <c r="G26" i="15" l="1"/>
  <c r="W7" i="15" s="1"/>
  <c r="W10" i="15" s="1"/>
  <c r="W12" i="15" s="1"/>
  <c r="V15" i="15"/>
  <c r="V14" i="15"/>
  <c r="AN12" i="12"/>
  <c r="AQ12" i="12" s="1"/>
  <c r="AQ11" i="12"/>
  <c r="N10" i="3"/>
  <c r="O10" i="3" s="1"/>
  <c r="L11" i="3"/>
  <c r="O20" i="2"/>
  <c r="O27" i="2" s="1"/>
  <c r="H17" i="2"/>
  <c r="F18" i="2" s="1"/>
  <c r="G18" i="2" s="1"/>
  <c r="P14" i="2"/>
  <c r="F7" i="1"/>
  <c r="E8" i="1" s="1"/>
  <c r="V18" i="15" l="1"/>
  <c r="H26" i="15"/>
  <c r="G28" i="15" s="1"/>
  <c r="X9" i="15" s="1"/>
  <c r="V25" i="15"/>
  <c r="V27" i="15" s="1"/>
  <c r="V22" i="15"/>
  <c r="U25" i="15"/>
  <c r="U27" i="15" s="1"/>
  <c r="U22" i="15"/>
  <c r="O29" i="2"/>
  <c r="W15" i="15"/>
  <c r="W14" i="15"/>
  <c r="N11" i="3"/>
  <c r="O11" i="3" s="1"/>
  <c r="L12" i="3"/>
  <c r="P12" i="2"/>
  <c r="P13" i="2" s="1"/>
  <c r="P17" i="2" s="1"/>
  <c r="Q7" i="2"/>
  <c r="Q10" i="2" s="1"/>
  <c r="F8" i="1"/>
  <c r="E9" i="1" s="1"/>
  <c r="X10" i="15" l="1"/>
  <c r="X13" i="15" s="1"/>
  <c r="X14" i="15" s="1"/>
  <c r="X16" i="15"/>
  <c r="W18" i="15"/>
  <c r="W22" i="15" s="1"/>
  <c r="P20" i="2"/>
  <c r="N12" i="3"/>
  <c r="O12" i="3" s="1"/>
  <c r="L13" i="3"/>
  <c r="Q14" i="2"/>
  <c r="Q12" i="2"/>
  <c r="Q13" i="2" s="1"/>
  <c r="H18" i="2"/>
  <c r="F19" i="2" s="1"/>
  <c r="G19" i="2" s="1"/>
  <c r="W25" i="15" l="1"/>
  <c r="Q17" i="2"/>
  <c r="Q20" i="2" s="1"/>
  <c r="Q27" i="2" s="1"/>
  <c r="X18" i="15"/>
  <c r="W27" i="15"/>
  <c r="P27" i="2"/>
  <c r="N13" i="3"/>
  <c r="O13" i="3" s="1"/>
  <c r="L14" i="3"/>
  <c r="H19" i="2"/>
  <c r="R7" i="2"/>
  <c r="X25" i="15" l="1"/>
  <c r="X22" i="15"/>
  <c r="F29" i="2"/>
  <c r="G21" i="2"/>
  <c r="T10" i="2"/>
  <c r="T12" i="2" s="1"/>
  <c r="P29" i="2"/>
  <c r="Q29" i="2"/>
  <c r="N14" i="3"/>
  <c r="O14" i="3" s="1"/>
  <c r="L15" i="3"/>
  <c r="R14" i="2"/>
  <c r="X27" i="15" l="1"/>
  <c r="Y25" i="15"/>
  <c r="I30" i="2"/>
  <c r="R23" i="2" s="1"/>
  <c r="R9" i="2"/>
  <c r="R10" i="2" s="1"/>
  <c r="N15" i="3"/>
  <c r="O15" i="3" s="1"/>
  <c r="L16" i="3"/>
  <c r="M28" i="15" l="1"/>
  <c r="Y27" i="15"/>
  <c r="R16" i="2"/>
  <c r="N16" i="3"/>
  <c r="O16" i="3" s="1"/>
  <c r="L17" i="3"/>
  <c r="R12" i="2" l="1"/>
  <c r="R13" i="2" s="1"/>
  <c r="R17" i="2" s="1"/>
  <c r="N17" i="3"/>
  <c r="O17" i="3" s="1"/>
  <c r="L18" i="3"/>
  <c r="N18" i="3" s="1"/>
  <c r="O18" i="3" s="1"/>
  <c r="R20" i="2" l="1"/>
  <c r="R27" i="2" s="1"/>
  <c r="U12" i="2"/>
  <c r="T17" i="2"/>
  <c r="M33" i="2" l="1"/>
  <c r="R29" i="2"/>
  <c r="M30" i="2" s="1"/>
  <c r="M32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Jeff Carmichael</author>
  </authors>
  <commentList>
    <comment ref="X14" authorId="0" shapeId="0" xr:uid="{00000000-0006-0000-1D00-000001000000}">
      <text>
        <r>
          <rPr>
            <b/>
            <sz val="9"/>
            <color indexed="81"/>
            <rFont val="Tahoma"/>
            <family val="2"/>
          </rPr>
          <t>Jeff Carmichael:</t>
        </r>
        <r>
          <rPr>
            <sz val="9"/>
            <color indexed="81"/>
            <rFont val="Tahoma"/>
            <family val="2"/>
          </rPr>
          <t xml:space="preserve">
Ignore the fact that defender MC &gt; challenger minimum EUAC.</t>
        </r>
      </text>
    </comment>
  </commentList>
</comments>
</file>

<file path=xl/sharedStrings.xml><?xml version="1.0" encoding="utf-8"?>
<sst xmlns="http://schemas.openxmlformats.org/spreadsheetml/2006/main" count="1052" uniqueCount="637">
  <si>
    <t>(salvage value)</t>
  </si>
  <si>
    <t>depreciation rate</t>
  </si>
  <si>
    <t>Value</t>
  </si>
  <si>
    <t>Depreciation</t>
  </si>
  <si>
    <t>Year</t>
  </si>
  <si>
    <t>capital cost</t>
  </si>
  <si>
    <t xml:space="preserve">initial working capital </t>
  </si>
  <si>
    <t>operating cost per yr</t>
  </si>
  <si>
    <t>revenues per yr</t>
  </si>
  <si>
    <t>n</t>
  </si>
  <si>
    <t>S</t>
  </si>
  <si>
    <t>loan</t>
  </si>
  <si>
    <t xml:space="preserve">i </t>
  </si>
  <si>
    <t>Loan payments</t>
  </si>
  <si>
    <t>Loan repayment</t>
  </si>
  <si>
    <t>Amt owing start of year</t>
  </si>
  <si>
    <t>Interest</t>
  </si>
  <si>
    <t>Principal</t>
  </si>
  <si>
    <t>Amt owing end of year</t>
  </si>
  <si>
    <t>Parameters</t>
  </si>
  <si>
    <t>Calculations</t>
  </si>
  <si>
    <t>Revenues &amp; Expenses</t>
  </si>
  <si>
    <t xml:space="preserve">Revenues  </t>
  </si>
  <si>
    <t>- Cap investment</t>
  </si>
  <si>
    <t>- costs</t>
  </si>
  <si>
    <t>- CCA</t>
  </si>
  <si>
    <t>= Taxable income</t>
  </si>
  <si>
    <t>- Income tax</t>
  </si>
  <si>
    <t>= Net profit</t>
  </si>
  <si>
    <t>+ CCA</t>
  </si>
  <si>
    <t>Loan (repayment)</t>
  </si>
  <si>
    <t>Working capital</t>
  </si>
  <si>
    <t>= Net ATCF</t>
  </si>
  <si>
    <t>CCA Schedule</t>
  </si>
  <si>
    <t>Depreciable value at beginning</t>
  </si>
  <si>
    <t>eligible depr</t>
  </si>
  <si>
    <t>remaining depreciable</t>
  </si>
  <si>
    <t>t</t>
  </si>
  <si>
    <t>= ATCF from operations</t>
  </si>
  <si>
    <t>NPW</t>
  </si>
  <si>
    <t>Discounted net ATCF</t>
  </si>
  <si>
    <t>EUAC</t>
  </si>
  <si>
    <t>Loss on disposal</t>
  </si>
  <si>
    <t>+ salvage</t>
  </si>
  <si>
    <t>- Loan interest</t>
  </si>
  <si>
    <t>- Loss on disposal</t>
  </si>
  <si>
    <t>+ Loss on Disposal</t>
  </si>
  <si>
    <t>IRR</t>
  </si>
  <si>
    <t xml:space="preserve"> = S*(1-t)+Bd * t</t>
  </si>
  <si>
    <t>1a. CSF</t>
  </si>
  <si>
    <t>1b. CTF</t>
  </si>
  <si>
    <t>CCA rate (d)</t>
  </si>
  <si>
    <t>MARR (discount rate)</t>
  </si>
  <si>
    <t>——</t>
  </si>
  <si>
    <t>i</t>
  </si>
  <si>
    <t>EUAC of Op Costs</t>
  </si>
  <si>
    <t>(A/G, i, n)</t>
  </si>
  <si>
    <t>Op</t>
  </si>
  <si>
    <t>EUAC of Maint Costs</t>
  </si>
  <si>
    <t>Maint</t>
  </si>
  <si>
    <t>EUAC of capital recovery costs</t>
  </si>
  <si>
    <t>(A/P, i, n)</t>
  </si>
  <si>
    <t>Capital value</t>
  </si>
  <si>
    <t>13-1</t>
  </si>
  <si>
    <t>13-3</t>
  </si>
  <si>
    <t>Loss in market value</t>
  </si>
  <si>
    <t>Operating cost</t>
  </si>
  <si>
    <t>Total marginal cost</t>
  </si>
  <si>
    <t>Foregone interest (opportunity cost)</t>
  </si>
  <si>
    <t>Reassess this next year: if you keep the asset…</t>
  </si>
  <si>
    <t>And so on.</t>
  </si>
  <si>
    <t>13-4</t>
  </si>
  <si>
    <t>Defender data</t>
  </si>
  <si>
    <t>Challenger data</t>
  </si>
  <si>
    <t>Cost of breakdown risk</t>
  </si>
  <si>
    <t>Core formulas:</t>
  </si>
  <si>
    <t>Other formulas:</t>
  </si>
  <si>
    <t>from:</t>
  </si>
  <si>
    <t>P</t>
  </si>
  <si>
    <t>F</t>
  </si>
  <si>
    <t>A</t>
  </si>
  <si>
    <t>to:</t>
  </si>
  <si>
    <t xml:space="preserve">F </t>
  </si>
  <si>
    <r>
      <rPr>
        <i/>
        <sz val="17"/>
        <color rgb="FF000000"/>
        <rFont val="Garamond"/>
        <family val="1"/>
      </rPr>
      <t>i</t>
    </r>
    <r>
      <rPr>
        <sz val="17"/>
        <color rgb="FF000000"/>
        <rFont val="Garamond"/>
        <family val="1"/>
      </rPr>
      <t xml:space="preserve"> = </t>
    </r>
    <r>
      <rPr>
        <i/>
        <sz val="17"/>
        <color rgb="FF000000"/>
        <rFont val="Garamond"/>
        <family val="1"/>
      </rPr>
      <t>i′</t>
    </r>
    <r>
      <rPr>
        <sz val="17"/>
        <color rgb="FF000000"/>
        <rFont val="Garamond"/>
        <family val="1"/>
      </rPr>
      <t xml:space="preserve"> + </t>
    </r>
    <r>
      <rPr>
        <i/>
        <sz val="17"/>
        <color rgb="FF000000"/>
        <rFont val="Garamond"/>
        <family val="1"/>
      </rPr>
      <t>f</t>
    </r>
    <r>
      <rPr>
        <sz val="17"/>
        <color rgb="FF000000"/>
        <rFont val="Garamond"/>
        <family val="1"/>
      </rPr>
      <t xml:space="preserve"> + </t>
    </r>
    <r>
      <rPr>
        <i/>
        <sz val="17"/>
        <color rgb="FF000000"/>
        <rFont val="Garamond"/>
        <family val="1"/>
      </rPr>
      <t>i′f</t>
    </r>
  </si>
  <si>
    <r>
      <t>i’ = (i-f)/(1+f)</t>
    </r>
    <r>
      <rPr>
        <sz val="21.8"/>
        <color rgb="FF000000"/>
        <rFont val="Garamond"/>
        <family val="1"/>
      </rPr>
      <t xml:space="preserve"> </t>
    </r>
  </si>
  <si>
    <t>i = f + i' * (1+f)</t>
  </si>
  <si>
    <t>f</t>
  </si>
  <si>
    <t>i -f = i' * (1+f)</t>
  </si>
  <si>
    <t>i'</t>
  </si>
  <si>
    <t xml:space="preserve">(i -f)/(1+f) = i' </t>
  </si>
  <si>
    <t>(P/F, i, n)</t>
  </si>
  <si>
    <t>Sum of Present Cost if Kept through Year n</t>
  </si>
  <si>
    <t>Present Cost in each year</t>
  </si>
  <si>
    <t>Minimum EUAC</t>
  </si>
  <si>
    <t>EUAC if kept through year n</t>
  </si>
  <si>
    <t>Comparison with Challenger minimum EUAC</t>
  </si>
  <si>
    <t>13-5</t>
  </si>
  <si>
    <t>Capital cost</t>
  </si>
  <si>
    <t>13-8</t>
  </si>
  <si>
    <t>Ch 13 Problem 2 in slides</t>
  </si>
  <si>
    <t>Quarterized capital cost</t>
  </si>
  <si>
    <t>Quarters kept</t>
  </si>
  <si>
    <t>Sum of Present Cost if Kept through Quarter n</t>
  </si>
  <si>
    <t>marginal cost</t>
  </si>
  <si>
    <t>quarterized  marginal cost</t>
  </si>
  <si>
    <t>total EUQC</t>
  </si>
  <si>
    <t>Maintenance cost</t>
  </si>
  <si>
    <t>New shoes cost: $50</t>
  </si>
  <si>
    <t>Data:</t>
  </si>
  <si>
    <t>13-9</t>
  </si>
  <si>
    <t>Book value</t>
  </si>
  <si>
    <t>tax rate</t>
  </si>
  <si>
    <t>Post-tax marginal cost</t>
  </si>
  <si>
    <t>After-tax Op and risk costs</t>
  </si>
  <si>
    <t>Pre-tax value plus foregone interest</t>
  </si>
  <si>
    <t>#12-12</t>
  </si>
  <si>
    <t>Same outcome as table above (which is simpler to understand)</t>
  </si>
  <si>
    <t>Amount above</t>
  </si>
  <si>
    <t>and</t>
  </si>
  <si>
    <t>Amount between</t>
  </si>
  <si>
    <t xml:space="preserve">    then subtracts off the 15% tax on the first part $11,474.</t>
  </si>
  <si>
    <t xml:space="preserve">Example 12-1 applies 15% tax to ($11,474 + $33,808), </t>
  </si>
  <si>
    <t>next</t>
  </si>
  <si>
    <t>First</t>
  </si>
  <si>
    <t>Tax Rate</t>
  </si>
  <si>
    <t>Taxable Income</t>
  </si>
  <si>
    <t>tax</t>
  </si>
  <si>
    <t>tax %</t>
  </si>
  <si>
    <t>income</t>
  </si>
  <si>
    <t>Revised Table 12-1:</t>
  </si>
  <si>
    <t>cumulative tax</t>
  </si>
  <si>
    <t>cumulative income</t>
  </si>
  <si>
    <t>income block</t>
  </si>
  <si>
    <t>What if exemption came first, then 15% applied to next $45,282?</t>
  </si>
  <si>
    <t>Example 12-1</t>
  </si>
  <si>
    <t>Example 12-3, using equations 11-6, 11-7, 11-8</t>
  </si>
  <si>
    <t>d</t>
  </si>
  <si>
    <t>CCA(2)</t>
  </si>
  <si>
    <t>UCC(1)</t>
  </si>
  <si>
    <t>UCC(2)</t>
  </si>
  <si>
    <t>n (for loan)</t>
  </si>
  <si>
    <t>- depreciation</t>
  </si>
  <si>
    <t>- Gain/loss on disposal</t>
  </si>
  <si>
    <t>- Cap down payment</t>
  </si>
  <si>
    <t>Tax credit</t>
  </si>
  <si>
    <t>Gain/Loss on disposal</t>
  </si>
  <si>
    <t>- corporate tax</t>
  </si>
  <si>
    <t>corporate tax rate</t>
  </si>
  <si>
    <t>salvage</t>
  </si>
  <si>
    <t>year 10 sum</t>
  </si>
  <si>
    <t>Example 12-6</t>
  </si>
  <si>
    <t>original cost</t>
  </si>
  <si>
    <t>remaining book value</t>
  </si>
  <si>
    <t>production equipment</t>
  </si>
  <si>
    <t>trucks</t>
  </si>
  <si>
    <t>revenue when sold</t>
  </si>
  <si>
    <t>marginal tax rate</t>
  </si>
  <si>
    <t>Net salvage value = S (1-t) + Bd (t)</t>
  </si>
  <si>
    <t xml:space="preserve">  S = salvage value</t>
  </si>
  <si>
    <t xml:space="preserve">  t = marginal tax rate</t>
  </si>
  <si>
    <t xml:space="preserve">  Bd = book value at disposal</t>
  </si>
  <si>
    <t>NSV</t>
  </si>
  <si>
    <t>Can instead revise the formula to:</t>
  </si>
  <si>
    <t>Net salvage value = S + DTE, where DTE = t (Bd - S)</t>
  </si>
  <si>
    <t>Gain or loss on disposal</t>
  </si>
  <si>
    <t>Tax change (DTE)</t>
  </si>
  <si>
    <t>This gives the same result for NSV.</t>
  </si>
  <si>
    <t>Equipment: Loss on disposal. Trucks: Recaptured depreciation (gain on disposal).</t>
  </si>
  <si>
    <t>Equipment: Tax reduction. Trucks: Tax increase.</t>
  </si>
  <si>
    <t>Calculations: CCA Schedule</t>
  </si>
  <si>
    <t>Notice that we don't use the salvage value in this method.</t>
  </si>
  <si>
    <t>Example 1:</t>
  </si>
  <si>
    <t>Example 2:</t>
  </si>
  <si>
    <t>Calculations: CCA Equations</t>
  </si>
  <si>
    <t xml:space="preserve">salvage value </t>
  </si>
  <si>
    <t>Remaining book value</t>
  </si>
  <si>
    <t>CCA depreciation</t>
  </si>
  <si>
    <t>(Using corrected equation 11-7)</t>
  </si>
  <si>
    <t>ATCF from operations</t>
  </si>
  <si>
    <t xml:space="preserve">Note the (weird) assumption present in this EUAC calculation: the machine costs $7,500, but the EUAC is $8,100 in year 1. </t>
  </si>
  <si>
    <t>That’s like saying, you can delay paying for the machine until the end of year 1, but it’ll cost you more (since interest charges apply).</t>
  </si>
  <si>
    <t>E.g., year 2 EUAC of capital recovery is only dependent on how much time has passed (2 years) and the original capital cost (7500) and the interest rate.</t>
  </si>
  <si>
    <t>Diff</t>
  </si>
  <si>
    <t>If you keep the asset, these are the differential costs you'll face.</t>
  </si>
  <si>
    <t>Present Cost in each year (F to P)</t>
  </si>
  <si>
    <t>Ch 13 Problem 1 in slides</t>
  </si>
  <si>
    <t>Current value</t>
  </si>
  <si>
    <t>Option 1:</t>
  </si>
  <si>
    <t>Option 2:</t>
  </si>
  <si>
    <t>Sell the existing equipment and buy new.</t>
  </si>
  <si>
    <t>Keep existing equipment.</t>
  </si>
  <si>
    <t>Annual costs to run it (6000), plus the annualized salvage value (2000 F to A)</t>
  </si>
  <si>
    <t>Annualized value of selling existing equipment, annualized value of buying new equipment, annual costs, plus annualized salvage value (12000 F to A)</t>
  </si>
  <si>
    <r>
      <t>EUAW</t>
    </r>
    <r>
      <rPr>
        <vertAlign val="subscript"/>
        <sz val="12"/>
        <color rgb="FF000000"/>
        <rFont val="Garamond"/>
        <family val="1"/>
      </rPr>
      <t>proposed</t>
    </r>
    <r>
      <rPr>
        <sz val="12"/>
        <color rgb="FF000000"/>
        <rFont val="Garamond"/>
        <family val="1"/>
      </rPr>
      <t xml:space="preserve"> = +30,000(A/P, 11%, 10) –50,000(</t>
    </r>
    <r>
      <rPr>
        <i/>
        <sz val="12"/>
        <color rgb="FF000000"/>
        <rFont val="Garamond"/>
        <family val="1"/>
      </rPr>
      <t>A/P</t>
    </r>
    <r>
      <rPr>
        <sz val="12"/>
        <color rgb="FF000000"/>
        <rFont val="Garamond"/>
        <family val="1"/>
      </rPr>
      <t>, 11%, 10) + 12,000(</t>
    </r>
    <r>
      <rPr>
        <i/>
        <sz val="12"/>
        <color rgb="FF000000"/>
        <rFont val="Garamond"/>
        <family val="1"/>
      </rPr>
      <t>A/F</t>
    </r>
    <r>
      <rPr>
        <sz val="12"/>
        <color rgb="FF000000"/>
        <rFont val="Garamond"/>
        <family val="1"/>
      </rPr>
      <t>, 11%, 10) – 2000</t>
    </r>
  </si>
  <si>
    <r>
      <t>EUAW</t>
    </r>
    <r>
      <rPr>
        <vertAlign val="subscript"/>
        <sz val="12"/>
        <color rgb="FF000000"/>
        <rFont val="Garamond"/>
        <family val="1"/>
      </rPr>
      <t>current</t>
    </r>
    <r>
      <rPr>
        <sz val="12"/>
        <color rgb="FF000000"/>
        <rFont val="Garamond"/>
        <family val="1"/>
      </rPr>
      <t xml:space="preserve"> = </t>
    </r>
    <r>
      <rPr>
        <sz val="12"/>
        <color rgb="FF000000"/>
        <rFont val="Garamond"/>
        <family val="1"/>
      </rPr>
      <t>2000(</t>
    </r>
    <r>
      <rPr>
        <i/>
        <sz val="12"/>
        <color rgb="FF000000"/>
        <rFont val="Garamond"/>
        <family val="1"/>
      </rPr>
      <t>A/F</t>
    </r>
    <r>
      <rPr>
        <sz val="12"/>
        <color rgb="FF000000"/>
        <rFont val="Garamond"/>
        <family val="1"/>
      </rPr>
      <t>, 11%, 10) – 6,000</t>
    </r>
  </si>
  <si>
    <t xml:space="preserve">         = +30,000(.16980) – 50,000(0.16980) + 12,000(0.05980) – 2000</t>
  </si>
  <si>
    <t xml:space="preserve">       = 2000(0.05980) – 6000</t>
  </si>
  <si>
    <t xml:space="preserve">       = $–5,880</t>
  </si>
  <si>
    <t xml:space="preserve">         = $–4678</t>
  </si>
  <si>
    <t>Option 1: Keep.</t>
  </si>
  <si>
    <t>Option 2: Buy new.</t>
  </si>
  <si>
    <t>Textbook answer</t>
  </si>
  <si>
    <t>Corrections:</t>
  </si>
  <si>
    <t>Original answer for Option 2 was incorrect (incorrect math).</t>
  </si>
  <si>
    <t>Original answer incorrectly allocated costs and revenues (Option 2 should sell the existing equipment, and Option 1 shouldn't be purchasing existing equipment.)</t>
  </si>
  <si>
    <t>(A/F, i, n)</t>
  </si>
  <si>
    <t>annual operating cost</t>
  </si>
  <si>
    <t>Pre-tax Capital value (market value)</t>
  </si>
  <si>
    <t>NSV = after-tax net proceeds from asset disposal</t>
  </si>
  <si>
    <t>savings on tax</t>
  </si>
  <si>
    <t>salvage revenue</t>
  </si>
  <si>
    <t xml:space="preserve"> = S + (Bd-S) * t</t>
  </si>
  <si>
    <t>of which:</t>
  </si>
  <si>
    <t>After-tax market value</t>
  </si>
  <si>
    <t>After-tax loss in Market Value</t>
  </si>
  <si>
    <t>Pre-tax marginal cost in year n</t>
  </si>
  <si>
    <t>Tax savings from depreciation</t>
  </si>
  <si>
    <t>Depreciation (straight-line)</t>
  </si>
  <si>
    <t>Col B in text</t>
  </si>
  <si>
    <t>Column D in text</t>
  </si>
  <si>
    <t>Column F in text</t>
  </si>
  <si>
    <t>Column C in text</t>
  </si>
  <si>
    <t>If we keep the asset:</t>
  </si>
  <si>
    <t>Foregone loss on disposal</t>
  </si>
  <si>
    <t>Foregone tax savings</t>
  </si>
  <si>
    <r>
      <t xml:space="preserve">1. </t>
    </r>
    <r>
      <rPr>
        <sz val="11"/>
        <color rgb="FFFF0000"/>
        <rFont val="Calibri"/>
        <family val="2"/>
        <scheme val="minor"/>
      </rPr>
      <t>Get another year of depreciation-driven tax breaks.</t>
    </r>
  </si>
  <si>
    <t>5. Forego the interest that could be earned on the cash from sale of the asset, and</t>
  </si>
  <si>
    <t xml:space="preserve">    forego the interest that could be earned on the tax gain from loss of disposal on sale.</t>
  </si>
  <si>
    <r>
      <t xml:space="preserve">2. </t>
    </r>
    <r>
      <rPr>
        <sz val="11"/>
        <color rgb="FFFF0000"/>
        <rFont val="Calibri"/>
        <family val="2"/>
        <scheme val="minor"/>
      </rPr>
      <t>Forego the tax break from loss on disposal when the asset is sold.</t>
    </r>
  </si>
  <si>
    <r>
      <t xml:space="preserve">3. Lose another year of asset market value, </t>
    </r>
    <r>
      <rPr>
        <sz val="11"/>
        <color rgb="FFFF0000"/>
        <rFont val="Calibri"/>
        <family val="2"/>
        <scheme val="minor"/>
      </rPr>
      <t>including adjustments for tax implications</t>
    </r>
    <r>
      <rPr>
        <sz val="11"/>
        <color theme="1"/>
        <rFont val="Calibri"/>
        <family val="2"/>
        <scheme val="minor"/>
      </rPr>
      <t xml:space="preserve">. </t>
    </r>
  </si>
  <si>
    <t>4. Pay another year of operating costs, accounting for tax implications.</t>
  </si>
  <si>
    <t>Foregone tax savings from loss on disposal (column N) should be based on the value in that year (they are using the value a year too late).</t>
  </si>
  <si>
    <t>Foregone interest earned from cash from sale</t>
  </si>
  <si>
    <t>Foregone interest earned from tax savings</t>
  </si>
  <si>
    <t>Foregone tax savings from loss on disposal (column N) should be added to the total (column AB), not subtracted.</t>
  </si>
  <si>
    <t>This isn't as complicated as it looks: it's the revenue you get</t>
  </si>
  <si>
    <t>when you sell the asset, minus (or plus) the tax (or tax  reduction).</t>
  </si>
  <si>
    <t>1. Loan payment</t>
  </si>
  <si>
    <t>2. Loan repayment</t>
  </si>
  <si>
    <t>3. CCA Schedule</t>
  </si>
  <si>
    <t>4. Salvage value options:</t>
  </si>
  <si>
    <t>(a) Closed books salvage (which applies in this case):</t>
  </si>
  <si>
    <t>(b) Open books salvage (not used in this case):</t>
  </si>
  <si>
    <t>This NSV is meaningful, but the total # isn't actually used above: the parts are.</t>
  </si>
  <si>
    <t>5. Revenues &amp; Expenses</t>
  </si>
  <si>
    <t>6. Cash Flow for Business Decision:</t>
  </si>
  <si>
    <t>Starting book value</t>
  </si>
  <si>
    <t>Amt owing start of yr</t>
  </si>
  <si>
    <t>Amt owing end of yr</t>
  </si>
  <si>
    <t xml:space="preserve">    3. Loss on disposal must also be added back in (since this isn't an actual cash flow)</t>
  </si>
  <si>
    <t xml:space="preserve">    4. Salvage value corrected to represent actual cash flow.</t>
  </si>
  <si>
    <t>Corrected errors from textbook solution (marked in red above):</t>
  </si>
  <si>
    <t>Items marked in blue cells are NOT part of cash flow</t>
  </si>
  <si>
    <t>Note that income tax is affected by non-cash flow items. That's why we add in, then subtract out again, those items in step 5.</t>
  </si>
  <si>
    <t xml:space="preserve">    1. Loss on disposal missing. It reduces taxes owed.</t>
  </si>
  <si>
    <t xml:space="preserve">    2. Taxable income not summed correctly: missing loan interest.</t>
  </si>
  <si>
    <t>+ Loan interest</t>
  </si>
  <si>
    <t>= Before-Tax Cash Flow</t>
  </si>
  <si>
    <t>Net funds from operations</t>
  </si>
  <si>
    <t>This NSV is the same as 'proceeds from disposal of assets'.</t>
  </si>
  <si>
    <t>+ net salvage</t>
  </si>
  <si>
    <t>(net salvage: cash plus tax savings)</t>
  </si>
  <si>
    <t xml:space="preserve">Note that ATCF includes Loan interest, but Net funds from operations </t>
  </si>
  <si>
    <t>excludes Loan interest.</t>
  </si>
  <si>
    <t>Corrected errors from textbook solution (marked in purple above):</t>
  </si>
  <si>
    <t xml:space="preserve">    2. ATCF missing loan interest (interest should be added back in)</t>
  </si>
  <si>
    <t>2. ATCF missing loan interest (interest should be added back in)</t>
  </si>
  <si>
    <t xml:space="preserve">    1. Loan interest deduction missing from taxable income sum.</t>
  </si>
  <si>
    <t xml:space="preserve">    3. Net funds from operations calculation needed: this removes loan interest again.</t>
  </si>
  <si>
    <t>3. Net funds from operations calculation needed: this removes loan interest again.</t>
  </si>
  <si>
    <t>+/- Loan (repayment)</t>
  </si>
  <si>
    <t>+/- Proceeds from disposal of assets</t>
  </si>
  <si>
    <t>+ Working capital</t>
  </si>
  <si>
    <t>= Net cash flow</t>
  </si>
  <si>
    <t>Discounted net cash flow:</t>
  </si>
  <si>
    <t>They treat 'working capital' like you loaning money out to your subsidiary. (This is confusing.)</t>
  </si>
  <si>
    <t>Revenues</t>
  </si>
  <si>
    <t>Operating costs</t>
  </si>
  <si>
    <t>interest payments</t>
  </si>
  <si>
    <t>principal payments</t>
  </si>
  <si>
    <t xml:space="preserve">Loan  </t>
  </si>
  <si>
    <t>subtotal</t>
  </si>
  <si>
    <t>Total</t>
  </si>
  <si>
    <t>Working capital 'investment'</t>
  </si>
  <si>
    <t>Capital investment</t>
  </si>
  <si>
    <t>1. Loan interest deduction missing from taxable income sum.</t>
  </si>
  <si>
    <t>(If loan interest isn't included, numbers match the textbook for Net Funds from Operations.)</t>
  </si>
  <si>
    <t>include/don't include switch</t>
  </si>
  <si>
    <t>Interest payments should be included: that's real cash flow.</t>
  </si>
  <si>
    <t>I wouldn't include this. (You just need to have enough cash to cover expenses while project is going on,</t>
  </si>
  <si>
    <t xml:space="preserve">     which is a separate analysis.)</t>
  </si>
  <si>
    <t xml:space="preserve">    Notice that errors 2 and 3 cancel each other out in terms of the impact on NPW.</t>
  </si>
  <si>
    <t xml:space="preserve">    Items marked in blue cells are NOT part of cash flow</t>
  </si>
  <si>
    <t xml:space="preserve">    Note that income tax is affected by non-cash flow items. That's why we add in, then subtract out again, those items in step 5.</t>
  </si>
  <si>
    <t>Notes</t>
  </si>
  <si>
    <t>Simplified Cash Flow for Business Decision:</t>
  </si>
  <si>
    <t>(compare with cell F29: closed solution</t>
  </si>
  <si>
    <t>Calculate EUAC for each component separately, and for each year separately.</t>
  </si>
  <si>
    <t xml:space="preserve">Each year’s analysis is SEPARATE: they don’t link from year to year the way they have in previous examples. </t>
  </si>
  <si>
    <t>Total EUAC</t>
  </si>
  <si>
    <t>Minimum value</t>
  </si>
  <si>
    <t>Option A: costs/rev if kept</t>
  </si>
  <si>
    <t>Option B: costs/rev if sold</t>
  </si>
  <si>
    <t>Foregone interest is the interest you could earn from the money if you sell.</t>
  </si>
  <si>
    <t>MARR</t>
  </si>
  <si>
    <t>These numbers don't quite match the book - likely a minor rounding issue.</t>
  </si>
  <si>
    <t>Challenger data (like in 13-1)</t>
  </si>
  <si>
    <t>Defender data
(like in 13-3)</t>
  </si>
  <si>
    <t>Defender MC &lt; Challenger minimum EUAC: keep defender</t>
  </si>
  <si>
    <t>Defender MC &gt; Challenger minimum EUAC: replace with challenger</t>
  </si>
  <si>
    <t>Only this data has changed.</t>
  </si>
  <si>
    <t>Challenger:</t>
  </si>
  <si>
    <t>Defender:</t>
  </si>
  <si>
    <t>Defender's minimum EUAC: $14,618</t>
  </si>
  <si>
    <t>Defender's MC is falling, so calculate defender minimum EUAC. Since Defender Minimum EUAC &lt; Challenger Minimum EUAC -&gt; keep defender. (Wait til defender MC &gt; challenger's minimum EUAC.)</t>
  </si>
  <si>
    <t>Defender's MC still falling. Since Defender Minimum EUAC &lt; Challenger Minimum EUAC -&gt; keep defender. (Wait til defender MC &gt; challenger's minimum EUAC.)</t>
  </si>
  <si>
    <t>Defender MC is rising: switch to Case 1 method. Defender MC &lt; Challenger min EUAC: keep</t>
  </si>
  <si>
    <t>Defender MC &gt; Challenger minimum EUAC: replace with challenger.</t>
  </si>
  <si>
    <t>Annualized capital cost (EUAC)</t>
  </si>
  <si>
    <t>MARR (per quarter)</t>
  </si>
  <si>
    <t>So: replace shoes at end of 3rd quarter.</t>
  </si>
  <si>
    <t>The columns with red headers are what has been added or changed by including the tax implications.</t>
  </si>
  <si>
    <t>(just for reference)</t>
  </si>
  <si>
    <t>Column E in text</t>
  </si>
  <si>
    <t>Col G in text</t>
  </si>
  <si>
    <t>These errors have NOT been corrected above. The numbers above match textbook example 13-9.</t>
  </si>
  <si>
    <t>Foregone interest (column V) should be based on the sale value in that year (they are using the sale value one year too early).</t>
  </si>
  <si>
    <t>Errors in the textbook example:</t>
  </si>
  <si>
    <t>Other potential error (I'm not certain actually):</t>
  </si>
  <si>
    <t>Notice that the IRR doesn't respond well to complicated cash flows.</t>
  </si>
  <si>
    <r>
      <rPr>
        <sz val="31"/>
        <color rgb="FF000000"/>
        <rFont val="Garamond"/>
        <family val="1"/>
      </rPr>
      <t>CCA</t>
    </r>
    <r>
      <rPr>
        <vertAlign val="subscript"/>
        <sz val="31"/>
        <color rgb="FF000000"/>
        <rFont val="Garamond"/>
        <family val="1"/>
      </rPr>
      <t>n</t>
    </r>
    <r>
      <rPr>
        <sz val="31"/>
        <color rgb="FF000000"/>
        <rFont val="Garamond"/>
        <family val="1"/>
      </rPr>
      <t xml:space="preserve"> = P (1-d/2) (1-d)</t>
    </r>
    <r>
      <rPr>
        <vertAlign val="superscript"/>
        <sz val="31"/>
        <color rgb="FF000000"/>
        <rFont val="Garamond"/>
        <family val="1"/>
      </rPr>
      <t>n-2</t>
    </r>
    <r>
      <rPr>
        <sz val="31"/>
        <color rgb="FF000000"/>
        <rFont val="Garamond"/>
        <family val="1"/>
      </rPr>
      <t xml:space="preserve"> (d)</t>
    </r>
  </si>
  <si>
    <t>Annualized capital cost of challenger is lower: replace.</t>
  </si>
  <si>
    <t>Build in 12-11</t>
  </si>
  <si>
    <t>Should loan repayment include interest or not? NO - it's already included in the "Net Funds from Operations".</t>
  </si>
  <si>
    <t>MC&lt;EUQC: keep</t>
  </si>
  <si>
    <t>MC&gt;EUQC: replace</t>
  </si>
  <si>
    <t>MC falling: keep</t>
  </si>
  <si>
    <r>
      <t>•</t>
    </r>
    <r>
      <rPr>
        <sz val="11"/>
        <color rgb="FF000000"/>
        <rFont val="Garamond"/>
        <family val="1"/>
      </rPr>
      <t>When the marginal cost of the defender becomes greater than the minimum EUAC of the challenger, then replace the defender with the challenger.</t>
    </r>
  </si>
  <si>
    <r>
      <t>•</t>
    </r>
    <r>
      <rPr>
        <sz val="11"/>
        <color rgb="FF000000"/>
        <rFont val="Garamond"/>
        <family val="1"/>
      </rPr>
      <t>Maintain the defender as long as the marginal cost of ownership for one more period is less than the minimum EUAC of the challenger.</t>
    </r>
  </si>
  <si>
    <t>Challenger data:</t>
  </si>
  <si>
    <t>Total EUQC</t>
  </si>
  <si>
    <t>2. Calculate Challenger's minimum EUAC.</t>
  </si>
  <si>
    <t>1. Calculate Defender's marginal costs.</t>
  </si>
  <si>
    <t xml:space="preserve">"Defender" </t>
  </si>
  <si>
    <t>1. Calculate MC</t>
  </si>
  <si>
    <t>(b) add in EUAC of capital.</t>
  </si>
  <si>
    <t>Follow procedure.</t>
  </si>
  <si>
    <t>Marginal cost is falling at first: keep defender (Case 2).</t>
  </si>
  <si>
    <t>Marginal cost is rising, but MC&lt;EUQC: keep defender (Case 1).</t>
  </si>
  <si>
    <t xml:space="preserve">EUQC reaches minimum at Q3. </t>
  </si>
  <si>
    <t>In Q4, MC of defender (old shoes, $70) is higher than EUQC of challenger (new shoes, $50): replace.</t>
  </si>
  <si>
    <t>After including tax implications,</t>
  </si>
  <si>
    <t>Year 3 is still minimum MC.</t>
  </si>
  <si>
    <t>Before tax,</t>
  </si>
  <si>
    <t>Year 5 is minimum EUAC.</t>
  </si>
  <si>
    <t>minimum EUAC shifts to Year 6.</t>
  </si>
  <si>
    <t>EUAC if kept through Quarter n</t>
  </si>
  <si>
    <t>+ depreciation</t>
  </si>
  <si>
    <t>+ Gain/loss on disposal</t>
  </si>
  <si>
    <t>Loan interest</t>
  </si>
  <si>
    <t>= Net funds from operations (Net ATCF)</t>
  </si>
  <si>
    <t>If the scholarship had kept up with inflation, it would pay $20,938 per year now.</t>
  </si>
  <si>
    <t>They aren't the same: but they have the same effect in this formula.</t>
  </si>
  <si>
    <t>Note that i and f are being used interchangeably.</t>
  </si>
  <si>
    <t>i (or f)</t>
  </si>
  <si>
    <t>Ch 14 ppt ex 1</t>
  </si>
  <si>
    <t>This is 3.4% more golf balls than the previous year.</t>
  </si>
  <si>
    <t># of golf balls you can buy in year 1</t>
  </si>
  <si>
    <t>cost of a golf ball in year 1</t>
  </si>
  <si>
    <t>savings in year 1</t>
  </si>
  <si>
    <t># of golf balls you can buy in year 0</t>
  </si>
  <si>
    <t>real interest rate i'</t>
  </si>
  <si>
    <t>market rate i</t>
  </si>
  <si>
    <t>cost of a golf ball in year 0</t>
  </si>
  <si>
    <t>savings (P) in year 0</t>
  </si>
  <si>
    <t>Ex 14-1</t>
  </si>
  <si>
    <t>The problem says "over 5 years" but appears to only add up 4 years of cost data to establish the EUAC in this case. (Might just be an overlooked error.)</t>
  </si>
  <si>
    <t>sum</t>
  </si>
  <si>
    <t xml:space="preserve">discounted based on MARR </t>
  </si>
  <si>
    <t>rice</t>
  </si>
  <si>
    <t>lentils</t>
  </si>
  <si>
    <t>Yr</t>
  </si>
  <si>
    <t>1 yr cost rice</t>
  </si>
  <si>
    <t>1 yr cost lentils</t>
  </si>
  <si>
    <t>inflation following 3 years</t>
  </si>
  <si>
    <t>inflation next two years</t>
  </si>
  <si>
    <t>rice:</t>
  </si>
  <si>
    <t>inflation following 2 yrs</t>
  </si>
  <si>
    <t>inflation next 3 yrs</t>
  </si>
  <si>
    <t>Ex 14-7</t>
  </si>
  <si>
    <t>Need to beat inflation by about 10%. Because of the non-linear nature of compounding, it's a little higher than that.</t>
  </si>
  <si>
    <t>i = i′ + f + i′f</t>
  </si>
  <si>
    <t>Formula:</t>
  </si>
  <si>
    <t xml:space="preserve">i' = </t>
  </si>
  <si>
    <t>Required nominal rate of return</t>
  </si>
  <si>
    <t>inflation rate to preserve</t>
  </si>
  <si>
    <t>value of your dollar</t>
  </si>
  <si>
    <t>inflation</t>
  </si>
  <si>
    <t>Ex 14-8</t>
  </si>
  <si>
    <t>4. Use set of real interest rate values to calculate future real dollars.</t>
  </si>
  <si>
    <t>3. Use set of market interest rate values to calculate future actual dollars.</t>
  </si>
  <si>
    <t>2. Use i and f to calculate i'.</t>
  </si>
  <si>
    <t>1. You have have been given sets of values for i and f, and a base price (R and A, same).</t>
  </si>
  <si>
    <t>R</t>
  </si>
  <si>
    <t>year</t>
  </si>
  <si>
    <t>New example 1 (not in book)</t>
  </si>
  <si>
    <t>That's the case in real life. Every price rises at its own rate.</t>
  </si>
  <si>
    <t>(use goal seek to determine this: in this case, it's simple though).</t>
  </si>
  <si>
    <t>This is trickier, because there isn't just one inflation rate that applies. We had to estimate a blended one.</t>
  </si>
  <si>
    <t>How much must your salary increase to cover all costs?</t>
  </si>
  <si>
    <t>How much has your salary risen in real terms?</t>
  </si>
  <si>
    <t>Sum</t>
  </si>
  <si>
    <t>expenses growth</t>
  </si>
  <si>
    <t>expenses sum</t>
  </si>
  <si>
    <t>Living expenses</t>
  </si>
  <si>
    <t>Mortgage</t>
  </si>
  <si>
    <t>Income</t>
  </si>
  <si>
    <t>Mortgage borrowing rate:</t>
  </si>
  <si>
    <t>Rent</t>
  </si>
  <si>
    <t>Salary inflation</t>
  </si>
  <si>
    <t>Actual annual cash flow:</t>
  </si>
  <si>
    <t>Mortgage term (yrs):</t>
  </si>
  <si>
    <t xml:space="preserve"> </t>
  </si>
  <si>
    <t>Initial salary</t>
  </si>
  <si>
    <t>Down payment:</t>
  </si>
  <si>
    <t>Mortgage payment:</t>
  </si>
  <si>
    <t>Apartment cost</t>
  </si>
  <si>
    <t>cost of living inflation</t>
  </si>
  <si>
    <t>Net amt to borrow</t>
  </si>
  <si>
    <t>Monthly living expenses</t>
  </si>
  <si>
    <t>Number of payments n</t>
  </si>
  <si>
    <t>Monthly rent</t>
  </si>
  <si>
    <t>Mortgage interest rate per mo:</t>
  </si>
  <si>
    <t>House payment calculations:</t>
  </si>
  <si>
    <t>Additional data:</t>
  </si>
  <si>
    <t>In this example, we use 'actual' dollars in all cases.</t>
  </si>
  <si>
    <t>Scenario 2: Buying</t>
  </si>
  <si>
    <t>Scenario 1: Renting</t>
  </si>
  <si>
    <t>Adjustments to 'real' dollars:</t>
  </si>
  <si>
    <t>New example 2 (not in book)</t>
  </si>
  <si>
    <t>Of course, sometimes it doesn't, and you need to use other data to forecast future costs.</t>
  </si>
  <si>
    <t>Key assumptions: the past inflation pattern will continue.</t>
  </si>
  <si>
    <t>Step 2: apply that inflation rate to estimate future cost</t>
  </si>
  <si>
    <t>i = (F/P)^(1/n)-1</t>
  </si>
  <si>
    <t>Step 1: calculate past annual inflation rate</t>
  </si>
  <si>
    <t>annual inflation</t>
  </si>
  <si>
    <t>bid</t>
  </si>
  <si>
    <t>total increase (%)</t>
  </si>
  <si>
    <t>CCCI</t>
  </si>
  <si>
    <t>Step 2</t>
  </si>
  <si>
    <t xml:space="preserve">Ex 14-5 </t>
  </si>
  <si>
    <t>cost index</t>
  </si>
  <si>
    <t>cost</t>
  </si>
  <si>
    <t>Ch 14 ppt ex 2</t>
  </si>
  <si>
    <t>interest rate at which each NPW = 0.</t>
  </si>
  <si>
    <t>Must interpolate or use Goal Seek to determine</t>
  </si>
  <si>
    <t>P (for S)</t>
  </si>
  <si>
    <t>salvage value</t>
  </si>
  <si>
    <t>useful life (years)</t>
  </si>
  <si>
    <t>net annual benefit</t>
  </si>
  <si>
    <t xml:space="preserve">discounted </t>
  </si>
  <si>
    <t>cash flow</t>
  </si>
  <si>
    <t>(P/A, i, n)</t>
  </si>
  <si>
    <t>Cost</t>
  </si>
  <si>
    <t>pessimistic</t>
  </si>
  <si>
    <t>most likely</t>
  </si>
  <si>
    <t>optimistic</t>
  </si>
  <si>
    <t>Using Excel:</t>
  </si>
  <si>
    <t>Using formulas:</t>
  </si>
  <si>
    <t>Ex 10-3</t>
  </si>
  <si>
    <t>We'll be building those in, in Ex 10-7 and Ex 10-8.</t>
  </si>
  <si>
    <t>and how many years the benefits will occur:</t>
  </si>
  <si>
    <t>Calculated as sumproduct:</t>
  </si>
  <si>
    <t>Notice that this formulation doesn't yet account for the time value of money,</t>
  </si>
  <si>
    <t>Probability</t>
  </si>
  <si>
    <t>Useful Life (years)</t>
  </si>
  <si>
    <t>higher</t>
  </si>
  <si>
    <t>lower</t>
  </si>
  <si>
    <t>Expected value</t>
  </si>
  <si>
    <t xml:space="preserve"> Joint Probability</t>
  </si>
  <si>
    <t>Useful Life (yrs)</t>
  </si>
  <si>
    <t>Savings per Year</t>
  </si>
  <si>
    <t>Annual benefit</t>
  </si>
  <si>
    <t>Ex 10-5</t>
  </si>
  <si>
    <t>Expected value of life:</t>
  </si>
  <si>
    <t>future values).</t>
  </si>
  <si>
    <t xml:space="preserve">non-linear nature of PW calculations (due to discounting of </t>
  </si>
  <si>
    <t>This estimate is more accurate, because it accounts for the</t>
  </si>
  <si>
    <t>Expected value:</t>
  </si>
  <si>
    <t>NPW x joint prob</t>
  </si>
  <si>
    <t>interest rate</t>
  </si>
  <si>
    <t>What if we didn't average out early in the analysis?</t>
  </si>
  <si>
    <t>Example 10-8:</t>
  </si>
  <si>
    <t>Ex 10-7</t>
  </si>
  <si>
    <t>Project B has a higher expected value, so should be chosen.</t>
  </si>
  <si>
    <t>Expected value of EUAB</t>
  </si>
  <si>
    <t>EUAB</t>
  </si>
  <si>
    <t>Project B</t>
  </si>
  <si>
    <t>Project A</t>
  </si>
  <si>
    <t>Ch 10 lecture example 1</t>
  </si>
  <si>
    <t>2 x SD</t>
  </si>
  <si>
    <t>Standard deviation:</t>
  </si>
  <si>
    <t>Notice that this value doesn't match the textbook: different rounding on the NPW, I'm guessing.</t>
  </si>
  <si>
    <t>NPW^2 * joint prob</t>
  </si>
  <si>
    <t>Ex 10-13</t>
  </si>
  <si>
    <t>floods could reoccur, so the avoided damages could be much higher.</t>
  </si>
  <si>
    <t>Note that this avoided damage would be the damage from only one flood:</t>
  </si>
  <si>
    <t>Benefit (avoided damage) is greater than the cost: build the dam.</t>
  </si>
  <si>
    <t>Cost minus avoided damage:</t>
  </si>
  <si>
    <t>Expected value of avoided damage</t>
  </si>
  <si>
    <t>zero</t>
  </si>
  <si>
    <t>Low</t>
  </si>
  <si>
    <t>Med</t>
  </si>
  <si>
    <t>High</t>
  </si>
  <si>
    <t>damage est</t>
  </si>
  <si>
    <t>Construction cost</t>
  </si>
  <si>
    <t>Ch 10 lecture example 2</t>
  </si>
  <si>
    <t>D</t>
  </si>
  <si>
    <t>yr</t>
  </si>
  <si>
    <t>C</t>
  </si>
  <si>
    <t>discounted benefits</t>
  </si>
  <si>
    <t>discounted costs</t>
  </si>
  <si>
    <t>benefits</t>
  </si>
  <si>
    <t>costs</t>
  </si>
  <si>
    <t>B</t>
  </si>
  <si>
    <t>Plan D</t>
  </si>
  <si>
    <t>Plan C</t>
  </si>
  <si>
    <t>Plan B</t>
  </si>
  <si>
    <t>Plan A</t>
  </si>
  <si>
    <t>NPV</t>
  </si>
  <si>
    <t>B/C ratio</t>
  </si>
  <si>
    <t>% fish restored</t>
  </si>
  <si>
    <t>discounted sum of benefits</t>
  </si>
  <si>
    <t>discounted sum of costs</t>
  </si>
  <si>
    <t>Plan</t>
  </si>
  <si>
    <t>discount rate</t>
  </si>
  <si>
    <t>i&lt;&gt;g:</t>
  </si>
  <si>
    <t>i=g:</t>
  </si>
  <si>
    <t>#12-8</t>
  </si>
  <si>
    <t>(b) Open books salvage:</t>
  </si>
  <si>
    <t>BCTF (1)</t>
  </si>
  <si>
    <t>BCTF G value</t>
  </si>
  <si>
    <t>Cap investment and net salvage</t>
  </si>
  <si>
    <t>(a) Closed books salvage:</t>
  </si>
  <si>
    <t>MARR (discount rate and i)</t>
  </si>
  <si>
    <t>(a) Business Decision using Closed Books assumption:</t>
  </si>
  <si>
    <t>(b) Business Decision using Open Books method:</t>
  </si>
  <si>
    <t>Capital Salvage Factor (CSF)</t>
  </si>
  <si>
    <t>Capital Tax Factor (CTF)</t>
  </si>
  <si>
    <t>PW of salvage:</t>
  </si>
  <si>
    <t>PW of BTCF arithmetric series:</t>
  </si>
  <si>
    <t>BTCF arithmetric series:</t>
  </si>
  <si>
    <t>Arithmetic gradient:</t>
  </si>
  <si>
    <t>Geometric gradient:</t>
  </si>
  <si>
    <t>P = P' + P'' = (A (P/A,i%, n) + G (P/G, i%, n)</t>
  </si>
  <si>
    <t>A/P:</t>
  </si>
  <si>
    <t>G/P:</t>
  </si>
  <si>
    <t>PW of capital:</t>
  </si>
  <si>
    <t>After tax A:</t>
  </si>
  <si>
    <t>After tax G:</t>
  </si>
  <si>
    <t>Total PW:</t>
  </si>
  <si>
    <t>salvage value * CSF + salvage value</t>
  </si>
  <si>
    <t>salvage * CSF</t>
  </si>
  <si>
    <t>(compare with NSV in closed solution)</t>
  </si>
  <si>
    <t>Closed and Open Books methods options:</t>
  </si>
  <si>
    <t xml:space="preserve">Note error in textbook: </t>
  </si>
  <si>
    <t>BTCF amounts in table do not match</t>
  </si>
  <si>
    <t>data used in solution.</t>
  </si>
  <si>
    <t>($35,000 vs $30,000)</t>
  </si>
  <si>
    <t>Capital cost (value)</t>
  </si>
  <si>
    <t>Original cost</t>
  </si>
  <si>
    <t>Trade-in value</t>
  </si>
  <si>
    <t>Market value</t>
  </si>
  <si>
    <t>N</t>
  </si>
  <si>
    <t>Y</t>
  </si>
  <si>
    <t>(can be calculated)</t>
  </si>
  <si>
    <t>Which data is needed for the original SK-30 model?</t>
  </si>
  <si>
    <t>Which data is needed for the new SK-40 model?</t>
  </si>
  <si>
    <t>Cost (w/o trade-in)</t>
  </si>
  <si>
    <t>Cost (including trade-in)</t>
  </si>
  <si>
    <t>1200 - 350 = 850</t>
  </si>
  <si>
    <t>(not given in the problem; I've assigned one)</t>
  </si>
  <si>
    <t>At the chosen interest rate, annualized capital cost of defender is lower than challenger: keep defender.</t>
  </si>
  <si>
    <t>("now")</t>
  </si>
  <si>
    <t xml:space="preserve">Dinner out at your favourite restaurant cost $100 </t>
  </si>
  <si>
    <t>per person right now.</t>
  </si>
  <si>
    <t>4.5%, and 5.5% in the  next 3 years.</t>
  </si>
  <si>
    <t>Forecasts are that restaurant prices will rise by 5%,</t>
  </si>
  <si>
    <t>Most prices, and your salary, are expected to rise</t>
  </si>
  <si>
    <t>by 3%, 2.5%, and 3.5% during that same time.</t>
  </si>
  <si>
    <t>How much will a meal cost after 3 years?</t>
  </si>
  <si>
    <t>How much will it cost you, accounting for the</t>
  </si>
  <si>
    <t>fact that your salary will increase during that time too?</t>
  </si>
  <si>
    <t>Example 11-5</t>
  </si>
  <si>
    <t>Salvage value</t>
  </si>
  <si>
    <t>Life of project (yrs)</t>
  </si>
  <si>
    <t>Total sand to be used (m3)</t>
  </si>
  <si>
    <t>Sand required</t>
  </si>
  <si>
    <t>Unit-of-production depreciation</t>
  </si>
  <si>
    <t>P (1-d/2) (1-d)n-2 (d)</t>
  </si>
  <si>
    <t>NPW salvage</t>
  </si>
  <si>
    <t>Defender EUAC:</t>
  </si>
  <si>
    <t>Challenger EUAC:</t>
  </si>
  <si>
    <t>Building on example 13-3 (and 13-4 and -5), calculate the after-tax marginal costs.</t>
  </si>
  <si>
    <t>(Case 2)</t>
  </si>
  <si>
    <t>(Case 1)</t>
  </si>
  <si>
    <t>Q2 maint cost: $2.50 x 2 = $5</t>
  </si>
  <si>
    <t>Q3 maint cost: $2.50 x 2 + $10 x 2 = $25</t>
  </si>
  <si>
    <t>Q4 maint cost: $2.50 x 2 + $10 x 2 + $22.50 x 2 = $70</t>
  </si>
  <si>
    <t>Maintain and Keep: Marginal costs</t>
  </si>
  <si>
    <t>(a) Convert MC to EUAC.</t>
  </si>
  <si>
    <t>2. Calculate minimum EUAC:</t>
  </si>
  <si>
    <t>MC defender &lt; EUQC challenger: keep</t>
  </si>
  <si>
    <t xml:space="preserve">The MARR changed from that in example 13-5, so not all columns look exactly the same. </t>
  </si>
  <si>
    <t>Loss in market value should still be considered, as it was in Example 13-5.</t>
  </si>
  <si>
    <t>Defender (Current Asset)</t>
  </si>
  <si>
    <t>Practice Q Ch 12</t>
  </si>
  <si>
    <t>Post-tax Marginal cost (column AB): Corrections made to textbook totals.</t>
  </si>
  <si>
    <t>Pastry</t>
  </si>
  <si>
    <t>Apples</t>
  </si>
  <si>
    <t>Horse</t>
  </si>
  <si>
    <t>Profit per pie:</t>
  </si>
  <si>
    <t>Profit per unit of pastry:</t>
  </si>
  <si>
    <t>Each apple pie needs:</t>
  </si>
  <si>
    <t>Each steak pie needs:</t>
  </si>
  <si>
    <t>This makes it clear that the pastry is</t>
  </si>
  <si>
    <t>better committed to making steak pies</t>
  </si>
  <si>
    <t>Apple Pie Focus:</t>
  </si>
  <si>
    <t>than to apple pies.</t>
  </si>
  <si>
    <t>Possible apple pies</t>
  </si>
  <si>
    <t>Actual apple pies</t>
  </si>
  <si>
    <t>Used</t>
  </si>
  <si>
    <t>Remaining pastry</t>
  </si>
  <si>
    <t>Possible steak pies</t>
  </si>
  <si>
    <t>Actual steak pies</t>
  </si>
  <si>
    <t>Profit</t>
  </si>
  <si>
    <t>Steak Pie Focus: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</si>
</sst>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9">
    <numFmt numFmtId="43" formatCode="_(* #,##0.00_);_(* \(#,##0.00\);_(* &quot;-&quot;??_);_(@_)"/>
    <numFmt numFmtId="164" formatCode="_-&quot;$&quot;* #,##0.00_-;\-&quot;$&quot;* #,##0.00_-;_-&quot;$&quot;* &quot;-&quot;??_-;_-@_-"/>
    <numFmt numFmtId="165" formatCode="_-* #,##0.00_-;\-* #,##0.00_-;_-* &quot;-&quot;??_-;_-@_-"/>
    <numFmt numFmtId="166" formatCode="&quot;$&quot;#,##0_);[Red]\(&quot;$&quot;#,##0\)"/>
    <numFmt numFmtId="167" formatCode="&quot;$&quot;#,##0.00_);[Red]\(&quot;$&quot;#,##0.00\)"/>
    <numFmt numFmtId="168" formatCode="_(&quot;$&quot;* #,##0.00_);_(&quot;$&quot;* \(#,##0.00\);_(&quot;$&quot;* &quot;-&quot;??_);_(@_)"/>
    <numFmt numFmtId="169" formatCode="_(&quot;$&quot;* #,##0_);_(&quot;$&quot;* \(#,##0\);_(&quot;$&quot;* &quot;-&quot;??_);_(@_)"/>
    <numFmt numFmtId="170" formatCode="0.000"/>
    <numFmt numFmtId="171" formatCode="0.0000"/>
    <numFmt numFmtId="172" formatCode="0.0%"/>
    <numFmt numFmtId="173" formatCode="_([$$-409]* #,##0_);_([$$-409]* \(#,##0\);_([$$-409]* &quot;-&quot;??_);_(@_)"/>
    <numFmt numFmtId="174" formatCode="_(* #,##0.0000_);_(* \(#,##0.0000\);_(* &quot;-&quot;??_);_(@_)"/>
    <numFmt numFmtId="175" formatCode="_(* #,##0_);_(* \(#,##0\);_(* &quot;-&quot;??_);_(@_)"/>
    <numFmt numFmtId="176" formatCode="_(* #,##0.0_);_(* \(#,##0.0\);_(* &quot;-&quot;??_);_(@_)"/>
    <numFmt numFmtId="177" formatCode="0.0"/>
    <numFmt numFmtId="178" formatCode="0.000%"/>
    <numFmt numFmtId="179" formatCode="_(* #,##0.000_);_(* \(#,##0.000\);_(* &quot;-&quot;??_);_(@_)"/>
    <numFmt numFmtId="180" formatCode="_(* #,##0_);_(* \(#,##0\);_(* &quot;-&quot;?_);_(@_)"/>
    <numFmt numFmtId="181" formatCode="_-&quot;$&quot;* #,##0_-;\-&quot;$&quot;* #,##0_-;_-&quot;$&quot;* &quot;-&quot;??_-;_-@_-"/>
  </numFmts>
  <fonts count="4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2"/>
      <color theme="1"/>
      <name val="Garamond"/>
      <family val="1"/>
    </font>
    <font>
      <sz val="12"/>
      <color rgb="FF000000"/>
      <name val="Garamond"/>
      <family val="1"/>
    </font>
    <font>
      <b/>
      <sz val="12"/>
      <color rgb="FFFFFFFF"/>
      <name val="Garamond"/>
      <family val="1"/>
    </font>
    <font>
      <b/>
      <sz val="14"/>
      <color theme="1"/>
      <name val="Calibri"/>
      <family val="2"/>
      <scheme val="minor"/>
    </font>
    <font>
      <sz val="17"/>
      <color rgb="FF000000"/>
      <name val="Garamond"/>
      <family val="1"/>
    </font>
    <font>
      <i/>
      <sz val="17"/>
      <color rgb="FF000000"/>
      <name val="Garamond"/>
      <family val="1"/>
    </font>
    <font>
      <i/>
      <sz val="21.8"/>
      <color rgb="FF000000"/>
      <name val="Garamond"/>
      <family val="1"/>
    </font>
    <font>
      <sz val="21.8"/>
      <color rgb="FF000000"/>
      <name val="Garamond"/>
      <family val="1"/>
    </font>
    <font>
      <b/>
      <sz val="12"/>
      <color rgb="FFFF0000"/>
      <name val="Garamond"/>
      <family val="1"/>
    </font>
    <font>
      <b/>
      <sz val="11"/>
      <color rgb="FFFF0000"/>
      <name val="Calibri"/>
      <family val="2"/>
      <scheme val="minor"/>
    </font>
    <font>
      <b/>
      <sz val="12"/>
      <name val="Garamond"/>
      <family val="1"/>
    </font>
    <font>
      <sz val="12"/>
      <name val="Garamond"/>
      <family val="1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2"/>
      <color rgb="FF000000"/>
      <name val="Times New Roman"/>
      <family val="1"/>
    </font>
    <font>
      <b/>
      <sz val="12"/>
      <color theme="1"/>
      <name val="Garamond"/>
      <family val="1"/>
    </font>
    <font>
      <vertAlign val="subscript"/>
      <sz val="12"/>
      <color rgb="FF000000"/>
      <name val="Garamond"/>
      <family val="1"/>
    </font>
    <font>
      <i/>
      <sz val="12"/>
      <color rgb="FF000000"/>
      <name val="Garamond"/>
      <family val="1"/>
    </font>
    <font>
      <b/>
      <sz val="12"/>
      <color rgb="FF000000"/>
      <name val="Garamond"/>
      <family val="1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7030A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b/>
      <sz val="12"/>
      <color theme="0"/>
      <name val="Garamond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rgb="FF7030A0"/>
      <name val="Calibri"/>
      <family val="2"/>
      <scheme val="minor"/>
    </font>
    <font>
      <sz val="31"/>
      <color rgb="FF000000"/>
      <name val="Garamond"/>
      <family val="1"/>
    </font>
    <font>
      <vertAlign val="subscript"/>
      <sz val="31"/>
      <color rgb="FF000000"/>
      <name val="Garamond"/>
      <family val="1"/>
    </font>
    <font>
      <vertAlign val="superscript"/>
      <sz val="31"/>
      <color rgb="FF000000"/>
      <name val="Garamond"/>
      <family val="1"/>
    </font>
    <font>
      <sz val="11"/>
      <color rgb="FF0168B3"/>
      <name val="Arial"/>
      <family val="2"/>
    </font>
    <font>
      <sz val="11"/>
      <color rgb="FF000000"/>
      <name val="Garamond"/>
      <family val="1"/>
    </font>
    <font>
      <sz val="11"/>
      <color rgb="FF0070C0"/>
      <name val="Calibri"/>
      <family val="2"/>
      <scheme val="minor"/>
    </font>
    <font>
      <sz val="11"/>
      <color rgb="FF0070C0"/>
      <name val="Sitka Text"/>
    </font>
    <font>
      <b/>
      <sz val="10"/>
      <color rgb="FF0070C0"/>
      <name val="Sitka Text"/>
    </font>
    <font>
      <sz val="18"/>
      <color theme="1"/>
      <name val="Calibri"/>
      <family val="2"/>
      <scheme val="minor"/>
    </font>
    <font>
      <b/>
      <sz val="12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22">
    <border>
      <left/>
      <right/>
      <top/>
      <bottom/>
      <diagonal/>
    </border>
    <border>
      <left/>
      <right style="medium">
        <color rgb="FFFFFFFF"/>
      </right>
      <top/>
      <bottom style="medium">
        <color rgb="FFFFFFFF"/>
      </bottom>
      <diagonal/>
    </border>
    <border>
      <left/>
      <right style="medium">
        <color rgb="FFFFFFFF"/>
      </right>
      <top/>
      <bottom style="thick">
        <color rgb="FFFFFFFF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327">
    <xf numFmtId="0" fontId="0" fillId="0" borderId="0" xfId="0"/>
    <xf numFmtId="169" fontId="0" fillId="0" borderId="0" xfId="1" applyNumberFormat="1" applyFont="1"/>
    <xf numFmtId="9" fontId="0" fillId="0" borderId="0" xfId="2" applyFont="1"/>
    <xf numFmtId="0" fontId="0" fillId="0" borderId="0" xfId="0" applyAlignment="1">
      <alignment horizontal="center"/>
    </xf>
    <xf numFmtId="9" fontId="0" fillId="0" borderId="0" xfId="0" applyNumberFormat="1"/>
    <xf numFmtId="166" fontId="0" fillId="0" borderId="0" xfId="0" applyNumberFormat="1"/>
    <xf numFmtId="0" fontId="3" fillId="0" borderId="0" xfId="0" applyFont="1"/>
    <xf numFmtId="0" fontId="0" fillId="0" borderId="0" xfId="0" quotePrefix="1"/>
    <xf numFmtId="169" fontId="0" fillId="0" borderId="0" xfId="0" applyNumberFormat="1"/>
    <xf numFmtId="1" fontId="0" fillId="0" borderId="0" xfId="0" applyNumberFormat="1"/>
    <xf numFmtId="169" fontId="2" fillId="0" borderId="0" xfId="0" applyNumberFormat="1" applyFont="1"/>
    <xf numFmtId="169" fontId="2" fillId="0" borderId="0" xfId="1" applyNumberFormat="1" applyFont="1"/>
    <xf numFmtId="0" fontId="4" fillId="0" borderId="0" xfId="0" applyFont="1"/>
    <xf numFmtId="0" fontId="5" fillId="0" borderId="0" xfId="0" applyFont="1"/>
    <xf numFmtId="170" fontId="5" fillId="0" borderId="0" xfId="0" applyNumberFormat="1" applyFont="1"/>
    <xf numFmtId="169" fontId="5" fillId="0" borderId="0" xfId="1" applyNumberFormat="1" applyFont="1"/>
    <xf numFmtId="171" fontId="0" fillId="0" borderId="0" xfId="0" applyNumberFormat="1"/>
    <xf numFmtId="0" fontId="0" fillId="2" borderId="0" xfId="0" applyFill="1"/>
    <xf numFmtId="169" fontId="2" fillId="2" borderId="0" xfId="0" applyNumberFormat="1" applyFont="1" applyFill="1"/>
    <xf numFmtId="0" fontId="0" fillId="2" borderId="0" xfId="0" quotePrefix="1" applyFill="1"/>
    <xf numFmtId="169" fontId="0" fillId="2" borderId="0" xfId="0" applyNumberFormat="1" applyFill="1"/>
    <xf numFmtId="169" fontId="0" fillId="2" borderId="0" xfId="1" applyNumberFormat="1" applyFont="1" applyFill="1"/>
    <xf numFmtId="3" fontId="6" fillId="3" borderId="1" xfId="0" applyNumberFormat="1" applyFont="1" applyFill="1" applyBorder="1" applyAlignment="1">
      <alignment vertical="center" wrapText="1"/>
    </xf>
    <xf numFmtId="3" fontId="6" fillId="4" borderId="1" xfId="0" applyNumberFormat="1" applyFont="1" applyFill="1" applyBorder="1" applyAlignment="1">
      <alignment vertical="center"/>
    </xf>
    <xf numFmtId="43" fontId="0" fillId="0" borderId="0" xfId="3" applyFont="1"/>
    <xf numFmtId="3" fontId="6" fillId="5" borderId="1" xfId="0" applyNumberFormat="1" applyFont="1" applyFill="1" applyBorder="1" applyAlignment="1">
      <alignment vertical="center"/>
    </xf>
    <xf numFmtId="3" fontId="6" fillId="3" borderId="1" xfId="0" applyNumberFormat="1" applyFont="1" applyFill="1" applyBorder="1" applyAlignment="1">
      <alignment vertical="center"/>
    </xf>
    <xf numFmtId="170" fontId="0" fillId="0" borderId="0" xfId="0" applyNumberFormat="1"/>
    <xf numFmtId="3" fontId="6" fillId="5" borderId="1" xfId="0" applyNumberFormat="1" applyFont="1" applyFill="1" applyBorder="1" applyAlignment="1">
      <alignment vertical="center" wrapText="1"/>
    </xf>
    <xf numFmtId="0" fontId="6" fillId="3" borderId="1" xfId="0" applyFont="1" applyFill="1" applyBorder="1" applyAlignment="1">
      <alignment vertical="center"/>
    </xf>
    <xf numFmtId="3" fontId="6" fillId="4" borderId="2" xfId="0" applyNumberFormat="1" applyFont="1" applyFill="1" applyBorder="1" applyAlignment="1">
      <alignment vertical="center" wrapText="1"/>
    </xf>
    <xf numFmtId="3" fontId="6" fillId="5" borderId="2" xfId="0" applyNumberFormat="1" applyFont="1" applyFill="1" applyBorder="1" applyAlignment="1">
      <alignment vertical="center"/>
    </xf>
    <xf numFmtId="3" fontId="6" fillId="4" borderId="2" xfId="0" applyNumberFormat="1" applyFont="1" applyFill="1" applyBorder="1" applyAlignment="1">
      <alignment vertical="center"/>
    </xf>
    <xf numFmtId="0" fontId="6" fillId="4" borderId="2" xfId="0" applyFont="1" applyFill="1" applyBorder="1" applyAlignment="1">
      <alignment vertical="center"/>
    </xf>
    <xf numFmtId="3" fontId="6" fillId="4" borderId="1" xfId="0" applyNumberFormat="1" applyFont="1" applyFill="1" applyBorder="1" applyAlignment="1">
      <alignment vertical="center" wrapText="1"/>
    </xf>
    <xf numFmtId="0" fontId="6" fillId="4" borderId="1" xfId="0" applyFont="1" applyFill="1" applyBorder="1" applyAlignment="1">
      <alignment vertical="center"/>
    </xf>
    <xf numFmtId="166" fontId="6" fillId="3" borderId="1" xfId="0" applyNumberFormat="1" applyFont="1" applyFill="1" applyBorder="1" applyAlignment="1">
      <alignment vertical="center" wrapText="1"/>
    </xf>
    <xf numFmtId="166" fontId="6" fillId="5" borderId="1" xfId="0" applyNumberFormat="1" applyFont="1" applyFill="1" applyBorder="1" applyAlignment="1">
      <alignment vertical="center" wrapText="1"/>
    </xf>
    <xf numFmtId="0" fontId="7" fillId="4" borderId="1" xfId="0" applyFont="1" applyFill="1" applyBorder="1" applyAlignment="1">
      <alignment vertical="center" wrapText="1"/>
    </xf>
    <xf numFmtId="166" fontId="6" fillId="4" borderId="1" xfId="0" applyNumberFormat="1" applyFont="1" applyFill="1" applyBorder="1" applyAlignment="1">
      <alignment vertical="center"/>
    </xf>
    <xf numFmtId="0" fontId="8" fillId="6" borderId="2" xfId="0" applyFont="1" applyFill="1" applyBorder="1" applyAlignment="1">
      <alignment vertical="center" wrapText="1"/>
    </xf>
    <xf numFmtId="0" fontId="8" fillId="6" borderId="0" xfId="0" applyFont="1" applyFill="1" applyAlignment="1">
      <alignment vertical="center" wrapText="1"/>
    </xf>
    <xf numFmtId="0" fontId="8" fillId="6" borderId="2" xfId="0" applyFont="1" applyFill="1" applyBorder="1" applyAlignment="1">
      <alignment vertical="center"/>
    </xf>
    <xf numFmtId="166" fontId="6" fillId="3" borderId="1" xfId="0" applyNumberFormat="1" applyFont="1" applyFill="1" applyBorder="1" applyAlignment="1">
      <alignment vertical="center"/>
    </xf>
    <xf numFmtId="0" fontId="6" fillId="3" borderId="0" xfId="0" applyFont="1" applyFill="1" applyAlignment="1">
      <alignment vertical="center"/>
    </xf>
    <xf numFmtId="3" fontId="6" fillId="4" borderId="0" xfId="0" applyNumberFormat="1" applyFont="1" applyFill="1" applyAlignment="1">
      <alignment vertical="center"/>
    </xf>
    <xf numFmtId="0" fontId="9" fillId="0" borderId="0" xfId="0" applyFont="1"/>
    <xf numFmtId="0" fontId="0" fillId="5" borderId="0" xfId="0" applyFill="1"/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10" fillId="0" borderId="0" xfId="0" applyFont="1" applyAlignment="1">
      <alignment horizontal="left" vertical="center" indent="11" readingOrder="1"/>
    </xf>
    <xf numFmtId="0" fontId="12" fillId="0" borderId="0" xfId="0" applyFont="1"/>
    <xf numFmtId="172" fontId="0" fillId="0" borderId="0" xfId="2" applyNumberFormat="1" applyFont="1"/>
    <xf numFmtId="169" fontId="6" fillId="3" borderId="1" xfId="1" applyNumberFormat="1" applyFont="1" applyFill="1" applyBorder="1" applyAlignment="1">
      <alignment vertical="center"/>
    </xf>
    <xf numFmtId="3" fontId="14" fillId="3" borderId="1" xfId="0" applyNumberFormat="1" applyFont="1" applyFill="1" applyBorder="1" applyAlignment="1">
      <alignment vertical="center"/>
    </xf>
    <xf numFmtId="0" fontId="2" fillId="0" borderId="0" xfId="0" applyFont="1"/>
    <xf numFmtId="0" fontId="15" fillId="0" borderId="0" xfId="0" applyFont="1"/>
    <xf numFmtId="0" fontId="0" fillId="0" borderId="0" xfId="0" applyAlignment="1">
      <alignment vertical="top"/>
    </xf>
    <xf numFmtId="3" fontId="0" fillId="0" borderId="0" xfId="0" applyNumberFormat="1"/>
    <xf numFmtId="169" fontId="17" fillId="3" borderId="1" xfId="1" applyNumberFormat="1" applyFont="1" applyFill="1" applyBorder="1" applyAlignment="1">
      <alignment vertical="center"/>
    </xf>
    <xf numFmtId="169" fontId="6" fillId="4" borderId="1" xfId="1" applyNumberFormat="1" applyFont="1" applyFill="1" applyBorder="1" applyAlignment="1">
      <alignment vertical="center"/>
    </xf>
    <xf numFmtId="0" fontId="18" fillId="0" borderId="0" xfId="0" applyFont="1"/>
    <xf numFmtId="167" fontId="6" fillId="3" borderId="1" xfId="0" applyNumberFormat="1" applyFont="1" applyFill="1" applyBorder="1" applyAlignment="1">
      <alignment vertical="center"/>
    </xf>
    <xf numFmtId="167" fontId="0" fillId="0" borderId="0" xfId="0" applyNumberFormat="1"/>
    <xf numFmtId="0" fontId="19" fillId="0" borderId="0" xfId="0" applyFont="1"/>
    <xf numFmtId="4" fontId="6" fillId="4" borderId="0" xfId="0" applyNumberFormat="1" applyFont="1" applyFill="1" applyAlignment="1">
      <alignment vertical="center"/>
    </xf>
    <xf numFmtId="168" fontId="6" fillId="3" borderId="1" xfId="1" applyFont="1" applyFill="1" applyBorder="1" applyAlignment="1">
      <alignment vertical="center"/>
    </xf>
    <xf numFmtId="4" fontId="6" fillId="4" borderId="1" xfId="0" applyNumberFormat="1" applyFont="1" applyFill="1" applyBorder="1" applyAlignment="1">
      <alignment vertical="center"/>
    </xf>
    <xf numFmtId="4" fontId="6" fillId="3" borderId="1" xfId="0" applyNumberFormat="1" applyFont="1" applyFill="1" applyBorder="1" applyAlignment="1">
      <alignment vertical="center"/>
    </xf>
    <xf numFmtId="0" fontId="6" fillId="3" borderId="1" xfId="0" applyFont="1" applyFill="1" applyBorder="1" applyAlignment="1">
      <alignment vertical="center" wrapText="1"/>
    </xf>
    <xf numFmtId="168" fontId="0" fillId="0" borderId="0" xfId="1" applyFont="1"/>
    <xf numFmtId="166" fontId="6" fillId="5" borderId="0" xfId="0" applyNumberFormat="1" applyFont="1" applyFill="1" applyAlignment="1">
      <alignment vertical="center" wrapText="1"/>
    </xf>
    <xf numFmtId="0" fontId="8" fillId="7" borderId="0" xfId="0" applyFont="1" applyFill="1" applyAlignment="1">
      <alignment vertical="center" wrapText="1"/>
    </xf>
    <xf numFmtId="166" fontId="6" fillId="3" borderId="0" xfId="0" applyNumberFormat="1" applyFont="1" applyFill="1" applyAlignment="1">
      <alignment vertical="center"/>
    </xf>
    <xf numFmtId="0" fontId="8" fillId="7" borderId="2" xfId="0" applyFont="1" applyFill="1" applyBorder="1" applyAlignment="1">
      <alignment vertical="center" wrapText="1"/>
    </xf>
    <xf numFmtId="172" fontId="0" fillId="0" borderId="0" xfId="0" applyNumberFormat="1"/>
    <xf numFmtId="9" fontId="2" fillId="0" borderId="0" xfId="0" applyNumberFormat="1" applyFont="1"/>
    <xf numFmtId="166" fontId="2" fillId="0" borderId="0" xfId="0" applyNumberFormat="1" applyFont="1"/>
    <xf numFmtId="169" fontId="3" fillId="0" borderId="0" xfId="0" applyNumberFormat="1" applyFont="1"/>
    <xf numFmtId="0" fontId="0" fillId="0" borderId="0" xfId="0" applyAlignment="1">
      <alignment horizontal="right"/>
    </xf>
    <xf numFmtId="0" fontId="0" fillId="0" borderId="5" xfId="0" applyBorder="1" applyAlignment="1">
      <alignment horizontal="right"/>
    </xf>
    <xf numFmtId="0" fontId="0" fillId="0" borderId="5" xfId="0" applyBorder="1"/>
    <xf numFmtId="0" fontId="0" fillId="0" borderId="5" xfId="0" applyBorder="1" applyAlignment="1">
      <alignment wrapText="1"/>
    </xf>
    <xf numFmtId="168" fontId="0" fillId="0" borderId="0" xfId="0" applyNumberFormat="1"/>
    <xf numFmtId="0" fontId="19" fillId="2" borderId="0" xfId="0" quotePrefix="1" applyFont="1" applyFill="1"/>
    <xf numFmtId="169" fontId="19" fillId="0" borderId="0" xfId="0" applyNumberFormat="1" applyFont="1"/>
    <xf numFmtId="1" fontId="20" fillId="8" borderId="0" xfId="0" applyNumberFormat="1" applyFont="1" applyFill="1"/>
    <xf numFmtId="169" fontId="20" fillId="8" borderId="0" xfId="0" applyNumberFormat="1" applyFont="1" applyFill="1"/>
    <xf numFmtId="166" fontId="20" fillId="8" borderId="0" xfId="0" applyNumberFormat="1" applyFont="1" applyFill="1"/>
    <xf numFmtId="169" fontId="0" fillId="9" borderId="0" xfId="1" applyNumberFormat="1" applyFont="1" applyFill="1"/>
    <xf numFmtId="9" fontId="0" fillId="9" borderId="0" xfId="0" applyNumberFormat="1" applyFill="1"/>
    <xf numFmtId="169" fontId="0" fillId="10" borderId="0" xfId="0" applyNumberFormat="1" applyFill="1"/>
    <xf numFmtId="0" fontId="0" fillId="0" borderId="0" xfId="0" applyAlignment="1">
      <alignment wrapText="1"/>
    </xf>
    <xf numFmtId="169" fontId="21" fillId="0" borderId="0" xfId="1" applyNumberFormat="1" applyFont="1"/>
    <xf numFmtId="0" fontId="0" fillId="0" borderId="8" xfId="0" applyBorder="1"/>
    <xf numFmtId="0" fontId="0" fillId="0" borderId="9" xfId="0" applyBorder="1"/>
    <xf numFmtId="0" fontId="0" fillId="0" borderId="10" xfId="0" applyBorder="1"/>
    <xf numFmtId="169" fontId="0" fillId="0" borderId="0" xfId="1" applyNumberFormat="1" applyFont="1" applyBorder="1"/>
    <xf numFmtId="0" fontId="5" fillId="0" borderId="10" xfId="0" applyFont="1" applyBorder="1"/>
    <xf numFmtId="169" fontId="5" fillId="0" borderId="0" xfId="1" applyNumberFormat="1" applyFont="1" applyBorder="1"/>
    <xf numFmtId="0" fontId="0" fillId="0" borderId="4" xfId="0" applyBorder="1"/>
    <xf numFmtId="0" fontId="3" fillId="0" borderId="8" xfId="0" applyFont="1" applyBorder="1"/>
    <xf numFmtId="166" fontId="0" fillId="0" borderId="5" xfId="0" applyNumberFormat="1" applyBorder="1"/>
    <xf numFmtId="166" fontId="0" fillId="0" borderId="9" xfId="0" applyNumberFormat="1" applyBorder="1"/>
    <xf numFmtId="0" fontId="3" fillId="0" borderId="10" xfId="0" applyFont="1" applyBorder="1"/>
    <xf numFmtId="169" fontId="0" fillId="0" borderId="7" xfId="1" applyNumberFormat="1" applyFont="1" applyBorder="1"/>
    <xf numFmtId="0" fontId="0" fillId="0" borderId="10" xfId="0" quotePrefix="1" applyBorder="1"/>
    <xf numFmtId="0" fontId="0" fillId="2" borderId="10" xfId="0" quotePrefix="1" applyFill="1" applyBorder="1"/>
    <xf numFmtId="169" fontId="0" fillId="2" borderId="0" xfId="1" applyNumberFormat="1" applyFont="1" applyFill="1" applyBorder="1"/>
    <xf numFmtId="169" fontId="0" fillId="2" borderId="7" xfId="1" applyNumberFormat="1" applyFont="1" applyFill="1" applyBorder="1"/>
    <xf numFmtId="0" fontId="2" fillId="2" borderId="10" xfId="0" quotePrefix="1" applyFont="1" applyFill="1" applyBorder="1"/>
    <xf numFmtId="169" fontId="2" fillId="2" borderId="7" xfId="0" applyNumberFormat="1" applyFont="1" applyFill="1" applyBorder="1"/>
    <xf numFmtId="169" fontId="2" fillId="0" borderId="7" xfId="0" applyNumberFormat="1" applyFont="1" applyBorder="1"/>
    <xf numFmtId="169" fontId="0" fillId="0" borderId="7" xfId="0" applyNumberFormat="1" applyBorder="1"/>
    <xf numFmtId="169" fontId="0" fillId="2" borderId="7" xfId="0" applyNumberFormat="1" applyFill="1" applyBorder="1"/>
    <xf numFmtId="0" fontId="0" fillId="0" borderId="4" xfId="0" quotePrefix="1" applyBorder="1"/>
    <xf numFmtId="169" fontId="0" fillId="0" borderId="5" xfId="0" applyNumberFormat="1" applyBorder="1"/>
    <xf numFmtId="169" fontId="0" fillId="0" borderId="3" xfId="0" applyNumberFormat="1" applyBorder="1"/>
    <xf numFmtId="169" fontId="2" fillId="0" borderId="7" xfId="1" applyNumberFormat="1" applyFont="1" applyBorder="1"/>
    <xf numFmtId="9" fontId="0" fillId="0" borderId="5" xfId="0" applyNumberFormat="1" applyBorder="1"/>
    <xf numFmtId="0" fontId="22" fillId="0" borderId="10" xfId="0" applyFont="1" applyBorder="1"/>
    <xf numFmtId="0" fontId="22" fillId="0" borderId="0" xfId="0" applyFont="1"/>
    <xf numFmtId="0" fontId="22" fillId="0" borderId="7" xfId="0" applyFont="1" applyBorder="1"/>
    <xf numFmtId="0" fontId="23" fillId="0" borderId="10" xfId="0" applyFont="1" applyBorder="1"/>
    <xf numFmtId="0" fontId="22" fillId="0" borderId="5" xfId="0" applyFont="1" applyBorder="1"/>
    <xf numFmtId="0" fontId="22" fillId="0" borderId="3" xfId="0" applyFont="1" applyBorder="1"/>
    <xf numFmtId="169" fontId="5" fillId="0" borderId="0" xfId="0" applyNumberFormat="1" applyFont="1"/>
    <xf numFmtId="171" fontId="5" fillId="0" borderId="0" xfId="0" applyNumberFormat="1" applyFont="1"/>
    <xf numFmtId="0" fontId="5" fillId="0" borderId="4" xfId="0" applyFont="1" applyBorder="1"/>
    <xf numFmtId="0" fontId="5" fillId="0" borderId="5" xfId="0" applyFont="1" applyBorder="1"/>
    <xf numFmtId="9" fontId="0" fillId="9" borderId="7" xfId="0" applyNumberFormat="1" applyFill="1" applyBorder="1"/>
    <xf numFmtId="0" fontId="0" fillId="9" borderId="7" xfId="0" applyFill="1" applyBorder="1"/>
    <xf numFmtId="9" fontId="0" fillId="9" borderId="3" xfId="0" applyNumberFormat="1" applyFill="1" applyBorder="1"/>
    <xf numFmtId="0" fontId="24" fillId="0" borderId="0" xfId="0" applyFont="1" applyAlignment="1">
      <alignment horizontal="left" vertical="center" readingOrder="1"/>
    </xf>
    <xf numFmtId="0" fontId="8" fillId="11" borderId="0" xfId="0" applyFont="1" applyFill="1" applyAlignment="1">
      <alignment vertical="center" wrapText="1"/>
    </xf>
    <xf numFmtId="0" fontId="6" fillId="9" borderId="1" xfId="0" applyFont="1" applyFill="1" applyBorder="1" applyAlignment="1">
      <alignment vertical="center"/>
    </xf>
    <xf numFmtId="3" fontId="6" fillId="9" borderId="1" xfId="0" applyNumberFormat="1" applyFont="1" applyFill="1" applyBorder="1" applyAlignment="1">
      <alignment vertical="center"/>
    </xf>
    <xf numFmtId="169" fontId="25" fillId="3" borderId="1" xfId="1" applyNumberFormat="1" applyFont="1" applyFill="1" applyBorder="1" applyAlignment="1">
      <alignment vertical="center"/>
    </xf>
    <xf numFmtId="0" fontId="7" fillId="0" borderId="0" xfId="0" applyFont="1" applyAlignment="1">
      <alignment horizontal="left" vertical="center" readingOrder="1"/>
    </xf>
    <xf numFmtId="0" fontId="28" fillId="0" borderId="0" xfId="0" applyFont="1" applyAlignment="1">
      <alignment horizontal="left" vertical="center" readingOrder="1"/>
    </xf>
    <xf numFmtId="173" fontId="0" fillId="0" borderId="0" xfId="0" applyNumberFormat="1"/>
    <xf numFmtId="174" fontId="0" fillId="0" borderId="0" xfId="3" applyNumberFormat="1" applyFont="1"/>
    <xf numFmtId="166" fontId="0" fillId="9" borderId="0" xfId="0" applyNumberFormat="1" applyFill="1"/>
    <xf numFmtId="9" fontId="0" fillId="9" borderId="0" xfId="2" applyFont="1" applyFill="1"/>
    <xf numFmtId="0" fontId="0" fillId="9" borderId="0" xfId="0" applyFill="1"/>
    <xf numFmtId="175" fontId="6" fillId="3" borderId="1" xfId="3" applyNumberFormat="1" applyFont="1" applyFill="1" applyBorder="1" applyAlignment="1">
      <alignment vertical="center"/>
    </xf>
    <xf numFmtId="175" fontId="6" fillId="4" borderId="0" xfId="3" applyNumberFormat="1" applyFont="1" applyFill="1" applyBorder="1" applyAlignment="1">
      <alignment vertical="center"/>
    </xf>
    <xf numFmtId="175" fontId="0" fillId="0" borderId="0" xfId="0" applyNumberFormat="1"/>
    <xf numFmtId="166" fontId="6" fillId="13" borderId="1" xfId="0" applyNumberFormat="1" applyFont="1" applyFill="1" applyBorder="1" applyAlignment="1">
      <alignment vertical="center"/>
    </xf>
    <xf numFmtId="0" fontId="29" fillId="12" borderId="0" xfId="0" applyFont="1" applyFill="1"/>
    <xf numFmtId="0" fontId="8" fillId="0" borderId="0" xfId="0" applyFont="1" applyAlignment="1">
      <alignment vertical="center" wrapText="1"/>
    </xf>
    <xf numFmtId="166" fontId="17" fillId="3" borderId="1" xfId="0" applyNumberFormat="1" applyFont="1" applyFill="1" applyBorder="1" applyAlignment="1">
      <alignment vertical="center"/>
    </xf>
    <xf numFmtId="175" fontId="16" fillId="4" borderId="0" xfId="3" applyNumberFormat="1" applyFont="1" applyFill="1" applyBorder="1" applyAlignment="1">
      <alignment vertical="center"/>
    </xf>
    <xf numFmtId="0" fontId="29" fillId="12" borderId="0" xfId="0" applyFont="1" applyFill="1" applyAlignment="1">
      <alignment vertical="top"/>
    </xf>
    <xf numFmtId="169" fontId="0" fillId="9" borderId="6" xfId="1" applyNumberFormat="1" applyFont="1" applyFill="1" applyBorder="1"/>
    <xf numFmtId="169" fontId="0" fillId="9" borderId="7" xfId="1" applyNumberFormat="1" applyFont="1" applyFill="1" applyBorder="1"/>
    <xf numFmtId="0" fontId="30" fillId="0" borderId="0" xfId="0" applyFont="1"/>
    <xf numFmtId="169" fontId="0" fillId="0" borderId="5" xfId="1" applyNumberFormat="1" applyFont="1" applyBorder="1"/>
    <xf numFmtId="0" fontId="31" fillId="0" borderId="0" xfId="0" applyFont="1"/>
    <xf numFmtId="169" fontId="31" fillId="0" borderId="0" xfId="0" applyNumberFormat="1" applyFont="1"/>
    <xf numFmtId="169" fontId="31" fillId="0" borderId="7" xfId="1" applyNumberFormat="1" applyFont="1" applyBorder="1"/>
    <xf numFmtId="0" fontId="32" fillId="0" borderId="0" xfId="0" applyFont="1"/>
    <xf numFmtId="169" fontId="32" fillId="0" borderId="0" xfId="0" applyNumberFormat="1" applyFont="1"/>
    <xf numFmtId="0" fontId="32" fillId="0" borderId="10" xfId="0" quotePrefix="1" applyFont="1" applyBorder="1"/>
    <xf numFmtId="169" fontId="32" fillId="0" borderId="7" xfId="0" applyNumberFormat="1" applyFont="1" applyBorder="1"/>
    <xf numFmtId="0" fontId="33" fillId="0" borderId="4" xfId="0" applyFont="1" applyBorder="1"/>
    <xf numFmtId="0" fontId="32" fillId="0" borderId="5" xfId="0" applyFont="1" applyBorder="1"/>
    <xf numFmtId="169" fontId="32" fillId="0" borderId="5" xfId="0" applyNumberFormat="1" applyFont="1" applyBorder="1"/>
    <xf numFmtId="169" fontId="32" fillId="0" borderId="3" xfId="0" applyNumberFormat="1" applyFont="1" applyBorder="1"/>
    <xf numFmtId="166" fontId="0" fillId="0" borderId="7" xfId="0" applyNumberFormat="1" applyBorder="1"/>
    <xf numFmtId="0" fontId="20" fillId="11" borderId="0" xfId="0" applyFont="1" applyFill="1"/>
    <xf numFmtId="0" fontId="0" fillId="5" borderId="10" xfId="0" applyFill="1" applyBorder="1"/>
    <xf numFmtId="169" fontId="0" fillId="5" borderId="0" xfId="0" applyNumberFormat="1" applyFill="1"/>
    <xf numFmtId="169" fontId="0" fillId="5" borderId="7" xfId="0" applyNumberFormat="1" applyFill="1" applyBorder="1"/>
    <xf numFmtId="169" fontId="19" fillId="0" borderId="7" xfId="1" applyNumberFormat="1" applyFont="1" applyBorder="1"/>
    <xf numFmtId="0" fontId="31" fillId="0" borderId="10" xfId="0" applyFont="1" applyBorder="1"/>
    <xf numFmtId="169" fontId="31" fillId="0" borderId="7" xfId="0" applyNumberFormat="1" applyFont="1" applyBorder="1"/>
    <xf numFmtId="166" fontId="0" fillId="0" borderId="3" xfId="0" applyNumberFormat="1" applyBorder="1"/>
    <xf numFmtId="169" fontId="0" fillId="0" borderId="9" xfId="0" applyNumberFormat="1" applyBorder="1"/>
    <xf numFmtId="169" fontId="0" fillId="0" borderId="6" xfId="0" applyNumberFormat="1" applyBorder="1"/>
    <xf numFmtId="169" fontId="5" fillId="0" borderId="5" xfId="1" applyNumberFormat="1" applyFont="1" applyBorder="1"/>
    <xf numFmtId="0" fontId="34" fillId="0" borderId="0" xfId="0" applyFont="1"/>
    <xf numFmtId="166" fontId="6" fillId="9" borderId="1" xfId="0" applyNumberFormat="1" applyFont="1" applyFill="1" applyBorder="1" applyAlignment="1">
      <alignment vertical="center"/>
    </xf>
    <xf numFmtId="3" fontId="35" fillId="11" borderId="1" xfId="0" applyNumberFormat="1" applyFont="1" applyFill="1" applyBorder="1" applyAlignment="1">
      <alignment vertical="center" wrapText="1"/>
    </xf>
    <xf numFmtId="43" fontId="6" fillId="3" borderId="1" xfId="3" applyFont="1" applyFill="1" applyBorder="1" applyAlignment="1">
      <alignment vertical="center"/>
    </xf>
    <xf numFmtId="43" fontId="6" fillId="4" borderId="1" xfId="3" applyFont="1" applyFill="1" applyBorder="1" applyAlignment="1">
      <alignment vertical="center"/>
    </xf>
    <xf numFmtId="43" fontId="6" fillId="4" borderId="2" xfId="3" applyFont="1" applyFill="1" applyBorder="1" applyAlignment="1">
      <alignment vertical="center"/>
    </xf>
    <xf numFmtId="173" fontId="6" fillId="9" borderId="1" xfId="0" applyNumberFormat="1" applyFont="1" applyFill="1" applyBorder="1" applyAlignment="1">
      <alignment vertical="center"/>
    </xf>
    <xf numFmtId="166" fontId="6" fillId="9" borderId="1" xfId="0" applyNumberFormat="1" applyFont="1" applyFill="1" applyBorder="1" applyAlignment="1">
      <alignment vertical="center" wrapText="1"/>
    </xf>
    <xf numFmtId="3" fontId="6" fillId="9" borderId="0" xfId="0" applyNumberFormat="1" applyFont="1" applyFill="1" applyAlignment="1">
      <alignment vertical="center"/>
    </xf>
    <xf numFmtId="175" fontId="6" fillId="4" borderId="1" xfId="3" applyNumberFormat="1" applyFont="1" applyFill="1" applyBorder="1" applyAlignment="1">
      <alignment vertical="center"/>
    </xf>
    <xf numFmtId="175" fontId="6" fillId="9" borderId="1" xfId="3" applyNumberFormat="1" applyFont="1" applyFill="1" applyBorder="1" applyAlignment="1">
      <alignment vertical="center"/>
    </xf>
    <xf numFmtId="0" fontId="14" fillId="6" borderId="2" xfId="0" applyFont="1" applyFill="1" applyBorder="1" applyAlignment="1">
      <alignment vertical="center" wrapText="1"/>
    </xf>
    <xf numFmtId="172" fontId="0" fillId="9" borderId="0" xfId="2" applyNumberFormat="1" applyFont="1" applyFill="1"/>
    <xf numFmtId="0" fontId="0" fillId="9" borderId="0" xfId="0" applyFill="1" applyAlignment="1">
      <alignment vertical="top"/>
    </xf>
    <xf numFmtId="166" fontId="6" fillId="9" borderId="0" xfId="0" applyNumberFormat="1" applyFont="1" applyFill="1" applyAlignment="1">
      <alignment vertical="center" wrapText="1"/>
    </xf>
    <xf numFmtId="169" fontId="6" fillId="9" borderId="1" xfId="1" applyNumberFormat="1" applyFont="1" applyFill="1" applyBorder="1" applyAlignment="1">
      <alignment vertical="center"/>
    </xf>
    <xf numFmtId="166" fontId="6" fillId="9" borderId="0" xfId="0" applyNumberFormat="1" applyFont="1" applyFill="1" applyAlignment="1">
      <alignment vertical="center"/>
    </xf>
    <xf numFmtId="169" fontId="6" fillId="13" borderId="1" xfId="0" applyNumberFormat="1" applyFont="1" applyFill="1" applyBorder="1" applyAlignment="1">
      <alignment vertical="center"/>
    </xf>
    <xf numFmtId="0" fontId="38" fillId="0" borderId="5" xfId="0" applyFont="1" applyBorder="1"/>
    <xf numFmtId="0" fontId="39" fillId="0" borderId="0" xfId="0" applyFont="1" applyAlignment="1">
      <alignment horizontal="left" vertical="center" indent="4" readingOrder="1"/>
    </xf>
    <xf numFmtId="0" fontId="42" fillId="0" borderId="0" xfId="0" applyFont="1" applyAlignment="1">
      <alignment horizontal="left" vertical="center" indent="4" readingOrder="1"/>
    </xf>
    <xf numFmtId="0" fontId="3" fillId="0" borderId="0" xfId="0" applyFont="1" applyAlignment="1">
      <alignment vertical="top"/>
    </xf>
    <xf numFmtId="0" fontId="44" fillId="0" borderId="0" xfId="0" applyFont="1"/>
    <xf numFmtId="3" fontId="25" fillId="4" borderId="2" xfId="0" applyNumberFormat="1" applyFont="1" applyFill="1" applyBorder="1" applyAlignment="1">
      <alignment vertical="center"/>
    </xf>
    <xf numFmtId="3" fontId="17" fillId="3" borderId="1" xfId="0" applyNumberFormat="1" applyFont="1" applyFill="1" applyBorder="1" applyAlignment="1">
      <alignment vertical="center"/>
    </xf>
    <xf numFmtId="3" fontId="25" fillId="3" borderId="1" xfId="0" applyNumberFormat="1" applyFont="1" applyFill="1" applyBorder="1" applyAlignment="1">
      <alignment vertical="center"/>
    </xf>
    <xf numFmtId="0" fontId="0" fillId="0" borderId="0" xfId="0" applyAlignment="1">
      <alignment horizontal="left"/>
    </xf>
    <xf numFmtId="166" fontId="0" fillId="0" borderId="0" xfId="0" applyNumberFormat="1" applyAlignment="1">
      <alignment horizontal="center"/>
    </xf>
    <xf numFmtId="169" fontId="0" fillId="10" borderId="0" xfId="1" applyNumberFormat="1" applyFont="1" applyFill="1"/>
    <xf numFmtId="9" fontId="0" fillId="9" borderId="0" xfId="0" applyNumberFormat="1" applyFill="1" applyAlignment="1">
      <alignment horizontal="center"/>
    </xf>
    <xf numFmtId="2" fontId="0" fillId="0" borderId="0" xfId="0" applyNumberFormat="1"/>
    <xf numFmtId="176" fontId="0" fillId="0" borderId="0" xfId="3" applyNumberFormat="1" applyFont="1"/>
    <xf numFmtId="177" fontId="0" fillId="0" borderId="0" xfId="0" applyNumberFormat="1"/>
    <xf numFmtId="10" fontId="0" fillId="9" borderId="0" xfId="0" applyNumberFormat="1" applyFill="1"/>
    <xf numFmtId="172" fontId="0" fillId="9" borderId="0" xfId="0" applyNumberFormat="1" applyFill="1"/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169" fontId="0" fillId="0" borderId="0" xfId="1" applyNumberFormat="1" applyFont="1" applyFill="1" applyBorder="1"/>
    <xf numFmtId="172" fontId="3" fillId="0" borderId="0" xfId="2" applyNumberFormat="1" applyFont="1"/>
    <xf numFmtId="169" fontId="0" fillId="0" borderId="0" xfId="1" applyNumberFormat="1" applyFont="1" applyFill="1"/>
    <xf numFmtId="9" fontId="44" fillId="0" borderId="0" xfId="2" applyFont="1" applyAlignment="1">
      <alignment horizontal="center"/>
    </xf>
    <xf numFmtId="172" fontId="44" fillId="0" borderId="0" xfId="2" applyNumberFormat="1" applyFont="1" applyAlignment="1">
      <alignment horizontal="center"/>
    </xf>
    <xf numFmtId="169" fontId="0" fillId="0" borderId="0" xfId="1" applyNumberFormat="1" applyFont="1" applyAlignment="1">
      <alignment horizontal="center"/>
    </xf>
    <xf numFmtId="168" fontId="0" fillId="0" borderId="0" xfId="1" applyFont="1" applyAlignment="1">
      <alignment horizontal="center"/>
    </xf>
    <xf numFmtId="169" fontId="44" fillId="0" borderId="0" xfId="1" applyNumberFormat="1" applyFont="1" applyAlignment="1">
      <alignment horizontal="center"/>
    </xf>
    <xf numFmtId="0" fontId="44" fillId="0" borderId="0" xfId="0" applyFont="1" applyAlignment="1">
      <alignment horizontal="left"/>
    </xf>
    <xf numFmtId="169" fontId="0" fillId="0" borderId="0" xfId="0" applyNumberFormat="1" applyAlignment="1">
      <alignment horizontal="left"/>
    </xf>
    <xf numFmtId="0" fontId="44" fillId="0" borderId="5" xfId="0" applyFont="1" applyBorder="1" applyAlignment="1">
      <alignment horizontal="left"/>
    </xf>
    <xf numFmtId="0" fontId="0" fillId="0" borderId="5" xfId="0" applyBorder="1" applyAlignment="1">
      <alignment horizontal="left"/>
    </xf>
    <xf numFmtId="175" fontId="0" fillId="9" borderId="0" xfId="3" applyNumberFormat="1" applyFont="1" applyFill="1"/>
    <xf numFmtId="175" fontId="0" fillId="0" borderId="0" xfId="3" applyNumberFormat="1" applyFont="1" applyAlignment="1">
      <alignment horizontal="center"/>
    </xf>
    <xf numFmtId="175" fontId="0" fillId="0" borderId="0" xfId="3" applyNumberFormat="1" applyFont="1"/>
    <xf numFmtId="178" fontId="0" fillId="0" borderId="0" xfId="2" applyNumberFormat="1" applyFont="1"/>
    <xf numFmtId="10" fontId="0" fillId="0" borderId="0" xfId="2" applyNumberFormat="1" applyFont="1"/>
    <xf numFmtId="9" fontId="5" fillId="0" borderId="0" xfId="2" applyFont="1"/>
    <xf numFmtId="175" fontId="0" fillId="9" borderId="0" xfId="3" applyNumberFormat="1" applyFont="1" applyFill="1" applyAlignment="1">
      <alignment horizontal="center"/>
    </xf>
    <xf numFmtId="0" fontId="3" fillId="9" borderId="0" xfId="0" applyFont="1" applyFill="1"/>
    <xf numFmtId="175" fontId="0" fillId="10" borderId="0" xfId="3" applyNumberFormat="1" applyFont="1" applyFill="1" applyAlignment="1">
      <alignment horizontal="center"/>
    </xf>
    <xf numFmtId="43" fontId="0" fillId="0" borderId="0" xfId="0" applyNumberFormat="1"/>
    <xf numFmtId="175" fontId="0" fillId="9" borderId="0" xfId="0" applyNumberFormat="1" applyFill="1"/>
    <xf numFmtId="172" fontId="0" fillId="10" borderId="0" xfId="0" applyNumberFormat="1" applyFill="1"/>
    <xf numFmtId="175" fontId="0" fillId="0" borderId="0" xfId="3" applyNumberFormat="1" applyFont="1" applyFill="1"/>
    <xf numFmtId="168" fontId="0" fillId="9" borderId="0" xfId="1" applyFont="1" applyFill="1"/>
    <xf numFmtId="179" fontId="0" fillId="0" borderId="0" xfId="3" applyNumberFormat="1" applyFont="1"/>
    <xf numFmtId="16" fontId="0" fillId="0" borderId="0" xfId="0" applyNumberFormat="1"/>
    <xf numFmtId="16" fontId="3" fillId="0" borderId="0" xfId="0" applyNumberFormat="1" applyFont="1"/>
    <xf numFmtId="169" fontId="45" fillId="0" borderId="0" xfId="1" applyNumberFormat="1" applyFont="1" applyFill="1" applyBorder="1" applyAlignment="1">
      <alignment horizontal="left" vertical="center" wrapText="1" indent="2"/>
    </xf>
    <xf numFmtId="0" fontId="45" fillId="0" borderId="0" xfId="0" applyFont="1" applyAlignment="1">
      <alignment horizontal="left" vertical="center" indent="2"/>
    </xf>
    <xf numFmtId="170" fontId="45" fillId="0" borderId="0" xfId="0" applyNumberFormat="1" applyFont="1" applyAlignment="1">
      <alignment horizontal="left" vertical="center" wrapText="1" indent="2"/>
    </xf>
    <xf numFmtId="0" fontId="45" fillId="0" borderId="0" xfId="0" applyFont="1" applyAlignment="1">
      <alignment horizontal="left" vertical="center" wrapText="1" indent="2"/>
    </xf>
    <xf numFmtId="170" fontId="6" fillId="0" borderId="11" xfId="0" applyNumberFormat="1" applyFont="1" applyBorder="1" applyAlignment="1">
      <alignment vertical="center" wrapText="1"/>
    </xf>
    <xf numFmtId="0" fontId="6" fillId="0" borderId="12" xfId="0" applyFont="1" applyBorder="1" applyAlignment="1">
      <alignment vertical="center" wrapText="1"/>
    </xf>
    <xf numFmtId="171" fontId="45" fillId="0" borderId="0" xfId="0" applyNumberFormat="1" applyFont="1" applyAlignment="1">
      <alignment horizontal="left" vertical="center" wrapText="1" indent="2"/>
    </xf>
    <xf numFmtId="3" fontId="45" fillId="0" borderId="0" xfId="0" applyNumberFormat="1" applyFont="1" applyAlignment="1">
      <alignment horizontal="left" vertical="center" wrapText="1" indent="2"/>
    </xf>
    <xf numFmtId="0" fontId="6" fillId="0" borderId="13" xfId="0" applyFont="1" applyBorder="1" applyAlignment="1">
      <alignment vertical="center" wrapText="1"/>
    </xf>
    <xf numFmtId="0" fontId="6" fillId="0" borderId="14" xfId="0" applyFont="1" applyBorder="1" applyAlignment="1">
      <alignment vertical="center" wrapText="1"/>
    </xf>
    <xf numFmtId="0" fontId="6" fillId="0" borderId="11" xfId="0" applyFont="1" applyBorder="1" applyAlignment="1">
      <alignment vertical="center" wrapText="1"/>
    </xf>
    <xf numFmtId="3" fontId="6" fillId="9" borderId="11" xfId="0" applyNumberFormat="1" applyFont="1" applyFill="1" applyBorder="1" applyAlignment="1">
      <alignment vertical="center" wrapText="1"/>
    </xf>
    <xf numFmtId="0" fontId="6" fillId="9" borderId="11" xfId="0" applyFont="1" applyFill="1" applyBorder="1" applyAlignment="1">
      <alignment vertical="center" wrapText="1"/>
    </xf>
    <xf numFmtId="166" fontId="45" fillId="0" borderId="0" xfId="0" applyNumberFormat="1" applyFont="1" applyAlignment="1">
      <alignment horizontal="left" vertical="center" wrapText="1" indent="2"/>
    </xf>
    <xf numFmtId="166" fontId="6" fillId="9" borderId="11" xfId="0" applyNumberFormat="1" applyFont="1" applyFill="1" applyBorder="1" applyAlignment="1">
      <alignment vertical="center" wrapText="1"/>
    </xf>
    <xf numFmtId="0" fontId="46" fillId="0" borderId="5" xfId="0" applyFont="1" applyBorder="1" applyAlignment="1">
      <alignment horizontal="left" vertical="center" wrapText="1" indent="2"/>
    </xf>
    <xf numFmtId="175" fontId="0" fillId="10" borderId="0" xfId="0" applyNumberFormat="1" applyFill="1"/>
    <xf numFmtId="0" fontId="6" fillId="0" borderId="0" xfId="0" applyFont="1" applyAlignment="1">
      <alignment vertical="center" wrapText="1"/>
    </xf>
    <xf numFmtId="179" fontId="0" fillId="0" borderId="0" xfId="0" applyNumberFormat="1"/>
    <xf numFmtId="2" fontId="45" fillId="0" borderId="0" xfId="0" applyNumberFormat="1" applyFont="1" applyAlignment="1">
      <alignment horizontal="left" vertical="center" wrapText="1" indent="2"/>
    </xf>
    <xf numFmtId="9" fontId="45" fillId="0" borderId="0" xfId="2" applyFont="1" applyFill="1" applyBorder="1" applyAlignment="1">
      <alignment horizontal="left" vertical="center" wrapText="1" indent="2"/>
    </xf>
    <xf numFmtId="0" fontId="6" fillId="0" borderId="0" xfId="0" applyFont="1"/>
    <xf numFmtId="9" fontId="0" fillId="9" borderId="0" xfId="2" applyFont="1" applyFill="1" applyBorder="1"/>
    <xf numFmtId="0" fontId="0" fillId="0" borderId="0" xfId="0" applyAlignment="1">
      <alignment vertical="top" wrapText="1"/>
    </xf>
    <xf numFmtId="166" fontId="17" fillId="0" borderId="0" xfId="0" applyNumberFormat="1" applyFont="1" applyAlignment="1">
      <alignment horizontal="center" vertical="center" wrapText="1"/>
    </xf>
    <xf numFmtId="177" fontId="7" fillId="0" borderId="0" xfId="0" applyNumberFormat="1" applyFont="1" applyAlignment="1">
      <alignment horizontal="center" vertical="center" wrapText="1"/>
    </xf>
    <xf numFmtId="9" fontId="7" fillId="0" borderId="0" xfId="0" applyNumberFormat="1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166" fontId="7" fillId="0" borderId="0" xfId="0" applyNumberFormat="1" applyFont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166" fontId="16" fillId="14" borderId="0" xfId="0" applyNumberFormat="1" applyFont="1" applyFill="1" applyAlignment="1">
      <alignment horizontal="center" vertical="center" wrapText="1"/>
    </xf>
    <xf numFmtId="177" fontId="28" fillId="14" borderId="0" xfId="0" applyNumberFormat="1" applyFont="1" applyFill="1" applyAlignment="1">
      <alignment horizontal="center" vertical="center" wrapText="1"/>
    </xf>
    <xf numFmtId="9" fontId="28" fillId="14" borderId="0" xfId="0" applyNumberFormat="1" applyFont="1" applyFill="1" applyAlignment="1">
      <alignment horizontal="center" vertical="center" wrapText="1"/>
    </xf>
    <xf numFmtId="0" fontId="7" fillId="0" borderId="16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47" fillId="0" borderId="0" xfId="0" quotePrefix="1" applyFont="1"/>
    <xf numFmtId="0" fontId="47" fillId="0" borderId="0" xfId="0" applyFont="1" applyAlignment="1">
      <alignment vertical="top"/>
    </xf>
    <xf numFmtId="169" fontId="31" fillId="9" borderId="0" xfId="0" applyNumberFormat="1" applyFont="1" applyFill="1"/>
    <xf numFmtId="175" fontId="0" fillId="0" borderId="0" xfId="3" applyNumberFormat="1" applyFont="1" applyBorder="1"/>
    <xf numFmtId="0" fontId="0" fillId="15" borderId="0" xfId="0" applyFill="1"/>
    <xf numFmtId="169" fontId="31" fillId="9" borderId="7" xfId="0" applyNumberFormat="1" applyFont="1" applyFill="1" applyBorder="1"/>
    <xf numFmtId="0" fontId="3" fillId="0" borderId="4" xfId="0" applyFont="1" applyBorder="1"/>
    <xf numFmtId="0" fontId="47" fillId="0" borderId="0" xfId="0" applyFont="1" applyAlignment="1">
      <alignment vertical="center"/>
    </xf>
    <xf numFmtId="179" fontId="0" fillId="0" borderId="0" xfId="3" applyNumberFormat="1" applyFont="1" applyBorder="1"/>
    <xf numFmtId="0" fontId="22" fillId="0" borderId="9" xfId="0" applyFont="1" applyBorder="1"/>
    <xf numFmtId="0" fontId="3" fillId="0" borderId="5" xfId="0" applyFont="1" applyBorder="1"/>
    <xf numFmtId="169" fontId="2" fillId="9" borderId="7" xfId="1" applyNumberFormat="1" applyFont="1" applyFill="1" applyBorder="1"/>
    <xf numFmtId="0" fontId="0" fillId="0" borderId="0" xfId="0" quotePrefix="1" applyAlignment="1">
      <alignment horizontal="right"/>
    </xf>
    <xf numFmtId="177" fontId="0" fillId="10" borderId="0" xfId="0" applyNumberFormat="1" applyFill="1"/>
    <xf numFmtId="180" fontId="0" fillId="0" borderId="0" xfId="0" applyNumberFormat="1"/>
    <xf numFmtId="166" fontId="29" fillId="0" borderId="0" xfId="0" applyNumberFormat="1" applyFont="1"/>
    <xf numFmtId="0" fontId="0" fillId="16" borderId="5" xfId="0" applyFill="1" applyBorder="1"/>
    <xf numFmtId="169" fontId="0" fillId="16" borderId="0" xfId="0" applyNumberFormat="1" applyFill="1"/>
    <xf numFmtId="0" fontId="0" fillId="16" borderId="0" xfId="0" applyFill="1"/>
    <xf numFmtId="169" fontId="3" fillId="16" borderId="0" xfId="0" applyNumberFormat="1" applyFont="1" applyFill="1"/>
    <xf numFmtId="0" fontId="6" fillId="9" borderId="12" xfId="0" applyFont="1" applyFill="1" applyBorder="1" applyAlignment="1">
      <alignment vertical="center" wrapText="1"/>
    </xf>
    <xf numFmtId="170" fontId="6" fillId="9" borderId="11" xfId="0" applyNumberFormat="1" applyFont="1" applyFill="1" applyBorder="1" applyAlignment="1">
      <alignment vertical="center" wrapText="1"/>
    </xf>
    <xf numFmtId="165" fontId="0" fillId="0" borderId="0" xfId="3" applyNumberFormat="1" applyFont="1"/>
    <xf numFmtId="169" fontId="48" fillId="0" borderId="0" xfId="0" applyNumberFormat="1" applyFont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/>
    <xf numFmtId="0" fontId="0" fillId="0" borderId="20" xfId="0" applyBorder="1"/>
    <xf numFmtId="164" fontId="0" fillId="0" borderId="20" xfId="4" applyFont="1" applyBorder="1"/>
    <xf numFmtId="164" fontId="32" fillId="0" borderId="0" xfId="0" applyNumberFormat="1" applyFont="1"/>
    <xf numFmtId="164" fontId="0" fillId="0" borderId="21" xfId="4" applyFont="1" applyBorder="1"/>
    <xf numFmtId="0" fontId="3" fillId="0" borderId="7" xfId="0" applyFont="1" applyBorder="1" applyAlignment="1">
      <alignment horizontal="center"/>
    </xf>
    <xf numFmtId="177" fontId="0" fillId="0" borderId="0" xfId="0" applyNumberFormat="1" applyAlignment="1">
      <alignment horizontal="center"/>
    </xf>
    <xf numFmtId="1" fontId="3" fillId="0" borderId="7" xfId="0" applyNumberFormat="1" applyFont="1" applyBorder="1" applyAlignment="1">
      <alignment horizontal="center"/>
    </xf>
    <xf numFmtId="1" fontId="0" fillId="0" borderId="0" xfId="0" applyNumberFormat="1" applyAlignment="1">
      <alignment horizontal="center"/>
    </xf>
    <xf numFmtId="181" fontId="0" fillId="0" borderId="5" xfId="4" applyNumberFormat="1" applyFont="1" applyBorder="1" applyAlignment="1">
      <alignment horizontal="center"/>
    </xf>
    <xf numFmtId="181" fontId="3" fillId="0" borderId="3" xfId="4" applyNumberFormat="1" applyFont="1" applyBorder="1"/>
    <xf numFmtId="0" fontId="0" fillId="0" borderId="9" xfId="0" applyBorder="1" applyAlignment="1">
      <alignment horizontal="center"/>
    </xf>
    <xf numFmtId="177" fontId="3" fillId="0" borderId="7" xfId="0" applyNumberFormat="1" applyFont="1" applyBorder="1" applyAlignment="1">
      <alignment horizontal="center"/>
    </xf>
    <xf numFmtId="0" fontId="0" fillId="0" borderId="0" xfId="0" applyAlignment="1">
      <alignment horizontal="center" vertical="top" wrapText="1"/>
    </xf>
    <xf numFmtId="0" fontId="29" fillId="12" borderId="0" xfId="0" applyFont="1" applyFill="1" applyAlignment="1">
      <alignment horizontal="center"/>
    </xf>
    <xf numFmtId="0" fontId="29" fillId="12" borderId="7" xfId="0" applyFont="1" applyFill="1" applyBorder="1" applyAlignment="1">
      <alignment horizontal="center"/>
    </xf>
  </cellXfs>
  <cellStyles count="5">
    <cellStyle name="Comma" xfId="3" builtinId="3"/>
    <cellStyle name="Currency" xfId="1" builtinId="4"/>
    <cellStyle name="Currency 2" xfId="4" xr:uid="{00000000-0005-0000-0000-000002000000}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microsoft.com/office/2017/10/relationships/person" Target="persons/perso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png"/><Relationship Id="rId2" Type="http://schemas.openxmlformats.org/officeDocument/2006/relationships/image" Target="../media/image12.png"/><Relationship Id="rId1" Type="http://schemas.openxmlformats.org/officeDocument/2006/relationships/image" Target="../media/image11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png"/><Relationship Id="rId1" Type="http://schemas.openxmlformats.org/officeDocument/2006/relationships/image" Target="../media/image14.pn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png"/><Relationship Id="rId1" Type="http://schemas.openxmlformats.org/officeDocument/2006/relationships/image" Target="../media/image14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6.png"/><Relationship Id="rId1" Type="http://schemas.openxmlformats.org/officeDocument/2006/relationships/image" Target="../media/image15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png"/><Relationship Id="rId1" Type="http://schemas.openxmlformats.org/officeDocument/2006/relationships/image" Target="../media/image14.png"/></Relationships>
</file>

<file path=xl/drawings/_rels/drawing18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25.png"/><Relationship Id="rId18" Type="http://schemas.openxmlformats.org/officeDocument/2006/relationships/image" Target="../media/image29.png"/><Relationship Id="rId3" Type="http://schemas.openxmlformats.org/officeDocument/2006/relationships/image" Target="../media/image9.png"/><Relationship Id="rId7" Type="http://schemas.openxmlformats.org/officeDocument/2006/relationships/image" Target="../media/image20.png"/><Relationship Id="rId12" Type="http://schemas.openxmlformats.org/officeDocument/2006/relationships/image" Target="../media/image24.png"/><Relationship Id="rId17" Type="http://schemas.openxmlformats.org/officeDocument/2006/relationships/image" Target="../media/image2.png"/><Relationship Id="rId2" Type="http://schemas.openxmlformats.org/officeDocument/2006/relationships/image" Target="../media/image17.png"/><Relationship Id="rId16" Type="http://schemas.openxmlformats.org/officeDocument/2006/relationships/image" Target="../media/image28.png"/><Relationship Id="rId1" Type="http://schemas.openxmlformats.org/officeDocument/2006/relationships/image" Target="../media/image6.png"/><Relationship Id="rId6" Type="http://schemas.openxmlformats.org/officeDocument/2006/relationships/image" Target="../media/image19.png"/><Relationship Id="rId11" Type="http://schemas.openxmlformats.org/officeDocument/2006/relationships/image" Target="../media/image23.png"/><Relationship Id="rId5" Type="http://schemas.openxmlformats.org/officeDocument/2006/relationships/image" Target="../media/image18.png"/><Relationship Id="rId15" Type="http://schemas.openxmlformats.org/officeDocument/2006/relationships/image" Target="../media/image27.png"/><Relationship Id="rId10" Type="http://schemas.openxmlformats.org/officeDocument/2006/relationships/image" Target="../media/image22.png"/><Relationship Id="rId4" Type="http://schemas.openxmlformats.org/officeDocument/2006/relationships/image" Target="../media/image10.png"/><Relationship Id="rId9" Type="http://schemas.openxmlformats.org/officeDocument/2006/relationships/image" Target="../media/image21.png"/><Relationship Id="rId14" Type="http://schemas.openxmlformats.org/officeDocument/2006/relationships/image" Target="../media/image26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4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424423</xdr:colOff>
      <xdr:row>3</xdr:row>
      <xdr:rowOff>2100</xdr:rowOff>
    </xdr:from>
    <xdr:ext cx="1727575" cy="426757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10823" y="573600"/>
          <a:ext cx="1727575" cy="426757"/>
        </a:xfrm>
        <a:prstGeom prst="rect">
          <a:avLst/>
        </a:prstGeom>
      </xdr:spPr>
    </xdr:pic>
    <xdr:clientData/>
  </xdr:oneCellAnchor>
  <xdr:oneCellAnchor>
    <xdr:from>
      <xdr:col>4</xdr:col>
      <xdr:colOff>465189</xdr:colOff>
      <xdr:row>2</xdr:row>
      <xdr:rowOff>185138</xdr:rowOff>
    </xdr:from>
    <xdr:ext cx="1557854" cy="373576"/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903589" y="566138"/>
          <a:ext cx="1557854" cy="373576"/>
        </a:xfrm>
        <a:prstGeom prst="rect">
          <a:avLst/>
        </a:prstGeom>
      </xdr:spPr>
    </xdr:pic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173933</xdr:colOff>
      <xdr:row>34</xdr:row>
      <xdr:rowOff>80830</xdr:rowOff>
    </xdr:from>
    <xdr:to>
      <xdr:col>8</xdr:col>
      <xdr:colOff>749187</xdr:colOff>
      <xdr:row>36</xdr:row>
      <xdr:rowOff>168730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69833" y="6557830"/>
          <a:ext cx="1565854" cy="468900"/>
        </a:xfrm>
        <a:prstGeom prst="rect">
          <a:avLst/>
        </a:prstGeom>
        <a:solidFill>
          <a:sysClr val="window" lastClr="FFFFFF"/>
        </a:solidFill>
      </xdr:spPr>
    </xdr:pic>
    <xdr:clientData/>
  </xdr:twoCellAnchor>
  <xdr:twoCellAnchor editAs="oneCell">
    <xdr:from>
      <xdr:col>6</xdr:col>
      <xdr:colOff>369794</xdr:colOff>
      <xdr:row>40</xdr:row>
      <xdr:rowOff>47812</xdr:rowOff>
    </xdr:from>
    <xdr:to>
      <xdr:col>9</xdr:col>
      <xdr:colOff>1546</xdr:colOff>
      <xdr:row>42</xdr:row>
      <xdr:rowOff>159270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817969" y="7667812"/>
          <a:ext cx="2276901" cy="492458"/>
        </a:xfrm>
        <a:prstGeom prst="rect">
          <a:avLst/>
        </a:prstGeom>
      </xdr:spPr>
    </xdr:pic>
    <xdr:clientData/>
  </xdr:twoCellAnchor>
  <xdr:twoCellAnchor>
    <xdr:from>
      <xdr:col>7</xdr:col>
      <xdr:colOff>26276</xdr:colOff>
      <xdr:row>6</xdr:row>
      <xdr:rowOff>105103</xdr:rowOff>
    </xdr:from>
    <xdr:to>
      <xdr:col>10</xdr:col>
      <xdr:colOff>289034</xdr:colOff>
      <xdr:row>18</xdr:row>
      <xdr:rowOff>152401</xdr:rowOff>
    </xdr:to>
    <xdr:grpSp>
      <xdr:nvGrpSpPr>
        <xdr:cNvPr id="4" name="Group 3">
          <a:extLst>
            <a:ext uri="{FF2B5EF4-FFF2-40B4-BE49-F238E27FC236}">
              <a16:creationId xmlns:a16="http://schemas.microsoft.com/office/drawing/2014/main" id="{00000000-0008-0000-1800-000004000000}"/>
            </a:ext>
          </a:extLst>
        </xdr:cNvPr>
        <xdr:cNvGrpSpPr/>
      </xdr:nvGrpSpPr>
      <xdr:grpSpPr>
        <a:xfrm>
          <a:off x="6053891" y="1277411"/>
          <a:ext cx="2998143" cy="2391913"/>
          <a:chOff x="5322191" y="1248103"/>
          <a:chExt cx="2672567" cy="2333298"/>
        </a:xfrm>
      </xdr:grpSpPr>
      <xdr:cxnSp macro="">
        <xdr:nvCxnSpPr>
          <xdr:cNvPr id="5" name="Straight Arrow Connector 4">
            <a:extLst>
              <a:ext uri="{FF2B5EF4-FFF2-40B4-BE49-F238E27FC236}">
                <a16:creationId xmlns:a16="http://schemas.microsoft.com/office/drawing/2014/main" id="{00000000-0008-0000-1800-000005000000}"/>
              </a:ext>
            </a:extLst>
          </xdr:cNvPr>
          <xdr:cNvCxnSpPr/>
        </xdr:nvCxnSpPr>
        <xdr:spPr>
          <a:xfrm flipV="1">
            <a:off x="5362575" y="1248103"/>
            <a:ext cx="2632183" cy="1779972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" name="Straight Connector 5">
            <a:extLst>
              <a:ext uri="{FF2B5EF4-FFF2-40B4-BE49-F238E27FC236}">
                <a16:creationId xmlns:a16="http://schemas.microsoft.com/office/drawing/2014/main" id="{00000000-0008-0000-1800-000006000000}"/>
              </a:ext>
            </a:extLst>
          </xdr:cNvPr>
          <xdr:cNvCxnSpPr/>
        </xdr:nvCxnSpPr>
        <xdr:spPr>
          <a:xfrm>
            <a:off x="5362575" y="2678606"/>
            <a:ext cx="9525" cy="902795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" name="Straight Arrow Connector 6">
            <a:extLst>
              <a:ext uri="{FF2B5EF4-FFF2-40B4-BE49-F238E27FC236}">
                <a16:creationId xmlns:a16="http://schemas.microsoft.com/office/drawing/2014/main" id="{00000000-0008-0000-1800-000007000000}"/>
              </a:ext>
            </a:extLst>
          </xdr:cNvPr>
          <xdr:cNvCxnSpPr/>
        </xdr:nvCxnSpPr>
        <xdr:spPr>
          <a:xfrm>
            <a:off x="5322191" y="1517431"/>
            <a:ext cx="2669284" cy="873345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828675</xdr:colOff>
      <xdr:row>7</xdr:row>
      <xdr:rowOff>133351</xdr:rowOff>
    </xdr:from>
    <xdr:to>
      <xdr:col>10</xdr:col>
      <xdr:colOff>285750</xdr:colOff>
      <xdr:row>20</xdr:row>
      <xdr:rowOff>133350</xdr:rowOff>
    </xdr:to>
    <xdr:grpSp>
      <xdr:nvGrpSpPr>
        <xdr:cNvPr id="8" name="Group 7">
          <a:extLst>
            <a:ext uri="{FF2B5EF4-FFF2-40B4-BE49-F238E27FC236}">
              <a16:creationId xmlns:a16="http://schemas.microsoft.com/office/drawing/2014/main" id="{00000000-0008-0000-1800-000008000000}"/>
            </a:ext>
          </a:extLst>
        </xdr:cNvPr>
        <xdr:cNvGrpSpPr/>
      </xdr:nvGrpSpPr>
      <xdr:grpSpPr>
        <a:xfrm>
          <a:off x="5889137" y="1501043"/>
          <a:ext cx="3159613" cy="2539999"/>
          <a:chOff x="5276850" y="1466851"/>
          <a:chExt cx="2714625" cy="2476499"/>
        </a:xfrm>
      </xdr:grpSpPr>
      <xdr:cxnSp macro="">
        <xdr:nvCxnSpPr>
          <xdr:cNvPr id="9" name="Straight Arrow Connector 8">
            <a:extLst>
              <a:ext uri="{FF2B5EF4-FFF2-40B4-BE49-F238E27FC236}">
                <a16:creationId xmlns:a16="http://schemas.microsoft.com/office/drawing/2014/main" id="{00000000-0008-0000-1800-000009000000}"/>
              </a:ext>
            </a:extLst>
          </xdr:cNvPr>
          <xdr:cNvCxnSpPr/>
        </xdr:nvCxnSpPr>
        <xdr:spPr>
          <a:xfrm flipV="1">
            <a:off x="5305425" y="1466851"/>
            <a:ext cx="2686050" cy="2447924"/>
          </a:xfrm>
          <a:prstGeom prst="straightConnector1">
            <a:avLst/>
          </a:prstGeom>
          <a:ln>
            <a:solidFill>
              <a:srgbClr val="7030A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" name="Straight Arrow Connector 9">
            <a:extLst>
              <a:ext uri="{FF2B5EF4-FFF2-40B4-BE49-F238E27FC236}">
                <a16:creationId xmlns:a16="http://schemas.microsoft.com/office/drawing/2014/main" id="{00000000-0008-0000-1800-00000A000000}"/>
              </a:ext>
            </a:extLst>
          </xdr:cNvPr>
          <xdr:cNvCxnSpPr/>
        </xdr:nvCxnSpPr>
        <xdr:spPr>
          <a:xfrm flipV="1">
            <a:off x="5276850" y="2590801"/>
            <a:ext cx="2705100" cy="1352549"/>
          </a:xfrm>
          <a:prstGeom prst="straightConnector1">
            <a:avLst/>
          </a:prstGeom>
          <a:ln>
            <a:solidFill>
              <a:srgbClr val="7030A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7</xdr:col>
      <xdr:colOff>981076</xdr:colOff>
      <xdr:row>6</xdr:row>
      <xdr:rowOff>30656</xdr:rowOff>
    </xdr:from>
    <xdr:to>
      <xdr:col>10</xdr:col>
      <xdr:colOff>309563</xdr:colOff>
      <xdr:row>20</xdr:row>
      <xdr:rowOff>119062</xdr:rowOff>
    </xdr:to>
    <xdr:grpSp>
      <xdr:nvGrpSpPr>
        <xdr:cNvPr id="11" name="Group 10">
          <a:extLst>
            <a:ext uri="{FF2B5EF4-FFF2-40B4-BE49-F238E27FC236}">
              <a16:creationId xmlns:a16="http://schemas.microsoft.com/office/drawing/2014/main" id="{00000000-0008-0000-1800-00000B000000}"/>
            </a:ext>
          </a:extLst>
        </xdr:cNvPr>
        <xdr:cNvGrpSpPr/>
      </xdr:nvGrpSpPr>
      <xdr:grpSpPr>
        <a:xfrm>
          <a:off x="7008691" y="1202964"/>
          <a:ext cx="2063872" cy="2823790"/>
          <a:chOff x="6276975" y="1173656"/>
          <a:chExt cx="3838575" cy="2541095"/>
        </a:xfrm>
      </xdr:grpSpPr>
      <xdr:cxnSp macro="">
        <xdr:nvCxnSpPr>
          <xdr:cNvPr id="12" name="Straight Connector 11">
            <a:extLst>
              <a:ext uri="{FF2B5EF4-FFF2-40B4-BE49-F238E27FC236}">
                <a16:creationId xmlns:a16="http://schemas.microsoft.com/office/drawing/2014/main" id="{00000000-0008-0000-1800-00000C000000}"/>
              </a:ext>
            </a:extLst>
          </xdr:cNvPr>
          <xdr:cNvCxnSpPr/>
        </xdr:nvCxnSpPr>
        <xdr:spPr>
          <a:xfrm>
            <a:off x="6276975" y="1173656"/>
            <a:ext cx="9525" cy="902795"/>
          </a:xfrm>
          <a:prstGeom prst="line">
            <a:avLst/>
          </a:prstGeom>
          <a:ln>
            <a:solidFill>
              <a:schemeClr val="accent6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" name="Straight Arrow Connector 12">
            <a:extLst>
              <a:ext uri="{FF2B5EF4-FFF2-40B4-BE49-F238E27FC236}">
                <a16:creationId xmlns:a16="http://schemas.microsoft.com/office/drawing/2014/main" id="{00000000-0008-0000-1800-00000D000000}"/>
              </a:ext>
            </a:extLst>
          </xdr:cNvPr>
          <xdr:cNvCxnSpPr/>
        </xdr:nvCxnSpPr>
        <xdr:spPr>
          <a:xfrm>
            <a:off x="6296025" y="1533525"/>
            <a:ext cx="3819525" cy="2181226"/>
          </a:xfrm>
          <a:prstGeom prst="straightConnector1">
            <a:avLst/>
          </a:prstGeom>
          <a:ln>
            <a:solidFill>
              <a:schemeClr val="accent6">
                <a:lumMod val="50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5</xdr:col>
      <xdr:colOff>1116430</xdr:colOff>
      <xdr:row>21</xdr:row>
      <xdr:rowOff>85224</xdr:rowOff>
    </xdr:from>
    <xdr:to>
      <xdr:col>16</xdr:col>
      <xdr:colOff>631658</xdr:colOff>
      <xdr:row>28</xdr:row>
      <xdr:rowOff>40106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00000000-0008-0000-1800-000010000000}"/>
            </a:ext>
          </a:extLst>
        </xdr:cNvPr>
        <xdr:cNvCxnSpPr/>
      </xdr:nvCxnSpPr>
      <xdr:spPr>
        <a:xfrm flipV="1">
          <a:off x="4435141" y="4085724"/>
          <a:ext cx="9030201" cy="1288382"/>
        </a:xfrm>
        <a:prstGeom prst="straightConnector1">
          <a:avLst/>
        </a:prstGeom>
        <a:ln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354623</xdr:colOff>
      <xdr:row>1</xdr:row>
      <xdr:rowOff>121627</xdr:rowOff>
    </xdr:from>
    <xdr:ext cx="2085373" cy="631931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539046" y="312127"/>
          <a:ext cx="2085373" cy="631931"/>
        </a:xfrm>
        <a:prstGeom prst="rect">
          <a:avLst/>
        </a:prstGeom>
      </xdr:spPr>
    </xdr:pic>
    <xdr:clientData/>
  </xdr:oneCellAnchor>
  <xdr:oneCellAnchor>
    <xdr:from>
      <xdr:col>15</xdr:col>
      <xdr:colOff>351692</xdr:colOff>
      <xdr:row>2</xdr:row>
      <xdr:rowOff>157343</xdr:rowOff>
    </xdr:from>
    <xdr:ext cx="3170403" cy="415342"/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A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36115" y="1014593"/>
          <a:ext cx="3170403" cy="415342"/>
        </a:xfrm>
        <a:prstGeom prst="rect">
          <a:avLst/>
        </a:prstGeom>
      </xdr:spPr>
    </xdr:pic>
    <xdr:clientData/>
  </xdr:oneCellAnchor>
  <xdr:twoCellAnchor editAs="oneCell">
    <xdr:from>
      <xdr:col>0</xdr:col>
      <xdr:colOff>484044</xdr:colOff>
      <xdr:row>27</xdr:row>
      <xdr:rowOff>124558</xdr:rowOff>
    </xdr:from>
    <xdr:to>
      <xdr:col>15</xdr:col>
      <xdr:colOff>285645</xdr:colOff>
      <xdr:row>52</xdr:row>
      <xdr:rowOff>19707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1A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84044" y="6135161"/>
          <a:ext cx="9996635" cy="4657649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67236</xdr:colOff>
      <xdr:row>0</xdr:row>
      <xdr:rowOff>86517</xdr:rowOff>
    </xdr:from>
    <xdr:to>
      <xdr:col>14</xdr:col>
      <xdr:colOff>1272667</xdr:colOff>
      <xdr:row>1</xdr:row>
      <xdr:rowOff>353076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18177" y="86517"/>
          <a:ext cx="1205431" cy="457059"/>
        </a:xfrm>
        <a:prstGeom prst="rect">
          <a:avLst/>
        </a:prstGeom>
      </xdr:spPr>
    </xdr:pic>
    <xdr:clientData/>
  </xdr:twoCellAnchor>
  <xdr:twoCellAnchor editAs="oneCell">
    <xdr:from>
      <xdr:col>17</xdr:col>
      <xdr:colOff>369793</xdr:colOff>
      <xdr:row>0</xdr:row>
      <xdr:rowOff>89646</xdr:rowOff>
    </xdr:from>
    <xdr:to>
      <xdr:col>19</xdr:col>
      <xdr:colOff>668948</xdr:colOff>
      <xdr:row>1</xdr:row>
      <xdr:rowOff>401723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C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001499" y="89646"/>
          <a:ext cx="1699891" cy="502577"/>
        </a:xfrm>
        <a:prstGeom prst="rect">
          <a:avLst/>
        </a:prstGeom>
      </xdr:spPr>
    </xdr:pic>
    <xdr:clientData/>
  </xdr:twoCellAnchor>
  <xdr:twoCellAnchor>
    <xdr:from>
      <xdr:col>17</xdr:col>
      <xdr:colOff>123265</xdr:colOff>
      <xdr:row>4</xdr:row>
      <xdr:rowOff>190500</xdr:rowOff>
    </xdr:from>
    <xdr:to>
      <xdr:col>17</xdr:col>
      <xdr:colOff>549088</xdr:colOff>
      <xdr:row>4</xdr:row>
      <xdr:rowOff>201706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0000000-0008-0000-1C00-000005000000}"/>
            </a:ext>
          </a:extLst>
        </xdr:cNvPr>
        <xdr:cNvCxnSpPr/>
      </xdr:nvCxnSpPr>
      <xdr:spPr>
        <a:xfrm flipV="1">
          <a:off x="7474324" y="1636059"/>
          <a:ext cx="425823" cy="11206"/>
        </a:xfrm>
        <a:prstGeom prst="straightConnector1">
          <a:avLst/>
        </a:prstGeom>
        <a:ln w="31750">
          <a:solidFill>
            <a:srgbClr val="FF0000"/>
          </a:solidFill>
          <a:headEnd w="lg" len="me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549092</xdr:colOff>
      <xdr:row>7</xdr:row>
      <xdr:rowOff>123265</xdr:rowOff>
    </xdr:from>
    <xdr:to>
      <xdr:col>19</xdr:col>
      <xdr:colOff>560294</xdr:colOff>
      <xdr:row>11</xdr:row>
      <xdr:rowOff>179298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00000000-0008-0000-1C00-000007000000}"/>
            </a:ext>
          </a:extLst>
        </xdr:cNvPr>
        <xdr:cNvCxnSpPr/>
      </xdr:nvCxnSpPr>
      <xdr:spPr>
        <a:xfrm flipH="1">
          <a:off x="14687764" y="2361640"/>
          <a:ext cx="11202" cy="871611"/>
        </a:xfrm>
        <a:prstGeom prst="straightConnector1">
          <a:avLst/>
        </a:prstGeom>
        <a:ln w="31750">
          <a:solidFill>
            <a:srgbClr val="FF0000"/>
          </a:solidFill>
          <a:headEnd w="lg" len="me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75081</xdr:colOff>
      <xdr:row>14</xdr:row>
      <xdr:rowOff>96373</xdr:rowOff>
    </xdr:from>
    <xdr:to>
      <xdr:col>20</xdr:col>
      <xdr:colOff>432551</xdr:colOff>
      <xdr:row>14</xdr:row>
      <xdr:rowOff>97492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00000000-0008-0000-1C00-000009000000}"/>
            </a:ext>
          </a:extLst>
        </xdr:cNvPr>
        <xdr:cNvCxnSpPr/>
      </xdr:nvCxnSpPr>
      <xdr:spPr>
        <a:xfrm rot="16200000" flipH="1">
          <a:off x="10226491" y="3918698"/>
          <a:ext cx="1119" cy="357470"/>
        </a:xfrm>
        <a:prstGeom prst="straightConnector1">
          <a:avLst/>
        </a:prstGeom>
        <a:ln w="31750">
          <a:solidFill>
            <a:srgbClr val="FF0000"/>
          </a:solidFill>
          <a:headEnd w="lg" len="me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1056714</xdr:colOff>
      <xdr:row>14</xdr:row>
      <xdr:rowOff>80686</xdr:rowOff>
    </xdr:from>
    <xdr:to>
      <xdr:col>18</xdr:col>
      <xdr:colOff>100856</xdr:colOff>
      <xdr:row>14</xdr:row>
      <xdr:rowOff>100853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00000000-0008-0000-1C00-00000A000000}"/>
            </a:ext>
          </a:extLst>
        </xdr:cNvPr>
        <xdr:cNvCxnSpPr/>
      </xdr:nvCxnSpPr>
      <xdr:spPr>
        <a:xfrm>
          <a:off x="4429685" y="4081186"/>
          <a:ext cx="3660965" cy="20167"/>
        </a:xfrm>
        <a:prstGeom prst="straightConnector1">
          <a:avLst/>
        </a:prstGeom>
        <a:ln w="31750">
          <a:solidFill>
            <a:srgbClr val="FF0000"/>
          </a:solidFill>
          <a:headEnd w="lg" len="me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67236</xdr:colOff>
      <xdr:row>0</xdr:row>
      <xdr:rowOff>86517</xdr:rowOff>
    </xdr:from>
    <xdr:to>
      <xdr:col>14</xdr:col>
      <xdr:colOff>1272667</xdr:colOff>
      <xdr:row>1</xdr:row>
      <xdr:rowOff>353076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48611" y="86517"/>
          <a:ext cx="1205431" cy="457059"/>
        </a:xfrm>
        <a:prstGeom prst="rect">
          <a:avLst/>
        </a:prstGeom>
      </xdr:spPr>
    </xdr:pic>
    <xdr:clientData/>
  </xdr:twoCellAnchor>
  <xdr:twoCellAnchor editAs="oneCell">
    <xdr:from>
      <xdr:col>18</xdr:col>
      <xdr:colOff>107674</xdr:colOff>
      <xdr:row>1</xdr:row>
      <xdr:rowOff>11201</xdr:rowOff>
    </xdr:from>
    <xdr:to>
      <xdr:col>19</xdr:col>
      <xdr:colOff>693796</xdr:colOff>
      <xdr:row>1</xdr:row>
      <xdr:rowOff>410005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D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409544" y="201701"/>
          <a:ext cx="1348122" cy="398804"/>
        </a:xfrm>
        <a:prstGeom prst="rect">
          <a:avLst/>
        </a:prstGeom>
      </xdr:spPr>
    </xdr:pic>
    <xdr:clientData/>
  </xdr:twoCellAnchor>
  <xdr:twoCellAnchor>
    <xdr:from>
      <xdr:col>17</xdr:col>
      <xdr:colOff>123265</xdr:colOff>
      <xdr:row>4</xdr:row>
      <xdr:rowOff>190500</xdr:rowOff>
    </xdr:from>
    <xdr:to>
      <xdr:col>17</xdr:col>
      <xdr:colOff>549088</xdr:colOff>
      <xdr:row>4</xdr:row>
      <xdr:rowOff>201706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0000000-0008-0000-1D00-000004000000}"/>
            </a:ext>
          </a:extLst>
        </xdr:cNvPr>
        <xdr:cNvCxnSpPr/>
      </xdr:nvCxnSpPr>
      <xdr:spPr>
        <a:xfrm flipV="1">
          <a:off x="7495615" y="1638300"/>
          <a:ext cx="425823" cy="11206"/>
        </a:xfrm>
        <a:prstGeom prst="straightConnector1">
          <a:avLst/>
        </a:prstGeom>
        <a:ln w="31750">
          <a:solidFill>
            <a:srgbClr val="FF0000"/>
          </a:solidFill>
          <a:headEnd w="lg" len="me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560294</xdr:colOff>
      <xdr:row>7</xdr:row>
      <xdr:rowOff>123265</xdr:rowOff>
    </xdr:from>
    <xdr:to>
      <xdr:col>21</xdr:col>
      <xdr:colOff>179294</xdr:colOff>
      <xdr:row>11</xdr:row>
      <xdr:rowOff>78442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0000000-0008-0000-1D00-000005000000}"/>
            </a:ext>
          </a:extLst>
        </xdr:cNvPr>
        <xdr:cNvCxnSpPr/>
      </xdr:nvCxnSpPr>
      <xdr:spPr>
        <a:xfrm>
          <a:off x="9312088" y="2207559"/>
          <a:ext cx="1445559" cy="784412"/>
        </a:xfrm>
        <a:prstGeom prst="straightConnector1">
          <a:avLst/>
        </a:prstGeom>
        <a:ln w="31750">
          <a:solidFill>
            <a:srgbClr val="FF0000"/>
          </a:solidFill>
          <a:headEnd w="lg" len="me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108699</xdr:colOff>
      <xdr:row>15</xdr:row>
      <xdr:rowOff>51550</xdr:rowOff>
    </xdr:from>
    <xdr:to>
      <xdr:col>22</xdr:col>
      <xdr:colOff>466169</xdr:colOff>
      <xdr:row>15</xdr:row>
      <xdr:rowOff>52669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00000000-0008-0000-1D00-000006000000}"/>
            </a:ext>
          </a:extLst>
        </xdr:cNvPr>
        <xdr:cNvCxnSpPr/>
      </xdr:nvCxnSpPr>
      <xdr:spPr>
        <a:xfrm rot="16200000" flipH="1">
          <a:off x="12097874" y="4086787"/>
          <a:ext cx="1119" cy="357470"/>
        </a:xfrm>
        <a:prstGeom prst="straightConnector1">
          <a:avLst/>
        </a:prstGeom>
        <a:ln w="31750">
          <a:solidFill>
            <a:srgbClr val="FF0000"/>
          </a:solidFill>
          <a:headEnd w="lg" len="me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56029</xdr:colOff>
      <xdr:row>15</xdr:row>
      <xdr:rowOff>96370</xdr:rowOff>
    </xdr:from>
    <xdr:to>
      <xdr:col>17</xdr:col>
      <xdr:colOff>544606</xdr:colOff>
      <xdr:row>15</xdr:row>
      <xdr:rowOff>100853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00000000-0008-0000-1D00-000009000000}"/>
            </a:ext>
          </a:extLst>
        </xdr:cNvPr>
        <xdr:cNvCxnSpPr/>
      </xdr:nvCxnSpPr>
      <xdr:spPr>
        <a:xfrm flipV="1">
          <a:off x="7407088" y="4309782"/>
          <a:ext cx="488577" cy="4483"/>
        </a:xfrm>
        <a:prstGeom prst="straightConnector1">
          <a:avLst/>
        </a:prstGeom>
        <a:ln w="31750">
          <a:solidFill>
            <a:srgbClr val="FF0000"/>
          </a:solidFill>
          <a:headEnd w="lg" len="me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85165</xdr:colOff>
      <xdr:row>15</xdr:row>
      <xdr:rowOff>58270</xdr:rowOff>
    </xdr:from>
    <xdr:to>
      <xdr:col>20</xdr:col>
      <xdr:colOff>573742</xdr:colOff>
      <xdr:row>15</xdr:row>
      <xdr:rowOff>62753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00000000-0008-0000-1D00-00000B000000}"/>
            </a:ext>
          </a:extLst>
        </xdr:cNvPr>
        <xdr:cNvCxnSpPr/>
      </xdr:nvCxnSpPr>
      <xdr:spPr>
        <a:xfrm flipV="1">
          <a:off x="10058400" y="4271682"/>
          <a:ext cx="488577" cy="4483"/>
        </a:xfrm>
        <a:prstGeom prst="straightConnector1">
          <a:avLst/>
        </a:prstGeom>
        <a:ln w="31750">
          <a:solidFill>
            <a:srgbClr val="FF0000"/>
          </a:solidFill>
          <a:headEnd w="lg" len="me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224117</xdr:colOff>
      <xdr:row>16</xdr:row>
      <xdr:rowOff>156883</xdr:rowOff>
    </xdr:from>
    <xdr:to>
      <xdr:col>7</xdr:col>
      <xdr:colOff>456038</xdr:colOff>
      <xdr:row>19</xdr:row>
      <xdr:rowOff>87960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00000000-0008-0000-1E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15235" y="1938618"/>
          <a:ext cx="1699891" cy="502577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1085022</xdr:colOff>
      <xdr:row>20</xdr:row>
      <xdr:rowOff>149088</xdr:rowOff>
    </xdr:from>
    <xdr:to>
      <xdr:col>4</xdr:col>
      <xdr:colOff>180013</xdr:colOff>
      <xdr:row>24</xdr:row>
      <xdr:rowOff>21127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1F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41174" y="4447762"/>
          <a:ext cx="2085013" cy="634039"/>
        </a:xfrm>
        <a:prstGeom prst="rect">
          <a:avLst/>
        </a:prstGeom>
      </xdr:spPr>
    </xdr:pic>
    <xdr:clientData/>
  </xdr:twoCellAnchor>
  <xdr:twoCellAnchor editAs="oneCell">
    <xdr:from>
      <xdr:col>1</xdr:col>
      <xdr:colOff>1217544</xdr:colOff>
      <xdr:row>24</xdr:row>
      <xdr:rowOff>66261</xdr:rowOff>
    </xdr:from>
    <xdr:to>
      <xdr:col>3</xdr:col>
      <xdr:colOff>529173</xdr:colOff>
      <xdr:row>27</xdr:row>
      <xdr:rowOff>12966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1F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73696" y="5126935"/>
          <a:ext cx="1688738" cy="518205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124238</xdr:colOff>
      <xdr:row>8</xdr:row>
      <xdr:rowOff>19319</xdr:rowOff>
    </xdr:from>
    <xdr:to>
      <xdr:col>19</xdr:col>
      <xdr:colOff>686974</xdr:colOff>
      <xdr:row>10</xdr:row>
      <xdr:rowOff>29980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2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09173" y="2330167"/>
          <a:ext cx="1324736" cy="391661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37</xdr:col>
      <xdr:colOff>67236</xdr:colOff>
      <xdr:row>1</xdr:row>
      <xdr:rowOff>86517</xdr:rowOff>
    </xdr:from>
    <xdr:ext cx="1205431" cy="457059"/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21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388354" y="86517"/>
          <a:ext cx="1205431" cy="457059"/>
        </a:xfrm>
        <a:prstGeom prst="rect">
          <a:avLst/>
        </a:prstGeom>
      </xdr:spPr>
    </xdr:pic>
    <xdr:clientData/>
  </xdr:oneCellAnchor>
  <xdr:oneCellAnchor>
    <xdr:from>
      <xdr:col>40</xdr:col>
      <xdr:colOff>638734</xdr:colOff>
      <xdr:row>1</xdr:row>
      <xdr:rowOff>100852</xdr:rowOff>
    </xdr:from>
    <xdr:ext cx="1699891" cy="502577"/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21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547415" y="100852"/>
          <a:ext cx="1699891" cy="502577"/>
        </a:xfrm>
        <a:prstGeom prst="rect">
          <a:avLst/>
        </a:prstGeom>
      </xdr:spPr>
    </xdr:pic>
    <xdr:clientData/>
  </xdr:oneCellAnchor>
  <xdr:twoCellAnchor>
    <xdr:from>
      <xdr:col>11</xdr:col>
      <xdr:colOff>44825</xdr:colOff>
      <xdr:row>17</xdr:row>
      <xdr:rowOff>89653</xdr:rowOff>
    </xdr:from>
    <xdr:to>
      <xdr:col>14</xdr:col>
      <xdr:colOff>33618</xdr:colOff>
      <xdr:row>24</xdr:row>
      <xdr:rowOff>22412</xdr:rowOff>
    </xdr:to>
    <xdr:sp macro="" textlink="">
      <xdr:nvSpPr>
        <xdr:cNvPr id="2" name="Rounded Rectangular Callout 1">
          <a:extLst>
            <a:ext uri="{FF2B5EF4-FFF2-40B4-BE49-F238E27FC236}">
              <a16:creationId xmlns:a16="http://schemas.microsoft.com/office/drawing/2014/main" id="{00000000-0008-0000-2100-000002000000}"/>
            </a:ext>
          </a:extLst>
        </xdr:cNvPr>
        <xdr:cNvSpPr/>
      </xdr:nvSpPr>
      <xdr:spPr>
        <a:xfrm>
          <a:off x="6420972" y="4650447"/>
          <a:ext cx="1972234" cy="1266259"/>
        </a:xfrm>
        <a:prstGeom prst="wedgeRoundRectCallout">
          <a:avLst>
            <a:gd name="adj1" fmla="val 18337"/>
            <a:gd name="adj2" fmla="val -152002"/>
            <a:gd name="adj3" fmla="val 16667"/>
          </a:avLst>
        </a:prstGeom>
        <a:solidFill>
          <a:srgbClr val="7030A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bg1"/>
              </a:solidFill>
            </a:rPr>
            <a:t>2: IF we SELL the asset after Yr 1 for $18,000, we would see a $2,000 loss on disposal, which would</a:t>
          </a:r>
          <a:r>
            <a:rPr lang="en-US" sz="1100" baseline="0">
              <a:solidFill>
                <a:schemeClr val="bg1"/>
              </a:solidFill>
            </a:rPr>
            <a:t> reduce taxes by $800. (If we KEEP, we forego this gain.)</a:t>
          </a:r>
          <a:endParaRPr 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21</xdr:col>
      <xdr:colOff>235325</xdr:colOff>
      <xdr:row>15</xdr:row>
      <xdr:rowOff>29141</xdr:rowOff>
    </xdr:from>
    <xdr:to>
      <xdr:col>23</xdr:col>
      <xdr:colOff>0</xdr:colOff>
      <xdr:row>24</xdr:row>
      <xdr:rowOff>123265</xdr:rowOff>
    </xdr:to>
    <xdr:sp macro="" textlink="">
      <xdr:nvSpPr>
        <xdr:cNvPr id="6" name="Rounded Rectangular Callout 5">
          <a:extLst>
            <a:ext uri="{FF2B5EF4-FFF2-40B4-BE49-F238E27FC236}">
              <a16:creationId xmlns:a16="http://schemas.microsoft.com/office/drawing/2014/main" id="{00000000-0008-0000-2100-000006000000}"/>
            </a:ext>
          </a:extLst>
        </xdr:cNvPr>
        <xdr:cNvSpPr/>
      </xdr:nvSpPr>
      <xdr:spPr>
        <a:xfrm>
          <a:off x="12976413" y="4208935"/>
          <a:ext cx="1848969" cy="1808624"/>
        </a:xfrm>
        <a:prstGeom prst="wedgeRoundRectCallout">
          <a:avLst>
            <a:gd name="adj1" fmla="val -6782"/>
            <a:gd name="adj2" fmla="val -82138"/>
            <a:gd name="adj3" fmla="val 16667"/>
          </a:avLst>
        </a:prstGeom>
        <a:solidFill>
          <a:srgbClr val="7030A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bg1"/>
              </a:solidFill>
            </a:rPr>
            <a:t>5. IF we SELL the asset after Yr 1, we could invest the after tax revenue</a:t>
          </a:r>
          <a:r>
            <a:rPr lang="en-US" sz="1100" baseline="0">
              <a:solidFill>
                <a:schemeClr val="bg1"/>
              </a:solidFill>
            </a:rPr>
            <a:t> (from sale and from the tax break from loss on disposal) instead, and it would earn $1,880. (If we KEEP, we forego these gains.)</a:t>
          </a:r>
          <a:endParaRPr 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8</xdr:col>
      <xdr:colOff>459442</xdr:colOff>
      <xdr:row>17</xdr:row>
      <xdr:rowOff>179300</xdr:rowOff>
    </xdr:from>
    <xdr:to>
      <xdr:col>10</xdr:col>
      <xdr:colOff>504266</xdr:colOff>
      <xdr:row>22</xdr:row>
      <xdr:rowOff>123264</xdr:rowOff>
    </xdr:to>
    <xdr:sp macro="" textlink="">
      <xdr:nvSpPr>
        <xdr:cNvPr id="10" name="Rounded Rectangular Callout 9">
          <a:extLst>
            <a:ext uri="{FF2B5EF4-FFF2-40B4-BE49-F238E27FC236}">
              <a16:creationId xmlns:a16="http://schemas.microsoft.com/office/drawing/2014/main" id="{00000000-0008-0000-2100-00000A000000}"/>
            </a:ext>
          </a:extLst>
        </xdr:cNvPr>
        <xdr:cNvSpPr/>
      </xdr:nvSpPr>
      <xdr:spPr>
        <a:xfrm>
          <a:off x="4179795" y="4740094"/>
          <a:ext cx="1781736" cy="896464"/>
        </a:xfrm>
        <a:prstGeom prst="wedgeRoundRectCallout">
          <a:avLst>
            <a:gd name="adj1" fmla="val 35991"/>
            <a:gd name="adj2" fmla="val -166774"/>
            <a:gd name="adj3" fmla="val 16667"/>
          </a:avLst>
        </a:prstGeom>
        <a:solidFill>
          <a:srgbClr val="CCCC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1: IF</a:t>
          </a:r>
          <a:r>
            <a:rPr lang="en-US" sz="1100" baseline="0">
              <a:solidFill>
                <a:sysClr val="windowText" lastClr="000000"/>
              </a:solidFill>
            </a:rPr>
            <a:t> we KEEP the asset for Yr 2, we can depreciate it more, and get a tax break of +$2,000.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14</xdr:col>
      <xdr:colOff>112059</xdr:colOff>
      <xdr:row>17</xdr:row>
      <xdr:rowOff>107582</xdr:rowOff>
    </xdr:from>
    <xdr:to>
      <xdr:col>16</xdr:col>
      <xdr:colOff>33618</xdr:colOff>
      <xdr:row>22</xdr:row>
      <xdr:rowOff>123265</xdr:rowOff>
    </xdr:to>
    <xdr:sp macro="" textlink="">
      <xdr:nvSpPr>
        <xdr:cNvPr id="11" name="Rounded Rectangular Callout 10">
          <a:extLst>
            <a:ext uri="{FF2B5EF4-FFF2-40B4-BE49-F238E27FC236}">
              <a16:creationId xmlns:a16="http://schemas.microsoft.com/office/drawing/2014/main" id="{00000000-0008-0000-2100-00000B000000}"/>
            </a:ext>
          </a:extLst>
        </xdr:cNvPr>
        <xdr:cNvSpPr/>
      </xdr:nvSpPr>
      <xdr:spPr>
        <a:xfrm>
          <a:off x="8471647" y="4668376"/>
          <a:ext cx="1333500" cy="968183"/>
        </a:xfrm>
        <a:prstGeom prst="wedgeRoundRectCallout">
          <a:avLst>
            <a:gd name="adj1" fmla="val 21435"/>
            <a:gd name="adj2" fmla="val -157683"/>
            <a:gd name="adj3" fmla="val 16667"/>
          </a:avLst>
        </a:prstGeom>
        <a:solidFill>
          <a:srgbClr val="CCCC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3:</a:t>
          </a:r>
          <a:r>
            <a:rPr lang="en-US" sz="1100" baseline="0">
              <a:solidFill>
                <a:sysClr val="windowText" lastClr="000000"/>
              </a:solidFill>
            </a:rPr>
            <a:t> </a:t>
          </a:r>
          <a:r>
            <a:rPr lang="en-US" sz="1100">
              <a:solidFill>
                <a:sysClr val="windowText" lastClr="000000"/>
              </a:solidFill>
            </a:rPr>
            <a:t>IF</a:t>
          </a:r>
          <a:r>
            <a:rPr lang="en-US" sz="1100" baseline="0">
              <a:solidFill>
                <a:sysClr val="windowText" lastClr="000000"/>
              </a:solidFill>
            </a:rPr>
            <a:t> we KEEP the asset for Yr 2, the market value will fall. 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17</xdr:col>
      <xdr:colOff>156882</xdr:colOff>
      <xdr:row>17</xdr:row>
      <xdr:rowOff>107583</xdr:rowOff>
    </xdr:from>
    <xdr:to>
      <xdr:col>20</xdr:col>
      <xdr:colOff>67235</xdr:colOff>
      <xdr:row>22</xdr:row>
      <xdr:rowOff>141201</xdr:rowOff>
    </xdr:to>
    <xdr:sp macro="" textlink="">
      <xdr:nvSpPr>
        <xdr:cNvPr id="18" name="Rounded Rectangular Callout 17">
          <a:extLst>
            <a:ext uri="{FF2B5EF4-FFF2-40B4-BE49-F238E27FC236}">
              <a16:creationId xmlns:a16="http://schemas.microsoft.com/office/drawing/2014/main" id="{00000000-0008-0000-2100-000012000000}"/>
            </a:ext>
          </a:extLst>
        </xdr:cNvPr>
        <xdr:cNvSpPr/>
      </xdr:nvSpPr>
      <xdr:spPr>
        <a:xfrm>
          <a:off x="9928411" y="4668377"/>
          <a:ext cx="2431677" cy="986118"/>
        </a:xfrm>
        <a:prstGeom prst="wedgeRoundRectCallout">
          <a:avLst>
            <a:gd name="adj1" fmla="val 28489"/>
            <a:gd name="adj2" fmla="val -145184"/>
            <a:gd name="adj3" fmla="val 16667"/>
          </a:avLst>
        </a:prstGeom>
        <a:solidFill>
          <a:srgbClr val="CCCC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4: IF</a:t>
          </a:r>
          <a:r>
            <a:rPr lang="en-US" sz="1100" baseline="0">
              <a:solidFill>
                <a:sysClr val="windowText" lastClr="000000"/>
              </a:solidFill>
            </a:rPr>
            <a:t> we KEEP the asset for Yr 2, we we have another year of operating costs (after revision to account for impact of expenses on taxes): -$4,500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134471</xdr:colOff>
      <xdr:row>15</xdr:row>
      <xdr:rowOff>100853</xdr:rowOff>
    </xdr:from>
    <xdr:to>
      <xdr:col>6</xdr:col>
      <xdr:colOff>549088</xdr:colOff>
      <xdr:row>24</xdr:row>
      <xdr:rowOff>112059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2100-000003000000}"/>
            </a:ext>
          </a:extLst>
        </xdr:cNvPr>
        <xdr:cNvSpPr txBox="1"/>
      </xdr:nvSpPr>
      <xdr:spPr>
        <a:xfrm>
          <a:off x="896471" y="4280647"/>
          <a:ext cx="2218764" cy="1725706"/>
        </a:xfrm>
        <a:prstGeom prst="rect">
          <a:avLst/>
        </a:prstGeom>
        <a:solidFill>
          <a:schemeClr val="lt1"/>
        </a:solidFill>
        <a:ln w="9525" cmpd="sng">
          <a:solidFill>
            <a:srgbClr val="7030A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Each year, we review expect</a:t>
          </a:r>
          <a:r>
            <a:rPr lang="en-US" sz="1100" baseline="0"/>
            <a:t>ed future costs (and revenues, when appropriate), and decide whether to keep or replace that asset.</a:t>
          </a:r>
        </a:p>
        <a:p>
          <a:endParaRPr lang="en-US" sz="1100" baseline="0"/>
        </a:p>
        <a:p>
          <a:r>
            <a:rPr lang="en-US" sz="1100" baseline="0"/>
            <a:t>Let's look at an example, focusing on our end-of-year 1 decision about what to do in year 2.</a:t>
          </a:r>
          <a:endParaRPr lang="en-US" sz="1100"/>
        </a:p>
      </xdr:txBody>
    </xdr: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142874</xdr:colOff>
      <xdr:row>4</xdr:row>
      <xdr:rowOff>63419</xdr:rowOff>
    </xdr:from>
    <xdr:ext cx="1852223" cy="547052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2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86349" y="920669"/>
          <a:ext cx="1852223" cy="547052"/>
        </a:xfrm>
        <a:prstGeom prst="rect">
          <a:avLst/>
        </a:prstGeom>
      </xdr:spPr>
    </xdr:pic>
    <xdr:clientData/>
  </xdr:oneCellAnchor>
  <xdr:twoCellAnchor editAs="oneCell">
    <xdr:from>
      <xdr:col>4</xdr:col>
      <xdr:colOff>180974</xdr:colOff>
      <xdr:row>5</xdr:row>
      <xdr:rowOff>103003</xdr:rowOff>
    </xdr:from>
    <xdr:to>
      <xdr:col>4</xdr:col>
      <xdr:colOff>1995657</xdr:colOff>
      <xdr:row>5</xdr:row>
      <xdr:rowOff>638967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2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124449" y="1655578"/>
          <a:ext cx="1814683" cy="535964"/>
        </a:xfrm>
        <a:prstGeom prst="rect">
          <a:avLst/>
        </a:prstGeom>
      </xdr:spPr>
    </xdr:pic>
    <xdr:clientData/>
  </xdr:twoCellAnchor>
  <xdr:twoCellAnchor editAs="oneCell">
    <xdr:from>
      <xdr:col>8</xdr:col>
      <xdr:colOff>24653</xdr:colOff>
      <xdr:row>5</xdr:row>
      <xdr:rowOff>112619</xdr:rowOff>
    </xdr:from>
    <xdr:to>
      <xdr:col>10</xdr:col>
      <xdr:colOff>257735</xdr:colOff>
      <xdr:row>5</xdr:row>
      <xdr:rowOff>649384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2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204947" y="1659031"/>
          <a:ext cx="1869141" cy="536765"/>
        </a:xfrm>
        <a:prstGeom prst="rect">
          <a:avLst/>
        </a:prstGeom>
      </xdr:spPr>
    </xdr:pic>
    <xdr:clientData/>
  </xdr:twoCellAnchor>
  <xdr:twoCellAnchor editAs="oneCell">
    <xdr:from>
      <xdr:col>10</xdr:col>
      <xdr:colOff>488017</xdr:colOff>
      <xdr:row>5</xdr:row>
      <xdr:rowOff>93023</xdr:rowOff>
    </xdr:from>
    <xdr:to>
      <xdr:col>13</xdr:col>
      <xdr:colOff>851647</xdr:colOff>
      <xdr:row>5</xdr:row>
      <xdr:rowOff>618785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23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304370" y="1639435"/>
          <a:ext cx="2178983" cy="525762"/>
        </a:xfrm>
        <a:prstGeom prst="rect">
          <a:avLst/>
        </a:prstGeom>
      </xdr:spPr>
    </xdr:pic>
    <xdr:clientData/>
  </xdr:twoCellAnchor>
  <xdr:twoCellAnchor editAs="oneCell">
    <xdr:from>
      <xdr:col>9</xdr:col>
      <xdr:colOff>72276</xdr:colOff>
      <xdr:row>12</xdr:row>
      <xdr:rowOff>24092</xdr:rowOff>
    </xdr:from>
    <xdr:to>
      <xdr:col>13</xdr:col>
      <xdr:colOff>582144</xdr:colOff>
      <xdr:row>14</xdr:row>
      <xdr:rowOff>158884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23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048188" y="3038474"/>
          <a:ext cx="3165662" cy="616645"/>
        </a:xfrm>
        <a:prstGeom prst="rect">
          <a:avLst/>
        </a:prstGeom>
      </xdr:spPr>
    </xdr:pic>
    <xdr:clientData/>
  </xdr:twoCellAnchor>
  <xdr:twoCellAnchor editAs="oneCell">
    <xdr:from>
      <xdr:col>1</xdr:col>
      <xdr:colOff>352424</xdr:colOff>
      <xdr:row>6</xdr:row>
      <xdr:rowOff>34935</xdr:rowOff>
    </xdr:from>
    <xdr:to>
      <xdr:col>3</xdr:col>
      <xdr:colOff>118172</xdr:colOff>
      <xdr:row>6</xdr:row>
      <xdr:rowOff>657225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23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2024" y="2359035"/>
          <a:ext cx="2099373" cy="622290"/>
        </a:xfrm>
        <a:prstGeom prst="rect">
          <a:avLst/>
        </a:prstGeom>
      </xdr:spPr>
    </xdr:pic>
    <xdr:clientData/>
  </xdr:twoCellAnchor>
  <xdr:twoCellAnchor editAs="oneCell">
    <xdr:from>
      <xdr:col>8</xdr:col>
      <xdr:colOff>310403</xdr:colOff>
      <xdr:row>18</xdr:row>
      <xdr:rowOff>156883</xdr:rowOff>
    </xdr:from>
    <xdr:to>
      <xdr:col>12</xdr:col>
      <xdr:colOff>15459</xdr:colOff>
      <xdr:row>22</xdr:row>
      <xdr:rowOff>35018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23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8490697" y="5468471"/>
          <a:ext cx="2551350" cy="640135"/>
        </a:xfrm>
        <a:prstGeom prst="rect">
          <a:avLst/>
        </a:prstGeom>
      </xdr:spPr>
    </xdr:pic>
    <xdr:clientData/>
  </xdr:twoCellAnchor>
  <xdr:twoCellAnchor editAs="oneCell">
    <xdr:from>
      <xdr:col>3</xdr:col>
      <xdr:colOff>228600</xdr:colOff>
      <xdr:row>4</xdr:row>
      <xdr:rowOff>56995</xdr:rowOff>
    </xdr:from>
    <xdr:to>
      <xdr:col>3</xdr:col>
      <xdr:colOff>1689898</xdr:colOff>
      <xdr:row>4</xdr:row>
      <xdr:rowOff>608518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23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171825" y="914245"/>
          <a:ext cx="1461298" cy="551523"/>
        </a:xfrm>
        <a:prstGeom prst="rect">
          <a:avLst/>
        </a:prstGeom>
      </xdr:spPr>
    </xdr:pic>
    <xdr:clientData/>
  </xdr:twoCellAnchor>
  <xdr:twoCellAnchor editAs="oneCell">
    <xdr:from>
      <xdr:col>3</xdr:col>
      <xdr:colOff>142874</xdr:colOff>
      <xdr:row>6</xdr:row>
      <xdr:rowOff>81669</xdr:rowOff>
    </xdr:from>
    <xdr:to>
      <xdr:col>3</xdr:col>
      <xdr:colOff>1829397</xdr:colOff>
      <xdr:row>6</xdr:row>
      <xdr:rowOff>602808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23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3086099" y="2405769"/>
          <a:ext cx="1686523" cy="521139"/>
        </a:xfrm>
        <a:prstGeom prst="rect">
          <a:avLst/>
        </a:prstGeom>
      </xdr:spPr>
    </xdr:pic>
    <xdr:clientData/>
  </xdr:twoCellAnchor>
  <xdr:twoCellAnchor editAs="oneCell">
    <xdr:from>
      <xdr:col>8</xdr:col>
      <xdr:colOff>158003</xdr:colOff>
      <xdr:row>23</xdr:row>
      <xdr:rowOff>109258</xdr:rowOff>
    </xdr:from>
    <xdr:to>
      <xdr:col>12</xdr:col>
      <xdr:colOff>413569</xdr:colOff>
      <xdr:row>26</xdr:row>
      <xdr:rowOff>99451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0000000-0008-0000-2300-00000B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0"/>
        <a:srcRect l="10891"/>
        <a:stretch/>
      </xdr:blipFill>
      <xdr:spPr>
        <a:xfrm>
          <a:off x="8338297" y="6373346"/>
          <a:ext cx="3101860" cy="561693"/>
        </a:xfrm>
        <a:prstGeom prst="rect">
          <a:avLst/>
        </a:prstGeom>
      </xdr:spPr>
    </xdr:pic>
    <xdr:clientData/>
  </xdr:twoCellAnchor>
  <xdr:twoCellAnchor editAs="oneCell">
    <xdr:from>
      <xdr:col>2</xdr:col>
      <xdr:colOff>70039</xdr:colOff>
      <xdr:row>7</xdr:row>
      <xdr:rowOff>76200</xdr:rowOff>
    </xdr:from>
    <xdr:to>
      <xdr:col>2</xdr:col>
      <xdr:colOff>1694331</xdr:colOff>
      <xdr:row>9</xdr:row>
      <xdr:rowOff>57149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0000000-0008-0000-2300-00000C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1"/>
        <a:srcRect l="10546" t="7463" r="36415" b="2845"/>
        <a:stretch/>
      </xdr:blipFill>
      <xdr:spPr>
        <a:xfrm>
          <a:off x="1089214" y="3095625"/>
          <a:ext cx="1624292" cy="361949"/>
        </a:xfrm>
        <a:prstGeom prst="rect">
          <a:avLst/>
        </a:prstGeom>
      </xdr:spPr>
    </xdr:pic>
    <xdr:clientData/>
  </xdr:twoCellAnchor>
  <xdr:twoCellAnchor editAs="oneCell">
    <xdr:from>
      <xdr:col>1</xdr:col>
      <xdr:colOff>372597</xdr:colOff>
      <xdr:row>9</xdr:row>
      <xdr:rowOff>76201</xdr:rowOff>
    </xdr:from>
    <xdr:to>
      <xdr:col>2</xdr:col>
      <xdr:colOff>1899696</xdr:colOff>
      <xdr:row>12</xdr:row>
      <xdr:rowOff>2735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23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982197" y="3476626"/>
          <a:ext cx="1936674" cy="498034"/>
        </a:xfrm>
        <a:prstGeom prst="rect">
          <a:avLst/>
        </a:prstGeom>
      </xdr:spPr>
    </xdr:pic>
    <xdr:clientData/>
  </xdr:twoCellAnchor>
  <xdr:twoCellAnchor editAs="oneCell">
    <xdr:from>
      <xdr:col>1</xdr:col>
      <xdr:colOff>276226</xdr:colOff>
      <xdr:row>12</xdr:row>
      <xdr:rowOff>57679</xdr:rowOff>
    </xdr:from>
    <xdr:to>
      <xdr:col>3</xdr:col>
      <xdr:colOff>944809</xdr:colOff>
      <xdr:row>14</xdr:row>
      <xdr:rowOff>51548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0000000-0008-0000-2300-00000E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3"/>
        <a:srcRect l="10211"/>
        <a:stretch/>
      </xdr:blipFill>
      <xdr:spPr>
        <a:xfrm>
          <a:off x="885826" y="4029604"/>
          <a:ext cx="3002208" cy="475722"/>
        </a:xfrm>
        <a:prstGeom prst="rect">
          <a:avLst/>
        </a:prstGeom>
      </xdr:spPr>
    </xdr:pic>
    <xdr:clientData/>
  </xdr:twoCellAnchor>
  <xdr:twoCellAnchor editAs="oneCell">
    <xdr:from>
      <xdr:col>2</xdr:col>
      <xdr:colOff>38100</xdr:colOff>
      <xdr:row>5</xdr:row>
      <xdr:rowOff>190500</xdr:rowOff>
    </xdr:from>
    <xdr:to>
      <xdr:col>2</xdr:col>
      <xdr:colOff>1757222</xdr:colOff>
      <xdr:row>5</xdr:row>
      <xdr:rowOff>617644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0000000-0008-0000-23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057275" y="1743075"/>
          <a:ext cx="1719122" cy="427144"/>
        </a:xfrm>
        <a:prstGeom prst="rect">
          <a:avLst/>
        </a:prstGeom>
      </xdr:spPr>
    </xdr:pic>
    <xdr:clientData/>
  </xdr:twoCellAnchor>
  <xdr:twoCellAnchor>
    <xdr:from>
      <xdr:col>2</xdr:col>
      <xdr:colOff>1790700</xdr:colOff>
      <xdr:row>4</xdr:row>
      <xdr:rowOff>561975</xdr:rowOff>
    </xdr:from>
    <xdr:to>
      <xdr:col>3</xdr:col>
      <xdr:colOff>142875</xdr:colOff>
      <xdr:row>5</xdr:row>
      <xdr:rowOff>104775</xdr:rowOff>
    </xdr:to>
    <xdr:cxnSp macro="">
      <xdr:nvCxnSpPr>
        <xdr:cNvPr id="16" name="Straight Connector 15">
          <a:extLst>
            <a:ext uri="{FF2B5EF4-FFF2-40B4-BE49-F238E27FC236}">
              <a16:creationId xmlns:a16="http://schemas.microsoft.com/office/drawing/2014/main" id="{00000000-0008-0000-2300-000010000000}"/>
            </a:ext>
          </a:extLst>
        </xdr:cNvPr>
        <xdr:cNvCxnSpPr/>
      </xdr:nvCxnSpPr>
      <xdr:spPr>
        <a:xfrm flipV="1">
          <a:off x="2809875" y="1419225"/>
          <a:ext cx="276225" cy="2381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1790700</xdr:colOff>
      <xdr:row>4</xdr:row>
      <xdr:rowOff>600076</xdr:rowOff>
    </xdr:from>
    <xdr:to>
      <xdr:col>4</xdr:col>
      <xdr:colOff>142875</xdr:colOff>
      <xdr:row>6</xdr:row>
      <xdr:rowOff>57150</xdr:rowOff>
    </xdr:to>
    <xdr:cxnSp macro="">
      <xdr:nvCxnSpPr>
        <xdr:cNvPr id="17" name="Straight Connector 16">
          <a:extLst>
            <a:ext uri="{FF2B5EF4-FFF2-40B4-BE49-F238E27FC236}">
              <a16:creationId xmlns:a16="http://schemas.microsoft.com/office/drawing/2014/main" id="{00000000-0008-0000-2300-000011000000}"/>
            </a:ext>
          </a:extLst>
        </xdr:cNvPr>
        <xdr:cNvCxnSpPr/>
      </xdr:nvCxnSpPr>
      <xdr:spPr>
        <a:xfrm flipV="1">
          <a:off x="2809875" y="1457326"/>
          <a:ext cx="2276475" cy="923924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1885950</xdr:colOff>
      <xdr:row>5</xdr:row>
      <xdr:rowOff>676276</xdr:rowOff>
    </xdr:from>
    <xdr:to>
      <xdr:col>4</xdr:col>
      <xdr:colOff>123825</xdr:colOff>
      <xdr:row>6</xdr:row>
      <xdr:rowOff>66675</xdr:rowOff>
    </xdr:to>
    <xdr:cxnSp macro="">
      <xdr:nvCxnSpPr>
        <xdr:cNvPr id="18" name="Straight Connector 17">
          <a:extLst>
            <a:ext uri="{FF2B5EF4-FFF2-40B4-BE49-F238E27FC236}">
              <a16:creationId xmlns:a16="http://schemas.microsoft.com/office/drawing/2014/main" id="{00000000-0008-0000-2300-000012000000}"/>
            </a:ext>
          </a:extLst>
        </xdr:cNvPr>
        <xdr:cNvCxnSpPr/>
      </xdr:nvCxnSpPr>
      <xdr:spPr>
        <a:xfrm flipV="1">
          <a:off x="4829175" y="2228851"/>
          <a:ext cx="238125" cy="161924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8</xdr:col>
      <xdr:colOff>203430</xdr:colOff>
      <xdr:row>27</xdr:row>
      <xdr:rowOff>60586</xdr:rowOff>
    </xdr:from>
    <xdr:to>
      <xdr:col>12</xdr:col>
      <xdr:colOff>321404</xdr:colOff>
      <xdr:row>29</xdr:row>
      <xdr:rowOff>179685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0000000-0008-0000-23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8383724" y="7086674"/>
          <a:ext cx="2964268" cy="500099"/>
        </a:xfrm>
        <a:prstGeom prst="rect">
          <a:avLst/>
        </a:prstGeom>
      </xdr:spPr>
    </xdr:pic>
    <xdr:clientData/>
  </xdr:twoCellAnchor>
  <xdr:twoCellAnchor editAs="oneCell">
    <xdr:from>
      <xdr:col>16</xdr:col>
      <xdr:colOff>116894</xdr:colOff>
      <xdr:row>5</xdr:row>
      <xdr:rowOff>142057</xdr:rowOff>
    </xdr:from>
    <xdr:to>
      <xdr:col>23</xdr:col>
      <xdr:colOff>427344</xdr:colOff>
      <xdr:row>5</xdr:row>
      <xdr:rowOff>694764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23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3463100" y="1688469"/>
          <a:ext cx="4546273" cy="552707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44</xdr:row>
      <xdr:rowOff>0</xdr:rowOff>
    </xdr:from>
    <xdr:to>
      <xdr:col>11</xdr:col>
      <xdr:colOff>602888</xdr:colOff>
      <xdr:row>46</xdr:row>
      <xdr:rowOff>112819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0000000-0008-0000-23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8782050" y="10525125"/>
          <a:ext cx="2050688" cy="493819"/>
        </a:xfrm>
        <a:prstGeom prst="rect">
          <a:avLst/>
        </a:prstGeom>
      </xdr:spPr>
    </xdr:pic>
    <xdr:clientData/>
  </xdr:twoCellAnchor>
  <xdr:twoCellAnchor editAs="oneCell">
    <xdr:from>
      <xdr:col>9</xdr:col>
      <xdr:colOff>22411</xdr:colOff>
      <xdr:row>14</xdr:row>
      <xdr:rowOff>212910</xdr:rowOff>
    </xdr:from>
    <xdr:to>
      <xdr:col>13</xdr:col>
      <xdr:colOff>140537</xdr:colOff>
      <xdr:row>17</xdr:row>
      <xdr:rowOff>15326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00000000-0008-0000-23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8998323" y="3709145"/>
          <a:ext cx="2773920" cy="4938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48256</xdr:colOff>
      <xdr:row>6</xdr:row>
      <xdr:rowOff>98029</xdr:rowOff>
    </xdr:from>
    <xdr:ext cx="1838325" cy="37396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86656" y="1241029"/>
          <a:ext cx="1838325" cy="373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358589</xdr:colOff>
      <xdr:row>23</xdr:row>
      <xdr:rowOff>56030</xdr:rowOff>
    </xdr:from>
    <xdr:ext cx="1936308" cy="487722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16189" y="4437530"/>
          <a:ext cx="1936308" cy="487722"/>
        </a:xfrm>
        <a:prstGeom prst="rect">
          <a:avLst/>
        </a:prstGeom>
      </xdr:spPr>
    </xdr:pic>
    <xdr:clientData/>
  </xdr:oneCellAnchor>
  <xdr:oneCellAnchor>
    <xdr:from>
      <xdr:col>6</xdr:col>
      <xdr:colOff>414618</xdr:colOff>
      <xdr:row>17</xdr:row>
      <xdr:rowOff>145676</xdr:rowOff>
    </xdr:from>
    <xdr:ext cx="1471103" cy="551523"/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072218" y="3384176"/>
          <a:ext cx="1471103" cy="551523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336177</xdr:colOff>
      <xdr:row>12</xdr:row>
      <xdr:rowOff>168088</xdr:rowOff>
    </xdr:from>
    <xdr:ext cx="1720703" cy="426757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64977" y="2454088"/>
          <a:ext cx="1720703" cy="426757"/>
        </a:xfrm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336177</xdr:colOff>
      <xdr:row>11</xdr:row>
      <xdr:rowOff>168088</xdr:rowOff>
    </xdr:from>
    <xdr:ext cx="1718521" cy="426757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64977" y="2263588"/>
          <a:ext cx="1718521" cy="426757"/>
        </a:xfrm>
        <a:prstGeom prst="rect">
          <a:avLst/>
        </a:prstGeom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347382</xdr:colOff>
      <xdr:row>3</xdr:row>
      <xdr:rowOff>22593</xdr:rowOff>
    </xdr:from>
    <xdr:ext cx="1944251" cy="572371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43382" y="594093"/>
          <a:ext cx="1944251" cy="572371"/>
        </a:xfrm>
        <a:prstGeom prst="rect">
          <a:avLst/>
        </a:prstGeom>
      </xdr:spPr>
    </xdr:pic>
    <xdr:clientData/>
  </xdr:oneCellAnchor>
  <xdr:oneCellAnchor>
    <xdr:from>
      <xdr:col>10</xdr:col>
      <xdr:colOff>314325</xdr:colOff>
      <xdr:row>6</xdr:row>
      <xdr:rowOff>104775</xdr:rowOff>
    </xdr:from>
    <xdr:ext cx="1479923" cy="551523"/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410325" y="1247775"/>
          <a:ext cx="1479923" cy="551523"/>
        </a:xfrm>
        <a:prstGeom prst="rect">
          <a:avLst/>
        </a:prstGeom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499782</xdr:colOff>
      <xdr:row>2</xdr:row>
      <xdr:rowOff>136893</xdr:rowOff>
    </xdr:from>
    <xdr:ext cx="1942527" cy="570729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6982" y="517893"/>
          <a:ext cx="1942527" cy="570729"/>
        </a:xfrm>
        <a:prstGeom prst="rect">
          <a:avLst/>
        </a:prstGeom>
      </xdr:spPr>
    </xdr:pic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173933</xdr:colOff>
      <xdr:row>34</xdr:row>
      <xdr:rowOff>80830</xdr:rowOff>
    </xdr:from>
    <xdr:to>
      <xdr:col>8</xdr:col>
      <xdr:colOff>749187</xdr:colOff>
      <xdr:row>36</xdr:row>
      <xdr:rowOff>168730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03303" y="6367330"/>
          <a:ext cx="1563750" cy="468900"/>
        </a:xfrm>
        <a:prstGeom prst="rect">
          <a:avLst/>
        </a:prstGeom>
        <a:solidFill>
          <a:sysClr val="window" lastClr="FFFFFF"/>
        </a:solidFill>
      </xdr:spPr>
    </xdr:pic>
    <xdr:clientData/>
  </xdr:twoCellAnchor>
  <xdr:twoCellAnchor editAs="oneCell">
    <xdr:from>
      <xdr:col>6</xdr:col>
      <xdr:colOff>369794</xdr:colOff>
      <xdr:row>40</xdr:row>
      <xdr:rowOff>47812</xdr:rowOff>
    </xdr:from>
    <xdr:to>
      <xdr:col>8</xdr:col>
      <xdr:colOff>808370</xdr:colOff>
      <xdr:row>42</xdr:row>
      <xdr:rowOff>159270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314265" y="5762812"/>
          <a:ext cx="2278194" cy="492458"/>
        </a:xfrm>
        <a:prstGeom prst="rect">
          <a:avLst/>
        </a:prstGeom>
      </xdr:spPr>
    </xdr:pic>
    <xdr:clientData/>
  </xdr:twoCellAnchor>
  <xdr:twoCellAnchor>
    <xdr:from>
      <xdr:col>7</xdr:col>
      <xdr:colOff>66675</xdr:colOff>
      <xdr:row>5</xdr:row>
      <xdr:rowOff>95251</xdr:rowOff>
    </xdr:from>
    <xdr:to>
      <xdr:col>10</xdr:col>
      <xdr:colOff>285750</xdr:colOff>
      <xdr:row>18</xdr:row>
      <xdr:rowOff>152401</xdr:rowOff>
    </xdr:to>
    <xdr:grpSp>
      <xdr:nvGrpSpPr>
        <xdr:cNvPr id="16" name="Group 15">
          <a:extLst>
            <a:ext uri="{FF2B5EF4-FFF2-40B4-BE49-F238E27FC236}">
              <a16:creationId xmlns:a16="http://schemas.microsoft.com/office/drawing/2014/main" id="{00000000-0008-0000-1500-000010000000}"/>
            </a:ext>
          </a:extLst>
        </xdr:cNvPr>
        <xdr:cNvGrpSpPr/>
      </xdr:nvGrpSpPr>
      <xdr:grpSpPr>
        <a:xfrm>
          <a:off x="6086475" y="1047751"/>
          <a:ext cx="2949575" cy="2533650"/>
          <a:chOff x="5362575" y="1047751"/>
          <a:chExt cx="2628900" cy="2533650"/>
        </a:xfrm>
      </xdr:grpSpPr>
      <xdr:cxnSp macro="">
        <xdr:nvCxnSpPr>
          <xdr:cNvPr id="5" name="Straight Arrow Connector 4">
            <a:extLst>
              <a:ext uri="{FF2B5EF4-FFF2-40B4-BE49-F238E27FC236}">
                <a16:creationId xmlns:a16="http://schemas.microsoft.com/office/drawing/2014/main" id="{00000000-0008-0000-1500-000005000000}"/>
              </a:ext>
            </a:extLst>
          </xdr:cNvPr>
          <xdr:cNvCxnSpPr/>
        </xdr:nvCxnSpPr>
        <xdr:spPr>
          <a:xfrm flipV="1">
            <a:off x="5362575" y="1047751"/>
            <a:ext cx="2619375" cy="1980324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" name="Straight Connector 6">
            <a:extLst>
              <a:ext uri="{FF2B5EF4-FFF2-40B4-BE49-F238E27FC236}">
                <a16:creationId xmlns:a16="http://schemas.microsoft.com/office/drawing/2014/main" id="{00000000-0008-0000-1500-000007000000}"/>
              </a:ext>
            </a:extLst>
          </xdr:cNvPr>
          <xdr:cNvCxnSpPr/>
        </xdr:nvCxnSpPr>
        <xdr:spPr>
          <a:xfrm>
            <a:off x="5362575" y="2678606"/>
            <a:ext cx="9525" cy="902795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4" name="Straight Arrow Connector 13">
            <a:extLst>
              <a:ext uri="{FF2B5EF4-FFF2-40B4-BE49-F238E27FC236}">
                <a16:creationId xmlns:a16="http://schemas.microsoft.com/office/drawing/2014/main" id="{00000000-0008-0000-1500-00000E000000}"/>
              </a:ext>
            </a:extLst>
          </xdr:cNvPr>
          <xdr:cNvCxnSpPr/>
        </xdr:nvCxnSpPr>
        <xdr:spPr>
          <a:xfrm flipV="1">
            <a:off x="5362575" y="2390776"/>
            <a:ext cx="2628900" cy="657224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828675</xdr:colOff>
      <xdr:row>7</xdr:row>
      <xdr:rowOff>133351</xdr:rowOff>
    </xdr:from>
    <xdr:to>
      <xdr:col>10</xdr:col>
      <xdr:colOff>285750</xdr:colOff>
      <xdr:row>20</xdr:row>
      <xdr:rowOff>133350</xdr:rowOff>
    </xdr:to>
    <xdr:grpSp>
      <xdr:nvGrpSpPr>
        <xdr:cNvPr id="19" name="Group 18">
          <a:extLst>
            <a:ext uri="{FF2B5EF4-FFF2-40B4-BE49-F238E27FC236}">
              <a16:creationId xmlns:a16="http://schemas.microsoft.com/office/drawing/2014/main" id="{00000000-0008-0000-1500-000013000000}"/>
            </a:ext>
          </a:extLst>
        </xdr:cNvPr>
        <xdr:cNvGrpSpPr/>
      </xdr:nvGrpSpPr>
      <xdr:grpSpPr>
        <a:xfrm>
          <a:off x="5883275" y="1466851"/>
          <a:ext cx="3152775" cy="2476499"/>
          <a:chOff x="5276850" y="1466851"/>
          <a:chExt cx="2714625" cy="2476499"/>
        </a:xfrm>
      </xdr:grpSpPr>
      <xdr:cxnSp macro="">
        <xdr:nvCxnSpPr>
          <xdr:cNvPr id="10" name="Straight Arrow Connector 9">
            <a:extLst>
              <a:ext uri="{FF2B5EF4-FFF2-40B4-BE49-F238E27FC236}">
                <a16:creationId xmlns:a16="http://schemas.microsoft.com/office/drawing/2014/main" id="{00000000-0008-0000-1500-00000A000000}"/>
              </a:ext>
            </a:extLst>
          </xdr:cNvPr>
          <xdr:cNvCxnSpPr/>
        </xdr:nvCxnSpPr>
        <xdr:spPr>
          <a:xfrm flipV="1">
            <a:off x="5305425" y="1466851"/>
            <a:ext cx="2686050" cy="2447924"/>
          </a:xfrm>
          <a:prstGeom prst="straightConnector1">
            <a:avLst/>
          </a:prstGeom>
          <a:ln>
            <a:solidFill>
              <a:srgbClr val="7030A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" name="Straight Arrow Connector 16">
            <a:extLst>
              <a:ext uri="{FF2B5EF4-FFF2-40B4-BE49-F238E27FC236}">
                <a16:creationId xmlns:a16="http://schemas.microsoft.com/office/drawing/2014/main" id="{00000000-0008-0000-1500-000011000000}"/>
              </a:ext>
            </a:extLst>
          </xdr:cNvPr>
          <xdr:cNvCxnSpPr/>
        </xdr:nvCxnSpPr>
        <xdr:spPr>
          <a:xfrm flipV="1">
            <a:off x="5276850" y="2590801"/>
            <a:ext cx="2705100" cy="1352549"/>
          </a:xfrm>
          <a:prstGeom prst="straightConnector1">
            <a:avLst/>
          </a:prstGeom>
          <a:ln>
            <a:solidFill>
              <a:srgbClr val="7030A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7</xdr:col>
      <xdr:colOff>981075</xdr:colOff>
      <xdr:row>6</xdr:row>
      <xdr:rowOff>30656</xdr:rowOff>
    </xdr:from>
    <xdr:to>
      <xdr:col>10</xdr:col>
      <xdr:colOff>314325</xdr:colOff>
      <xdr:row>19</xdr:row>
      <xdr:rowOff>95251</xdr:rowOff>
    </xdr:to>
    <xdr:grpSp>
      <xdr:nvGrpSpPr>
        <xdr:cNvPr id="26" name="Group 25">
          <a:extLst>
            <a:ext uri="{FF2B5EF4-FFF2-40B4-BE49-F238E27FC236}">
              <a16:creationId xmlns:a16="http://schemas.microsoft.com/office/drawing/2014/main" id="{00000000-0008-0000-1500-00001A000000}"/>
            </a:ext>
          </a:extLst>
        </xdr:cNvPr>
        <xdr:cNvGrpSpPr/>
      </xdr:nvGrpSpPr>
      <xdr:grpSpPr>
        <a:xfrm>
          <a:off x="7000875" y="1173656"/>
          <a:ext cx="2063750" cy="2541095"/>
          <a:chOff x="6276975" y="1173656"/>
          <a:chExt cx="3838575" cy="2541095"/>
        </a:xfrm>
      </xdr:grpSpPr>
      <xdr:cxnSp macro="">
        <xdr:nvCxnSpPr>
          <xdr:cNvPr id="22" name="Straight Connector 21">
            <a:extLst>
              <a:ext uri="{FF2B5EF4-FFF2-40B4-BE49-F238E27FC236}">
                <a16:creationId xmlns:a16="http://schemas.microsoft.com/office/drawing/2014/main" id="{00000000-0008-0000-1500-000016000000}"/>
              </a:ext>
            </a:extLst>
          </xdr:cNvPr>
          <xdr:cNvCxnSpPr/>
        </xdr:nvCxnSpPr>
        <xdr:spPr>
          <a:xfrm>
            <a:off x="6276975" y="1173656"/>
            <a:ext cx="9525" cy="902795"/>
          </a:xfrm>
          <a:prstGeom prst="line">
            <a:avLst/>
          </a:prstGeom>
          <a:ln>
            <a:solidFill>
              <a:schemeClr val="accent6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3" name="Straight Arrow Connector 22">
            <a:extLst>
              <a:ext uri="{FF2B5EF4-FFF2-40B4-BE49-F238E27FC236}">
                <a16:creationId xmlns:a16="http://schemas.microsoft.com/office/drawing/2014/main" id="{00000000-0008-0000-1500-000017000000}"/>
              </a:ext>
            </a:extLst>
          </xdr:cNvPr>
          <xdr:cNvCxnSpPr/>
        </xdr:nvCxnSpPr>
        <xdr:spPr>
          <a:xfrm>
            <a:off x="6296025" y="1533525"/>
            <a:ext cx="3819525" cy="2181226"/>
          </a:xfrm>
          <a:prstGeom prst="straightConnector1">
            <a:avLst/>
          </a:prstGeom>
          <a:ln>
            <a:solidFill>
              <a:schemeClr val="accent6">
                <a:lumMod val="50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117902</xdr:colOff>
      <xdr:row>40</xdr:row>
      <xdr:rowOff>181683</xdr:rowOff>
    </xdr:from>
    <xdr:to>
      <xdr:col>16</xdr:col>
      <xdr:colOff>267333</xdr:colOff>
      <xdr:row>43</xdr:row>
      <xdr:rowOff>79083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32314" y="7230183"/>
          <a:ext cx="1561372" cy="468900"/>
        </a:xfrm>
        <a:prstGeom prst="rect">
          <a:avLst/>
        </a:prstGeom>
        <a:solidFill>
          <a:sysClr val="window" lastClr="FFFFFF"/>
        </a:solidFill>
      </xdr:spPr>
    </xdr:pic>
    <xdr:clientData/>
  </xdr:twoCellAnchor>
  <xdr:twoCellAnchor editAs="oneCell">
    <xdr:from>
      <xdr:col>14</xdr:col>
      <xdr:colOff>44824</xdr:colOff>
      <xdr:row>31</xdr:row>
      <xdr:rowOff>148665</xdr:rowOff>
    </xdr:from>
    <xdr:to>
      <xdr:col>17</xdr:col>
      <xdr:colOff>203252</xdr:colOff>
      <xdr:row>34</xdr:row>
      <xdr:rowOff>69623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259236" y="6054165"/>
          <a:ext cx="2276341" cy="492458"/>
        </a:xfrm>
        <a:prstGeom prst="rect">
          <a:avLst/>
        </a:prstGeom>
      </xdr:spPr>
    </xdr:pic>
    <xdr:clientData/>
  </xdr:twoCellAnchor>
  <xdr:twoCellAnchor>
    <xdr:from>
      <xdr:col>7</xdr:col>
      <xdr:colOff>85725</xdr:colOff>
      <xdr:row>6</xdr:row>
      <xdr:rowOff>105103</xdr:rowOff>
    </xdr:from>
    <xdr:to>
      <xdr:col>10</xdr:col>
      <xdr:colOff>289034</xdr:colOff>
      <xdr:row>8</xdr:row>
      <xdr:rowOff>152400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0000000-0008-0000-1600-000005000000}"/>
            </a:ext>
          </a:extLst>
        </xdr:cNvPr>
        <xdr:cNvCxnSpPr/>
      </xdr:nvCxnSpPr>
      <xdr:spPr>
        <a:xfrm flipV="1">
          <a:off x="5381625" y="1248103"/>
          <a:ext cx="2613134" cy="42829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66660</xdr:colOff>
      <xdr:row>4</xdr:row>
      <xdr:rowOff>11606</xdr:rowOff>
    </xdr:from>
    <xdr:to>
      <xdr:col>7</xdr:col>
      <xdr:colOff>86335</xdr:colOff>
      <xdr:row>13</xdr:row>
      <xdr:rowOff>161925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00000000-0008-0000-1600-000006000000}"/>
            </a:ext>
          </a:extLst>
        </xdr:cNvPr>
        <xdr:cNvCxnSpPr/>
      </xdr:nvCxnSpPr>
      <xdr:spPr>
        <a:xfrm>
          <a:off x="5362560" y="2678606"/>
          <a:ext cx="19675" cy="186481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66675</xdr:colOff>
      <xdr:row>8</xdr:row>
      <xdr:rowOff>180975</xdr:rowOff>
    </xdr:from>
    <xdr:to>
      <xdr:col>10</xdr:col>
      <xdr:colOff>247650</xdr:colOff>
      <xdr:row>11</xdr:row>
      <xdr:rowOff>114300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00000000-0008-0000-1600-000012000000}"/>
            </a:ext>
          </a:extLst>
        </xdr:cNvPr>
        <xdr:cNvCxnSpPr/>
      </xdr:nvCxnSpPr>
      <xdr:spPr>
        <a:xfrm>
          <a:off x="5362575" y="1704975"/>
          <a:ext cx="2590800" cy="5048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14</xdr:col>
      <xdr:colOff>100853</xdr:colOff>
      <xdr:row>34</xdr:row>
      <xdr:rowOff>154066</xdr:rowOff>
    </xdr:from>
    <xdr:to>
      <xdr:col>16</xdr:col>
      <xdr:colOff>425824</xdr:colOff>
      <xdr:row>37</xdr:row>
      <xdr:rowOff>81359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0000000-0008-0000-16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315265" y="6631066"/>
          <a:ext cx="1736912" cy="498793"/>
        </a:xfrm>
        <a:prstGeom prst="rect">
          <a:avLst/>
        </a:prstGeom>
      </xdr:spPr>
    </xdr:pic>
    <xdr:clientData/>
  </xdr:twoCellAnchor>
  <xdr:twoCellAnchor editAs="oneCell">
    <xdr:from>
      <xdr:col>13</xdr:col>
      <xdr:colOff>799540</xdr:colOff>
      <xdr:row>37</xdr:row>
      <xdr:rowOff>123264</xdr:rowOff>
    </xdr:from>
    <xdr:to>
      <xdr:col>16</xdr:col>
      <xdr:colOff>582707</xdr:colOff>
      <xdr:row>40</xdr:row>
      <xdr:rowOff>42917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0000000-0008-0000-16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173511" y="7171764"/>
          <a:ext cx="2035547" cy="491153"/>
        </a:xfrm>
        <a:prstGeom prst="rect">
          <a:avLst/>
        </a:prstGeom>
      </xdr:spPr>
    </xdr:pic>
    <xdr:clientData/>
  </xdr:twoCellAnchor>
  <xdr:twoCellAnchor>
    <xdr:from>
      <xdr:col>6</xdr:col>
      <xdr:colOff>29308</xdr:colOff>
      <xdr:row>14</xdr:row>
      <xdr:rowOff>91889</xdr:rowOff>
    </xdr:from>
    <xdr:to>
      <xdr:col>21</xdr:col>
      <xdr:colOff>758639</xdr:colOff>
      <xdr:row>24</xdr:row>
      <xdr:rowOff>87923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00000000-0008-0000-1600-000017000000}"/>
            </a:ext>
          </a:extLst>
        </xdr:cNvPr>
        <xdr:cNvCxnSpPr/>
      </xdr:nvCxnSpPr>
      <xdr:spPr>
        <a:xfrm flipV="1">
          <a:off x="4953000" y="2758889"/>
          <a:ext cx="13463524" cy="1901034"/>
        </a:xfrm>
        <a:prstGeom prst="straightConnector1">
          <a:avLst/>
        </a:prstGeom>
        <a:ln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8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9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20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22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24.bin"/><Relationship Id="rId4" Type="http://schemas.openxmlformats.org/officeDocument/2006/relationships/comments" Target="../comments1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25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26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27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2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"/>
  <sheetViews>
    <sheetView zoomScale="130" zoomScaleNormal="130" workbookViewId="0">
      <selection activeCell="C8" sqref="C8"/>
    </sheetView>
  </sheetViews>
  <sheetFormatPr baseColWidth="10" defaultColWidth="8.83203125" defaultRowHeight="15" x14ac:dyDescent="0.2"/>
  <cols>
    <col min="2" max="2" width="8.1640625" customWidth="1"/>
    <col min="3" max="3" width="28.6640625" customWidth="1"/>
    <col min="4" max="4" width="8.1640625" customWidth="1"/>
    <col min="5" max="5" width="28.6640625" customWidth="1"/>
    <col min="6" max="12" width="8.1640625" customWidth="1"/>
    <col min="13" max="13" width="9" customWidth="1"/>
    <col min="14" max="14" width="8.1640625" customWidth="1"/>
    <col min="15" max="15" width="7" customWidth="1"/>
  </cols>
  <sheetData>
    <row r="1" spans="1:15" x14ac:dyDescent="0.2">
      <c r="A1" s="6" t="s">
        <v>365</v>
      </c>
      <c r="D1" s="6"/>
      <c r="F1" s="6"/>
      <c r="G1" s="6"/>
      <c r="H1" s="6"/>
      <c r="I1" s="6"/>
      <c r="J1" s="6"/>
      <c r="K1" s="6"/>
      <c r="L1" s="6"/>
      <c r="M1" s="6"/>
      <c r="N1" s="6"/>
      <c r="O1" s="6"/>
    </row>
    <row r="2" spans="1:15" x14ac:dyDescent="0.2">
      <c r="C2" s="6"/>
      <c r="D2" s="211"/>
      <c r="E2" s="6"/>
      <c r="F2" s="211"/>
      <c r="G2" s="211"/>
      <c r="H2" s="211"/>
      <c r="I2" s="211"/>
      <c r="J2" s="211"/>
      <c r="K2" s="211"/>
      <c r="L2" s="211"/>
      <c r="M2" s="211"/>
      <c r="N2" s="211"/>
      <c r="O2" s="211"/>
    </row>
    <row r="3" spans="1:15" x14ac:dyDescent="0.2">
      <c r="C3" s="211"/>
      <c r="E3" s="211"/>
    </row>
    <row r="4" spans="1:15" x14ac:dyDescent="0.2">
      <c r="B4" t="s">
        <v>78</v>
      </c>
      <c r="C4" s="92">
        <v>10000</v>
      </c>
    </row>
    <row r="5" spans="1:15" x14ac:dyDescent="0.2">
      <c r="B5" t="s">
        <v>9</v>
      </c>
      <c r="C5" s="147">
        <v>25</v>
      </c>
    </row>
    <row r="6" spans="1:15" x14ac:dyDescent="0.2">
      <c r="B6" t="s">
        <v>364</v>
      </c>
      <c r="C6" s="146">
        <v>0.03</v>
      </c>
      <c r="D6" s="3"/>
      <c r="F6" s="3"/>
      <c r="G6" s="3"/>
      <c r="H6" s="3"/>
      <c r="I6" s="3"/>
      <c r="J6" s="3"/>
      <c r="K6" s="3"/>
      <c r="L6" s="3"/>
      <c r="M6" s="3"/>
      <c r="N6" s="3"/>
      <c r="O6" s="3"/>
    </row>
    <row r="7" spans="1:15" x14ac:dyDescent="0.2">
      <c r="C7" s="3"/>
      <c r="E7" s="210" t="s">
        <v>363</v>
      </c>
    </row>
    <row r="8" spans="1:15" x14ac:dyDescent="0.2">
      <c r="B8" t="s">
        <v>79</v>
      </c>
      <c r="C8" s="1">
        <f>C4*(1+C6)^C5</f>
        <v>20937.779296542139</v>
      </c>
      <c r="E8" t="s">
        <v>362</v>
      </c>
    </row>
    <row r="10" spans="1:15" x14ac:dyDescent="0.2">
      <c r="C10" t="s">
        <v>361</v>
      </c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19"/>
  <sheetViews>
    <sheetView topLeftCell="C1" zoomScale="115" zoomScaleNormal="115" workbookViewId="0">
      <selection activeCell="H10" sqref="H10"/>
    </sheetView>
  </sheetViews>
  <sheetFormatPr baseColWidth="10" defaultColWidth="8.83203125" defaultRowHeight="15" x14ac:dyDescent="0.2"/>
  <cols>
    <col min="2" max="2" width="17.6640625" bestFit="1" customWidth="1"/>
    <col min="3" max="3" width="11.1640625" customWidth="1"/>
    <col min="4" max="4" width="13.1640625" bestFit="1" customWidth="1"/>
    <col min="5" max="5" width="10.83203125" bestFit="1" customWidth="1"/>
    <col min="6" max="6" width="13.1640625" customWidth="1"/>
    <col min="7" max="7" width="14" bestFit="1" customWidth="1"/>
    <col min="8" max="8" width="13.83203125" bestFit="1" customWidth="1"/>
    <col min="9" max="9" width="16" customWidth="1"/>
    <col min="10" max="10" width="19.6640625" customWidth="1"/>
    <col min="11" max="11" width="3.1640625" customWidth="1"/>
    <col min="12" max="12" width="16.1640625" customWidth="1"/>
    <col min="17" max="17" width="10" customWidth="1"/>
    <col min="18" max="18" width="11.33203125" bestFit="1" customWidth="1"/>
    <col min="19" max="19" width="3" customWidth="1"/>
    <col min="21" max="21" width="11.33203125" bestFit="1" customWidth="1"/>
    <col min="22" max="22" width="2.83203125" customWidth="1"/>
    <col min="24" max="24" width="11.33203125" bestFit="1" customWidth="1"/>
  </cols>
  <sheetData>
    <row r="1" spans="1:12" x14ac:dyDescent="0.2">
      <c r="A1" s="249" t="s">
        <v>483</v>
      </c>
      <c r="E1" s="6"/>
    </row>
    <row r="2" spans="1:12" ht="16" thickBot="1" x14ac:dyDescent="0.25"/>
    <row r="3" spans="1:12" ht="35" thickBot="1" x14ac:dyDescent="0.25">
      <c r="B3" s="259"/>
      <c r="C3" s="258" t="s">
        <v>482</v>
      </c>
      <c r="D3" s="258" t="s">
        <v>474</v>
      </c>
      <c r="F3" s="265" t="s">
        <v>481</v>
      </c>
      <c r="G3" s="265" t="s">
        <v>474</v>
      </c>
      <c r="H3" s="265" t="s">
        <v>480</v>
      </c>
      <c r="I3" s="265" t="s">
        <v>474</v>
      </c>
      <c r="J3" s="265" t="s">
        <v>479</v>
      </c>
      <c r="K3" s="265"/>
      <c r="L3" s="265" t="s">
        <v>478</v>
      </c>
    </row>
    <row r="4" spans="1:12" ht="18" thickBot="1" x14ac:dyDescent="0.25">
      <c r="B4" s="255" t="s">
        <v>477</v>
      </c>
      <c r="C4" s="264">
        <v>5000</v>
      </c>
      <c r="D4" s="262">
        <v>0.3</v>
      </c>
      <c r="F4" s="263">
        <f t="shared" ref="F4:G6" si="0">C4</f>
        <v>5000</v>
      </c>
      <c r="G4" s="253">
        <f t="shared" si="0"/>
        <v>0.3</v>
      </c>
      <c r="H4" s="253">
        <f>B9</f>
        <v>6</v>
      </c>
      <c r="I4" s="252">
        <f>D9</f>
        <v>0.66666666666666663</v>
      </c>
      <c r="J4" s="253">
        <f>G4*I4</f>
        <v>0.19999999999999998</v>
      </c>
      <c r="K4" s="251"/>
      <c r="L4" s="5">
        <f>F4*J4</f>
        <v>999.99999999999989</v>
      </c>
    </row>
    <row r="5" spans="1:12" ht="18" thickBot="1" x14ac:dyDescent="0.25">
      <c r="B5" s="255" t="s">
        <v>465</v>
      </c>
      <c r="C5" s="261">
        <v>8000</v>
      </c>
      <c r="D5" s="262">
        <v>0.6</v>
      </c>
      <c r="F5" s="257">
        <f t="shared" si="0"/>
        <v>8000</v>
      </c>
      <c r="G5" s="253">
        <f t="shared" si="0"/>
        <v>0.6</v>
      </c>
      <c r="H5" s="253">
        <f>B9</f>
        <v>6</v>
      </c>
      <c r="I5" s="252">
        <f>D9</f>
        <v>0.66666666666666663</v>
      </c>
      <c r="J5" s="253">
        <f t="shared" ref="J5:J9" si="1">G5*I5</f>
        <v>0.39999999999999997</v>
      </c>
      <c r="L5" s="5">
        <f t="shared" ref="L5:L9" si="2">F5*J5</f>
        <v>3199.9999999999995</v>
      </c>
    </row>
    <row r="6" spans="1:12" ht="18" thickBot="1" x14ac:dyDescent="0.25">
      <c r="B6" s="255" t="s">
        <v>476</v>
      </c>
      <c r="C6" s="261">
        <v>10000</v>
      </c>
      <c r="D6" s="260">
        <f>1-D4-D5</f>
        <v>9.9999999999999978E-2</v>
      </c>
      <c r="F6" s="257">
        <f t="shared" si="0"/>
        <v>10000</v>
      </c>
      <c r="G6" s="253">
        <f t="shared" si="0"/>
        <v>9.9999999999999978E-2</v>
      </c>
      <c r="H6" s="253">
        <f>B9</f>
        <v>6</v>
      </c>
      <c r="I6" s="252">
        <f>D9</f>
        <v>0.66666666666666663</v>
      </c>
      <c r="J6" s="256">
        <f t="shared" si="1"/>
        <v>6.6666666666666652E-2</v>
      </c>
      <c r="K6" s="251"/>
      <c r="L6" s="5">
        <f t="shared" si="2"/>
        <v>666.66666666666652</v>
      </c>
    </row>
    <row r="7" spans="1:12" ht="16" thickBot="1" x14ac:dyDescent="0.25">
      <c r="F7" s="257">
        <f t="shared" ref="F7:G9" si="3">C4</f>
        <v>5000</v>
      </c>
      <c r="G7" s="253">
        <f t="shared" si="3"/>
        <v>0.3</v>
      </c>
      <c r="H7" s="253">
        <f>B10</f>
        <v>9</v>
      </c>
      <c r="I7" s="252">
        <f>D10</f>
        <v>0.33333333333333337</v>
      </c>
      <c r="J7" s="253">
        <f t="shared" si="1"/>
        <v>0.1</v>
      </c>
      <c r="K7" s="251"/>
      <c r="L7" s="5">
        <f t="shared" si="2"/>
        <v>500</v>
      </c>
    </row>
    <row r="8" spans="1:12" ht="18" thickBot="1" x14ac:dyDescent="0.25">
      <c r="B8" s="259" t="s">
        <v>475</v>
      </c>
      <c r="D8" s="258" t="s">
        <v>474</v>
      </c>
      <c r="F8" s="257">
        <f t="shared" si="3"/>
        <v>8000</v>
      </c>
      <c r="G8" s="253">
        <f t="shared" si="3"/>
        <v>0.6</v>
      </c>
      <c r="H8" s="253">
        <f>B10</f>
        <v>9</v>
      </c>
      <c r="I8" s="252">
        <f>D10</f>
        <v>0.33333333333333337</v>
      </c>
      <c r="J8" s="253">
        <f t="shared" si="1"/>
        <v>0.2</v>
      </c>
      <c r="K8" s="251"/>
      <c r="L8" s="5">
        <f t="shared" si="2"/>
        <v>1600</v>
      </c>
    </row>
    <row r="9" spans="1:12" ht="17" thickBot="1" x14ac:dyDescent="0.25">
      <c r="B9" s="305">
        <v>6</v>
      </c>
      <c r="D9" s="306">
        <f>2/3</f>
        <v>0.66666666666666663</v>
      </c>
      <c r="F9" s="257">
        <f t="shared" si="3"/>
        <v>10000</v>
      </c>
      <c r="G9" s="253">
        <f t="shared" si="3"/>
        <v>9.9999999999999978E-2</v>
      </c>
      <c r="H9" s="253">
        <f>B10</f>
        <v>9</v>
      </c>
      <c r="I9" s="252">
        <f>D10</f>
        <v>0.33333333333333337</v>
      </c>
      <c r="J9" s="256">
        <f t="shared" si="1"/>
        <v>3.3333333333333333E-2</v>
      </c>
      <c r="K9" s="251"/>
      <c r="L9" s="5">
        <f t="shared" si="2"/>
        <v>333.33333333333331</v>
      </c>
    </row>
    <row r="10" spans="1:12" ht="17" thickBot="1" x14ac:dyDescent="0.25">
      <c r="B10" s="305">
        <v>9</v>
      </c>
      <c r="D10" s="306">
        <f>1-D9</f>
        <v>0.33333333333333337</v>
      </c>
      <c r="F10" s="61"/>
      <c r="J10" s="253"/>
      <c r="K10" s="251"/>
      <c r="L10" s="5"/>
    </row>
    <row r="11" spans="1:12" x14ac:dyDescent="0.2">
      <c r="J11" s="252">
        <f>SUM(J4:J9)</f>
        <v>0.99999999999999989</v>
      </c>
      <c r="L11" s="5">
        <f>SUM(L4:L9)</f>
        <v>7299.9999999999991</v>
      </c>
    </row>
    <row r="12" spans="1:12" x14ac:dyDescent="0.2">
      <c r="B12" s="58" t="s">
        <v>473</v>
      </c>
      <c r="I12" s="251" t="s">
        <v>472</v>
      </c>
      <c r="L12" s="250">
        <f>SUMPRODUCT(J4:J9,F4:F9)</f>
        <v>7299.9999999999991</v>
      </c>
    </row>
    <row r="13" spans="1:12" x14ac:dyDescent="0.2">
      <c r="B13" s="58" t="s">
        <v>471</v>
      </c>
    </row>
    <row r="14" spans="1:12" x14ac:dyDescent="0.2">
      <c r="B14" s="58" t="s">
        <v>470</v>
      </c>
    </row>
    <row r="15" spans="1:12" x14ac:dyDescent="0.2">
      <c r="C15" s="4"/>
    </row>
    <row r="17" spans="3:3" x14ac:dyDescent="0.2">
      <c r="C17" s="27"/>
    </row>
    <row r="18" spans="3:3" x14ac:dyDescent="0.2">
      <c r="C18" s="27"/>
    </row>
    <row r="19" spans="3:3" x14ac:dyDescent="0.2">
      <c r="C19" s="27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C22"/>
  <sheetViews>
    <sheetView topLeftCell="Q1" zoomScaleNormal="100" workbookViewId="0">
      <selection activeCell="AC12" sqref="AC12"/>
    </sheetView>
  </sheetViews>
  <sheetFormatPr baseColWidth="10" defaultColWidth="8.83203125" defaultRowHeight="15" x14ac:dyDescent="0.2"/>
  <cols>
    <col min="2" max="2" width="17.6640625" bestFit="1" customWidth="1"/>
    <col min="3" max="3" width="11.1640625" customWidth="1"/>
    <col min="4" max="4" width="13.1640625" bestFit="1" customWidth="1"/>
    <col min="5" max="5" width="10.83203125" bestFit="1" customWidth="1"/>
    <col min="6" max="7" width="10.33203125" customWidth="1"/>
    <col min="8" max="8" width="5.83203125" customWidth="1"/>
    <col min="9" max="9" width="10.33203125" customWidth="1"/>
    <col min="10" max="10" width="9.33203125" customWidth="1"/>
    <col min="11" max="11" width="3.1640625" customWidth="1"/>
    <col min="12" max="12" width="6.1640625" customWidth="1"/>
    <col min="16" max="16" width="10" customWidth="1"/>
    <col min="17" max="17" width="3.6640625" customWidth="1"/>
    <col min="18" max="18" width="3" customWidth="1"/>
    <col min="19" max="19" width="14.6640625" customWidth="1"/>
    <col min="20" max="20" width="13.6640625" customWidth="1"/>
    <col min="21" max="21" width="11.5" customWidth="1"/>
    <col min="22" max="22" width="14" customWidth="1"/>
    <col min="23" max="23" width="14.5" customWidth="1"/>
    <col min="24" max="24" width="4" customWidth="1"/>
    <col min="25" max="25" width="12.83203125" customWidth="1"/>
    <col min="26" max="26" width="10.6640625" customWidth="1"/>
    <col min="27" max="27" width="10.1640625" customWidth="1"/>
    <col min="28" max="28" width="10.5" bestFit="1" customWidth="1"/>
    <col min="29" max="29" width="16.33203125" customWidth="1"/>
    <col min="30" max="31" width="10.5" bestFit="1" customWidth="1"/>
  </cols>
  <sheetData>
    <row r="1" spans="1:29" x14ac:dyDescent="0.2">
      <c r="A1" s="249" t="s">
        <v>493</v>
      </c>
      <c r="E1" s="6"/>
      <c r="Y1" s="6" t="s">
        <v>492</v>
      </c>
    </row>
    <row r="2" spans="1:29" x14ac:dyDescent="0.2">
      <c r="F2" s="84" t="s">
        <v>468</v>
      </c>
      <c r="N2" s="84" t="s">
        <v>467</v>
      </c>
      <c r="Y2" t="s">
        <v>491</v>
      </c>
    </row>
    <row r="3" spans="1:29" x14ac:dyDescent="0.2">
      <c r="B3" t="s">
        <v>5</v>
      </c>
      <c r="C3" s="92">
        <v>25000</v>
      </c>
      <c r="Y3" s="84" t="s">
        <v>468</v>
      </c>
    </row>
    <row r="4" spans="1:29" ht="33.75" customHeight="1" x14ac:dyDescent="0.2">
      <c r="B4" t="s">
        <v>490</v>
      </c>
      <c r="C4" s="146">
        <v>0.1</v>
      </c>
      <c r="F4" t="s">
        <v>97</v>
      </c>
      <c r="G4" s="8">
        <f>-C3</f>
        <v>-25000</v>
      </c>
      <c r="H4" s="247"/>
      <c r="I4" s="247"/>
      <c r="N4" s="84" t="s">
        <v>404</v>
      </c>
      <c r="O4" s="84" t="s">
        <v>461</v>
      </c>
      <c r="P4" s="84" t="s">
        <v>460</v>
      </c>
      <c r="S4" s="265" t="s">
        <v>481</v>
      </c>
      <c r="T4" s="265" t="s">
        <v>474</v>
      </c>
      <c r="U4" s="265" t="s">
        <v>480</v>
      </c>
      <c r="V4" s="265" t="s">
        <v>474</v>
      </c>
      <c r="W4" s="265" t="s">
        <v>479</v>
      </c>
      <c r="Y4" s="84" t="s">
        <v>97</v>
      </c>
      <c r="Z4" s="84" t="s">
        <v>462</v>
      </c>
      <c r="AA4" s="84" t="s">
        <v>78</v>
      </c>
      <c r="AB4" s="84" t="s">
        <v>39</v>
      </c>
      <c r="AC4" s="84" t="s">
        <v>489</v>
      </c>
    </row>
    <row r="5" spans="1:29" ht="16" thickBot="1" x14ac:dyDescent="0.25">
      <c r="F5" t="s">
        <v>462</v>
      </c>
      <c r="G5" s="247">
        <f>((1+$C$4)^D$17-1)/($C$4*(1+$C$4)^D$17)</f>
        <v>4.8684188176929348</v>
      </c>
      <c r="H5" s="1"/>
      <c r="I5" s="1"/>
      <c r="N5">
        <v>0</v>
      </c>
      <c r="O5" s="245">
        <f>G4</f>
        <v>-25000</v>
      </c>
      <c r="P5" s="235">
        <f t="shared" ref="P5:P12" si="0">O5/(1+$C$4)^$N5</f>
        <v>-25000</v>
      </c>
      <c r="S5" s="263">
        <f t="shared" ref="S5:T7" si="1">C7</f>
        <v>5000</v>
      </c>
      <c r="T5" s="270">
        <f t="shared" si="1"/>
        <v>0.3</v>
      </c>
      <c r="U5" s="253">
        <f>B14</f>
        <v>6</v>
      </c>
      <c r="V5" s="252">
        <f>D14</f>
        <v>0.66666666666666663</v>
      </c>
      <c r="W5" s="269">
        <f t="shared" ref="W5:W10" si="2">T5*V5</f>
        <v>0.19999999999999998</v>
      </c>
      <c r="Y5" s="8">
        <f>G4</f>
        <v>-25000</v>
      </c>
      <c r="Z5" s="247">
        <f>((1+$C$4)^U5-1)/($C$4*(1+$C$4)^U5)</f>
        <v>4.355260699462228</v>
      </c>
      <c r="AA5" s="1">
        <f>S5*Z5</f>
        <v>21776.303497311139</v>
      </c>
      <c r="AB5" s="8">
        <f>Y5+AA5</f>
        <v>-3223.6965026888611</v>
      </c>
      <c r="AC5" s="8">
        <f>AB5*W5</f>
        <v>-644.73930053777212</v>
      </c>
    </row>
    <row r="6" spans="1:29" ht="35" thickBot="1" x14ac:dyDescent="0.25">
      <c r="B6" s="259"/>
      <c r="C6" s="258" t="s">
        <v>482</v>
      </c>
      <c r="D6" s="258" t="s">
        <v>474</v>
      </c>
      <c r="F6" t="s">
        <v>78</v>
      </c>
      <c r="G6" s="1">
        <f>D11*G5</f>
        <v>35539.457369158423</v>
      </c>
      <c r="N6">
        <v>1</v>
      </c>
      <c r="O6" s="245">
        <f>D11</f>
        <v>7300</v>
      </c>
      <c r="P6" s="235">
        <f t="shared" si="0"/>
        <v>6636.363636363636</v>
      </c>
      <c r="S6" s="263">
        <f t="shared" si="1"/>
        <v>8000</v>
      </c>
      <c r="T6" s="270">
        <f t="shared" si="1"/>
        <v>0.6</v>
      </c>
      <c r="U6" s="253">
        <f>U5</f>
        <v>6</v>
      </c>
      <c r="V6" s="252">
        <f>V5</f>
        <v>0.66666666666666663</v>
      </c>
      <c r="W6" s="269">
        <f t="shared" si="2"/>
        <v>0.39999999999999997</v>
      </c>
      <c r="Y6" s="8">
        <f>Y5</f>
        <v>-25000</v>
      </c>
      <c r="Z6" s="247">
        <f>Z5</f>
        <v>4.355260699462228</v>
      </c>
      <c r="AA6" s="8">
        <f>Z6*S6</f>
        <v>34842.085595697827</v>
      </c>
      <c r="AB6" s="8">
        <f t="shared" ref="AB6:AB10" si="3">Y6+AA6</f>
        <v>9842.0855956978266</v>
      </c>
      <c r="AC6" s="8">
        <f t="shared" ref="AC6:AC10" si="4">AB6*W6</f>
        <v>3936.8342382791302</v>
      </c>
    </row>
    <row r="7" spans="1:29" ht="18" thickBot="1" x14ac:dyDescent="0.25">
      <c r="B7" s="255" t="s">
        <v>477</v>
      </c>
      <c r="C7" s="264">
        <v>5000</v>
      </c>
      <c r="D7" s="262">
        <v>0.3</v>
      </c>
      <c r="F7" t="s">
        <v>39</v>
      </c>
      <c r="G7" s="94">
        <f>G4+G6</f>
        <v>10539.457369158423</v>
      </c>
      <c r="H7" s="27"/>
      <c r="I7" s="27"/>
      <c r="N7">
        <v>2</v>
      </c>
      <c r="O7" s="245">
        <f t="shared" ref="O7:O12" si="5">O6</f>
        <v>7300</v>
      </c>
      <c r="P7" s="235">
        <f t="shared" si="0"/>
        <v>6033.0578512396687</v>
      </c>
      <c r="S7" s="263">
        <f t="shared" si="1"/>
        <v>10000</v>
      </c>
      <c r="T7" s="270">
        <f t="shared" si="1"/>
        <v>9.9999999999999978E-2</v>
      </c>
      <c r="U7" s="253">
        <f>U6</f>
        <v>6</v>
      </c>
      <c r="V7" s="252">
        <f>V6</f>
        <v>0.66666666666666663</v>
      </c>
      <c r="W7" s="269">
        <f t="shared" si="2"/>
        <v>6.6666666666666652E-2</v>
      </c>
      <c r="Y7" s="8">
        <f>Y6</f>
        <v>-25000</v>
      </c>
      <c r="Z7" s="247">
        <f>Z6</f>
        <v>4.355260699462228</v>
      </c>
      <c r="AA7" s="8">
        <f>Z7*S7</f>
        <v>43552.606994622278</v>
      </c>
      <c r="AB7" s="8">
        <f t="shared" si="3"/>
        <v>18552.606994622278</v>
      </c>
      <c r="AC7" s="8">
        <f t="shared" si="4"/>
        <v>1236.8404663081517</v>
      </c>
    </row>
    <row r="8" spans="1:29" ht="18" thickBot="1" x14ac:dyDescent="0.25">
      <c r="B8" s="255" t="s">
        <v>465</v>
      </c>
      <c r="C8" s="261">
        <v>8000</v>
      </c>
      <c r="D8" s="262">
        <v>0.6</v>
      </c>
      <c r="G8" s="8"/>
      <c r="H8" s="8"/>
      <c r="I8" s="8"/>
      <c r="N8">
        <v>3</v>
      </c>
      <c r="O8" s="245">
        <f t="shared" si="5"/>
        <v>7300</v>
      </c>
      <c r="P8" s="235">
        <f>O8/(1+$C$4)^$N8</f>
        <v>5484.5980465815164</v>
      </c>
      <c r="S8" s="257">
        <f t="shared" ref="S8:T10" si="6">C7</f>
        <v>5000</v>
      </c>
      <c r="T8" s="270">
        <f t="shared" si="6"/>
        <v>0.3</v>
      </c>
      <c r="U8" s="253">
        <f>B15</f>
        <v>9</v>
      </c>
      <c r="V8" s="252">
        <f>D15</f>
        <v>0.33333333333333331</v>
      </c>
      <c r="W8" s="269">
        <f t="shared" si="2"/>
        <v>9.9999999999999992E-2</v>
      </c>
      <c r="Y8" s="8">
        <f>Y7</f>
        <v>-25000</v>
      </c>
      <c r="Z8" s="247">
        <f>((1+$C$4)^U8-1)/($C$4*(1+$C$4)^U8)</f>
        <v>5.7590238162751533</v>
      </c>
      <c r="AA8" s="8">
        <f>Z8*S8</f>
        <v>28795.119081375768</v>
      </c>
      <c r="AB8" s="8">
        <f t="shared" si="3"/>
        <v>3795.1190813757676</v>
      </c>
      <c r="AC8" s="8">
        <f t="shared" si="4"/>
        <v>379.51190813757671</v>
      </c>
    </row>
    <row r="9" spans="1:29" ht="18" thickBot="1" x14ac:dyDescent="0.25">
      <c r="B9" s="255" t="s">
        <v>476</v>
      </c>
      <c r="C9" s="261">
        <v>10000</v>
      </c>
      <c r="D9" s="260">
        <f>1-D7-D8</f>
        <v>9.9999999999999978E-2</v>
      </c>
      <c r="N9">
        <v>4</v>
      </c>
      <c r="O9" s="245">
        <f t="shared" si="5"/>
        <v>7300</v>
      </c>
      <c r="P9" s="235">
        <f t="shared" si="0"/>
        <v>4985.998224165015</v>
      </c>
      <c r="S9" s="257">
        <f t="shared" si="6"/>
        <v>8000</v>
      </c>
      <c r="T9" s="270">
        <f t="shared" si="6"/>
        <v>0.6</v>
      </c>
      <c r="U9" s="253">
        <f>U8</f>
        <v>9</v>
      </c>
      <c r="V9" s="252">
        <f>V8</f>
        <v>0.33333333333333331</v>
      </c>
      <c r="W9" s="269">
        <f t="shared" si="2"/>
        <v>0.19999999999999998</v>
      </c>
      <c r="Y9" s="8">
        <f>Y8</f>
        <v>-25000</v>
      </c>
      <c r="Z9" s="268">
        <f>Z8</f>
        <v>5.7590238162751533</v>
      </c>
      <c r="AA9" s="8">
        <f>Z9*S9</f>
        <v>46072.190530201224</v>
      </c>
      <c r="AB9" s="8">
        <f t="shared" si="3"/>
        <v>21072.190530201224</v>
      </c>
      <c r="AC9" s="8">
        <f t="shared" si="4"/>
        <v>4214.4381060402447</v>
      </c>
    </row>
    <row r="10" spans="1:29" x14ac:dyDescent="0.2">
      <c r="H10" s="8"/>
      <c r="I10" s="8"/>
      <c r="N10">
        <v>5</v>
      </c>
      <c r="O10" s="245">
        <f t="shared" si="5"/>
        <v>7300</v>
      </c>
      <c r="P10" s="235">
        <f t="shared" si="0"/>
        <v>4532.7256583318313</v>
      </c>
      <c r="S10" s="257">
        <f t="shared" si="6"/>
        <v>10000</v>
      </c>
      <c r="T10" s="270">
        <f t="shared" si="6"/>
        <v>9.9999999999999978E-2</v>
      </c>
      <c r="U10" s="253">
        <f>U9</f>
        <v>9</v>
      </c>
      <c r="V10" s="252">
        <f>V9</f>
        <v>0.33333333333333331</v>
      </c>
      <c r="W10" s="269">
        <f t="shared" si="2"/>
        <v>3.3333333333333326E-2</v>
      </c>
      <c r="Y10" s="8">
        <f>Y9</f>
        <v>-25000</v>
      </c>
      <c r="Z10" s="268">
        <f>Z9</f>
        <v>5.7590238162751533</v>
      </c>
      <c r="AA10" s="8">
        <f>Z10*S10</f>
        <v>57590.238162751535</v>
      </c>
      <c r="AB10" s="8">
        <f t="shared" si="3"/>
        <v>32590.238162751535</v>
      </c>
      <c r="AC10" s="8">
        <f t="shared" si="4"/>
        <v>1086.3412720917177</v>
      </c>
    </row>
    <row r="11" spans="1:29" ht="17" x14ac:dyDescent="0.2">
      <c r="B11" s="267" t="s">
        <v>488</v>
      </c>
      <c r="D11" s="1">
        <f>SUMPRODUCT(D7:D9,C7:C9)</f>
        <v>7300</v>
      </c>
      <c r="N11">
        <v>6</v>
      </c>
      <c r="O11" s="245">
        <f t="shared" si="5"/>
        <v>7300</v>
      </c>
      <c r="P11" s="235">
        <f t="shared" si="0"/>
        <v>4120.6596893925735</v>
      </c>
      <c r="S11" s="61"/>
      <c r="W11" s="253"/>
    </row>
    <row r="12" spans="1:29" ht="16" thickBot="1" x14ac:dyDescent="0.25">
      <c r="N12">
        <v>7</v>
      </c>
      <c r="O12" s="245">
        <f t="shared" si="5"/>
        <v>7300</v>
      </c>
      <c r="P12" s="235">
        <f t="shared" si="0"/>
        <v>3746.0542630841569</v>
      </c>
      <c r="W12" s="214">
        <f>SUM(W5:W10)</f>
        <v>0.99999999999999989</v>
      </c>
      <c r="AC12" s="94">
        <f>SUM(AC5:AC10)</f>
        <v>10209.22669031905</v>
      </c>
    </row>
    <row r="13" spans="1:29" ht="18" thickBot="1" x14ac:dyDescent="0.25">
      <c r="B13" s="259" t="s">
        <v>475</v>
      </c>
      <c r="D13" s="258" t="s">
        <v>474</v>
      </c>
      <c r="O13" s="245"/>
      <c r="P13" s="235"/>
      <c r="V13" s="251"/>
    </row>
    <row r="14" spans="1:29" ht="17" thickBot="1" x14ac:dyDescent="0.25">
      <c r="B14" s="255">
        <v>6</v>
      </c>
      <c r="D14" s="254">
        <f>2/3</f>
        <v>0.66666666666666663</v>
      </c>
      <c r="N14" t="s">
        <v>47</v>
      </c>
      <c r="O14" s="244">
        <f>IRR(O5:O12)</f>
        <v>0.21899014393959493</v>
      </c>
      <c r="Y14" t="s">
        <v>487</v>
      </c>
    </row>
    <row r="15" spans="1:29" ht="17" thickBot="1" x14ac:dyDescent="0.25">
      <c r="B15" s="255">
        <v>9</v>
      </c>
      <c r="D15" s="254">
        <f>1/3</f>
        <v>0.33333333333333331</v>
      </c>
      <c r="N15" t="s">
        <v>39</v>
      </c>
      <c r="P15" s="266">
        <f>SUM(P5:P12)</f>
        <v>10539.457369158397</v>
      </c>
      <c r="Y15" t="s">
        <v>486</v>
      </c>
    </row>
    <row r="16" spans="1:29" x14ac:dyDescent="0.2">
      <c r="Y16" t="s">
        <v>485</v>
      </c>
    </row>
    <row r="17" spans="2:16" x14ac:dyDescent="0.2">
      <c r="B17" t="s">
        <v>484</v>
      </c>
      <c r="D17" s="235">
        <f>SUMPRODUCT(D14:D15,B14:B15)</f>
        <v>7</v>
      </c>
      <c r="O17" s="245"/>
      <c r="P17" s="235"/>
    </row>
    <row r="18" spans="2:16" x14ac:dyDescent="0.2">
      <c r="C18" s="4"/>
      <c r="O18" s="245"/>
      <c r="P18" s="235"/>
    </row>
    <row r="20" spans="2:16" x14ac:dyDescent="0.2">
      <c r="C20" s="27"/>
    </row>
    <row r="21" spans="2:16" x14ac:dyDescent="0.2">
      <c r="C21" s="27"/>
    </row>
    <row r="22" spans="2:16" x14ac:dyDescent="0.2">
      <c r="C22" s="27"/>
    </row>
  </sheetData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15"/>
  <sheetViews>
    <sheetView zoomScale="145" zoomScaleNormal="145" workbookViewId="0">
      <selection activeCell="F15" sqref="F15"/>
    </sheetView>
  </sheetViews>
  <sheetFormatPr baseColWidth="10" defaultColWidth="8.83203125" defaultRowHeight="15" x14ac:dyDescent="0.2"/>
  <cols>
    <col min="2" max="2" width="17.6640625" bestFit="1" customWidth="1"/>
    <col min="3" max="3" width="11.5" customWidth="1"/>
    <col min="4" max="4" width="10.6640625" bestFit="1" customWidth="1"/>
    <col min="5" max="5" width="10.83203125" bestFit="1" customWidth="1"/>
    <col min="6" max="6" width="10.33203125" customWidth="1"/>
    <col min="8" max="8" width="10.5" bestFit="1" customWidth="1"/>
    <col min="9" max="9" width="10.6640625" bestFit="1" customWidth="1"/>
    <col min="10" max="10" width="10.83203125" bestFit="1" customWidth="1"/>
    <col min="17" max="17" width="10" customWidth="1"/>
    <col min="18" max="18" width="11.33203125" bestFit="1" customWidth="1"/>
    <col min="19" max="19" width="3" customWidth="1"/>
    <col min="21" max="21" width="11.33203125" bestFit="1" customWidth="1"/>
    <col min="22" max="22" width="2.83203125" customWidth="1"/>
    <col min="24" max="24" width="11.33203125" bestFit="1" customWidth="1"/>
  </cols>
  <sheetData>
    <row r="1" spans="1:7" x14ac:dyDescent="0.2">
      <c r="A1" s="6" t="s">
        <v>499</v>
      </c>
      <c r="E1" s="6"/>
    </row>
    <row r="4" spans="1:7" x14ac:dyDescent="0.2">
      <c r="C4" t="s">
        <v>498</v>
      </c>
      <c r="D4" t="s">
        <v>422</v>
      </c>
      <c r="F4" t="s">
        <v>497</v>
      </c>
      <c r="G4" t="s">
        <v>422</v>
      </c>
    </row>
    <row r="5" spans="1:7" ht="16" x14ac:dyDescent="0.2">
      <c r="C5" s="273" t="s">
        <v>474</v>
      </c>
      <c r="D5" s="273" t="s">
        <v>496</v>
      </c>
      <c r="F5" s="273" t="s">
        <v>474</v>
      </c>
      <c r="G5" s="273" t="s">
        <v>496</v>
      </c>
    </row>
    <row r="6" spans="1:7" x14ac:dyDescent="0.2">
      <c r="C6" s="146">
        <v>0.1</v>
      </c>
      <c r="D6" s="233">
        <v>1000</v>
      </c>
      <c r="F6" s="146">
        <v>0.2</v>
      </c>
      <c r="G6" s="233">
        <v>1500</v>
      </c>
    </row>
    <row r="7" spans="1:7" ht="16" x14ac:dyDescent="0.2">
      <c r="B7" s="271"/>
      <c r="C7" s="146">
        <v>0.3</v>
      </c>
      <c r="D7" s="233">
        <v>2000</v>
      </c>
      <c r="F7" s="146">
        <v>0.4</v>
      </c>
      <c r="G7" s="233">
        <v>2500</v>
      </c>
    </row>
    <row r="8" spans="1:7" x14ac:dyDescent="0.2">
      <c r="C8" s="272">
        <v>0.4</v>
      </c>
      <c r="D8" s="233">
        <v>3000</v>
      </c>
      <c r="F8" s="272">
        <v>0.3</v>
      </c>
      <c r="G8" s="233">
        <v>3500</v>
      </c>
    </row>
    <row r="9" spans="1:7" x14ac:dyDescent="0.2">
      <c r="C9" s="272">
        <v>0.2</v>
      </c>
      <c r="D9" s="233">
        <v>4000</v>
      </c>
      <c r="F9" s="272">
        <v>0.1</v>
      </c>
      <c r="G9" s="233">
        <v>4500</v>
      </c>
    </row>
    <row r="10" spans="1:7" ht="16" x14ac:dyDescent="0.2">
      <c r="B10" s="271"/>
      <c r="C10" s="8"/>
    </row>
    <row r="11" spans="1:7" x14ac:dyDescent="0.2">
      <c r="B11" t="s">
        <v>495</v>
      </c>
      <c r="D11" s="1">
        <f>SUMPRODUCT(C6:C9,D6:D9)</f>
        <v>2700</v>
      </c>
      <c r="G11" s="1">
        <f>SUMPRODUCT(F6:F9,G6:G9)</f>
        <v>2800</v>
      </c>
    </row>
    <row r="12" spans="1:7" ht="16" x14ac:dyDescent="0.2">
      <c r="B12" s="271"/>
      <c r="D12" s="1"/>
    </row>
    <row r="13" spans="1:7" x14ac:dyDescent="0.2">
      <c r="B13" t="s">
        <v>494</v>
      </c>
    </row>
    <row r="15" spans="1:7" x14ac:dyDescent="0.2">
      <c r="D15" s="150">
        <f>C6*D6+C7*D7+C8*D8+C9*D9</f>
        <v>2700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U22"/>
  <sheetViews>
    <sheetView topLeftCell="H2" zoomScaleNormal="100" workbookViewId="0">
      <selection activeCell="O15" sqref="O15"/>
    </sheetView>
  </sheetViews>
  <sheetFormatPr baseColWidth="10" defaultColWidth="8.83203125" defaultRowHeight="15" x14ac:dyDescent="0.2"/>
  <cols>
    <col min="2" max="2" width="17.6640625" bestFit="1" customWidth="1"/>
    <col min="3" max="3" width="11.1640625" customWidth="1"/>
    <col min="4" max="4" width="13.1640625" bestFit="1" customWidth="1"/>
    <col min="5" max="5" width="3.6640625" customWidth="1"/>
    <col min="6" max="6" width="3" customWidth="1"/>
    <col min="7" max="7" width="14.6640625" customWidth="1"/>
    <col min="8" max="8" width="14.5" customWidth="1"/>
    <col min="9" max="9" width="12.6640625" customWidth="1"/>
    <col min="10" max="10" width="14" customWidth="1"/>
    <col min="11" max="11" width="14.5" customWidth="1"/>
    <col min="12" max="12" width="4" customWidth="1"/>
    <col min="13" max="13" width="12.83203125" customWidth="1"/>
    <col min="14" max="14" width="10.6640625" customWidth="1"/>
    <col min="15" max="15" width="12.1640625" customWidth="1"/>
    <col min="16" max="16" width="10.5" bestFit="1" customWidth="1"/>
    <col min="17" max="17" width="16.33203125" customWidth="1"/>
    <col min="18" max="18" width="18.83203125" customWidth="1"/>
    <col min="19" max="19" width="10.5" bestFit="1" customWidth="1"/>
    <col min="21" max="21" width="14.33203125" bestFit="1" customWidth="1"/>
  </cols>
  <sheetData>
    <row r="1" spans="1:21" x14ac:dyDescent="0.2">
      <c r="A1" s="249" t="s">
        <v>504</v>
      </c>
      <c r="M1" s="6"/>
    </row>
    <row r="3" spans="1:21" x14ac:dyDescent="0.2">
      <c r="B3" t="s">
        <v>5</v>
      </c>
      <c r="C3" s="92">
        <v>25000</v>
      </c>
      <c r="M3" s="84" t="s">
        <v>468</v>
      </c>
    </row>
    <row r="4" spans="1:21" ht="33.75" customHeight="1" x14ac:dyDescent="0.2">
      <c r="B4" t="s">
        <v>490</v>
      </c>
      <c r="C4" s="146">
        <v>0.1</v>
      </c>
      <c r="G4" s="265" t="s">
        <v>481</v>
      </c>
      <c r="H4" s="265" t="s">
        <v>474</v>
      </c>
      <c r="I4" s="265" t="s">
        <v>480</v>
      </c>
      <c r="J4" s="265" t="s">
        <v>474</v>
      </c>
      <c r="K4" s="265" t="s">
        <v>479</v>
      </c>
      <c r="M4" s="84" t="s">
        <v>97</v>
      </c>
      <c r="N4" s="84" t="s">
        <v>462</v>
      </c>
      <c r="O4" s="84" t="s">
        <v>78</v>
      </c>
      <c r="P4" s="84" t="s">
        <v>39</v>
      </c>
      <c r="Q4" s="301" t="s">
        <v>489</v>
      </c>
      <c r="R4" s="301" t="s">
        <v>503</v>
      </c>
    </row>
    <row r="5" spans="1:21" ht="16" thickBot="1" x14ac:dyDescent="0.25">
      <c r="G5" s="263">
        <f t="shared" ref="G5:H7" si="0">C7</f>
        <v>5000</v>
      </c>
      <c r="H5" s="270">
        <f t="shared" si="0"/>
        <v>0.3</v>
      </c>
      <c r="I5" s="253">
        <f>B14</f>
        <v>6</v>
      </c>
      <c r="J5" s="252">
        <f>D14</f>
        <v>0.66666666666666663</v>
      </c>
      <c r="K5" s="269">
        <f t="shared" ref="K5:K10" si="1">H5*J5</f>
        <v>0.19999999999999998</v>
      </c>
      <c r="M5" s="8">
        <f>-C3</f>
        <v>-25000</v>
      </c>
      <c r="N5" s="247">
        <f>((1+$C$4)^I5-1)/($C$4*(1+$C$4)^I5)</f>
        <v>4.355260699462228</v>
      </c>
      <c r="O5" s="1">
        <f>G5*N5</f>
        <v>21776.303497311139</v>
      </c>
      <c r="P5" s="8">
        <f t="shared" ref="P5:P10" si="2">M5+O5</f>
        <v>-3223.6965026888611</v>
      </c>
      <c r="Q5" s="302">
        <f>P5*K5</f>
        <v>-644.73930053777212</v>
      </c>
      <c r="R5" s="302">
        <f>P5^2*K5</f>
        <v>2078443.8282896786</v>
      </c>
      <c r="U5" s="235"/>
    </row>
    <row r="6" spans="1:21" ht="35" thickBot="1" x14ac:dyDescent="0.25">
      <c r="B6" s="259"/>
      <c r="C6" s="258" t="s">
        <v>482</v>
      </c>
      <c r="D6" s="258" t="s">
        <v>474</v>
      </c>
      <c r="G6" s="263">
        <f t="shared" si="0"/>
        <v>8000</v>
      </c>
      <c r="H6" s="270">
        <f t="shared" si="0"/>
        <v>0.6</v>
      </c>
      <c r="I6" s="253">
        <f>I5</f>
        <v>6</v>
      </c>
      <c r="J6" s="252">
        <f>J5</f>
        <v>0.66666666666666663</v>
      </c>
      <c r="K6" s="269">
        <f t="shared" si="1"/>
        <v>0.39999999999999997</v>
      </c>
      <c r="M6" s="8">
        <f>M5</f>
        <v>-25000</v>
      </c>
      <c r="N6" s="247">
        <f>N5</f>
        <v>4.355260699462228</v>
      </c>
      <c r="O6" s="8">
        <f>N6*G6</f>
        <v>34842.085595697827</v>
      </c>
      <c r="P6" s="8">
        <f t="shared" si="2"/>
        <v>9842.0855956978266</v>
      </c>
      <c r="Q6" s="302">
        <f t="shared" ref="Q6:Q10" si="3">P6*K6</f>
        <v>3936.8342382791302</v>
      </c>
      <c r="R6" s="302">
        <f t="shared" ref="R6:R10" si="4">P6^2*K6</f>
        <v>38746659.549217053</v>
      </c>
      <c r="U6" s="235"/>
    </row>
    <row r="7" spans="1:21" ht="18" thickBot="1" x14ac:dyDescent="0.25">
      <c r="B7" s="255" t="s">
        <v>477</v>
      </c>
      <c r="C7" s="264">
        <v>5000</v>
      </c>
      <c r="D7" s="262">
        <v>0.3</v>
      </c>
      <c r="G7" s="263">
        <f t="shared" si="0"/>
        <v>10000</v>
      </c>
      <c r="H7" s="270">
        <f t="shared" si="0"/>
        <v>9.9999999999999978E-2</v>
      </c>
      <c r="I7" s="253">
        <f>I6</f>
        <v>6</v>
      </c>
      <c r="J7" s="252">
        <f>J6</f>
        <v>0.66666666666666663</v>
      </c>
      <c r="K7" s="269">
        <f t="shared" si="1"/>
        <v>6.6666666666666652E-2</v>
      </c>
      <c r="M7" s="8">
        <f>M6</f>
        <v>-25000</v>
      </c>
      <c r="N7" s="247">
        <f>N6</f>
        <v>4.355260699462228</v>
      </c>
      <c r="O7" s="8">
        <f>N7*G7</f>
        <v>43552.606994622278</v>
      </c>
      <c r="P7" s="8">
        <f t="shared" si="2"/>
        <v>18552.606994622278</v>
      </c>
      <c r="Q7" s="302">
        <f t="shared" si="3"/>
        <v>1236.8404663081517</v>
      </c>
      <c r="R7" s="302">
        <f t="shared" si="4"/>
        <v>22946615.086460494</v>
      </c>
      <c r="U7" s="235"/>
    </row>
    <row r="8" spans="1:21" ht="18" thickBot="1" x14ac:dyDescent="0.25">
      <c r="B8" s="255" t="s">
        <v>465</v>
      </c>
      <c r="C8" s="261">
        <v>8000</v>
      </c>
      <c r="D8" s="262">
        <v>0.6</v>
      </c>
      <c r="G8" s="257">
        <f t="shared" ref="G8:H10" si="5">C7</f>
        <v>5000</v>
      </c>
      <c r="H8" s="270">
        <f t="shared" si="5"/>
        <v>0.3</v>
      </c>
      <c r="I8" s="253">
        <f>B15</f>
        <v>9</v>
      </c>
      <c r="J8" s="252">
        <f>D15</f>
        <v>0.33333333333333331</v>
      </c>
      <c r="K8" s="269">
        <f t="shared" si="1"/>
        <v>9.9999999999999992E-2</v>
      </c>
      <c r="M8" s="8">
        <f>M7</f>
        <v>-25000</v>
      </c>
      <c r="N8" s="247">
        <f>((1+$C$4)^I8-1)/($C$4*(1+$C$4)^I8)</f>
        <v>5.7590238162751533</v>
      </c>
      <c r="O8" s="8">
        <f>N8*G8</f>
        <v>28795.119081375768</v>
      </c>
      <c r="P8" s="8">
        <f t="shared" si="2"/>
        <v>3795.1190813757676</v>
      </c>
      <c r="Q8" s="302">
        <f t="shared" si="3"/>
        <v>379.51190813757671</v>
      </c>
      <c r="R8" s="302">
        <f t="shared" si="4"/>
        <v>1440292.8841822448</v>
      </c>
      <c r="U8" s="235"/>
    </row>
    <row r="9" spans="1:21" ht="18" thickBot="1" x14ac:dyDescent="0.25">
      <c r="B9" s="255" t="s">
        <v>476</v>
      </c>
      <c r="C9" s="261">
        <v>10000</v>
      </c>
      <c r="D9" s="260">
        <f>1-D7-D8</f>
        <v>9.9999999999999978E-2</v>
      </c>
      <c r="G9" s="257">
        <f t="shared" si="5"/>
        <v>8000</v>
      </c>
      <c r="H9" s="270">
        <f t="shared" si="5"/>
        <v>0.6</v>
      </c>
      <c r="I9" s="253">
        <f>I8</f>
        <v>9</v>
      </c>
      <c r="J9" s="252">
        <f>J8</f>
        <v>0.33333333333333331</v>
      </c>
      <c r="K9" s="269">
        <f t="shared" si="1"/>
        <v>0.19999999999999998</v>
      </c>
      <c r="M9" s="8">
        <f>M8</f>
        <v>-25000</v>
      </c>
      <c r="N9" s="268">
        <f>N8</f>
        <v>5.7590238162751533</v>
      </c>
      <c r="O9" s="8">
        <f>N9*G9</f>
        <v>46072.190530201224</v>
      </c>
      <c r="P9" s="8">
        <f t="shared" si="2"/>
        <v>21072.190530201224</v>
      </c>
      <c r="Q9" s="302">
        <f t="shared" si="3"/>
        <v>4214.4381060402447</v>
      </c>
      <c r="R9" s="302">
        <f t="shared" si="4"/>
        <v>88807442.748220429</v>
      </c>
      <c r="U9" s="235"/>
    </row>
    <row r="10" spans="1:21" x14ac:dyDescent="0.2">
      <c r="G10" s="257">
        <f t="shared" si="5"/>
        <v>10000</v>
      </c>
      <c r="H10" s="270">
        <f t="shared" si="5"/>
        <v>9.9999999999999978E-2</v>
      </c>
      <c r="I10" s="253">
        <f>I9</f>
        <v>9</v>
      </c>
      <c r="J10" s="252">
        <f>J9</f>
        <v>0.33333333333333331</v>
      </c>
      <c r="K10" s="269">
        <f t="shared" si="1"/>
        <v>3.3333333333333326E-2</v>
      </c>
      <c r="M10" s="8">
        <f>M9</f>
        <v>-25000</v>
      </c>
      <c r="N10" s="268">
        <f>N9</f>
        <v>5.7590238162751533</v>
      </c>
      <c r="O10" s="8">
        <f>N10*G10</f>
        <v>57590.238162751535</v>
      </c>
      <c r="P10" s="8">
        <f t="shared" si="2"/>
        <v>32590.238162751535</v>
      </c>
      <c r="Q10" s="302">
        <f t="shared" si="3"/>
        <v>1086.3412720917177</v>
      </c>
      <c r="R10" s="302">
        <f t="shared" si="4"/>
        <v>35404120.783495545</v>
      </c>
      <c r="U10" s="235"/>
    </row>
    <row r="11" spans="1:21" ht="17" x14ac:dyDescent="0.2">
      <c r="B11" s="267" t="s">
        <v>488</v>
      </c>
      <c r="D11" s="1">
        <f>SUMPRODUCT(D7:D9,C7:C9)</f>
        <v>7300</v>
      </c>
      <c r="G11" s="61"/>
      <c r="K11" s="253"/>
      <c r="Q11" s="303"/>
      <c r="R11" s="303"/>
    </row>
    <row r="12" spans="1:21" ht="16" thickBot="1" x14ac:dyDescent="0.25">
      <c r="M12" t="s">
        <v>478</v>
      </c>
      <c r="Q12" s="302">
        <f>SUM(Q5:Q10)</f>
        <v>10209.22669031905</v>
      </c>
      <c r="R12" s="304">
        <f>SUM(R5:R10)</f>
        <v>189423574.87986544</v>
      </c>
    </row>
    <row r="13" spans="1:21" ht="18" thickBot="1" x14ac:dyDescent="0.25">
      <c r="B13" s="259" t="s">
        <v>475</v>
      </c>
      <c r="D13" s="258" t="s">
        <v>474</v>
      </c>
      <c r="J13" s="251"/>
      <c r="R13" t="s">
        <v>502</v>
      </c>
    </row>
    <row r="14" spans="1:21" ht="17" thickBot="1" x14ac:dyDescent="0.25">
      <c r="B14" s="255">
        <v>6</v>
      </c>
      <c r="D14" s="254">
        <f>2/3</f>
        <v>0.66666666666666663</v>
      </c>
    </row>
    <row r="15" spans="1:21" ht="17" thickBot="1" x14ac:dyDescent="0.25">
      <c r="B15" s="255">
        <v>9</v>
      </c>
      <c r="D15" s="254">
        <f>1/3</f>
        <v>0.33333333333333331</v>
      </c>
      <c r="M15" t="s">
        <v>501</v>
      </c>
      <c r="O15" s="212">
        <f>SQRT(R12-Q12^2)</f>
        <v>9230.128128338336</v>
      </c>
    </row>
    <row r="17" spans="2:15" x14ac:dyDescent="0.2">
      <c r="B17" t="s">
        <v>484</v>
      </c>
      <c r="D17" s="235">
        <f>SUMPRODUCT(D14:D15,B14:B15)</f>
        <v>7</v>
      </c>
      <c r="M17" t="s">
        <v>500</v>
      </c>
      <c r="O17" s="86">
        <f>O15*2</f>
        <v>18460.256256676672</v>
      </c>
    </row>
    <row r="18" spans="2:15" x14ac:dyDescent="0.2">
      <c r="C18" s="4"/>
    </row>
    <row r="20" spans="2:15" x14ac:dyDescent="0.2">
      <c r="C20" s="27"/>
    </row>
    <row r="21" spans="2:15" x14ac:dyDescent="0.2">
      <c r="C21" s="27"/>
    </row>
    <row r="22" spans="2:15" x14ac:dyDescent="0.2">
      <c r="C22" s="27"/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17"/>
  <sheetViews>
    <sheetView zoomScale="145" zoomScaleNormal="145" workbookViewId="0">
      <selection activeCell="D11" sqref="D11"/>
    </sheetView>
  </sheetViews>
  <sheetFormatPr baseColWidth="10" defaultColWidth="8.83203125" defaultRowHeight="15" x14ac:dyDescent="0.2"/>
  <cols>
    <col min="1" max="1" width="3.5" customWidth="1"/>
    <col min="2" max="2" width="25" customWidth="1"/>
    <col min="3" max="3" width="11.5" customWidth="1"/>
    <col min="4" max="4" width="12.5" customWidth="1"/>
    <col min="8" max="8" width="11.5" bestFit="1" customWidth="1"/>
  </cols>
  <sheetData>
    <row r="1" spans="1:5" x14ac:dyDescent="0.2">
      <c r="A1" s="6" t="s">
        <v>516</v>
      </c>
      <c r="E1" s="6"/>
    </row>
    <row r="3" spans="1:5" x14ac:dyDescent="0.2">
      <c r="B3" t="s">
        <v>515</v>
      </c>
      <c r="C3" s="6"/>
      <c r="D3" s="92">
        <v>100000</v>
      </c>
    </row>
    <row r="4" spans="1:5" x14ac:dyDescent="0.2">
      <c r="D4" t="s">
        <v>422</v>
      </c>
    </row>
    <row r="5" spans="1:5" ht="16" x14ac:dyDescent="0.2">
      <c r="C5" s="273" t="s">
        <v>474</v>
      </c>
      <c r="D5" s="273" t="s">
        <v>514</v>
      </c>
    </row>
    <row r="6" spans="1:5" x14ac:dyDescent="0.2">
      <c r="B6" t="s">
        <v>513</v>
      </c>
      <c r="C6" s="146">
        <v>0.3</v>
      </c>
      <c r="D6" s="233">
        <v>200000</v>
      </c>
    </row>
    <row r="7" spans="1:5" ht="16" x14ac:dyDescent="0.2">
      <c r="B7" s="271" t="s">
        <v>512</v>
      </c>
      <c r="C7" s="146">
        <v>0.5</v>
      </c>
      <c r="D7" s="233">
        <v>100000</v>
      </c>
    </row>
    <row r="8" spans="1:5" x14ac:dyDescent="0.2">
      <c r="B8" t="s">
        <v>511</v>
      </c>
      <c r="C8" s="272">
        <v>0.1</v>
      </c>
      <c r="D8" s="233">
        <v>50000</v>
      </c>
    </row>
    <row r="9" spans="1:5" x14ac:dyDescent="0.2">
      <c r="B9" t="s">
        <v>510</v>
      </c>
      <c r="C9" s="272">
        <v>0.1</v>
      </c>
      <c r="D9" s="233">
        <v>0</v>
      </c>
    </row>
    <row r="10" spans="1:5" ht="16" x14ac:dyDescent="0.2">
      <c r="B10" s="271"/>
      <c r="C10" s="8"/>
    </row>
    <row r="11" spans="1:5" x14ac:dyDescent="0.2">
      <c r="B11" t="s">
        <v>509</v>
      </c>
      <c r="D11" s="1">
        <f>SUMPRODUCT(C6:C9,D6:D9)</f>
        <v>115000</v>
      </c>
    </row>
    <row r="12" spans="1:5" ht="16" x14ac:dyDescent="0.2">
      <c r="B12" s="271"/>
      <c r="D12" s="1"/>
    </row>
    <row r="13" spans="1:5" x14ac:dyDescent="0.2">
      <c r="B13" t="s">
        <v>508</v>
      </c>
      <c r="D13" s="94">
        <f>-D3+D11</f>
        <v>15000</v>
      </c>
    </row>
    <row r="15" spans="1:5" x14ac:dyDescent="0.2">
      <c r="B15" t="s">
        <v>507</v>
      </c>
    </row>
    <row r="16" spans="1:5" x14ac:dyDescent="0.2">
      <c r="B16" t="s">
        <v>506</v>
      </c>
    </row>
    <row r="17" spans="2:2" x14ac:dyDescent="0.2">
      <c r="B17" t="s">
        <v>505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AG14"/>
  <sheetViews>
    <sheetView workbookViewId="0">
      <selection activeCell="C20" sqref="C20"/>
    </sheetView>
  </sheetViews>
  <sheetFormatPr baseColWidth="10" defaultColWidth="8.83203125" defaultRowHeight="15" x14ac:dyDescent="0.2"/>
  <cols>
    <col min="1" max="1" width="12.5" bestFit="1" customWidth="1"/>
    <col min="3" max="3" width="11" customWidth="1"/>
    <col min="4" max="4" width="9.33203125" customWidth="1"/>
    <col min="5" max="5" width="9.83203125" customWidth="1"/>
    <col min="6" max="6" width="12.33203125" customWidth="1"/>
    <col min="7" max="7" width="10.83203125" customWidth="1"/>
    <col min="8" max="8" width="4" customWidth="1"/>
    <col min="9" max="9" width="11" customWidth="1"/>
    <col min="10" max="10" width="9.33203125" customWidth="1"/>
    <col min="11" max="11" width="9.83203125" customWidth="1"/>
    <col min="12" max="12" width="12.33203125" customWidth="1"/>
    <col min="13" max="13" width="10.83203125" customWidth="1"/>
    <col min="14" max="14" width="4.6640625" customWidth="1"/>
    <col min="15" max="15" width="11" customWidth="1"/>
    <col min="16" max="16" width="9.33203125" customWidth="1"/>
    <col min="17" max="17" width="10.5" customWidth="1"/>
    <col min="18" max="18" width="12.33203125" customWidth="1"/>
    <col min="19" max="19" width="10.83203125" customWidth="1"/>
    <col min="20" max="20" width="3.6640625" customWidth="1"/>
    <col min="21" max="21" width="11" customWidth="1"/>
    <col min="22" max="22" width="9.33203125" customWidth="1"/>
    <col min="23" max="23" width="10.6640625" customWidth="1"/>
    <col min="24" max="24" width="12.33203125" customWidth="1"/>
    <col min="25" max="25" width="10.83203125" customWidth="1"/>
    <col min="26" max="26" width="3.83203125" customWidth="1"/>
    <col min="28" max="29" width="10.5" customWidth="1"/>
    <col min="33" max="33" width="11" bestFit="1" customWidth="1"/>
  </cols>
  <sheetData>
    <row r="2" spans="1:33" ht="52" thickBot="1" x14ac:dyDescent="0.25">
      <c r="A2" t="s">
        <v>535</v>
      </c>
      <c r="B2" s="55">
        <v>2.5000000000000001E-2</v>
      </c>
      <c r="AA2" s="284" t="s">
        <v>534</v>
      </c>
      <c r="AB2" s="283" t="s">
        <v>533</v>
      </c>
      <c r="AC2" s="283" t="s">
        <v>532</v>
      </c>
      <c r="AD2" s="283" t="s">
        <v>531</v>
      </c>
      <c r="AE2" s="283" t="s">
        <v>47</v>
      </c>
      <c r="AF2" s="283" t="s">
        <v>530</v>
      </c>
      <c r="AG2" s="283" t="s">
        <v>529</v>
      </c>
    </row>
    <row r="3" spans="1:33" ht="17" x14ac:dyDescent="0.2">
      <c r="D3" s="2"/>
      <c r="E3" s="2"/>
      <c r="J3" s="2"/>
      <c r="K3" s="2"/>
      <c r="P3" s="2"/>
      <c r="Q3" s="2"/>
      <c r="V3" s="2"/>
      <c r="W3" s="2"/>
      <c r="AA3" s="279" t="s">
        <v>80</v>
      </c>
      <c r="AB3" s="278">
        <v>50000</v>
      </c>
      <c r="AC3" s="278">
        <v>100000</v>
      </c>
      <c r="AD3" s="277">
        <v>20</v>
      </c>
      <c r="AE3" s="282">
        <f>E14</f>
        <v>0.32513672966668783</v>
      </c>
      <c r="AF3" s="281">
        <f>AC3/AB3</f>
        <v>2</v>
      </c>
      <c r="AG3" s="274">
        <f>AC3-AB3</f>
        <v>50000</v>
      </c>
    </row>
    <row r="4" spans="1:33" ht="17" x14ac:dyDescent="0.2">
      <c r="C4" s="84" t="s">
        <v>528</v>
      </c>
      <c r="D4" s="84"/>
      <c r="E4" s="84"/>
      <c r="F4" s="84"/>
      <c r="G4" s="84"/>
      <c r="I4" s="84" t="s">
        <v>527</v>
      </c>
      <c r="J4" s="84"/>
      <c r="K4" s="84"/>
      <c r="L4" s="84"/>
      <c r="M4" s="84"/>
      <c r="O4" s="84" t="s">
        <v>526</v>
      </c>
      <c r="P4" s="84"/>
      <c r="Q4" s="84"/>
      <c r="R4" s="84"/>
      <c r="S4" s="84"/>
      <c r="U4" s="84" t="s">
        <v>525</v>
      </c>
      <c r="V4" s="84"/>
      <c r="W4" s="84"/>
      <c r="X4" s="84"/>
      <c r="Y4" s="84"/>
      <c r="AA4" s="279" t="s">
        <v>524</v>
      </c>
      <c r="AB4" s="278">
        <v>80000</v>
      </c>
      <c r="AC4" s="278">
        <v>150000</v>
      </c>
      <c r="AD4" s="277">
        <v>45</v>
      </c>
      <c r="AE4" s="276">
        <f>K14</f>
        <v>0.29108484298106085</v>
      </c>
      <c r="AF4" s="275">
        <f>AC4/AB4</f>
        <v>1.875</v>
      </c>
      <c r="AG4" s="280">
        <f>AC4-AB4</f>
        <v>70000</v>
      </c>
    </row>
    <row r="5" spans="1:33" ht="32" x14ac:dyDescent="0.2">
      <c r="B5" t="s">
        <v>404</v>
      </c>
      <c r="C5" t="s">
        <v>523</v>
      </c>
      <c r="D5" t="s">
        <v>522</v>
      </c>
      <c r="E5" t="s">
        <v>377</v>
      </c>
      <c r="F5" s="95" t="s">
        <v>521</v>
      </c>
      <c r="G5" s="95" t="s">
        <v>520</v>
      </c>
      <c r="I5" t="s">
        <v>523</v>
      </c>
      <c r="J5" t="s">
        <v>522</v>
      </c>
      <c r="K5" t="s">
        <v>377</v>
      </c>
      <c r="L5" s="95" t="s">
        <v>521</v>
      </c>
      <c r="M5" s="95" t="s">
        <v>520</v>
      </c>
      <c r="O5" t="s">
        <v>523</v>
      </c>
      <c r="P5" t="s">
        <v>522</v>
      </c>
      <c r="Q5" t="s">
        <v>377</v>
      </c>
      <c r="R5" s="95" t="s">
        <v>521</v>
      </c>
      <c r="S5" s="95" t="s">
        <v>520</v>
      </c>
      <c r="U5" t="s">
        <v>523</v>
      </c>
      <c r="V5" t="s">
        <v>522</v>
      </c>
      <c r="W5" t="s">
        <v>377</v>
      </c>
      <c r="X5" s="95" t="s">
        <v>521</v>
      </c>
      <c r="Y5" s="95" t="s">
        <v>520</v>
      </c>
      <c r="AA5" s="279" t="s">
        <v>519</v>
      </c>
      <c r="AB5" s="278">
        <v>120000</v>
      </c>
      <c r="AC5" s="278">
        <v>170000</v>
      </c>
      <c r="AD5" s="277">
        <v>70</v>
      </c>
      <c r="AE5" s="276">
        <f>Q14</f>
        <v>0.15933121707501652</v>
      </c>
      <c r="AF5" s="275">
        <f>AC5/AB5</f>
        <v>1.4166666666666667</v>
      </c>
      <c r="AG5" s="274">
        <f>AC5-AB5</f>
        <v>50000</v>
      </c>
    </row>
    <row r="6" spans="1:33" ht="17" x14ac:dyDescent="0.2">
      <c r="A6" t="s">
        <v>518</v>
      </c>
      <c r="B6">
        <v>0</v>
      </c>
      <c r="C6" s="1">
        <v>-50000</v>
      </c>
      <c r="D6" s="1"/>
      <c r="E6" s="1">
        <f t="shared" ref="E6:E11" si="0">C6+D6</f>
        <v>-50000</v>
      </c>
      <c r="F6" s="1">
        <f>C6/(1+$B$2)^$B6</f>
        <v>-50000</v>
      </c>
      <c r="I6" s="1">
        <v>-80000</v>
      </c>
      <c r="J6" s="1"/>
      <c r="K6" s="1">
        <f t="shared" ref="K6:K11" si="1">I6+J6</f>
        <v>-80000</v>
      </c>
      <c r="L6" s="1">
        <f>I6/(1+$B$2)^$B6</f>
        <v>-80000</v>
      </c>
      <c r="O6" s="1">
        <v>-120000</v>
      </c>
      <c r="P6" s="1"/>
      <c r="Q6" s="1">
        <f t="shared" ref="Q6:Q11" si="2">O6+P6</f>
        <v>-120000</v>
      </c>
      <c r="R6" s="1">
        <f>O6/(1+$B$2)^$B6</f>
        <v>-120000</v>
      </c>
      <c r="U6" s="1">
        <v>-190000</v>
      </c>
      <c r="V6" s="1"/>
      <c r="W6" s="1">
        <f t="shared" ref="W6:W11" si="3">U6+V6</f>
        <v>-190000</v>
      </c>
      <c r="X6" s="1">
        <f>U6/(1+$B$2)^$B6</f>
        <v>-190000</v>
      </c>
      <c r="AA6" s="279" t="s">
        <v>517</v>
      </c>
      <c r="AB6" s="278">
        <v>190000</v>
      </c>
      <c r="AC6" s="278">
        <v>180000</v>
      </c>
      <c r="AD6" s="277">
        <v>95</v>
      </c>
      <c r="AE6" s="276">
        <f>W14</f>
        <v>6.5020386646197359E-3</v>
      </c>
      <c r="AF6" s="275">
        <f>AC6/AB6</f>
        <v>0.94736842105263153</v>
      </c>
      <c r="AG6" s="274">
        <f>AC6-AB6</f>
        <v>-10000</v>
      </c>
    </row>
    <row r="7" spans="1:33" x14ac:dyDescent="0.2">
      <c r="B7">
        <v>1</v>
      </c>
      <c r="C7" s="1"/>
      <c r="D7" s="1">
        <v>21524.686090821633</v>
      </c>
      <c r="E7" s="1">
        <f t="shared" si="0"/>
        <v>21524.686090821633</v>
      </c>
      <c r="G7" s="1">
        <f>D7/(1+$B$2)^$B7</f>
        <v>20999.693747143057</v>
      </c>
      <c r="I7" s="1"/>
      <c r="J7" s="1">
        <v>32287.029136232431</v>
      </c>
      <c r="K7" s="1">
        <f t="shared" si="1"/>
        <v>32287.029136232431</v>
      </c>
      <c r="M7" s="1">
        <f>J7/(1+$B$2)^$B7</f>
        <v>31499.540620714572</v>
      </c>
      <c r="O7" s="1"/>
      <c r="P7" s="1">
        <v>36591.966354396762</v>
      </c>
      <c r="Q7" s="1">
        <f t="shared" si="2"/>
        <v>36591.966354396762</v>
      </c>
      <c r="S7" s="1">
        <f>P7/(1+$B$2)^$B7</f>
        <v>35699.479370143184</v>
      </c>
      <c r="U7" s="1"/>
      <c r="V7" s="1">
        <v>38744.434963478911</v>
      </c>
      <c r="W7" s="1">
        <f t="shared" si="3"/>
        <v>38744.434963478911</v>
      </c>
      <c r="Y7" s="1">
        <f>V7/(1+$B$2)^$B7</f>
        <v>37799.44874485748</v>
      </c>
    </row>
    <row r="8" spans="1:33" x14ac:dyDescent="0.2">
      <c r="B8">
        <v>2</v>
      </c>
      <c r="C8" s="1"/>
      <c r="D8" s="1">
        <f>D7</f>
        <v>21524.686090821633</v>
      </c>
      <c r="E8" s="1">
        <f t="shared" si="0"/>
        <v>21524.686090821633</v>
      </c>
      <c r="G8" s="1">
        <f>D8/(1+$B$2)^$B8</f>
        <v>20487.506094773715</v>
      </c>
      <c r="I8" s="1"/>
      <c r="J8" s="1">
        <f>J7</f>
        <v>32287.029136232431</v>
      </c>
      <c r="K8" s="1">
        <f t="shared" si="1"/>
        <v>32287.029136232431</v>
      </c>
      <c r="M8" s="1">
        <f>J8/(1+$B$2)^$B8</f>
        <v>30731.259142160558</v>
      </c>
      <c r="O8" s="1"/>
      <c r="P8" s="1">
        <f>P7</f>
        <v>36591.966354396762</v>
      </c>
      <c r="Q8" s="1">
        <f t="shared" si="2"/>
        <v>36591.966354396762</v>
      </c>
      <c r="S8" s="1">
        <f>P8/(1+$B$2)^$B8</f>
        <v>34828.760361115303</v>
      </c>
      <c r="U8" s="1"/>
      <c r="V8" s="1">
        <f>V7</f>
        <v>38744.434963478911</v>
      </c>
      <c r="W8" s="1">
        <f t="shared" si="3"/>
        <v>38744.434963478911</v>
      </c>
      <c r="Y8" s="1">
        <f>V8/(1+$B$2)^$B8</f>
        <v>36877.510970592659</v>
      </c>
    </row>
    <row r="9" spans="1:33" x14ac:dyDescent="0.2">
      <c r="B9">
        <v>3</v>
      </c>
      <c r="C9" s="1"/>
      <c r="D9" s="1">
        <f>D8</f>
        <v>21524.686090821633</v>
      </c>
      <c r="E9" s="1">
        <f t="shared" si="0"/>
        <v>21524.686090821633</v>
      </c>
      <c r="G9" s="1">
        <f>D9/(1+$B$2)^$B9</f>
        <v>19987.810824169479</v>
      </c>
      <c r="I9" s="1"/>
      <c r="J9" s="1">
        <f>J8</f>
        <v>32287.029136232431</v>
      </c>
      <c r="K9" s="1">
        <f t="shared" si="1"/>
        <v>32287.029136232431</v>
      </c>
      <c r="M9" s="1">
        <f>J9/(1+$B$2)^$B9</f>
        <v>29981.7162362542</v>
      </c>
      <c r="O9" s="1"/>
      <c r="P9" s="1">
        <f>P8</f>
        <v>36591.966354396762</v>
      </c>
      <c r="Q9" s="1">
        <f t="shared" si="2"/>
        <v>36591.966354396762</v>
      </c>
      <c r="S9" s="1">
        <f>P9/(1+$B$2)^$B9</f>
        <v>33979.278401088101</v>
      </c>
      <c r="U9" s="1"/>
      <c r="V9" s="1">
        <f>V8</f>
        <v>38744.434963478911</v>
      </c>
      <c r="W9" s="1">
        <f t="shared" si="3"/>
        <v>38744.434963478911</v>
      </c>
      <c r="Y9" s="1">
        <f>V9/(1+$B$2)^$B9</f>
        <v>35978.059483505036</v>
      </c>
    </row>
    <row r="10" spans="1:33" x14ac:dyDescent="0.2">
      <c r="B10">
        <v>4</v>
      </c>
      <c r="C10" s="1"/>
      <c r="D10" s="1">
        <f>D9</f>
        <v>21524.686090821633</v>
      </c>
      <c r="E10" s="1">
        <f t="shared" si="0"/>
        <v>21524.686090821633</v>
      </c>
      <c r="G10" s="1">
        <f>D10/(1+$B$2)^$B10</f>
        <v>19500.303243092178</v>
      </c>
      <c r="I10" s="1"/>
      <c r="J10" s="1">
        <f>J9</f>
        <v>32287.029136232431</v>
      </c>
      <c r="K10" s="1">
        <f t="shared" si="1"/>
        <v>32287.029136232431</v>
      </c>
      <c r="M10" s="1">
        <f>J10/(1+$B$2)^$B10</f>
        <v>29250.45486463825</v>
      </c>
      <c r="O10" s="1"/>
      <c r="P10" s="1">
        <f>P9</f>
        <v>36591.966354396762</v>
      </c>
      <c r="Q10" s="1">
        <f t="shared" si="2"/>
        <v>36591.966354396762</v>
      </c>
      <c r="S10" s="1">
        <f>P10/(1+$B$2)^$B10</f>
        <v>33150.515513256687</v>
      </c>
      <c r="U10" s="1"/>
      <c r="V10" s="1">
        <f>V9</f>
        <v>38744.434963478911</v>
      </c>
      <c r="W10" s="1">
        <f t="shared" si="3"/>
        <v>38744.434963478911</v>
      </c>
      <c r="Y10" s="1">
        <f>V10/(1+$B$2)^$B10</f>
        <v>35100.545837565893</v>
      </c>
    </row>
    <row r="11" spans="1:33" x14ac:dyDescent="0.2">
      <c r="B11">
        <v>5</v>
      </c>
      <c r="C11" s="1"/>
      <c r="D11" s="1">
        <f>D10</f>
        <v>21524.686090821633</v>
      </c>
      <c r="E11" s="1">
        <f t="shared" si="0"/>
        <v>21524.686090821633</v>
      </c>
      <c r="G11" s="1">
        <f>D11/(1+$B$2)^$B11</f>
        <v>19024.686090821637</v>
      </c>
      <c r="I11" s="1"/>
      <c r="J11" s="1">
        <f>J10</f>
        <v>32287.029136232431</v>
      </c>
      <c r="K11" s="1">
        <f t="shared" si="1"/>
        <v>32287.029136232431</v>
      </c>
      <c r="M11" s="1">
        <f>J11/(1+$B$2)^$B11</f>
        <v>28537.029136232439</v>
      </c>
      <c r="O11" s="1"/>
      <c r="P11" s="1">
        <f>P10</f>
        <v>36591.966354396762</v>
      </c>
      <c r="Q11" s="1">
        <f t="shared" si="2"/>
        <v>36591.966354396762</v>
      </c>
      <c r="S11" s="1">
        <f>P11/(1+$B$2)^$B11</f>
        <v>32341.966354396773</v>
      </c>
      <c r="U11" s="1"/>
      <c r="V11" s="1">
        <f>V10</f>
        <v>38744.434963478911</v>
      </c>
      <c r="W11" s="1">
        <f t="shared" si="3"/>
        <v>38744.434963478911</v>
      </c>
      <c r="Y11" s="1">
        <f>V11/(1+$B$2)^$B11</f>
        <v>34244.434963478925</v>
      </c>
    </row>
    <row r="13" spans="1:33" x14ac:dyDescent="0.2">
      <c r="B13" s="98" t="s">
        <v>377</v>
      </c>
      <c r="C13" s="98"/>
      <c r="D13" s="98"/>
      <c r="E13" s="98"/>
      <c r="F13" s="181">
        <f>F6</f>
        <v>-50000</v>
      </c>
      <c r="G13" s="181">
        <f>SUM(G7:G11)</f>
        <v>100000.00000000006</v>
      </c>
      <c r="I13" s="98"/>
      <c r="J13" s="98"/>
      <c r="K13" s="98"/>
      <c r="L13" s="181">
        <f>L6</f>
        <v>-80000</v>
      </c>
      <c r="M13" s="181">
        <f>SUM(M7:M11)</f>
        <v>150000.00000000003</v>
      </c>
      <c r="O13" s="98"/>
      <c r="P13" s="98"/>
      <c r="Q13" s="98"/>
      <c r="R13" s="181">
        <f>R6</f>
        <v>-120000</v>
      </c>
      <c r="S13" s="181">
        <f>SUM(S7:S11)</f>
        <v>170000.00000000006</v>
      </c>
      <c r="U13" s="98"/>
      <c r="V13" s="98"/>
      <c r="W13" s="98"/>
      <c r="X13" s="181">
        <f>X6</f>
        <v>-190000</v>
      </c>
      <c r="Y13" s="181">
        <f>SUM(Y7:Y11)</f>
        <v>180000</v>
      </c>
    </row>
    <row r="14" spans="1:33" x14ac:dyDescent="0.2">
      <c r="B14" t="s">
        <v>47</v>
      </c>
      <c r="E14" s="4">
        <f>IRR(E6:E11)</f>
        <v>0.32513672966668783</v>
      </c>
      <c r="K14" s="4">
        <f>IRR(K6:K11)</f>
        <v>0.29108484298106085</v>
      </c>
      <c r="Q14" s="4">
        <f>IRR(Q6:Q11)</f>
        <v>0.15933121707501652</v>
      </c>
      <c r="W14" s="4">
        <f>IRR(W6:W11)</f>
        <v>6.5020386646197359E-3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9"/>
  <sheetViews>
    <sheetView workbookViewId="0">
      <selection activeCell="F4" sqref="F4"/>
    </sheetView>
  </sheetViews>
  <sheetFormatPr baseColWidth="10" defaultColWidth="8.83203125" defaultRowHeight="15" x14ac:dyDescent="0.2"/>
  <cols>
    <col min="5" max="5" width="16.5" bestFit="1" customWidth="1"/>
    <col min="6" max="6" width="12.5" bestFit="1" customWidth="1"/>
  </cols>
  <sheetData>
    <row r="1" spans="1:7" x14ac:dyDescent="0.2">
      <c r="A1">
        <f>4/15*10000</f>
        <v>2666.6666666666665</v>
      </c>
      <c r="E1" t="s">
        <v>1</v>
      </c>
      <c r="F1" s="2">
        <v>0.4</v>
      </c>
    </row>
    <row r="3" spans="1:7" x14ac:dyDescent="0.2">
      <c r="B3">
        <f>12000-3333-2667</f>
        <v>6000</v>
      </c>
      <c r="D3" t="s">
        <v>4</v>
      </c>
      <c r="E3" t="s">
        <v>2</v>
      </c>
      <c r="F3" t="s">
        <v>3</v>
      </c>
    </row>
    <row r="4" spans="1:7" x14ac:dyDescent="0.2">
      <c r="D4" s="3">
        <v>0</v>
      </c>
      <c r="E4" s="1">
        <v>900</v>
      </c>
      <c r="F4" s="1">
        <f>E4*$F$1</f>
        <v>360</v>
      </c>
    </row>
    <row r="5" spans="1:7" x14ac:dyDescent="0.2">
      <c r="D5" s="3">
        <v>1</v>
      </c>
      <c r="E5" s="1">
        <f>E4-F4</f>
        <v>540</v>
      </c>
      <c r="F5" s="1">
        <f>E5*$F$1</f>
        <v>216</v>
      </c>
    </row>
    <row r="6" spans="1:7" x14ac:dyDescent="0.2">
      <c r="D6" s="3">
        <v>2</v>
      </c>
      <c r="E6" s="1">
        <f t="shared" ref="E6:E7" si="0">E5-F5</f>
        <v>324</v>
      </c>
      <c r="F6" s="1">
        <f>E6*$F$1</f>
        <v>129.6</v>
      </c>
    </row>
    <row r="7" spans="1:7" x14ac:dyDescent="0.2">
      <c r="D7" s="3">
        <v>3</v>
      </c>
      <c r="E7" s="1">
        <f t="shared" si="0"/>
        <v>194.4</v>
      </c>
      <c r="F7" s="1">
        <f>E7*$F$1</f>
        <v>77.760000000000005</v>
      </c>
    </row>
    <row r="8" spans="1:7" x14ac:dyDescent="0.2">
      <c r="D8" s="3">
        <v>4</v>
      </c>
      <c r="E8" s="1">
        <f>E7-F7</f>
        <v>116.64</v>
      </c>
      <c r="F8" s="1">
        <f>E8*$F$1</f>
        <v>46.656000000000006</v>
      </c>
    </row>
    <row r="9" spans="1:7" x14ac:dyDescent="0.2">
      <c r="D9" s="3">
        <v>5</v>
      </c>
      <c r="E9" s="1">
        <f>E8-F8</f>
        <v>69.983999999999995</v>
      </c>
      <c r="F9" s="1"/>
      <c r="G9" t="s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G14"/>
  <sheetViews>
    <sheetView workbookViewId="0">
      <selection activeCell="K5" sqref="K5"/>
    </sheetView>
  </sheetViews>
  <sheetFormatPr baseColWidth="10" defaultColWidth="8.83203125" defaultRowHeight="15" x14ac:dyDescent="0.2"/>
  <cols>
    <col min="2" max="2" width="24.6640625" customWidth="1"/>
    <col min="3" max="3" width="12.5" bestFit="1" customWidth="1"/>
    <col min="5" max="5" width="16.5" bestFit="1" customWidth="1"/>
    <col min="6" max="6" width="12.5" bestFit="1" customWidth="1"/>
  </cols>
  <sheetData>
    <row r="1" spans="1:7" x14ac:dyDescent="0.2">
      <c r="A1" s="248" t="s">
        <v>593</v>
      </c>
      <c r="F1" s="2"/>
    </row>
    <row r="3" spans="1:7" x14ac:dyDescent="0.2">
      <c r="B3" t="s">
        <v>97</v>
      </c>
      <c r="C3" s="92">
        <v>900000</v>
      </c>
    </row>
    <row r="4" spans="1:7" x14ac:dyDescent="0.2">
      <c r="B4" t="s">
        <v>594</v>
      </c>
      <c r="C4" s="92">
        <v>70000</v>
      </c>
    </row>
    <row r="5" spans="1:7" x14ac:dyDescent="0.2">
      <c r="B5" t="s">
        <v>596</v>
      </c>
      <c r="C5" s="233">
        <v>40000</v>
      </c>
    </row>
    <row r="6" spans="1:7" x14ac:dyDescent="0.2">
      <c r="B6" t="s">
        <v>595</v>
      </c>
      <c r="C6" s="147">
        <v>5</v>
      </c>
    </row>
    <row r="9" spans="1:7" x14ac:dyDescent="0.2">
      <c r="D9" t="s">
        <v>4</v>
      </c>
      <c r="E9" t="s">
        <v>597</v>
      </c>
      <c r="F9" t="s">
        <v>598</v>
      </c>
    </row>
    <row r="10" spans="1:7" x14ac:dyDescent="0.2">
      <c r="D10" s="3">
        <v>1</v>
      </c>
      <c r="E10" s="233">
        <v>4000</v>
      </c>
      <c r="F10" s="1">
        <f>E10/C$5*(C$3-C$4)</f>
        <v>83000</v>
      </c>
      <c r="G10" s="1"/>
    </row>
    <row r="11" spans="1:7" x14ac:dyDescent="0.2">
      <c r="D11" s="3">
        <v>2</v>
      </c>
      <c r="E11" s="233">
        <v>8000</v>
      </c>
      <c r="F11" s="1">
        <f t="shared" ref="F11:F14" si="0">E11/C$5*(C$3-C$4)</f>
        <v>166000</v>
      </c>
      <c r="G11" s="1"/>
    </row>
    <row r="12" spans="1:7" x14ac:dyDescent="0.2">
      <c r="D12" s="3">
        <v>3</v>
      </c>
      <c r="E12" s="233">
        <v>16000</v>
      </c>
      <c r="F12" s="1">
        <f t="shared" si="0"/>
        <v>332000</v>
      </c>
      <c r="G12" s="1"/>
    </row>
    <row r="13" spans="1:7" x14ac:dyDescent="0.2">
      <c r="D13" s="3">
        <v>4</v>
      </c>
      <c r="E13" s="233">
        <v>8000</v>
      </c>
      <c r="F13" s="1">
        <f t="shared" si="0"/>
        <v>166000</v>
      </c>
      <c r="G13" s="1"/>
    </row>
    <row r="14" spans="1:7" x14ac:dyDescent="0.2">
      <c r="D14" s="3">
        <v>5</v>
      </c>
      <c r="E14" s="233">
        <v>4000</v>
      </c>
      <c r="F14" s="1">
        <f t="shared" si="0"/>
        <v>83000</v>
      </c>
      <c r="G14" s="1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2:K27"/>
  <sheetViews>
    <sheetView zoomScaleNormal="190" workbookViewId="0">
      <selection activeCell="H6" sqref="H6"/>
    </sheetView>
  </sheetViews>
  <sheetFormatPr baseColWidth="10" defaultColWidth="8.83203125" defaultRowHeight="15" x14ac:dyDescent="0.2"/>
  <cols>
    <col min="3" max="3" width="20.6640625" bestFit="1" customWidth="1"/>
    <col min="4" max="4" width="11.6640625" bestFit="1" customWidth="1"/>
    <col min="7" max="7" width="18.33203125" customWidth="1"/>
    <col min="8" max="8" width="13.5" customWidth="1"/>
    <col min="9" max="9" width="12.33203125" customWidth="1"/>
  </cols>
  <sheetData>
    <row r="2" spans="2:10" x14ac:dyDescent="0.2">
      <c r="B2" s="6" t="s">
        <v>171</v>
      </c>
    </row>
    <row r="3" spans="2:10" x14ac:dyDescent="0.2">
      <c r="C3" s="6" t="s">
        <v>19</v>
      </c>
      <c r="F3" s="6" t="s">
        <v>169</v>
      </c>
    </row>
    <row r="4" spans="2:10" x14ac:dyDescent="0.2">
      <c r="H4" s="5"/>
    </row>
    <row r="5" spans="2:10" ht="32" x14ac:dyDescent="0.2">
      <c r="F5" s="84" t="s">
        <v>4</v>
      </c>
      <c r="G5" s="85" t="s">
        <v>34</v>
      </c>
      <c r="H5" s="85" t="s">
        <v>35</v>
      </c>
      <c r="I5" s="85" t="s">
        <v>152</v>
      </c>
    </row>
    <row r="6" spans="2:10" x14ac:dyDescent="0.2">
      <c r="C6" t="s">
        <v>5</v>
      </c>
      <c r="D6" s="92">
        <v>80000</v>
      </c>
      <c r="F6">
        <v>1</v>
      </c>
      <c r="G6" s="235">
        <f>D6</f>
        <v>80000</v>
      </c>
      <c r="H6" s="299">
        <f>G6*D7*0.5</f>
        <v>12000</v>
      </c>
      <c r="I6" s="235">
        <f>G6-H6</f>
        <v>68000</v>
      </c>
    </row>
    <row r="7" spans="2:10" x14ac:dyDescent="0.2">
      <c r="C7" t="s">
        <v>51</v>
      </c>
      <c r="D7" s="93">
        <v>0.3</v>
      </c>
      <c r="F7">
        <v>2</v>
      </c>
      <c r="G7" s="235">
        <f>I6</f>
        <v>68000</v>
      </c>
      <c r="H7" s="150">
        <f>D7*G$7</f>
        <v>20400</v>
      </c>
      <c r="I7" s="235">
        <f>G7-H7</f>
        <v>47600</v>
      </c>
    </row>
    <row r="8" spans="2:10" x14ac:dyDescent="0.2">
      <c r="C8" t="s">
        <v>10</v>
      </c>
      <c r="D8" s="92">
        <v>5000</v>
      </c>
      <c r="F8">
        <v>3</v>
      </c>
      <c r="G8" s="235">
        <f>I7</f>
        <v>47600</v>
      </c>
      <c r="H8" s="235">
        <f>D7*G$8</f>
        <v>14280</v>
      </c>
      <c r="I8" s="235">
        <f>G8-H8</f>
        <v>33320</v>
      </c>
      <c r="J8" s="5"/>
    </row>
    <row r="9" spans="2:10" x14ac:dyDescent="0.2">
      <c r="F9">
        <v>4</v>
      </c>
      <c r="G9" s="235">
        <f t="shared" ref="G9:G10" si="0">I8</f>
        <v>33320</v>
      </c>
      <c r="H9" s="235">
        <f>G9*D$7</f>
        <v>9996</v>
      </c>
      <c r="I9" s="235">
        <f t="shared" ref="I9:I10" si="1">G9-H9</f>
        <v>23324</v>
      </c>
      <c r="J9" s="5"/>
    </row>
    <row r="10" spans="2:10" x14ac:dyDescent="0.2">
      <c r="F10">
        <v>5</v>
      </c>
      <c r="G10" s="235">
        <f t="shared" si="0"/>
        <v>23324</v>
      </c>
      <c r="H10" s="307">
        <f>G10*D$7</f>
        <v>6997.2</v>
      </c>
      <c r="I10" s="235">
        <f t="shared" si="1"/>
        <v>16326.8</v>
      </c>
      <c r="J10" s="5"/>
    </row>
    <row r="11" spans="2:10" x14ac:dyDescent="0.2">
      <c r="J11" s="5"/>
    </row>
    <row r="12" spans="2:10" x14ac:dyDescent="0.2">
      <c r="C12" t="s">
        <v>170</v>
      </c>
      <c r="D12" s="4"/>
      <c r="J12" s="5"/>
    </row>
    <row r="13" spans="2:10" x14ac:dyDescent="0.2">
      <c r="D13" s="4"/>
      <c r="H13" s="9"/>
    </row>
    <row r="14" spans="2:10" x14ac:dyDescent="0.2">
      <c r="D14" s="4"/>
      <c r="H14" s="9"/>
    </row>
    <row r="15" spans="2:10" x14ac:dyDescent="0.2">
      <c r="B15" s="6" t="s">
        <v>172</v>
      </c>
      <c r="D15" s="4" t="s">
        <v>177</v>
      </c>
    </row>
    <row r="16" spans="2:10" x14ac:dyDescent="0.2">
      <c r="B16" s="6"/>
      <c r="C16" s="6" t="s">
        <v>19</v>
      </c>
      <c r="D16" s="4"/>
      <c r="F16" s="6" t="s">
        <v>173</v>
      </c>
    </row>
    <row r="17" spans="2:11" x14ac:dyDescent="0.2">
      <c r="B17" s="6"/>
      <c r="C17" s="6"/>
      <c r="D17" s="4"/>
      <c r="F17" s="6"/>
    </row>
    <row r="18" spans="2:11" x14ac:dyDescent="0.2">
      <c r="B18" s="6"/>
      <c r="C18" s="6"/>
      <c r="D18" s="4"/>
      <c r="F18" s="84" t="s">
        <v>4</v>
      </c>
      <c r="G18" s="84" t="s">
        <v>176</v>
      </c>
      <c r="H18" s="84"/>
      <c r="I18" s="84" t="s">
        <v>175</v>
      </c>
    </row>
    <row r="19" spans="2:11" x14ac:dyDescent="0.2">
      <c r="F19">
        <v>0</v>
      </c>
      <c r="I19" s="235">
        <f>D20</f>
        <v>80000</v>
      </c>
      <c r="K19" t="s">
        <v>599</v>
      </c>
    </row>
    <row r="20" spans="2:11" x14ac:dyDescent="0.2">
      <c r="C20" t="s">
        <v>5</v>
      </c>
      <c r="D20" s="147">
        <v>80000</v>
      </c>
      <c r="F20">
        <v>1</v>
      </c>
      <c r="G20" s="235">
        <f>D20*D21*0.5</f>
        <v>12000</v>
      </c>
      <c r="I20" s="235">
        <f>D20-G20</f>
        <v>68000</v>
      </c>
    </row>
    <row r="21" spans="2:11" x14ac:dyDescent="0.2">
      <c r="C21" t="s">
        <v>51</v>
      </c>
      <c r="D21" s="93">
        <v>0.3</v>
      </c>
      <c r="F21">
        <v>2</v>
      </c>
      <c r="G21" s="235">
        <f>D$20*(1-D$21/2)*(1-D$21)^(F21-2)*D$21</f>
        <v>20400</v>
      </c>
      <c r="I21" s="235">
        <f>I20-G21</f>
        <v>47600</v>
      </c>
    </row>
    <row r="22" spans="2:11" x14ac:dyDescent="0.2">
      <c r="C22" t="s">
        <v>174</v>
      </c>
      <c r="D22" s="147">
        <v>5000</v>
      </c>
      <c r="F22">
        <v>3</v>
      </c>
      <c r="G22" s="235">
        <f>D$20*(1-D$21/2)*(1-D$21)^(F22-2)*D$21</f>
        <v>14280</v>
      </c>
      <c r="I22" s="235">
        <f t="shared" ref="I22:I24" si="2">I21-G22</f>
        <v>33320</v>
      </c>
    </row>
    <row r="23" spans="2:11" x14ac:dyDescent="0.2">
      <c r="F23">
        <v>4</v>
      </c>
      <c r="G23" s="235">
        <f t="shared" ref="G23:G24" si="3">D$20*(1-D$21/2)*(1-D$21)^(F23-2)*D$21</f>
        <v>9995.9999999999982</v>
      </c>
      <c r="I23" s="235">
        <f t="shared" si="2"/>
        <v>23324</v>
      </c>
    </row>
    <row r="24" spans="2:11" x14ac:dyDescent="0.2">
      <c r="F24">
        <v>5</v>
      </c>
      <c r="G24" s="235">
        <f t="shared" si="3"/>
        <v>6997.199999999998</v>
      </c>
      <c r="I24" s="235">
        <f t="shared" si="2"/>
        <v>16326.800000000003</v>
      </c>
    </row>
    <row r="27" spans="2:11" x14ac:dyDescent="0.2">
      <c r="H27" s="1">
        <f>H13*H41</f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R12"/>
  <sheetViews>
    <sheetView zoomScale="125" zoomScaleNormal="145" workbookViewId="0">
      <selection activeCell="A14" sqref="A14"/>
    </sheetView>
  </sheetViews>
  <sheetFormatPr baseColWidth="10" defaultColWidth="8.83203125" defaultRowHeight="15" x14ac:dyDescent="0.2"/>
  <cols>
    <col min="4" max="4" width="10.5" bestFit="1" customWidth="1"/>
    <col min="5" max="5" width="11.1640625" customWidth="1"/>
    <col min="6" max="6" width="11.33203125" customWidth="1"/>
    <col min="9" max="9" width="12.1640625" customWidth="1"/>
    <col min="11" max="11" width="10" customWidth="1"/>
    <col min="12" max="12" width="4.5" customWidth="1"/>
    <col min="13" max="13" width="10.1640625" customWidth="1"/>
    <col min="15" max="15" width="26.83203125" customWidth="1"/>
  </cols>
  <sheetData>
    <row r="1" spans="1:18" x14ac:dyDescent="0.2">
      <c r="A1" s="6" t="s">
        <v>134</v>
      </c>
      <c r="P1" t="s">
        <v>133</v>
      </c>
    </row>
    <row r="3" spans="1:18" ht="32" x14ac:dyDescent="0.2">
      <c r="B3" s="85" t="s">
        <v>132</v>
      </c>
      <c r="C3" s="84" t="s">
        <v>127</v>
      </c>
      <c r="D3" s="84" t="s">
        <v>126</v>
      </c>
      <c r="E3" s="85" t="s">
        <v>131</v>
      </c>
      <c r="F3" s="85" t="s">
        <v>130</v>
      </c>
      <c r="I3" s="6" t="s">
        <v>129</v>
      </c>
      <c r="P3" t="s">
        <v>128</v>
      </c>
      <c r="Q3" t="s">
        <v>127</v>
      </c>
      <c r="R3" t="s">
        <v>126</v>
      </c>
    </row>
    <row r="4" spans="1:18" x14ac:dyDescent="0.2">
      <c r="A4" t="s">
        <v>123</v>
      </c>
      <c r="B4">
        <v>11474</v>
      </c>
      <c r="C4" s="2">
        <v>0</v>
      </c>
      <c r="D4" s="1">
        <f>C4*B4</f>
        <v>0</v>
      </c>
      <c r="E4" s="1">
        <f>B4</f>
        <v>11474</v>
      </c>
      <c r="F4" s="8">
        <f>D4</f>
        <v>0</v>
      </c>
      <c r="P4">
        <v>11474</v>
      </c>
      <c r="Q4" s="2">
        <v>0</v>
      </c>
      <c r="R4" s="1">
        <f>Q4*P4</f>
        <v>0</v>
      </c>
    </row>
    <row r="5" spans="1:18" x14ac:dyDescent="0.2">
      <c r="A5" t="s">
        <v>122</v>
      </c>
      <c r="B5">
        <f>45282-11474</f>
        <v>33808</v>
      </c>
      <c r="C5" s="2">
        <v>0.15</v>
      </c>
      <c r="D5" s="1">
        <f>C5*B5</f>
        <v>5071.2</v>
      </c>
      <c r="E5" s="1">
        <f>E4+B5</f>
        <v>45282</v>
      </c>
      <c r="F5" s="8">
        <f>F4+D5</f>
        <v>5071.2</v>
      </c>
      <c r="I5" s="84" t="s">
        <v>125</v>
      </c>
      <c r="J5" s="84"/>
      <c r="K5" s="84"/>
      <c r="L5" s="84"/>
      <c r="M5" s="84"/>
      <c r="N5" s="83" t="s">
        <v>124</v>
      </c>
      <c r="O5" s="82"/>
      <c r="P5">
        <v>45282</v>
      </c>
      <c r="Q5" s="2">
        <v>0.15</v>
      </c>
      <c r="R5" s="1">
        <f>Q5*P5</f>
        <v>6792.3</v>
      </c>
    </row>
    <row r="6" spans="1:18" x14ac:dyDescent="0.2">
      <c r="A6" t="s">
        <v>122</v>
      </c>
      <c r="B6">
        <f>90563-45282</f>
        <v>45281</v>
      </c>
      <c r="C6" s="2">
        <v>0.20499999999999999</v>
      </c>
      <c r="D6" s="1">
        <f>C6*B6</f>
        <v>9282.6049999999996</v>
      </c>
      <c r="E6" s="1">
        <f>E5+B6</f>
        <v>90563</v>
      </c>
      <c r="F6" s="8">
        <f>F5+D6</f>
        <v>14353.805</v>
      </c>
      <c r="I6" s="58" t="s">
        <v>123</v>
      </c>
      <c r="J6" s="58"/>
      <c r="K6" s="80">
        <v>11474</v>
      </c>
      <c r="L6" s="58"/>
      <c r="M6" s="58"/>
      <c r="N6" s="79">
        <v>0</v>
      </c>
      <c r="O6" s="79"/>
      <c r="P6">
        <f>90563-45282</f>
        <v>45281</v>
      </c>
      <c r="Q6" s="2">
        <v>0.20499999999999999</v>
      </c>
      <c r="R6" s="1">
        <f>Q6*P6</f>
        <v>9282.6049999999996</v>
      </c>
    </row>
    <row r="7" spans="1:18" x14ac:dyDescent="0.2">
      <c r="A7" t="s">
        <v>122</v>
      </c>
      <c r="B7">
        <f>107000-90563</f>
        <v>16437</v>
      </c>
      <c r="C7" s="2">
        <v>0.26</v>
      </c>
      <c r="D7" s="1">
        <f>C7*B7</f>
        <v>4273.62</v>
      </c>
      <c r="E7" s="1">
        <f>E6+B7</f>
        <v>107000</v>
      </c>
      <c r="F7" s="81">
        <f>F6+D7</f>
        <v>18627.424999999999</v>
      </c>
      <c r="I7" s="58" t="s">
        <v>119</v>
      </c>
      <c r="J7" s="58"/>
      <c r="K7" s="80">
        <v>11474</v>
      </c>
      <c r="L7" s="58" t="s">
        <v>118</v>
      </c>
      <c r="M7" s="80">
        <v>45282</v>
      </c>
      <c r="N7" s="79">
        <v>0.15</v>
      </c>
      <c r="O7" s="79"/>
      <c r="P7">
        <f>107000-90563</f>
        <v>16437</v>
      </c>
      <c r="Q7" s="2">
        <v>0.26</v>
      </c>
      <c r="R7" s="1">
        <f>Q7*P7</f>
        <v>4273.62</v>
      </c>
    </row>
    <row r="8" spans="1:18" x14ac:dyDescent="0.2">
      <c r="I8" t="s">
        <v>119</v>
      </c>
      <c r="K8" s="5">
        <v>45283</v>
      </c>
      <c r="L8" t="s">
        <v>118</v>
      </c>
      <c r="M8" s="5">
        <v>90563</v>
      </c>
      <c r="N8" s="78">
        <v>0.20499999999999999</v>
      </c>
      <c r="O8" s="78"/>
    </row>
    <row r="9" spans="1:18" x14ac:dyDescent="0.2">
      <c r="B9" t="s">
        <v>121</v>
      </c>
      <c r="D9" s="8"/>
      <c r="I9" t="s">
        <v>119</v>
      </c>
      <c r="K9" s="5">
        <v>90564</v>
      </c>
      <c r="L9" t="s">
        <v>118</v>
      </c>
      <c r="M9" s="5">
        <v>140388</v>
      </c>
      <c r="N9" s="4">
        <v>0.26</v>
      </c>
      <c r="O9" s="4"/>
      <c r="R9" s="8">
        <f>SUM(R4:R7)</f>
        <v>20348.524999999998</v>
      </c>
    </row>
    <row r="10" spans="1:18" x14ac:dyDescent="0.2">
      <c r="B10" t="s">
        <v>120</v>
      </c>
      <c r="I10" t="s">
        <v>119</v>
      </c>
      <c r="K10" s="5">
        <v>140389</v>
      </c>
      <c r="L10" t="s">
        <v>118</v>
      </c>
      <c r="M10" s="5">
        <v>200000</v>
      </c>
      <c r="N10" s="4">
        <v>0.28999999999999998</v>
      </c>
      <c r="O10" s="4"/>
    </row>
    <row r="11" spans="1:18" x14ac:dyDescent="0.2">
      <c r="I11" t="s">
        <v>117</v>
      </c>
      <c r="K11" s="5">
        <v>200000</v>
      </c>
      <c r="N11" s="4">
        <v>0.33</v>
      </c>
      <c r="O11" s="4"/>
    </row>
    <row r="12" spans="1:18" x14ac:dyDescent="0.2">
      <c r="B12" t="s">
        <v>116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4"/>
  <sheetViews>
    <sheetView zoomScale="130" zoomScaleNormal="130" workbookViewId="0">
      <selection activeCell="C9" sqref="C9"/>
    </sheetView>
  </sheetViews>
  <sheetFormatPr baseColWidth="10" defaultColWidth="8.83203125" defaultRowHeight="15" x14ac:dyDescent="0.2"/>
  <cols>
    <col min="2" max="2" width="32.83203125" customWidth="1"/>
    <col min="3" max="3" width="13.5" customWidth="1"/>
    <col min="4" max="4" width="8.1640625" customWidth="1"/>
    <col min="5" max="5" width="28.6640625" customWidth="1"/>
    <col min="6" max="12" width="8.1640625" customWidth="1"/>
    <col min="13" max="13" width="9" customWidth="1"/>
    <col min="14" max="14" width="8.1640625" customWidth="1"/>
    <col min="15" max="15" width="7" customWidth="1"/>
  </cols>
  <sheetData>
    <row r="1" spans="1:15" x14ac:dyDescent="0.2">
      <c r="A1" s="6" t="s">
        <v>375</v>
      </c>
      <c r="D1" s="6"/>
      <c r="F1" s="6"/>
      <c r="G1" s="6"/>
      <c r="H1" s="6"/>
      <c r="I1" s="6"/>
      <c r="J1" s="6"/>
      <c r="K1" s="6"/>
      <c r="L1" s="6"/>
      <c r="M1" s="6"/>
      <c r="N1" s="6"/>
      <c r="O1" s="6"/>
    </row>
    <row r="2" spans="1:15" x14ac:dyDescent="0.2">
      <c r="C2" s="6"/>
      <c r="D2" s="211"/>
      <c r="E2" s="6"/>
      <c r="F2" s="211"/>
      <c r="G2" s="211"/>
      <c r="H2" s="211"/>
      <c r="I2" s="211"/>
      <c r="J2" s="211"/>
      <c r="K2" s="211"/>
      <c r="L2" s="211"/>
      <c r="M2" s="211"/>
      <c r="N2" s="211"/>
      <c r="O2" s="211"/>
    </row>
    <row r="3" spans="1:15" x14ac:dyDescent="0.2">
      <c r="B3" t="s">
        <v>374</v>
      </c>
      <c r="C3" s="92">
        <v>1000</v>
      </c>
    </row>
    <row r="4" spans="1:15" x14ac:dyDescent="0.2">
      <c r="B4" t="s">
        <v>373</v>
      </c>
      <c r="C4" s="92">
        <v>5</v>
      </c>
    </row>
    <row r="5" spans="1:15" x14ac:dyDescent="0.2">
      <c r="B5" t="s">
        <v>372</v>
      </c>
      <c r="C5" s="196">
        <v>5.5E-2</v>
      </c>
      <c r="D5" s="3"/>
      <c r="F5" s="3"/>
      <c r="G5" s="3"/>
      <c r="H5" s="3"/>
      <c r="I5" s="3"/>
      <c r="J5" s="3"/>
      <c r="K5" s="3"/>
      <c r="L5" s="3"/>
      <c r="M5" s="3"/>
      <c r="N5" s="3"/>
      <c r="O5" s="3"/>
    </row>
    <row r="6" spans="1:15" x14ac:dyDescent="0.2">
      <c r="B6" t="s">
        <v>86</v>
      </c>
      <c r="C6" s="196">
        <v>0.02</v>
      </c>
      <c r="E6" s="210"/>
    </row>
    <row r="8" spans="1:15" x14ac:dyDescent="0.2">
      <c r="B8" t="s">
        <v>371</v>
      </c>
      <c r="C8" s="55">
        <f>(C5-C6)/(1+C6)</f>
        <v>3.4313725490196081E-2</v>
      </c>
    </row>
    <row r="10" spans="1:15" x14ac:dyDescent="0.2">
      <c r="B10" t="s">
        <v>370</v>
      </c>
      <c r="C10">
        <f>C3/C4</f>
        <v>200</v>
      </c>
    </row>
    <row r="12" spans="1:15" x14ac:dyDescent="0.2">
      <c r="B12" t="s">
        <v>369</v>
      </c>
      <c r="C12" s="1">
        <f>C3*(1+C5)</f>
        <v>1055</v>
      </c>
    </row>
    <row r="13" spans="1:15" x14ac:dyDescent="0.2">
      <c r="B13" t="s">
        <v>368</v>
      </c>
      <c r="C13" s="73">
        <f>C4*(1+C6)</f>
        <v>5.0999999999999996</v>
      </c>
    </row>
    <row r="14" spans="1:15" x14ac:dyDescent="0.2">
      <c r="B14" t="s">
        <v>367</v>
      </c>
      <c r="C14" s="9">
        <f>C12/C13</f>
        <v>206.86274509803923</v>
      </c>
      <c r="E14" t="s">
        <v>366</v>
      </c>
    </row>
  </sheetData>
  <pageMargins left="0.7" right="0.7" top="0.75" bottom="0.75" header="0.3" footer="0.3"/>
  <pageSetup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E11"/>
  <sheetViews>
    <sheetView workbookViewId="0">
      <selection activeCell="F18" sqref="F18"/>
    </sheetView>
  </sheetViews>
  <sheetFormatPr baseColWidth="10" defaultColWidth="8.83203125" defaultRowHeight="15" x14ac:dyDescent="0.2"/>
  <sheetData>
    <row r="1" spans="1:5" x14ac:dyDescent="0.2">
      <c r="A1" t="s">
        <v>135</v>
      </c>
    </row>
    <row r="3" spans="1:5" x14ac:dyDescent="0.2">
      <c r="B3" t="s">
        <v>136</v>
      </c>
      <c r="C3">
        <v>0.3</v>
      </c>
      <c r="E3">
        <f>C4*C3/2</f>
        <v>33000</v>
      </c>
    </row>
    <row r="4" spans="1:5" x14ac:dyDescent="0.2">
      <c r="B4" t="s">
        <v>78</v>
      </c>
      <c r="C4">
        <v>220000</v>
      </c>
    </row>
    <row r="5" spans="1:5" x14ac:dyDescent="0.2">
      <c r="B5" t="s">
        <v>9</v>
      </c>
      <c r="C5">
        <v>2</v>
      </c>
    </row>
    <row r="6" spans="1:5" x14ac:dyDescent="0.2">
      <c r="B6" t="s">
        <v>137</v>
      </c>
      <c r="C6">
        <f>C4*(1-C3/2)*(1-C3)^(C5-2)</f>
        <v>187000</v>
      </c>
      <c r="E6">
        <f>(C4-E3)*0.3</f>
        <v>56100</v>
      </c>
    </row>
    <row r="7" spans="1:5" x14ac:dyDescent="0.2">
      <c r="B7" t="s">
        <v>138</v>
      </c>
      <c r="C7">
        <f>C$4*(1-C$3/2)*(1-C$3)^(1-1)</f>
        <v>187000</v>
      </c>
    </row>
    <row r="8" spans="1:5" x14ac:dyDescent="0.2">
      <c r="B8" t="s">
        <v>139</v>
      </c>
      <c r="C8">
        <f>C$4*(1-C$3/2)*(1-C$3)^(C5-1)</f>
        <v>130899.99999999999</v>
      </c>
      <c r="E8">
        <f>C7-E6</f>
        <v>130900</v>
      </c>
    </row>
    <row r="9" spans="1:5" x14ac:dyDescent="0.2">
      <c r="C9">
        <f>C4*(1-C3/2)*C3</f>
        <v>56100</v>
      </c>
    </row>
    <row r="11" spans="1:5" ht="48" x14ac:dyDescent="0.2">
      <c r="C11" s="203" t="s">
        <v>330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F22"/>
  <sheetViews>
    <sheetView zoomScale="134" zoomScaleNormal="160" workbookViewId="0">
      <selection activeCell="F17" sqref="F17"/>
    </sheetView>
  </sheetViews>
  <sheetFormatPr baseColWidth="10" defaultColWidth="8.83203125" defaultRowHeight="15" x14ac:dyDescent="0.2"/>
  <cols>
    <col min="2" max="2" width="21.83203125" customWidth="1"/>
    <col min="3" max="3" width="21.5" bestFit="1" customWidth="1"/>
    <col min="4" max="4" width="14.6640625" customWidth="1"/>
  </cols>
  <sheetData>
    <row r="1" spans="1:6" x14ac:dyDescent="0.2">
      <c r="A1" t="s">
        <v>150</v>
      </c>
    </row>
    <row r="2" spans="1:6" x14ac:dyDescent="0.2">
      <c r="C2" t="s">
        <v>153</v>
      </c>
      <c r="D2" s="3" t="s">
        <v>154</v>
      </c>
    </row>
    <row r="3" spans="1:6" x14ac:dyDescent="0.2">
      <c r="B3" t="s">
        <v>151</v>
      </c>
      <c r="C3" s="92">
        <v>1500000</v>
      </c>
      <c r="D3" s="92">
        <v>480000</v>
      </c>
    </row>
    <row r="4" spans="1:6" x14ac:dyDescent="0.2">
      <c r="B4" t="s">
        <v>152</v>
      </c>
      <c r="C4" s="92">
        <v>415283</v>
      </c>
      <c r="D4" s="92">
        <v>98000</v>
      </c>
    </row>
    <row r="5" spans="1:6" x14ac:dyDescent="0.2">
      <c r="B5" t="s">
        <v>155</v>
      </c>
      <c r="C5" s="92">
        <v>320000</v>
      </c>
      <c r="D5" s="92">
        <v>176000</v>
      </c>
    </row>
    <row r="7" spans="1:6" x14ac:dyDescent="0.2">
      <c r="B7" t="s">
        <v>156</v>
      </c>
      <c r="C7" s="93">
        <v>0.31</v>
      </c>
    </row>
    <row r="9" spans="1:6" x14ac:dyDescent="0.2">
      <c r="B9" t="s">
        <v>164</v>
      </c>
      <c r="C9" s="8">
        <f>C5-C4</f>
        <v>-95283</v>
      </c>
      <c r="D9" s="8">
        <f>D5-D4</f>
        <v>78000</v>
      </c>
      <c r="F9" t="s">
        <v>167</v>
      </c>
    </row>
    <row r="10" spans="1:6" x14ac:dyDescent="0.2">
      <c r="B10" t="s">
        <v>165</v>
      </c>
      <c r="C10" s="8">
        <f>C9*$C7</f>
        <v>-29537.73</v>
      </c>
      <c r="D10" s="8">
        <f>D9*$C7</f>
        <v>24180</v>
      </c>
      <c r="F10" t="s">
        <v>168</v>
      </c>
    </row>
    <row r="12" spans="1:6" x14ac:dyDescent="0.2">
      <c r="B12" t="s">
        <v>157</v>
      </c>
    </row>
    <row r="13" spans="1:6" x14ac:dyDescent="0.2">
      <c r="B13" t="s">
        <v>158</v>
      </c>
    </row>
    <row r="14" spans="1:6" x14ac:dyDescent="0.2">
      <c r="B14" t="s">
        <v>159</v>
      </c>
    </row>
    <row r="15" spans="1:6" x14ac:dyDescent="0.2">
      <c r="B15" t="s">
        <v>160</v>
      </c>
    </row>
    <row r="16" spans="1:6" x14ac:dyDescent="0.2">
      <c r="C16" s="8"/>
      <c r="D16" s="8"/>
    </row>
    <row r="17" spans="2:6" x14ac:dyDescent="0.2">
      <c r="B17" t="s">
        <v>161</v>
      </c>
      <c r="C17" s="94">
        <f>C5*(1-$C7)+C4*C7</f>
        <v>349537.73</v>
      </c>
      <c r="D17" s="94">
        <f>D5*(1-$C7)+D4*C7</f>
        <v>151820</v>
      </c>
      <c r="F17" t="s">
        <v>235</v>
      </c>
    </row>
    <row r="18" spans="2:6" x14ac:dyDescent="0.2">
      <c r="F18" t="s">
        <v>236</v>
      </c>
    </row>
    <row r="19" spans="2:6" x14ac:dyDescent="0.2">
      <c r="B19" t="s">
        <v>162</v>
      </c>
    </row>
    <row r="20" spans="2:6" x14ac:dyDescent="0.2">
      <c r="B20" t="s">
        <v>163</v>
      </c>
    </row>
    <row r="22" spans="2:6" x14ac:dyDescent="0.2">
      <c r="B22" t="s">
        <v>166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U45"/>
  <sheetViews>
    <sheetView workbookViewId="0"/>
  </sheetViews>
  <sheetFormatPr baseColWidth="10" defaultColWidth="8.83203125" defaultRowHeight="15" x14ac:dyDescent="0.2"/>
  <cols>
    <col min="1" max="1" width="3.83203125" customWidth="1"/>
    <col min="2" max="2" width="20.6640625" bestFit="1" customWidth="1"/>
    <col min="3" max="3" width="12.5" bestFit="1" customWidth="1"/>
    <col min="4" max="4" width="3.5" customWidth="1"/>
    <col min="6" max="6" width="17" customWidth="1"/>
    <col min="7" max="7" width="12.6640625" customWidth="1"/>
    <col min="8" max="8" width="14.83203125" customWidth="1"/>
    <col min="9" max="9" width="12.1640625" customWidth="1"/>
    <col min="11" max="11" width="5.1640625" customWidth="1"/>
    <col min="12" max="12" width="22.1640625" customWidth="1"/>
    <col min="13" max="13" width="10.6640625" customWidth="1"/>
    <col min="14" max="14" width="12.5" bestFit="1" customWidth="1"/>
    <col min="15" max="17" width="10.5" bestFit="1" customWidth="1"/>
    <col min="18" max="18" width="12.33203125" bestFit="1" customWidth="1"/>
    <col min="19" max="19" width="4.6640625" customWidth="1"/>
    <col min="20" max="20" width="12.5" bestFit="1" customWidth="1"/>
  </cols>
  <sheetData>
    <row r="1" spans="1:21" x14ac:dyDescent="0.2">
      <c r="A1" s="6" t="s">
        <v>115</v>
      </c>
    </row>
    <row r="2" spans="1:21" x14ac:dyDescent="0.2">
      <c r="B2" s="6" t="s">
        <v>19</v>
      </c>
      <c r="E2" s="6" t="s">
        <v>20</v>
      </c>
      <c r="L2" s="104" t="s">
        <v>244</v>
      </c>
      <c r="M2" s="98"/>
      <c r="N2" s="98"/>
      <c r="O2" s="98"/>
      <c r="P2" s="98"/>
      <c r="Q2" s="98"/>
      <c r="R2" s="51"/>
    </row>
    <row r="3" spans="1:21" x14ac:dyDescent="0.2">
      <c r="B3" s="97" t="s">
        <v>5</v>
      </c>
      <c r="C3" s="157">
        <v>80000</v>
      </c>
      <c r="E3" s="104" t="s">
        <v>237</v>
      </c>
      <c r="F3" s="98"/>
      <c r="G3" s="98"/>
      <c r="H3" s="106">
        <f>PMT(C11,C8,C10)</f>
        <v>-27740.973194104892</v>
      </c>
      <c r="I3" s="98"/>
      <c r="J3" s="51"/>
      <c r="L3" s="99" t="s">
        <v>4</v>
      </c>
      <c r="M3">
        <v>0</v>
      </c>
      <c r="N3">
        <v>1</v>
      </c>
      <c r="O3">
        <v>2</v>
      </c>
      <c r="P3">
        <v>3</v>
      </c>
      <c r="Q3">
        <v>4</v>
      </c>
      <c r="R3" s="52">
        <v>5</v>
      </c>
    </row>
    <row r="4" spans="1:21" x14ac:dyDescent="0.2">
      <c r="B4" s="99" t="s">
        <v>51</v>
      </c>
      <c r="C4" s="133">
        <v>0.3</v>
      </c>
      <c r="E4" s="99"/>
      <c r="J4" s="52"/>
      <c r="L4" s="99" t="s">
        <v>22</v>
      </c>
      <c r="N4" s="100">
        <f>C7</f>
        <v>167000</v>
      </c>
      <c r="O4" s="100">
        <f t="shared" ref="O4:R5" si="0">N4</f>
        <v>167000</v>
      </c>
      <c r="P4" s="100">
        <f t="shared" si="0"/>
        <v>167000</v>
      </c>
      <c r="Q4" s="100">
        <f t="shared" si="0"/>
        <v>167000</v>
      </c>
      <c r="R4" s="108">
        <f t="shared" si="0"/>
        <v>167000</v>
      </c>
    </row>
    <row r="5" spans="1:21" x14ac:dyDescent="0.2">
      <c r="B5" s="99" t="s">
        <v>6</v>
      </c>
      <c r="C5" s="158">
        <v>55000</v>
      </c>
      <c r="E5" s="107" t="s">
        <v>238</v>
      </c>
      <c r="H5" s="5"/>
      <c r="J5" s="52"/>
      <c r="L5" s="109" t="s">
        <v>24</v>
      </c>
      <c r="N5" s="100">
        <f>C6</f>
        <v>79000</v>
      </c>
      <c r="O5" s="100">
        <f t="shared" si="0"/>
        <v>79000</v>
      </c>
      <c r="P5" s="100">
        <f t="shared" si="0"/>
        <v>79000</v>
      </c>
      <c r="Q5" s="100">
        <f t="shared" si="0"/>
        <v>79000</v>
      </c>
      <c r="R5" s="108">
        <f t="shared" si="0"/>
        <v>79000</v>
      </c>
    </row>
    <row r="6" spans="1:21" x14ac:dyDescent="0.2">
      <c r="B6" s="99" t="s">
        <v>7</v>
      </c>
      <c r="C6" s="158">
        <v>79000</v>
      </c>
      <c r="E6" s="99" t="s">
        <v>4</v>
      </c>
      <c r="F6" s="159" t="s">
        <v>247</v>
      </c>
      <c r="G6" t="s">
        <v>16</v>
      </c>
      <c r="H6" t="s">
        <v>17</v>
      </c>
      <c r="I6" s="159" t="s">
        <v>248</v>
      </c>
      <c r="J6" s="52"/>
      <c r="L6" s="7" t="s">
        <v>257</v>
      </c>
      <c r="M6" s="161"/>
      <c r="N6" s="162">
        <f>N4-N5</f>
        <v>88000</v>
      </c>
      <c r="O6" s="162">
        <f t="shared" ref="O6:R6" si="1">O4-O5</f>
        <v>88000</v>
      </c>
      <c r="P6" s="162">
        <f t="shared" si="1"/>
        <v>88000</v>
      </c>
      <c r="Q6" s="162">
        <f t="shared" si="1"/>
        <v>88000</v>
      </c>
      <c r="R6" s="163">
        <f t="shared" si="1"/>
        <v>88000</v>
      </c>
    </row>
    <row r="7" spans="1:21" x14ac:dyDescent="0.2">
      <c r="B7" s="99" t="s">
        <v>8</v>
      </c>
      <c r="C7" s="158">
        <v>167000</v>
      </c>
      <c r="E7" s="99">
        <v>1</v>
      </c>
      <c r="F7" s="5">
        <v>100000</v>
      </c>
      <c r="G7" s="5">
        <f>-IPMT(C$11,E7,C$8,C$10)</f>
        <v>12000</v>
      </c>
      <c r="H7" s="5">
        <f>-PPMT(C$11,E7,C$8,C$10)</f>
        <v>15740.973194104889</v>
      </c>
      <c r="I7" s="5">
        <f>F7-H7</f>
        <v>84259.026805895119</v>
      </c>
      <c r="J7" s="52"/>
      <c r="L7" s="110" t="s">
        <v>25</v>
      </c>
      <c r="M7" s="17"/>
      <c r="N7" s="111">
        <f>G15</f>
        <v>12000</v>
      </c>
      <c r="O7" s="111">
        <f>G16</f>
        <v>20400</v>
      </c>
      <c r="P7" s="111">
        <f>G17</f>
        <v>14280</v>
      </c>
      <c r="Q7" s="111">
        <f>G18</f>
        <v>9996</v>
      </c>
      <c r="R7" s="112">
        <f>G19</f>
        <v>6997.2</v>
      </c>
    </row>
    <row r="8" spans="1:21" x14ac:dyDescent="0.2">
      <c r="B8" s="99" t="s">
        <v>9</v>
      </c>
      <c r="C8" s="134">
        <v>5</v>
      </c>
      <c r="E8" s="99">
        <v>2</v>
      </c>
      <c r="F8" s="5">
        <f>I7</f>
        <v>84259.026805895119</v>
      </c>
      <c r="G8" s="5">
        <f>-IPMT(C$11,E8,C$8,C$10)</f>
        <v>10111.083216707413</v>
      </c>
      <c r="H8" s="5">
        <f>-PPMT(C$11,E8,C$8,C$10)</f>
        <v>17629.889977397477</v>
      </c>
      <c r="I8" s="5">
        <f t="shared" ref="I8:I11" si="2">F8-H8</f>
        <v>66629.136828497634</v>
      </c>
      <c r="J8" s="52"/>
      <c r="L8" s="109" t="s">
        <v>44</v>
      </c>
      <c r="N8" s="100">
        <f>G7</f>
        <v>12000</v>
      </c>
      <c r="O8" s="100">
        <f>G8</f>
        <v>10111.083216707413</v>
      </c>
      <c r="P8" s="100">
        <f>G9</f>
        <v>7995.4964194197173</v>
      </c>
      <c r="Q8" s="100">
        <f>G10</f>
        <v>5626.0392064574962</v>
      </c>
      <c r="R8" s="108">
        <f>G11</f>
        <v>2972.2471279398096</v>
      </c>
    </row>
    <row r="9" spans="1:21" x14ac:dyDescent="0.2">
      <c r="B9" s="99" t="s">
        <v>10</v>
      </c>
      <c r="C9" s="158">
        <v>5000</v>
      </c>
      <c r="E9" s="99">
        <v>3</v>
      </c>
      <c r="F9" s="5">
        <f t="shared" ref="F9:F11" si="3">I8</f>
        <v>66629.136828497634</v>
      </c>
      <c r="G9" s="5">
        <f>-IPMT(C$11,E9,C$8,C$10)</f>
        <v>7995.4964194197173</v>
      </c>
      <c r="H9" s="5">
        <f>-PPMT(C$11,E9,C$8,C$10)</f>
        <v>19745.476774685172</v>
      </c>
      <c r="I9" s="5">
        <f t="shared" si="2"/>
        <v>46883.660053812462</v>
      </c>
      <c r="J9" s="52"/>
      <c r="L9" s="113" t="s">
        <v>45</v>
      </c>
      <c r="M9" s="17"/>
      <c r="N9" s="17"/>
      <c r="O9" s="17"/>
      <c r="P9" s="17"/>
      <c r="Q9" s="17"/>
      <c r="R9" s="114">
        <f>G21</f>
        <v>11326.8</v>
      </c>
    </row>
    <row r="10" spans="1:21" x14ac:dyDescent="0.2">
      <c r="B10" s="99" t="s">
        <v>11</v>
      </c>
      <c r="C10" s="158">
        <v>100000</v>
      </c>
      <c r="E10" s="99">
        <v>4</v>
      </c>
      <c r="F10" s="5">
        <f t="shared" si="3"/>
        <v>46883.660053812462</v>
      </c>
      <c r="G10" s="5">
        <f>-IPMT(C$11,E10,C$8,C$10)</f>
        <v>5626.0392064574962</v>
      </c>
      <c r="H10" s="5">
        <f>-PPMT(C$11,E10,C$8,C$10)</f>
        <v>22114.933987647397</v>
      </c>
      <c r="I10" s="5">
        <f t="shared" si="2"/>
        <v>24768.726066165065</v>
      </c>
      <c r="J10" s="52"/>
      <c r="L10" s="109" t="s">
        <v>26</v>
      </c>
      <c r="N10" s="10">
        <f>N6-N7-N8-N9</f>
        <v>64000</v>
      </c>
      <c r="O10" s="10">
        <f>O6-O7-O8-O9</f>
        <v>57488.916783292589</v>
      </c>
      <c r="P10" s="10">
        <f t="shared" ref="P10:R10" si="4">P6-P7-P8-P9</f>
        <v>65724.503580580276</v>
      </c>
      <c r="Q10" s="10">
        <f t="shared" si="4"/>
        <v>72377.960793542501</v>
      </c>
      <c r="R10" s="115">
        <f t="shared" si="4"/>
        <v>66703.752872060184</v>
      </c>
      <c r="T10" s="8">
        <f>R4-R5-R7-R8</f>
        <v>78030.552872060187</v>
      </c>
    </row>
    <row r="11" spans="1:21" x14ac:dyDescent="0.2">
      <c r="B11" s="99" t="s">
        <v>12</v>
      </c>
      <c r="C11" s="133">
        <v>0.12</v>
      </c>
      <c r="E11" s="103">
        <v>5</v>
      </c>
      <c r="F11" s="105">
        <f t="shared" si="3"/>
        <v>24768.726066165065</v>
      </c>
      <c r="G11" s="105">
        <f>-IPMT(C$11,E11,C$8,C$10)</f>
        <v>2972.2471279398096</v>
      </c>
      <c r="H11" s="105">
        <f>-PPMT(C$11,E11,C$8,C$10)</f>
        <v>24768.726066165083</v>
      </c>
      <c r="I11" s="105">
        <f t="shared" si="2"/>
        <v>0</v>
      </c>
      <c r="J11" s="48"/>
      <c r="L11" s="109"/>
      <c r="R11" s="116"/>
    </row>
    <row r="12" spans="1:21" x14ac:dyDescent="0.2">
      <c r="B12" s="99" t="s">
        <v>37</v>
      </c>
      <c r="C12" s="133">
        <v>0.28999999999999998</v>
      </c>
      <c r="L12" s="109" t="s">
        <v>27</v>
      </c>
      <c r="N12" s="8">
        <f>N10*$C$12</f>
        <v>18560</v>
      </c>
      <c r="O12" s="8">
        <f>O10*$C$12</f>
        <v>16671.785867154849</v>
      </c>
      <c r="P12" s="8">
        <f>P10*$C$12</f>
        <v>19060.106038368278</v>
      </c>
      <c r="Q12" s="8">
        <f>Q10*$C$12</f>
        <v>20989.608630127324</v>
      </c>
      <c r="R12" s="116">
        <f>R10*$C$12</f>
        <v>19344.088332897452</v>
      </c>
      <c r="T12" s="8">
        <f>T10*C12</f>
        <v>22628.860332897453</v>
      </c>
      <c r="U12" s="8">
        <f>T12-R12</f>
        <v>3284.7720000000008</v>
      </c>
    </row>
    <row r="13" spans="1:21" x14ac:dyDescent="0.2">
      <c r="B13" s="103" t="s">
        <v>52</v>
      </c>
      <c r="C13" s="135">
        <v>0.1</v>
      </c>
      <c r="E13" s="104" t="s">
        <v>239</v>
      </c>
      <c r="F13" s="98"/>
      <c r="G13" s="98"/>
      <c r="H13" s="98"/>
      <c r="I13" s="98"/>
      <c r="J13" s="51"/>
      <c r="L13" s="109" t="s">
        <v>28</v>
      </c>
      <c r="N13" s="8">
        <f>N10-N12</f>
        <v>45440</v>
      </c>
      <c r="O13" s="8">
        <f>O10-O12</f>
        <v>40817.130916137743</v>
      </c>
      <c r="P13" s="8">
        <f>P10-P12</f>
        <v>46664.397542211998</v>
      </c>
      <c r="Q13" s="8">
        <f>Q10-Q12</f>
        <v>51388.352163415177</v>
      </c>
      <c r="R13" s="116">
        <f>R10-R12</f>
        <v>47359.664539162732</v>
      </c>
    </row>
    <row r="14" spans="1:21" x14ac:dyDescent="0.2">
      <c r="E14" s="99" t="s">
        <v>4</v>
      </c>
      <c r="F14" s="159" t="s">
        <v>246</v>
      </c>
      <c r="G14" s="159" t="s">
        <v>35</v>
      </c>
      <c r="H14" s="159" t="s">
        <v>175</v>
      </c>
      <c r="J14" s="52"/>
      <c r="L14" s="110" t="s">
        <v>29</v>
      </c>
      <c r="M14" s="17"/>
      <c r="N14" s="20">
        <f>N7</f>
        <v>12000</v>
      </c>
      <c r="O14" s="20">
        <f>O7</f>
        <v>20400</v>
      </c>
      <c r="P14" s="20">
        <f>P7</f>
        <v>14280</v>
      </c>
      <c r="Q14" s="20">
        <f>Q7</f>
        <v>9996</v>
      </c>
      <c r="R14" s="117">
        <f>R7</f>
        <v>6997.2</v>
      </c>
    </row>
    <row r="15" spans="1:21" x14ac:dyDescent="0.2">
      <c r="E15" s="99">
        <v>1</v>
      </c>
      <c r="F15">
        <f>C3</f>
        <v>80000</v>
      </c>
      <c r="G15">
        <f>F15*C4*0.5</f>
        <v>12000</v>
      </c>
      <c r="H15">
        <f>F15-G15</f>
        <v>68000</v>
      </c>
      <c r="J15" s="52"/>
      <c r="L15" s="109" t="s">
        <v>256</v>
      </c>
      <c r="N15" s="8">
        <f>N8</f>
        <v>12000</v>
      </c>
      <c r="O15" s="8">
        <f t="shared" ref="O15:Q15" si="5">O8</f>
        <v>10111.083216707413</v>
      </c>
      <c r="P15" s="8">
        <f t="shared" si="5"/>
        <v>7995.4964194197173</v>
      </c>
      <c r="Q15" s="8">
        <f t="shared" si="5"/>
        <v>5626.0392064574962</v>
      </c>
      <c r="R15" s="116">
        <f>R8</f>
        <v>2972.2471279398096</v>
      </c>
    </row>
    <row r="16" spans="1:21" x14ac:dyDescent="0.2">
      <c r="E16" s="99">
        <v>2</v>
      </c>
      <c r="F16">
        <f>H15</f>
        <v>68000</v>
      </c>
      <c r="G16">
        <f>F16*C$4</f>
        <v>20400</v>
      </c>
      <c r="H16">
        <f>F16-G16</f>
        <v>47600</v>
      </c>
      <c r="J16" s="52"/>
      <c r="L16" s="113" t="s">
        <v>46</v>
      </c>
      <c r="M16" s="17"/>
      <c r="N16" s="17"/>
      <c r="O16" s="17"/>
      <c r="P16" s="17"/>
      <c r="Q16" s="17"/>
      <c r="R16" s="114">
        <f>R9</f>
        <v>11326.8</v>
      </c>
    </row>
    <row r="17" spans="3:20" x14ac:dyDescent="0.2">
      <c r="E17" s="99">
        <v>3</v>
      </c>
      <c r="F17">
        <f>H16</f>
        <v>47600</v>
      </c>
      <c r="G17">
        <f>F17*C$4</f>
        <v>14280</v>
      </c>
      <c r="H17">
        <f>F17-G17</f>
        <v>33320</v>
      </c>
      <c r="J17" s="52"/>
      <c r="L17" s="118" t="s">
        <v>38</v>
      </c>
      <c r="M17" s="84"/>
      <c r="N17" s="119">
        <f>N13+N14+N15</f>
        <v>69440</v>
      </c>
      <c r="O17" s="119">
        <f t="shared" ref="O17:Q17" si="6">O13+O14+O15</f>
        <v>71328.214132845154</v>
      </c>
      <c r="P17" s="119">
        <f t="shared" si="6"/>
        <v>68939.893961631722</v>
      </c>
      <c r="Q17" s="119">
        <f t="shared" si="6"/>
        <v>67010.391369872668</v>
      </c>
      <c r="R17" s="120">
        <f>R13+R14+R15+R16</f>
        <v>68655.91166710254</v>
      </c>
      <c r="T17" s="8">
        <f>R4-R5-R12+R23</f>
        <v>76940.683667102538</v>
      </c>
    </row>
    <row r="18" spans="3:20" x14ac:dyDescent="0.2">
      <c r="E18" s="99">
        <v>4</v>
      </c>
      <c r="F18">
        <f t="shared" ref="F18:F19" si="7">H17</f>
        <v>33320</v>
      </c>
      <c r="G18">
        <f>F18*C$4</f>
        <v>9996</v>
      </c>
      <c r="H18">
        <f t="shared" ref="H18:H19" si="8">F18-G18</f>
        <v>23324</v>
      </c>
      <c r="J18" s="52"/>
    </row>
    <row r="19" spans="3:20" x14ac:dyDescent="0.2">
      <c r="E19" s="99">
        <v>5</v>
      </c>
      <c r="F19">
        <f t="shared" si="7"/>
        <v>23324</v>
      </c>
      <c r="G19" s="9">
        <f>F19*C$4</f>
        <v>6997.2</v>
      </c>
      <c r="H19" s="9">
        <f t="shared" si="8"/>
        <v>16326.8</v>
      </c>
      <c r="J19" s="52"/>
      <c r="L19" s="104" t="s">
        <v>245</v>
      </c>
      <c r="M19" s="98"/>
      <c r="N19" s="98"/>
      <c r="O19" s="98"/>
      <c r="P19" s="98"/>
      <c r="Q19" s="98"/>
      <c r="R19" s="51"/>
    </row>
    <row r="20" spans="3:20" x14ac:dyDescent="0.2">
      <c r="E20" s="99"/>
      <c r="J20" s="52"/>
      <c r="L20" s="99" t="s">
        <v>178</v>
      </c>
      <c r="N20" s="8">
        <f>N17</f>
        <v>69440</v>
      </c>
      <c r="O20" s="8">
        <f t="shared" ref="O20:Q20" si="9">O17</f>
        <v>71328.214132845154</v>
      </c>
      <c r="P20" s="8">
        <f t="shared" si="9"/>
        <v>68939.893961631722</v>
      </c>
      <c r="Q20" s="8">
        <f t="shared" si="9"/>
        <v>67010.391369872668</v>
      </c>
      <c r="R20" s="116">
        <f>R17</f>
        <v>68655.91166710254</v>
      </c>
    </row>
    <row r="21" spans="3:20" x14ac:dyDescent="0.2">
      <c r="E21" s="103" t="s">
        <v>42</v>
      </c>
      <c r="F21" s="84"/>
      <c r="G21" s="160">
        <f>H19-C9</f>
        <v>11326.8</v>
      </c>
      <c r="H21" s="84"/>
      <c r="I21" s="84"/>
      <c r="J21" s="48"/>
      <c r="L21" s="109" t="s">
        <v>23</v>
      </c>
      <c r="M21" s="8">
        <f>-C3</f>
        <v>-80000</v>
      </c>
      <c r="R21" s="52"/>
    </row>
    <row r="22" spans="3:20" x14ac:dyDescent="0.2">
      <c r="G22" s="96"/>
      <c r="H22" s="86"/>
      <c r="L22" s="99" t="s">
        <v>30</v>
      </c>
      <c r="M22" s="8">
        <f>C10</f>
        <v>100000</v>
      </c>
      <c r="N22" s="8">
        <f>-H7</f>
        <v>-15740.973194104889</v>
      </c>
      <c r="O22" s="8">
        <f>-H8</f>
        <v>-17629.889977397477</v>
      </c>
      <c r="P22" s="8">
        <f>-H9</f>
        <v>-19745.476774685172</v>
      </c>
      <c r="Q22" s="8">
        <f>-H10</f>
        <v>-22114.933987647397</v>
      </c>
      <c r="R22" s="116">
        <f>-H11</f>
        <v>-24768.726066165083</v>
      </c>
    </row>
    <row r="23" spans="3:20" x14ac:dyDescent="0.2">
      <c r="E23" s="97" t="s">
        <v>240</v>
      </c>
      <c r="F23" s="98"/>
      <c r="G23" s="98"/>
      <c r="H23" s="98"/>
      <c r="I23" s="98"/>
      <c r="J23" s="51"/>
      <c r="L23" s="109" t="s">
        <v>43</v>
      </c>
      <c r="R23" s="121">
        <f>C9+I30</f>
        <v>8284.771999999999</v>
      </c>
    </row>
    <row r="24" spans="3:20" x14ac:dyDescent="0.2">
      <c r="C24" s="9"/>
      <c r="E24" s="99"/>
      <c r="J24" s="52"/>
      <c r="L24" s="99"/>
      <c r="R24" s="52"/>
    </row>
    <row r="25" spans="3:20" x14ac:dyDescent="0.2">
      <c r="E25" s="99" t="s">
        <v>241</v>
      </c>
      <c r="J25" s="52"/>
      <c r="L25" s="99" t="s">
        <v>31</v>
      </c>
      <c r="M25" s="8">
        <v>-55000</v>
      </c>
      <c r="R25" s="116">
        <v>55000</v>
      </c>
    </row>
    <row r="26" spans="3:20" x14ac:dyDescent="0.2">
      <c r="E26" s="99" t="s">
        <v>208</v>
      </c>
      <c r="J26" s="52"/>
      <c r="L26" s="99"/>
      <c r="R26" s="52"/>
    </row>
    <row r="27" spans="3:20" x14ac:dyDescent="0.2">
      <c r="E27" s="99"/>
      <c r="F27" t="s">
        <v>211</v>
      </c>
      <c r="I27" s="86"/>
      <c r="J27" s="52"/>
      <c r="L27" s="109" t="s">
        <v>32</v>
      </c>
      <c r="M27" s="8">
        <f t="shared" ref="M27:R27" si="10">SUM(M20:M25)</f>
        <v>-35000</v>
      </c>
      <c r="N27" s="8">
        <f t="shared" si="10"/>
        <v>53699.026805895111</v>
      </c>
      <c r="O27" s="8">
        <f t="shared" si="10"/>
        <v>53698.324155447677</v>
      </c>
      <c r="P27" s="8">
        <f t="shared" si="10"/>
        <v>49194.41718694655</v>
      </c>
      <c r="Q27" s="8">
        <f t="shared" si="10"/>
        <v>44895.457382225271</v>
      </c>
      <c r="R27" s="116">
        <f t="shared" si="10"/>
        <v>107171.95760093746</v>
      </c>
    </row>
    <row r="28" spans="3:20" x14ac:dyDescent="0.2">
      <c r="E28" s="99"/>
      <c r="F28" s="7" t="s">
        <v>48</v>
      </c>
      <c r="J28" s="52"/>
      <c r="L28" s="99"/>
      <c r="R28" s="52"/>
    </row>
    <row r="29" spans="3:20" x14ac:dyDescent="0.2">
      <c r="C29" s="86"/>
      <c r="E29" s="99"/>
      <c r="F29" s="100">
        <f>C9*(1-C12)+H19*C12</f>
        <v>8284.771999999999</v>
      </c>
      <c r="H29" t="s">
        <v>212</v>
      </c>
      <c r="J29" s="52"/>
      <c r="L29" s="99" t="s">
        <v>40</v>
      </c>
      <c r="M29" s="8">
        <f t="shared" ref="M29:R29" si="11">M27/(1+$C13)^M3</f>
        <v>-35000</v>
      </c>
      <c r="N29" s="8">
        <f t="shared" si="11"/>
        <v>48817.297096268281</v>
      </c>
      <c r="O29" s="8">
        <f t="shared" si="11"/>
        <v>44378.780293758406</v>
      </c>
      <c r="P29" s="8">
        <f t="shared" si="11"/>
        <v>36960.493754279894</v>
      </c>
      <c r="Q29" s="8">
        <f t="shared" si="11"/>
        <v>30664.201476828945</v>
      </c>
      <c r="R29" s="116">
        <f t="shared" si="11"/>
        <v>66545.35370841375</v>
      </c>
    </row>
    <row r="30" spans="3:20" x14ac:dyDescent="0.2">
      <c r="E30" s="99"/>
      <c r="H30" t="s">
        <v>209</v>
      </c>
      <c r="I30" s="8">
        <f>G21*C12</f>
        <v>3284.7719999999995</v>
      </c>
      <c r="J30" s="52"/>
      <c r="L30" s="99" t="s">
        <v>39</v>
      </c>
      <c r="M30" s="10">
        <f>SUM(M29:R29)</f>
        <v>192366.12632954927</v>
      </c>
      <c r="R30" s="52"/>
    </row>
    <row r="31" spans="3:20" x14ac:dyDescent="0.2">
      <c r="E31" s="99"/>
      <c r="H31" t="s">
        <v>210</v>
      </c>
      <c r="I31" s="8">
        <f>C9</f>
        <v>5000</v>
      </c>
      <c r="J31" s="52"/>
      <c r="L31" s="99"/>
      <c r="M31" s="5"/>
      <c r="R31" s="52"/>
    </row>
    <row r="32" spans="3:20" x14ac:dyDescent="0.2">
      <c r="E32" s="99" t="s">
        <v>243</v>
      </c>
      <c r="J32" s="52"/>
      <c r="L32" s="99" t="s">
        <v>41</v>
      </c>
      <c r="M32" s="5">
        <f>PMT(C11,C8,M30)</f>
        <v>-53364.23553961821</v>
      </c>
      <c r="R32" s="52"/>
    </row>
    <row r="33" spans="5:18" x14ac:dyDescent="0.2">
      <c r="E33" s="99"/>
      <c r="J33" s="52"/>
      <c r="L33" s="103" t="s">
        <v>47</v>
      </c>
      <c r="M33" s="122">
        <f>IRR(M27:R27)</f>
        <v>1.5203065829420073</v>
      </c>
      <c r="N33" s="84"/>
      <c r="O33" s="84"/>
      <c r="P33" s="84"/>
      <c r="Q33" s="84"/>
      <c r="R33" s="48"/>
    </row>
    <row r="34" spans="5:18" x14ac:dyDescent="0.2">
      <c r="E34" s="101" t="s">
        <v>242</v>
      </c>
      <c r="F34" s="124"/>
      <c r="G34" s="124"/>
      <c r="H34" s="124"/>
      <c r="I34" s="124"/>
      <c r="J34" s="52"/>
    </row>
    <row r="35" spans="5:18" x14ac:dyDescent="0.2">
      <c r="E35" s="126"/>
      <c r="F35" s="124"/>
      <c r="G35" s="124"/>
      <c r="H35" s="124"/>
      <c r="I35" s="124"/>
      <c r="J35" s="125"/>
    </row>
    <row r="36" spans="5:18" x14ac:dyDescent="0.2">
      <c r="E36" s="123"/>
      <c r="F36" s="124"/>
      <c r="G36" s="124"/>
      <c r="H36" s="124"/>
      <c r="I36" s="124"/>
      <c r="J36" s="125"/>
      <c r="L36" t="s">
        <v>251</v>
      </c>
    </row>
    <row r="37" spans="5:18" x14ac:dyDescent="0.2">
      <c r="E37" s="123"/>
      <c r="F37" s="124"/>
      <c r="G37" s="124"/>
      <c r="H37" s="124"/>
      <c r="I37" s="124"/>
      <c r="J37" s="125"/>
      <c r="L37" t="s">
        <v>254</v>
      </c>
    </row>
    <row r="38" spans="5:18" x14ac:dyDescent="0.2">
      <c r="E38" s="101" t="s">
        <v>49</v>
      </c>
      <c r="F38" s="13"/>
      <c r="G38" s="14">
        <f>(1-((C12*C4)/(C11+C4)))</f>
        <v>0.79285714285714293</v>
      </c>
      <c r="H38" s="124"/>
      <c r="I38" s="124"/>
      <c r="J38" s="125"/>
      <c r="L38" t="s">
        <v>255</v>
      </c>
    </row>
    <row r="39" spans="5:18" x14ac:dyDescent="0.2">
      <c r="E39" s="101"/>
      <c r="F39" s="13"/>
      <c r="G39" s="102">
        <f>C9*G38</f>
        <v>3964.2857142857147</v>
      </c>
      <c r="H39" s="124"/>
      <c r="I39" s="124"/>
      <c r="J39" s="125"/>
      <c r="L39" t="s">
        <v>249</v>
      </c>
    </row>
    <row r="40" spans="5:18" x14ac:dyDescent="0.2">
      <c r="E40" s="101"/>
      <c r="F40" s="13"/>
      <c r="G40" s="129">
        <f>G39+C9</f>
        <v>8964.2857142857138</v>
      </c>
      <c r="H40" s="124"/>
      <c r="I40" s="124"/>
      <c r="J40" s="125"/>
      <c r="L40" t="s">
        <v>250</v>
      </c>
    </row>
    <row r="41" spans="5:18" x14ac:dyDescent="0.2">
      <c r="E41" s="101"/>
      <c r="F41" s="13"/>
      <c r="G41" s="13"/>
      <c r="H41" s="124"/>
      <c r="I41" s="124"/>
      <c r="J41" s="125"/>
    </row>
    <row r="42" spans="5:18" x14ac:dyDescent="0.2">
      <c r="E42" s="101" t="s">
        <v>50</v>
      </c>
      <c r="F42" s="13"/>
      <c r="G42" s="13"/>
      <c r="H42" s="124"/>
      <c r="I42" s="124"/>
      <c r="J42" s="125"/>
      <c r="L42" s="17" t="s">
        <v>252</v>
      </c>
      <c r="M42" s="17"/>
      <c r="N42" s="17"/>
      <c r="O42" s="17"/>
    </row>
    <row r="43" spans="5:18" x14ac:dyDescent="0.2">
      <c r="E43" s="101"/>
      <c r="F43" s="13"/>
      <c r="G43" s="13"/>
      <c r="H43" s="124"/>
      <c r="I43" s="124"/>
      <c r="J43" s="125"/>
    </row>
    <row r="44" spans="5:18" x14ac:dyDescent="0.2">
      <c r="E44" s="101"/>
      <c r="F44" s="13"/>
      <c r="G44" s="130">
        <f>(1-((C12*C4)/(C11+C4))*((1+C11/2)/(1+C11)))</f>
        <v>0.80395408163265314</v>
      </c>
      <c r="H44" s="124"/>
      <c r="I44" s="124"/>
      <c r="J44" s="125"/>
      <c r="L44" t="s">
        <v>253</v>
      </c>
    </row>
    <row r="45" spans="5:18" x14ac:dyDescent="0.2">
      <c r="E45" s="131"/>
      <c r="F45" s="132"/>
      <c r="G45" s="132">
        <f>C3*G44</f>
        <v>64316.326530612248</v>
      </c>
      <c r="H45" s="127"/>
      <c r="I45" s="127"/>
      <c r="J45" s="128"/>
    </row>
  </sheetData>
  <pageMargins left="0.7" right="0.7" top="0.75" bottom="0.75" header="0.3" footer="0.3"/>
  <pageSetup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Z46"/>
  <sheetViews>
    <sheetView tabSelected="1" topLeftCell="B1" zoomScale="106" zoomScaleNormal="130" workbookViewId="0">
      <selection activeCell="M38" sqref="M38"/>
    </sheetView>
  </sheetViews>
  <sheetFormatPr baseColWidth="10" defaultColWidth="8.83203125" defaultRowHeight="15" x14ac:dyDescent="0.2"/>
  <cols>
    <col min="1" max="1" width="3.83203125" customWidth="1"/>
    <col min="2" max="2" width="26" customWidth="1"/>
    <col min="3" max="3" width="12.5" bestFit="1" customWidth="1"/>
    <col min="4" max="4" width="3.5" customWidth="1"/>
    <col min="6" max="6" width="29.83203125" customWidth="1"/>
    <col min="7" max="7" width="12.6640625" customWidth="1"/>
    <col min="8" max="8" width="16" customWidth="1"/>
    <col min="9" max="9" width="12.1640625" customWidth="1"/>
    <col min="11" max="11" width="5.1640625" customWidth="1"/>
    <col min="12" max="12" width="30.83203125" customWidth="1"/>
    <col min="13" max="13" width="11.5" customWidth="1"/>
    <col min="14" max="14" width="12.5" bestFit="1" customWidth="1"/>
    <col min="15" max="17" width="10.5" bestFit="1" customWidth="1"/>
    <col min="18" max="18" width="12.33203125" bestFit="1" customWidth="1"/>
    <col min="19" max="23" width="12.33203125" customWidth="1"/>
    <col min="24" max="24" width="4.6640625" customWidth="1"/>
    <col min="25" max="25" width="12.5" bestFit="1" customWidth="1"/>
  </cols>
  <sheetData>
    <row r="1" spans="1:26" x14ac:dyDescent="0.2">
      <c r="A1" s="6" t="s">
        <v>538</v>
      </c>
    </row>
    <row r="2" spans="1:26" x14ac:dyDescent="0.2">
      <c r="B2" s="6" t="s">
        <v>19</v>
      </c>
      <c r="E2" s="6" t="s">
        <v>20</v>
      </c>
      <c r="L2" s="104" t="s">
        <v>21</v>
      </c>
      <c r="M2" s="98"/>
      <c r="N2" s="98"/>
      <c r="O2" s="98"/>
      <c r="P2" s="98"/>
      <c r="Q2" s="98"/>
      <c r="R2" s="98"/>
      <c r="S2" s="98"/>
      <c r="T2" s="98"/>
      <c r="U2" s="98"/>
      <c r="V2" s="98"/>
      <c r="W2" s="51"/>
      <c r="Y2" t="s">
        <v>294</v>
      </c>
    </row>
    <row r="3" spans="1:26" x14ac:dyDescent="0.2">
      <c r="B3" s="97" t="s">
        <v>5</v>
      </c>
      <c r="C3" s="157">
        <v>246000</v>
      </c>
      <c r="E3" s="104" t="s">
        <v>33</v>
      </c>
      <c r="F3" s="98"/>
      <c r="G3" s="98"/>
      <c r="H3" s="98"/>
      <c r="I3" s="98"/>
      <c r="J3" s="51"/>
      <c r="L3" s="99" t="s">
        <v>4</v>
      </c>
      <c r="M3">
        <v>0</v>
      </c>
      <c r="N3">
        <v>1</v>
      </c>
      <c r="O3">
        <v>2</v>
      </c>
      <c r="P3">
        <v>3</v>
      </c>
      <c r="Q3">
        <v>4</v>
      </c>
      <c r="R3">
        <v>5</v>
      </c>
      <c r="S3">
        <v>6</v>
      </c>
      <c r="T3">
        <v>7</v>
      </c>
      <c r="U3">
        <v>8</v>
      </c>
      <c r="V3">
        <v>9</v>
      </c>
      <c r="W3" s="52">
        <v>10</v>
      </c>
    </row>
    <row r="4" spans="1:26" x14ac:dyDescent="0.2">
      <c r="B4" s="99" t="s">
        <v>51</v>
      </c>
      <c r="C4" s="133">
        <v>0.2</v>
      </c>
      <c r="E4" s="99" t="s">
        <v>4</v>
      </c>
      <c r="F4" s="159" t="s">
        <v>246</v>
      </c>
      <c r="G4" s="159" t="s">
        <v>35</v>
      </c>
      <c r="H4" s="159" t="s">
        <v>175</v>
      </c>
      <c r="J4" s="52"/>
      <c r="L4" s="99"/>
      <c r="N4" s="100"/>
      <c r="O4" s="100"/>
      <c r="P4" s="100"/>
      <c r="Q4" s="100"/>
      <c r="R4" s="100"/>
      <c r="S4" s="100"/>
      <c r="T4" s="100"/>
      <c r="U4" s="100"/>
      <c r="V4" s="100"/>
      <c r="W4" s="108"/>
    </row>
    <row r="5" spans="1:26" x14ac:dyDescent="0.2">
      <c r="B5" s="99" t="s">
        <v>540</v>
      </c>
      <c r="C5" s="296">
        <v>35000</v>
      </c>
      <c r="E5" s="99">
        <v>1</v>
      </c>
      <c r="F5" s="288">
        <f>C3</f>
        <v>246000</v>
      </c>
      <c r="G5" s="288">
        <f>F5*C4*0.5</f>
        <v>24600</v>
      </c>
      <c r="H5" s="288">
        <f>F5-G5</f>
        <v>221400</v>
      </c>
      <c r="J5" s="52"/>
      <c r="L5" s="109"/>
      <c r="N5" s="100"/>
      <c r="O5" s="100"/>
      <c r="P5" s="100"/>
      <c r="Q5" s="100"/>
      <c r="R5" s="100"/>
      <c r="S5" s="100"/>
      <c r="T5" s="100"/>
      <c r="U5" s="100"/>
      <c r="V5" s="100"/>
      <c r="W5" s="108"/>
    </row>
    <row r="6" spans="1:26" x14ac:dyDescent="0.2">
      <c r="B6" s="99" t="s">
        <v>541</v>
      </c>
      <c r="C6" s="158">
        <v>10000</v>
      </c>
      <c r="E6" s="99">
        <v>2</v>
      </c>
      <c r="F6" s="288">
        <f>H5</f>
        <v>221400</v>
      </c>
      <c r="G6" s="288">
        <f>F6*C$4</f>
        <v>44280</v>
      </c>
      <c r="H6" s="288">
        <f>F6-G6</f>
        <v>177120</v>
      </c>
      <c r="J6" s="52"/>
      <c r="L6" s="109" t="s">
        <v>257</v>
      </c>
      <c r="M6" s="161"/>
      <c r="N6" s="287">
        <f>C5</f>
        <v>35000</v>
      </c>
      <c r="O6" s="287">
        <f>N6+$C$6</f>
        <v>45000</v>
      </c>
      <c r="P6" s="287">
        <f t="shared" ref="P6:W6" si="0">O6+$C$6</f>
        <v>55000</v>
      </c>
      <c r="Q6" s="287">
        <f t="shared" si="0"/>
        <v>65000</v>
      </c>
      <c r="R6" s="287">
        <f t="shared" si="0"/>
        <v>75000</v>
      </c>
      <c r="S6" s="287">
        <f t="shared" si="0"/>
        <v>85000</v>
      </c>
      <c r="T6" s="287">
        <f t="shared" si="0"/>
        <v>95000</v>
      </c>
      <c r="U6" s="287">
        <f t="shared" si="0"/>
        <v>105000</v>
      </c>
      <c r="V6" s="287">
        <f t="shared" si="0"/>
        <v>115000</v>
      </c>
      <c r="W6" s="290">
        <f t="shared" si="0"/>
        <v>125000</v>
      </c>
    </row>
    <row r="7" spans="1:26" x14ac:dyDescent="0.2">
      <c r="B7" s="99" t="s">
        <v>9</v>
      </c>
      <c r="C7" s="134">
        <v>10</v>
      </c>
      <c r="E7" s="99">
        <v>3</v>
      </c>
      <c r="F7" s="288">
        <f>H6</f>
        <v>177120</v>
      </c>
      <c r="G7" s="288">
        <f t="shared" ref="G7:G14" si="1">F7*C$4</f>
        <v>35424</v>
      </c>
      <c r="H7" s="288">
        <f>F7-G7</f>
        <v>141696</v>
      </c>
      <c r="J7" s="52"/>
      <c r="L7" s="110" t="s">
        <v>25</v>
      </c>
      <c r="M7" s="17"/>
      <c r="N7" s="111">
        <f>G5</f>
        <v>24600</v>
      </c>
      <c r="O7" s="111">
        <f>G6</f>
        <v>44280</v>
      </c>
      <c r="P7" s="111">
        <f>G7</f>
        <v>35424</v>
      </c>
      <c r="Q7" s="111">
        <f>G8</f>
        <v>28339.200000000001</v>
      </c>
      <c r="R7" s="111">
        <f>G9</f>
        <v>22671.360000000001</v>
      </c>
      <c r="S7" s="111">
        <f>G10</f>
        <v>18137.088</v>
      </c>
      <c r="T7" s="111">
        <f>G11</f>
        <v>14509.670400000001</v>
      </c>
      <c r="U7" s="111">
        <f>G12</f>
        <v>11607.73632</v>
      </c>
      <c r="V7" s="111">
        <f>G13</f>
        <v>9286.1890560000011</v>
      </c>
      <c r="W7" s="112">
        <f>G14</f>
        <v>7428.9512447999996</v>
      </c>
    </row>
    <row r="8" spans="1:26" x14ac:dyDescent="0.2">
      <c r="B8" s="99" t="s">
        <v>10</v>
      </c>
      <c r="C8" s="158">
        <v>20000</v>
      </c>
      <c r="E8" s="99">
        <v>4</v>
      </c>
      <c r="F8" s="288">
        <f t="shared" ref="F8:F9" si="2">H7</f>
        <v>141696</v>
      </c>
      <c r="G8" s="288">
        <f t="shared" si="1"/>
        <v>28339.200000000001</v>
      </c>
      <c r="H8" s="288">
        <f t="shared" ref="H8:H9" si="3">F8-G8</f>
        <v>113356.8</v>
      </c>
      <c r="J8" s="52"/>
      <c r="L8" s="109"/>
      <c r="N8" s="165"/>
      <c r="O8" s="165"/>
      <c r="P8" s="165"/>
      <c r="Q8" s="165"/>
      <c r="R8" s="165"/>
      <c r="S8" s="165"/>
      <c r="T8" s="165"/>
      <c r="U8" s="165"/>
      <c r="V8" s="165"/>
      <c r="W8" s="167"/>
    </row>
    <row r="9" spans="1:26" x14ac:dyDescent="0.2">
      <c r="B9" s="99" t="s">
        <v>37</v>
      </c>
      <c r="C9" s="133">
        <v>0.35</v>
      </c>
      <c r="E9" s="99">
        <v>5</v>
      </c>
      <c r="F9" s="288">
        <f t="shared" si="2"/>
        <v>113356.8</v>
      </c>
      <c r="G9" s="288">
        <f t="shared" si="1"/>
        <v>22671.360000000001</v>
      </c>
      <c r="H9" s="288">
        <f t="shared" si="3"/>
        <v>90685.440000000002</v>
      </c>
      <c r="J9" s="52"/>
      <c r="L9" s="109" t="s">
        <v>26</v>
      </c>
      <c r="N9" s="8">
        <f>N6-N7-N8</f>
        <v>10400</v>
      </c>
      <c r="O9" s="8">
        <f t="shared" ref="O9:W9" si="4">O6-O7-O8</f>
        <v>720</v>
      </c>
      <c r="P9" s="8">
        <f t="shared" si="4"/>
        <v>19576</v>
      </c>
      <c r="Q9" s="8">
        <f t="shared" si="4"/>
        <v>36660.800000000003</v>
      </c>
      <c r="R9" s="8">
        <f t="shared" si="4"/>
        <v>52328.639999999999</v>
      </c>
      <c r="S9" s="8">
        <f t="shared" si="4"/>
        <v>66862.911999999997</v>
      </c>
      <c r="T9" s="8">
        <f t="shared" si="4"/>
        <v>80490.329599999997</v>
      </c>
      <c r="U9" s="8">
        <f t="shared" si="4"/>
        <v>93392.263680000004</v>
      </c>
      <c r="V9" s="8">
        <f t="shared" si="4"/>
        <v>105713.810944</v>
      </c>
      <c r="W9" s="116">
        <f t="shared" si="4"/>
        <v>117571.0487552</v>
      </c>
      <c r="Y9" s="165"/>
    </row>
    <row r="10" spans="1:26" x14ac:dyDescent="0.2">
      <c r="B10" s="103" t="s">
        <v>544</v>
      </c>
      <c r="C10" s="135">
        <v>0.12</v>
      </c>
      <c r="E10" s="99">
        <v>6</v>
      </c>
      <c r="F10" s="288">
        <f t="shared" ref="F10:F14" si="5">H9</f>
        <v>90685.440000000002</v>
      </c>
      <c r="G10" s="288">
        <f t="shared" si="1"/>
        <v>18137.088</v>
      </c>
      <c r="H10" s="288">
        <f t="shared" ref="H10:H14" si="6">F10-G10</f>
        <v>72548.351999999999</v>
      </c>
      <c r="J10" s="52"/>
      <c r="L10" s="109" t="s">
        <v>27</v>
      </c>
      <c r="N10" s="8">
        <f>N9*$C$9</f>
        <v>3639.9999999999995</v>
      </c>
      <c r="O10" s="8">
        <f t="shared" ref="O10:W10" si="7">O9*$C$9</f>
        <v>251.99999999999997</v>
      </c>
      <c r="P10" s="8">
        <f t="shared" si="7"/>
        <v>6851.5999999999995</v>
      </c>
      <c r="Q10" s="8">
        <f t="shared" si="7"/>
        <v>12831.28</v>
      </c>
      <c r="R10" s="8">
        <f t="shared" si="7"/>
        <v>18315.023999999998</v>
      </c>
      <c r="S10" s="8">
        <f t="shared" si="7"/>
        <v>23402.019199999999</v>
      </c>
      <c r="T10" s="8">
        <f t="shared" si="7"/>
        <v>28171.615359999996</v>
      </c>
      <c r="U10" s="8">
        <f t="shared" si="7"/>
        <v>32687.292288000001</v>
      </c>
      <c r="V10" s="8">
        <f t="shared" si="7"/>
        <v>36999.833830399999</v>
      </c>
      <c r="W10" s="116">
        <f t="shared" si="7"/>
        <v>41149.867064319995</v>
      </c>
      <c r="Y10" s="8"/>
      <c r="Z10" s="8"/>
    </row>
    <row r="11" spans="1:26" x14ac:dyDescent="0.2">
      <c r="E11" s="99">
        <v>7</v>
      </c>
      <c r="F11" s="288">
        <f t="shared" si="5"/>
        <v>72548.351999999999</v>
      </c>
      <c r="G11" s="288">
        <f t="shared" si="1"/>
        <v>14509.670400000001</v>
      </c>
      <c r="H11" s="288">
        <f t="shared" si="6"/>
        <v>58038.681599999996</v>
      </c>
      <c r="J11" s="52"/>
      <c r="L11" s="109" t="s">
        <v>28</v>
      </c>
      <c r="N11" s="8">
        <f>N9-N10</f>
        <v>6760</v>
      </c>
      <c r="O11" s="8">
        <f t="shared" ref="O11:W11" si="8">O9-O10</f>
        <v>468</v>
      </c>
      <c r="P11" s="8">
        <f t="shared" si="8"/>
        <v>12724.400000000001</v>
      </c>
      <c r="Q11" s="8">
        <f t="shared" si="8"/>
        <v>23829.520000000004</v>
      </c>
      <c r="R11" s="8">
        <f t="shared" si="8"/>
        <v>34013.616000000002</v>
      </c>
      <c r="S11" s="8">
        <f t="shared" si="8"/>
        <v>43460.892800000001</v>
      </c>
      <c r="T11" s="8">
        <f t="shared" si="8"/>
        <v>52318.714240000001</v>
      </c>
      <c r="U11" s="8">
        <f t="shared" si="8"/>
        <v>60704.971392000007</v>
      </c>
      <c r="V11" s="8">
        <f t="shared" si="8"/>
        <v>68713.977113600005</v>
      </c>
      <c r="W11" s="116">
        <f t="shared" si="8"/>
        <v>76421.18169088001</v>
      </c>
    </row>
    <row r="12" spans="1:26" x14ac:dyDescent="0.2">
      <c r="B12" s="58" t="s">
        <v>565</v>
      </c>
      <c r="E12" s="99">
        <v>8</v>
      </c>
      <c r="F12" s="288">
        <f t="shared" si="5"/>
        <v>58038.681599999996</v>
      </c>
      <c r="G12" s="288">
        <f t="shared" si="1"/>
        <v>11607.73632</v>
      </c>
      <c r="H12" s="288">
        <f t="shared" si="6"/>
        <v>46430.94528</v>
      </c>
      <c r="J12" s="52"/>
      <c r="L12" s="110" t="s">
        <v>29</v>
      </c>
      <c r="M12" s="17"/>
      <c r="N12" s="20">
        <f>N7</f>
        <v>24600</v>
      </c>
      <c r="O12" s="20">
        <f>O7</f>
        <v>44280</v>
      </c>
      <c r="P12" s="20">
        <f>P7</f>
        <v>35424</v>
      </c>
      <c r="Q12" s="20">
        <f t="shared" ref="Q12:W12" si="9">Q7</f>
        <v>28339.200000000001</v>
      </c>
      <c r="R12" s="20">
        <f t="shared" si="9"/>
        <v>22671.360000000001</v>
      </c>
      <c r="S12" s="20">
        <f t="shared" si="9"/>
        <v>18137.088</v>
      </c>
      <c r="T12" s="20">
        <f t="shared" si="9"/>
        <v>14509.670400000001</v>
      </c>
      <c r="U12" s="20">
        <f t="shared" si="9"/>
        <v>11607.73632</v>
      </c>
      <c r="V12" s="20">
        <f t="shared" si="9"/>
        <v>9286.1890560000011</v>
      </c>
      <c r="W12" s="117">
        <f t="shared" si="9"/>
        <v>7428.9512447999996</v>
      </c>
    </row>
    <row r="13" spans="1:26" x14ac:dyDescent="0.2">
      <c r="B13" s="58" t="s">
        <v>566</v>
      </c>
      <c r="E13" s="99">
        <v>9</v>
      </c>
      <c r="F13" s="288">
        <f t="shared" si="5"/>
        <v>46430.94528</v>
      </c>
      <c r="G13" s="288">
        <f t="shared" si="1"/>
        <v>9286.1890560000011</v>
      </c>
      <c r="H13" s="288">
        <f t="shared" si="6"/>
        <v>37144.756223999997</v>
      </c>
      <c r="J13" s="52"/>
      <c r="L13" s="166"/>
      <c r="N13" s="8"/>
      <c r="O13" s="8"/>
      <c r="P13" s="8"/>
      <c r="Q13" s="8"/>
      <c r="R13" s="8"/>
      <c r="S13" s="8"/>
      <c r="T13" s="8"/>
      <c r="U13" s="8"/>
      <c r="V13" s="8"/>
      <c r="W13" s="116"/>
      <c r="Y13" s="164"/>
    </row>
    <row r="14" spans="1:26" x14ac:dyDescent="0.2">
      <c r="B14" s="58" t="s">
        <v>567</v>
      </c>
      <c r="E14" s="99">
        <v>10</v>
      </c>
      <c r="F14" s="288">
        <f t="shared" si="5"/>
        <v>37144.756223999997</v>
      </c>
      <c r="G14" s="288">
        <f t="shared" si="1"/>
        <v>7428.9512447999996</v>
      </c>
      <c r="H14" s="288">
        <f t="shared" si="6"/>
        <v>29715.804979199998</v>
      </c>
      <c r="J14" s="52"/>
      <c r="L14" s="109" t="s">
        <v>38</v>
      </c>
      <c r="N14" s="8">
        <f>N11+N12+N13</f>
        <v>31360</v>
      </c>
      <c r="O14" s="8">
        <f t="shared" ref="O14:W14" si="10">O11+O12+O13</f>
        <v>44748</v>
      </c>
      <c r="P14" s="8">
        <f t="shared" si="10"/>
        <v>48148.4</v>
      </c>
      <c r="Q14" s="8">
        <f t="shared" si="10"/>
        <v>52168.72</v>
      </c>
      <c r="R14" s="8">
        <f t="shared" si="10"/>
        <v>56684.976000000002</v>
      </c>
      <c r="S14" s="8">
        <f t="shared" si="10"/>
        <v>61597.980800000005</v>
      </c>
      <c r="T14" s="8">
        <f t="shared" si="10"/>
        <v>66828.384640000004</v>
      </c>
      <c r="U14" s="8">
        <f t="shared" si="10"/>
        <v>72312.707712000003</v>
      </c>
      <c r="V14" s="8">
        <f t="shared" si="10"/>
        <v>78000.166169600008</v>
      </c>
      <c r="W14" s="116">
        <f t="shared" si="10"/>
        <v>83850.132935680012</v>
      </c>
      <c r="Y14" s="8"/>
    </row>
    <row r="15" spans="1:26" x14ac:dyDescent="0.2">
      <c r="B15" s="58" t="s">
        <v>568</v>
      </c>
      <c r="E15" s="99"/>
      <c r="J15" s="52"/>
      <c r="L15" s="109" t="s">
        <v>542</v>
      </c>
      <c r="M15" s="8">
        <f>-C$3</f>
        <v>-246000</v>
      </c>
      <c r="N15" s="8"/>
      <c r="O15" s="8"/>
      <c r="P15" s="8"/>
      <c r="Q15" s="8"/>
      <c r="R15" s="8"/>
      <c r="S15" s="8"/>
      <c r="T15" s="8"/>
      <c r="U15" s="8"/>
      <c r="V15" s="8"/>
      <c r="W15" s="116">
        <f>I27+I26</f>
        <v>23400.531742719999</v>
      </c>
    </row>
    <row r="16" spans="1:26" x14ac:dyDescent="0.2">
      <c r="E16" s="103" t="s">
        <v>42</v>
      </c>
      <c r="F16" s="84"/>
      <c r="G16" s="160">
        <f>H14-C8</f>
        <v>9715.8049791999983</v>
      </c>
      <c r="H16" s="84"/>
      <c r="I16" s="84"/>
      <c r="J16" s="48"/>
      <c r="L16" s="291" t="s">
        <v>258</v>
      </c>
      <c r="M16" s="119">
        <f>M14+M15</f>
        <v>-246000</v>
      </c>
      <c r="N16" s="119">
        <f t="shared" ref="N16:W16" si="11">N14+N15</f>
        <v>31360</v>
      </c>
      <c r="O16" s="119">
        <f t="shared" si="11"/>
        <v>44748</v>
      </c>
      <c r="P16" s="119">
        <f t="shared" si="11"/>
        <v>48148.4</v>
      </c>
      <c r="Q16" s="119">
        <f t="shared" si="11"/>
        <v>52168.72</v>
      </c>
      <c r="R16" s="119">
        <f t="shared" si="11"/>
        <v>56684.976000000002</v>
      </c>
      <c r="S16" s="119">
        <f t="shared" si="11"/>
        <v>61597.980800000005</v>
      </c>
      <c r="T16" s="119">
        <f t="shared" si="11"/>
        <v>66828.384640000004</v>
      </c>
      <c r="U16" s="119">
        <f t="shared" si="11"/>
        <v>72312.707712000003</v>
      </c>
      <c r="V16" s="119">
        <f t="shared" si="11"/>
        <v>78000.166169600008</v>
      </c>
      <c r="W16" s="120">
        <f t="shared" si="11"/>
        <v>107250.6646784</v>
      </c>
      <c r="Y16" s="164"/>
    </row>
    <row r="18" spans="3:25" x14ac:dyDescent="0.2">
      <c r="L18" s="289" t="s">
        <v>292</v>
      </c>
      <c r="M18" s="289"/>
      <c r="N18" s="289"/>
    </row>
    <row r="19" spans="3:25" x14ac:dyDescent="0.2">
      <c r="E19" s="295" t="s">
        <v>564</v>
      </c>
    </row>
    <row r="20" spans="3:25" x14ac:dyDescent="0.2">
      <c r="E20" s="107" t="s">
        <v>543</v>
      </c>
      <c r="F20" s="98"/>
      <c r="G20" s="98"/>
      <c r="H20" s="98"/>
      <c r="I20" s="98"/>
      <c r="J20" s="51"/>
      <c r="L20" s="104" t="s">
        <v>545</v>
      </c>
      <c r="M20" s="98"/>
      <c r="N20" s="98"/>
      <c r="O20" s="98"/>
      <c r="P20" s="98"/>
      <c r="Q20" s="98"/>
      <c r="R20" s="98"/>
      <c r="S20" s="98"/>
      <c r="T20" s="98"/>
      <c r="U20" s="98"/>
      <c r="V20" s="98"/>
      <c r="W20" s="51"/>
    </row>
    <row r="21" spans="3:25" x14ac:dyDescent="0.2">
      <c r="E21" s="99"/>
      <c r="J21" s="52"/>
      <c r="L21" s="107"/>
      <c r="N21" s="8"/>
      <c r="O21" s="8"/>
      <c r="P21" s="8"/>
      <c r="Q21" s="8"/>
      <c r="R21" s="8"/>
      <c r="S21" s="8"/>
      <c r="T21" s="8"/>
      <c r="U21" s="8"/>
      <c r="V21" s="8"/>
      <c r="W21" s="116"/>
    </row>
    <row r="22" spans="3:25" x14ac:dyDescent="0.2">
      <c r="E22" s="99" t="s">
        <v>208</v>
      </c>
      <c r="J22" s="52"/>
      <c r="L22" s="99" t="s">
        <v>274</v>
      </c>
      <c r="M22" s="8">
        <f t="shared" ref="M22:W22" si="12">M16/(1+$C$10)^M$3</f>
        <v>-246000</v>
      </c>
      <c r="N22" s="8">
        <f>N16/(1+$C$10)^N$3</f>
        <v>27999.999999999996</v>
      </c>
      <c r="O22" s="8">
        <f t="shared" si="12"/>
        <v>35672.831632653055</v>
      </c>
      <c r="P22" s="8">
        <f t="shared" si="12"/>
        <v>34271.08008381923</v>
      </c>
      <c r="Q22" s="8">
        <f t="shared" si="12"/>
        <v>33154.164687239681</v>
      </c>
      <c r="R22" s="8">
        <f t="shared" si="12"/>
        <v>32164.577698164263</v>
      </c>
      <c r="S22" s="8">
        <f t="shared" si="12"/>
        <v>31207.454074963076</v>
      </c>
      <c r="T22" s="8">
        <f t="shared" si="12"/>
        <v>30229.767354136104</v>
      </c>
      <c r="U22" s="8">
        <f t="shared" si="12"/>
        <v>29205.889814651182</v>
      </c>
      <c r="V22" s="8">
        <f t="shared" si="12"/>
        <v>28127.641870986816</v>
      </c>
      <c r="W22" s="116">
        <f t="shared" si="12"/>
        <v>34531.843633007891</v>
      </c>
    </row>
    <row r="23" spans="3:25" x14ac:dyDescent="0.2">
      <c r="E23" s="99"/>
      <c r="F23" t="s">
        <v>211</v>
      </c>
      <c r="I23" s="86"/>
      <c r="J23" s="52"/>
      <c r="L23" s="109"/>
      <c r="M23" s="8"/>
      <c r="N23" s="5"/>
      <c r="O23" s="5"/>
      <c r="P23" s="5"/>
      <c r="Q23" s="5"/>
      <c r="R23" s="5"/>
      <c r="S23" s="5"/>
      <c r="T23" s="5"/>
      <c r="U23" s="5"/>
      <c r="V23" s="5"/>
      <c r="W23" s="172">
        <f>W15/(1+C10)^W3</f>
        <v>7534.344943146878</v>
      </c>
      <c r="X23" t="s">
        <v>600</v>
      </c>
      <c r="Y23" s="80"/>
    </row>
    <row r="24" spans="3:25" x14ac:dyDescent="0.2">
      <c r="E24" s="99"/>
      <c r="F24" s="7" t="s">
        <v>48</v>
      </c>
      <c r="J24" s="52"/>
      <c r="L24" s="99" t="s">
        <v>39</v>
      </c>
      <c r="M24" s="90">
        <f>SUM(M22:W22)</f>
        <v>70565.250849621283</v>
      </c>
      <c r="W24" s="52"/>
    </row>
    <row r="25" spans="3:25" x14ac:dyDescent="0.2">
      <c r="E25" s="99"/>
      <c r="F25" s="100">
        <f>C8*(1-C9)+H14*C9</f>
        <v>23400.531742719999</v>
      </c>
      <c r="H25" t="s">
        <v>212</v>
      </c>
      <c r="J25" s="52"/>
      <c r="L25" s="99" t="s">
        <v>41</v>
      </c>
      <c r="M25" s="5">
        <f>-PMT(C10,C7,M24)</f>
        <v>12488.931940349952</v>
      </c>
      <c r="W25" s="52"/>
      <c r="Y25" s="67"/>
    </row>
    <row r="26" spans="3:25" x14ac:dyDescent="0.2">
      <c r="C26" s="9"/>
      <c r="E26" s="99"/>
      <c r="H26" t="s">
        <v>209</v>
      </c>
      <c r="I26" s="86">
        <f>G16*C9</f>
        <v>3400.5317427199993</v>
      </c>
      <c r="J26" s="52"/>
      <c r="L26" s="99" t="s">
        <v>47</v>
      </c>
      <c r="M26" s="78">
        <f>IRR(M16:W16)</f>
        <v>0.17503018700341477</v>
      </c>
      <c r="W26" s="52"/>
    </row>
    <row r="27" spans="3:25" x14ac:dyDescent="0.2">
      <c r="E27" s="99"/>
      <c r="H27" t="s">
        <v>210</v>
      </c>
      <c r="I27" s="8">
        <f>C8</f>
        <v>20000</v>
      </c>
      <c r="J27" s="52"/>
      <c r="L27" s="99"/>
      <c r="W27" s="52"/>
    </row>
    <row r="28" spans="3:25" x14ac:dyDescent="0.2">
      <c r="E28" s="99" t="s">
        <v>259</v>
      </c>
      <c r="J28" s="52"/>
      <c r="L28" s="99"/>
      <c r="W28" s="52"/>
    </row>
    <row r="29" spans="3:25" x14ac:dyDescent="0.2">
      <c r="E29" s="103"/>
      <c r="F29" s="84"/>
      <c r="G29" s="84"/>
      <c r="H29" s="84"/>
      <c r="I29" s="84"/>
      <c r="J29" s="48"/>
      <c r="L29" s="103"/>
      <c r="M29" s="84"/>
      <c r="N29" s="84"/>
      <c r="O29" s="84"/>
      <c r="P29" s="84"/>
      <c r="Q29" s="84"/>
      <c r="R29" s="84"/>
      <c r="S29" s="84"/>
      <c r="T29" s="84"/>
      <c r="U29" s="84"/>
      <c r="V29" s="84"/>
      <c r="W29" s="48"/>
    </row>
    <row r="31" spans="3:25" x14ac:dyDescent="0.2">
      <c r="C31" s="86"/>
      <c r="E31" s="104" t="s">
        <v>539</v>
      </c>
      <c r="F31" s="294"/>
      <c r="G31" s="294"/>
      <c r="H31" s="294"/>
      <c r="I31" s="294"/>
      <c r="J31" s="51"/>
      <c r="L31" s="104" t="s">
        <v>546</v>
      </c>
      <c r="M31" s="98"/>
      <c r="N31" s="98"/>
      <c r="O31" s="98"/>
      <c r="P31" s="98"/>
      <c r="Q31" s="98"/>
      <c r="R31" s="98"/>
      <c r="S31" s="98"/>
      <c r="T31" s="98"/>
      <c r="U31" s="98"/>
      <c r="V31" s="98"/>
      <c r="W31" s="51"/>
    </row>
    <row r="32" spans="3:25" x14ac:dyDescent="0.2">
      <c r="E32" s="126"/>
      <c r="F32" s="124"/>
      <c r="G32" s="124"/>
      <c r="H32" s="124"/>
      <c r="I32" s="124"/>
      <c r="J32" s="125"/>
      <c r="L32" s="99"/>
      <c r="W32" s="52"/>
    </row>
    <row r="33" spans="5:23" x14ac:dyDescent="0.2">
      <c r="E33" s="123"/>
      <c r="F33" s="124"/>
      <c r="G33" s="124"/>
      <c r="H33" s="124"/>
      <c r="I33" s="124"/>
      <c r="J33" s="125"/>
      <c r="L33" s="99" t="s">
        <v>548</v>
      </c>
      <c r="M33" s="16">
        <f>(1-((C$9*C$4)/(C$10+C$4))*((1+C$10/2)/(1+C$10)))</f>
        <v>0.79296875</v>
      </c>
      <c r="O33" s="293"/>
      <c r="P33" s="8"/>
      <c r="Q33" s="8"/>
      <c r="R33" s="8"/>
      <c r="S33" s="8"/>
      <c r="T33" s="8"/>
      <c r="U33" s="8"/>
      <c r="V33" s="8"/>
      <c r="W33" s="116"/>
    </row>
    <row r="34" spans="5:23" x14ac:dyDescent="0.2">
      <c r="E34" s="123"/>
      <c r="F34" s="124"/>
      <c r="G34" s="124"/>
      <c r="H34" s="124"/>
      <c r="I34" s="124"/>
      <c r="J34" s="125"/>
      <c r="L34" s="99" t="s">
        <v>557</v>
      </c>
      <c r="M34" s="235">
        <f>M33*-C3</f>
        <v>-195070.3125</v>
      </c>
      <c r="N34" s="165"/>
      <c r="O34" s="165"/>
      <c r="P34" s="165"/>
      <c r="Q34" s="165"/>
      <c r="R34" s="165"/>
      <c r="S34" s="165"/>
      <c r="T34" s="165"/>
      <c r="U34" s="165"/>
      <c r="V34" s="165"/>
      <c r="W34" s="167"/>
    </row>
    <row r="35" spans="5:23" x14ac:dyDescent="0.2">
      <c r="E35" s="123"/>
      <c r="G35" s="288"/>
      <c r="I35" s="124"/>
      <c r="J35" s="125"/>
      <c r="L35" s="99" t="s">
        <v>551</v>
      </c>
      <c r="N35" s="8"/>
      <c r="O35" s="8"/>
      <c r="P35" s="8"/>
      <c r="Q35" s="8"/>
      <c r="R35" s="8"/>
      <c r="S35" s="8"/>
      <c r="T35" s="8"/>
      <c r="U35" s="8"/>
      <c r="V35" s="8"/>
      <c r="W35" s="116"/>
    </row>
    <row r="36" spans="5:23" x14ac:dyDescent="0.2">
      <c r="E36" s="123"/>
      <c r="F36" t="s">
        <v>562</v>
      </c>
      <c r="G36" s="100">
        <f>C8*M42</f>
        <v>15625</v>
      </c>
      <c r="I36" s="124"/>
      <c r="J36" s="125"/>
      <c r="L36" s="99" t="s">
        <v>558</v>
      </c>
      <c r="M36" s="235">
        <f>C5*(1-C$9)</f>
        <v>22750</v>
      </c>
    </row>
    <row r="37" spans="5:23" x14ac:dyDescent="0.2">
      <c r="E37" s="123"/>
      <c r="F37" t="s">
        <v>561</v>
      </c>
      <c r="G37" s="8">
        <f>G36+C8</f>
        <v>35625</v>
      </c>
      <c r="H37" s="159" t="s">
        <v>563</v>
      </c>
      <c r="J37" s="52"/>
      <c r="L37" s="99" t="s">
        <v>555</v>
      </c>
      <c r="M37" s="235">
        <f>M36*((1+$C$10)^$C$7-1)/($C$10*(1+$C$10)^$C$7)</f>
        <v>128542.57389634721</v>
      </c>
    </row>
    <row r="38" spans="5:23" x14ac:dyDescent="0.2">
      <c r="E38" s="123"/>
      <c r="I38" s="124"/>
      <c r="J38" s="125"/>
      <c r="L38" s="99" t="s">
        <v>559</v>
      </c>
      <c r="M38" s="235">
        <f>C6*(1-C$9)</f>
        <v>6500</v>
      </c>
      <c r="N38" s="8"/>
      <c r="O38" s="8"/>
      <c r="P38" s="8"/>
      <c r="Q38" s="8"/>
      <c r="R38" s="8"/>
      <c r="S38" s="8"/>
      <c r="T38" s="8"/>
      <c r="U38" s="8"/>
      <c r="V38" s="8"/>
      <c r="W38" s="116"/>
    </row>
    <row r="39" spans="5:23" x14ac:dyDescent="0.2">
      <c r="E39" s="123"/>
      <c r="I39" s="124"/>
      <c r="J39" s="125"/>
      <c r="L39" s="99" t="s">
        <v>556</v>
      </c>
      <c r="M39" s="235">
        <f>M38*((1+$C$10)^$C$7-$C$10*$C$7-1)/($C$10^2*(1+$C$10)^$C$7)</f>
        <v>131651.57755229494</v>
      </c>
      <c r="W39" s="52"/>
    </row>
    <row r="40" spans="5:23" x14ac:dyDescent="0.2">
      <c r="E40" s="123"/>
      <c r="I40" s="124"/>
      <c r="J40" s="125"/>
      <c r="L40" s="99" t="s">
        <v>550</v>
      </c>
      <c r="M40" s="150">
        <f>M37+M39</f>
        <v>260194.15144864214</v>
      </c>
      <c r="W40" s="52"/>
    </row>
    <row r="41" spans="5:23" x14ac:dyDescent="0.2">
      <c r="E41" s="123"/>
      <c r="I41" s="124"/>
      <c r="J41" s="125"/>
      <c r="L41" s="99"/>
    </row>
    <row r="42" spans="5:23" x14ac:dyDescent="0.2">
      <c r="E42" s="99"/>
      <c r="I42" s="124"/>
      <c r="J42" s="125"/>
      <c r="L42" s="99" t="s">
        <v>547</v>
      </c>
      <c r="M42" s="16">
        <f>(1-((C$9*C$4)/(C$10+C$4)))</f>
        <v>0.78125</v>
      </c>
      <c r="W42" s="52"/>
    </row>
    <row r="43" spans="5:23" x14ac:dyDescent="0.2">
      <c r="E43" s="103"/>
      <c r="F43" s="84"/>
      <c r="G43" s="160"/>
      <c r="H43" s="84"/>
      <c r="I43" s="127"/>
      <c r="J43" s="128"/>
      <c r="L43" s="99" t="s">
        <v>549</v>
      </c>
      <c r="M43" s="235">
        <f>(C8*M42)/(1+$C$10)^$C$7</f>
        <v>5030.8318217296255</v>
      </c>
      <c r="W43" s="52"/>
    </row>
    <row r="44" spans="5:23" x14ac:dyDescent="0.2">
      <c r="L44" s="99"/>
      <c r="W44" s="52"/>
    </row>
    <row r="45" spans="5:23" x14ac:dyDescent="0.2">
      <c r="L45" s="99" t="s">
        <v>560</v>
      </c>
      <c r="M45" s="90">
        <f>M34+M40+M43</f>
        <v>70154.670770371769</v>
      </c>
    </row>
    <row r="46" spans="5:23" x14ac:dyDescent="0.2">
      <c r="L46" s="103"/>
      <c r="M46" s="84"/>
      <c r="N46" s="84"/>
      <c r="O46" s="84"/>
      <c r="P46" s="84"/>
      <c r="Q46" s="84"/>
      <c r="R46" s="84"/>
      <c r="S46" s="84"/>
      <c r="T46" s="84"/>
      <c r="U46" s="84"/>
      <c r="V46" s="84"/>
      <c r="W46" s="48"/>
    </row>
  </sheetData>
  <pageMargins left="0.7" right="0.7" top="0.75" bottom="0.75" header="0.3" footer="0.3"/>
  <pageSetup orientation="portrait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"/>
  <sheetViews>
    <sheetView workbookViewId="0"/>
  </sheetViews>
  <sheetFormatPr baseColWidth="10" defaultColWidth="8.83203125" defaultRowHeight="15" x14ac:dyDescent="0.2"/>
  <sheetData>
    <row r="1" spans="1:1" x14ac:dyDescent="0.2">
      <c r="A1" t="s">
        <v>332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W61"/>
  <sheetViews>
    <sheetView topLeftCell="C3" zoomScale="130" zoomScaleNormal="130" workbookViewId="0">
      <selection activeCell="N16" sqref="N16"/>
    </sheetView>
  </sheetViews>
  <sheetFormatPr baseColWidth="10" defaultColWidth="8.83203125" defaultRowHeight="15" x14ac:dyDescent="0.2"/>
  <cols>
    <col min="1" max="1" width="3.83203125" customWidth="1"/>
    <col min="2" max="2" width="20.6640625" bestFit="1" customWidth="1"/>
    <col min="3" max="3" width="12.5" bestFit="1" customWidth="1"/>
    <col min="4" max="4" width="3.5" customWidth="1"/>
    <col min="6" max="6" width="17" customWidth="1"/>
    <col min="7" max="7" width="12.6640625" customWidth="1"/>
    <col min="8" max="8" width="14.83203125" customWidth="1"/>
    <col min="9" max="9" width="12.1640625" customWidth="1"/>
    <col min="11" max="11" width="5.1640625" customWidth="1"/>
    <col min="12" max="12" width="27.1640625" customWidth="1"/>
    <col min="13" max="13" width="11.5" bestFit="1" customWidth="1"/>
    <col min="14" max="14" width="12.5" bestFit="1" customWidth="1"/>
    <col min="15" max="17" width="10.5" bestFit="1" customWidth="1"/>
    <col min="18" max="18" width="12.33203125" bestFit="1" customWidth="1"/>
    <col min="19" max="19" width="4.6640625" customWidth="1"/>
    <col min="20" max="20" width="12.5" bestFit="1" customWidth="1"/>
  </cols>
  <sheetData>
    <row r="1" spans="1:23" x14ac:dyDescent="0.2">
      <c r="A1" s="6" t="s">
        <v>115</v>
      </c>
    </row>
    <row r="2" spans="1:23" x14ac:dyDescent="0.2">
      <c r="B2" s="6" t="s">
        <v>19</v>
      </c>
      <c r="E2" s="6" t="s">
        <v>20</v>
      </c>
      <c r="L2" s="104" t="s">
        <v>244</v>
      </c>
      <c r="M2" s="98"/>
      <c r="N2" s="98"/>
      <c r="O2" s="98"/>
      <c r="P2" s="98"/>
      <c r="Q2" s="98"/>
      <c r="R2" s="51"/>
      <c r="T2" t="s">
        <v>294</v>
      </c>
    </row>
    <row r="3" spans="1:23" x14ac:dyDescent="0.2">
      <c r="B3" s="97" t="s">
        <v>5</v>
      </c>
      <c r="C3" s="157">
        <v>80000</v>
      </c>
      <c r="E3" s="104" t="s">
        <v>237</v>
      </c>
      <c r="F3" s="98"/>
      <c r="G3" s="98"/>
      <c r="H3" s="106">
        <f>PMT(C11,C8,C10)</f>
        <v>-27740.973194104892</v>
      </c>
      <c r="I3" s="98"/>
      <c r="J3" s="51"/>
      <c r="L3" s="99" t="s">
        <v>4</v>
      </c>
      <c r="M3">
        <v>0</v>
      </c>
      <c r="N3">
        <v>1</v>
      </c>
      <c r="O3">
        <v>2</v>
      </c>
      <c r="P3">
        <v>3</v>
      </c>
      <c r="Q3">
        <v>4</v>
      </c>
      <c r="R3" s="52">
        <v>5</v>
      </c>
    </row>
    <row r="4" spans="1:23" x14ac:dyDescent="0.2">
      <c r="B4" s="99" t="s">
        <v>51</v>
      </c>
      <c r="C4" s="133">
        <v>0.3</v>
      </c>
      <c r="E4" s="99"/>
      <c r="J4" s="52"/>
      <c r="L4" s="99" t="s">
        <v>22</v>
      </c>
      <c r="N4" s="100">
        <f>C7</f>
        <v>167000</v>
      </c>
      <c r="O4" s="100">
        <f t="shared" ref="O4:R5" si="0">N4</f>
        <v>167000</v>
      </c>
      <c r="P4" s="100">
        <f t="shared" si="0"/>
        <v>167000</v>
      </c>
      <c r="Q4" s="100">
        <f t="shared" si="0"/>
        <v>167000</v>
      </c>
      <c r="R4" s="108">
        <f t="shared" si="0"/>
        <v>167000</v>
      </c>
    </row>
    <row r="5" spans="1:23" x14ac:dyDescent="0.2">
      <c r="B5" s="99" t="s">
        <v>6</v>
      </c>
      <c r="C5" s="158">
        <v>55000</v>
      </c>
      <c r="E5" s="107" t="s">
        <v>238</v>
      </c>
      <c r="H5" s="5"/>
      <c r="J5" s="52"/>
      <c r="L5" s="109" t="s">
        <v>24</v>
      </c>
      <c r="N5" s="100">
        <f>C6</f>
        <v>79000</v>
      </c>
      <c r="O5" s="100">
        <f t="shared" si="0"/>
        <v>79000</v>
      </c>
      <c r="P5" s="100">
        <f t="shared" si="0"/>
        <v>79000</v>
      </c>
      <c r="Q5" s="100">
        <f t="shared" si="0"/>
        <v>79000</v>
      </c>
      <c r="R5" s="108">
        <f t="shared" si="0"/>
        <v>79000</v>
      </c>
    </row>
    <row r="6" spans="1:23" x14ac:dyDescent="0.2">
      <c r="B6" s="99" t="s">
        <v>7</v>
      </c>
      <c r="C6" s="158">
        <f>79000</f>
        <v>79000</v>
      </c>
      <c r="E6" s="99" t="s">
        <v>4</v>
      </c>
      <c r="F6" s="159" t="s">
        <v>247</v>
      </c>
      <c r="G6" t="s">
        <v>16</v>
      </c>
      <c r="H6" t="s">
        <v>17</v>
      </c>
      <c r="I6" s="159" t="s">
        <v>248</v>
      </c>
      <c r="J6" s="52"/>
      <c r="L6" s="109" t="s">
        <v>257</v>
      </c>
      <c r="M6" s="161"/>
      <c r="N6" s="162">
        <f>N4-N5</f>
        <v>88000</v>
      </c>
      <c r="O6" s="162">
        <f t="shared" ref="O6:R6" si="1">O4-O5</f>
        <v>88000</v>
      </c>
      <c r="P6" s="162">
        <f t="shared" si="1"/>
        <v>88000</v>
      </c>
      <c r="Q6" s="162">
        <f t="shared" si="1"/>
        <v>88000</v>
      </c>
      <c r="R6" s="163">
        <f t="shared" si="1"/>
        <v>88000</v>
      </c>
    </row>
    <row r="7" spans="1:23" x14ac:dyDescent="0.2">
      <c r="B7" s="99" t="s">
        <v>8</v>
      </c>
      <c r="C7" s="158">
        <v>167000</v>
      </c>
      <c r="E7" s="99">
        <v>1</v>
      </c>
      <c r="F7" s="5">
        <v>100000</v>
      </c>
      <c r="G7" s="5">
        <f>-IPMT(C$11,E7,C$8,C$10)</f>
        <v>12000</v>
      </c>
      <c r="H7" s="5">
        <f>-PPMT(C$11,E7,C$8,C$10)</f>
        <v>15740.973194104889</v>
      </c>
      <c r="I7" s="5">
        <f>F7-H7</f>
        <v>84259.026805895119</v>
      </c>
      <c r="J7" s="172"/>
      <c r="L7" s="110" t="s">
        <v>25</v>
      </c>
      <c r="M7" s="17"/>
      <c r="N7" s="111">
        <f>G15</f>
        <v>12000</v>
      </c>
      <c r="O7" s="111">
        <f>G16</f>
        <v>20400</v>
      </c>
      <c r="P7" s="111">
        <f>G17</f>
        <v>14280</v>
      </c>
      <c r="Q7" s="111">
        <f>G18</f>
        <v>9996</v>
      </c>
      <c r="R7" s="112">
        <f>G19</f>
        <v>6997.2</v>
      </c>
      <c r="T7" t="s">
        <v>287</v>
      </c>
      <c r="W7" s="173">
        <v>0</v>
      </c>
    </row>
    <row r="8" spans="1:23" x14ac:dyDescent="0.2">
      <c r="B8" s="99" t="s">
        <v>9</v>
      </c>
      <c r="C8" s="134">
        <v>5</v>
      </c>
      <c r="E8" s="99">
        <v>2</v>
      </c>
      <c r="F8" s="5">
        <f>I7</f>
        <v>84259.026805895119</v>
      </c>
      <c r="G8" s="5">
        <f>-IPMT(C$11,E8,C$8,C$10)</f>
        <v>10111.083216707413</v>
      </c>
      <c r="H8" s="5">
        <f>-PPMT(C$11,E8,C$8,C$10)</f>
        <v>17629.889977397477</v>
      </c>
      <c r="I8" s="5">
        <f t="shared" ref="I8:I11" si="2">F8-H8</f>
        <v>66629.136828497634</v>
      </c>
      <c r="J8" s="172"/>
      <c r="L8" s="109" t="s">
        <v>44</v>
      </c>
      <c r="N8" s="165">
        <f>IF($W$7=0,G$7,0)</f>
        <v>12000</v>
      </c>
      <c r="O8" s="165">
        <f>IF($W$7=0,G$8,0)</f>
        <v>10111.083216707413</v>
      </c>
      <c r="P8" s="165">
        <f>IF($W$7=0,G$9,0)</f>
        <v>7995.4964194197173</v>
      </c>
      <c r="Q8" s="165">
        <f>IF($W$7=0,G$10,0)</f>
        <v>5626.0392064574962</v>
      </c>
      <c r="R8" s="167">
        <f>IF($W$7=0,G$11,0)</f>
        <v>2972.2471279398096</v>
      </c>
      <c r="T8" t="s">
        <v>286</v>
      </c>
    </row>
    <row r="9" spans="1:23" x14ac:dyDescent="0.2">
      <c r="B9" s="99" t="s">
        <v>10</v>
      </c>
      <c r="C9" s="158">
        <v>5000</v>
      </c>
      <c r="E9" s="99">
        <v>3</v>
      </c>
      <c r="F9" s="5">
        <f t="shared" ref="F9:F11" si="3">I8</f>
        <v>66629.136828497634</v>
      </c>
      <c r="G9" s="5">
        <f>-IPMT(C$11,E9,C$8,C$10)</f>
        <v>7995.4964194197173</v>
      </c>
      <c r="H9" s="5">
        <f>-PPMT(C$11,E9,C$8,C$10)</f>
        <v>19745.476774685172</v>
      </c>
      <c r="I9" s="5">
        <f t="shared" si="2"/>
        <v>46883.660053812462</v>
      </c>
      <c r="J9" s="172"/>
      <c r="L9" s="109" t="s">
        <v>26</v>
      </c>
      <c r="N9" s="165">
        <f>N6-N7-N8</f>
        <v>64000</v>
      </c>
      <c r="O9" s="165">
        <f t="shared" ref="O9:Q9" si="4">O6-O7-O8</f>
        <v>57488.916783292589</v>
      </c>
      <c r="P9" s="165">
        <f t="shared" si="4"/>
        <v>65724.503580580276</v>
      </c>
      <c r="Q9" s="165">
        <f t="shared" si="4"/>
        <v>72377.960793542501</v>
      </c>
      <c r="R9" s="167">
        <f>R6-R7-R8</f>
        <v>78030.552872060187</v>
      </c>
      <c r="T9" s="165" t="s">
        <v>285</v>
      </c>
    </row>
    <row r="10" spans="1:23" x14ac:dyDescent="0.2">
      <c r="B10" s="99" t="s">
        <v>11</v>
      </c>
      <c r="C10" s="158">
        <v>100000</v>
      </c>
      <c r="E10" s="99">
        <v>4</v>
      </c>
      <c r="F10" s="5">
        <f t="shared" si="3"/>
        <v>46883.660053812462</v>
      </c>
      <c r="G10" s="5">
        <f>-IPMT(C$11,E10,C$8,C$10)</f>
        <v>5626.0392064574962</v>
      </c>
      <c r="H10" s="5">
        <f>-PPMT(C$11,E10,C$8,C$10)</f>
        <v>22114.933987647397</v>
      </c>
      <c r="I10" s="5">
        <f t="shared" si="2"/>
        <v>24768.726066165065</v>
      </c>
      <c r="J10" s="172"/>
      <c r="L10" s="109" t="s">
        <v>27</v>
      </c>
      <c r="N10" s="8">
        <f>N9*$C$12</f>
        <v>18560</v>
      </c>
      <c r="O10" s="8">
        <f>O9*$C$12</f>
        <v>16671.785867154849</v>
      </c>
      <c r="P10" s="8">
        <f>P9*$C$12</f>
        <v>19060.106038368278</v>
      </c>
      <c r="Q10" s="8">
        <f>Q9*$C$12</f>
        <v>20989.608630127324</v>
      </c>
      <c r="R10" s="116">
        <f>R9*$C$12</f>
        <v>22628.860332897453</v>
      </c>
      <c r="T10" s="8"/>
      <c r="U10" s="8"/>
    </row>
    <row r="11" spans="1:23" x14ac:dyDescent="0.2">
      <c r="B11" s="99" t="s">
        <v>12</v>
      </c>
      <c r="C11" s="133">
        <v>0.12</v>
      </c>
      <c r="E11" s="103">
        <v>5</v>
      </c>
      <c r="F11" s="105">
        <f t="shared" si="3"/>
        <v>24768.726066165065</v>
      </c>
      <c r="G11" s="105">
        <f>-IPMT(C$11,E11,C$8,C$10)</f>
        <v>2972.2471279398096</v>
      </c>
      <c r="H11" s="105">
        <f>-PPMT(C$11,E11,C$8,C$10)</f>
        <v>24768.726066165083</v>
      </c>
      <c r="I11" s="105">
        <f t="shared" si="2"/>
        <v>0</v>
      </c>
      <c r="J11" s="48"/>
      <c r="L11" s="109" t="s">
        <v>28</v>
      </c>
      <c r="N11" s="8">
        <f>N9-N10</f>
        <v>45440</v>
      </c>
      <c r="O11" s="8">
        <f>O9-O10</f>
        <v>40817.130916137743</v>
      </c>
      <c r="P11" s="8">
        <f>P9-P10</f>
        <v>46664.397542211998</v>
      </c>
      <c r="Q11" s="8">
        <f>Q9-Q10</f>
        <v>51388.352163415177</v>
      </c>
      <c r="R11" s="116">
        <f>R9-R10</f>
        <v>55401.69253916273</v>
      </c>
    </row>
    <row r="12" spans="1:23" x14ac:dyDescent="0.2">
      <c r="B12" s="99" t="s">
        <v>37</v>
      </c>
      <c r="C12" s="133">
        <v>0.28999999999999998</v>
      </c>
      <c r="L12" s="110" t="s">
        <v>29</v>
      </c>
      <c r="M12" s="17"/>
      <c r="N12" s="20">
        <f>N7</f>
        <v>12000</v>
      </c>
      <c r="O12" s="20">
        <f>O7</f>
        <v>20400</v>
      </c>
      <c r="P12" s="20">
        <f>P7</f>
        <v>14280</v>
      </c>
      <c r="Q12" s="20">
        <f>Q7</f>
        <v>9996</v>
      </c>
      <c r="R12" s="117">
        <f>R7</f>
        <v>6997.2</v>
      </c>
    </row>
    <row r="13" spans="1:23" x14ac:dyDescent="0.2">
      <c r="B13" s="103" t="s">
        <v>52</v>
      </c>
      <c r="C13" s="135">
        <v>0.1</v>
      </c>
      <c r="E13" s="104" t="s">
        <v>239</v>
      </c>
      <c r="F13" s="98"/>
      <c r="G13" s="98"/>
      <c r="H13" s="98"/>
      <c r="I13" s="98"/>
      <c r="J13" s="51"/>
      <c r="L13" s="166" t="s">
        <v>256</v>
      </c>
      <c r="M13" s="164"/>
      <c r="N13" s="165">
        <f>G$7</f>
        <v>12000</v>
      </c>
      <c r="O13" s="165">
        <f>G$8</f>
        <v>10111.083216707413</v>
      </c>
      <c r="P13" s="165">
        <f>G$9</f>
        <v>7995.4964194197173</v>
      </c>
      <c r="Q13" s="165">
        <f>G$10</f>
        <v>5626.0392064574962</v>
      </c>
      <c r="R13" s="167">
        <f>G$11</f>
        <v>2972.2471279398096</v>
      </c>
      <c r="T13" s="164" t="s">
        <v>266</v>
      </c>
    </row>
    <row r="14" spans="1:23" x14ac:dyDescent="0.2">
      <c r="E14" s="99" t="s">
        <v>4</v>
      </c>
      <c r="F14" s="159" t="s">
        <v>246</v>
      </c>
      <c r="G14" s="159" t="s">
        <v>35</v>
      </c>
      <c r="H14" s="159" t="s">
        <v>175</v>
      </c>
      <c r="J14" s="52"/>
      <c r="L14" s="109" t="s">
        <v>38</v>
      </c>
      <c r="N14" s="8">
        <f>N11+N12+N13</f>
        <v>69440</v>
      </c>
      <c r="O14" s="8">
        <f>O11+O12+O13</f>
        <v>71328.214132845154</v>
      </c>
      <c r="P14" s="8">
        <f>P11+P12+P13</f>
        <v>68939.893961631722</v>
      </c>
      <c r="Q14" s="8">
        <f>Q11+Q12+Q13</f>
        <v>67010.391369872668</v>
      </c>
      <c r="R14" s="116">
        <f>R11+R12+R13</f>
        <v>65371.139667102536</v>
      </c>
      <c r="T14" s="8"/>
    </row>
    <row r="15" spans="1:23" x14ac:dyDescent="0.2">
      <c r="E15" s="99">
        <v>1</v>
      </c>
      <c r="F15">
        <f>C3</f>
        <v>80000</v>
      </c>
      <c r="G15">
        <f>F15*C4*0.5</f>
        <v>12000</v>
      </c>
      <c r="H15">
        <f>F15-G15</f>
        <v>68000</v>
      </c>
      <c r="J15" s="52"/>
      <c r="L15" s="166" t="s">
        <v>44</v>
      </c>
      <c r="M15" s="164"/>
      <c r="N15" s="165">
        <f>N13</f>
        <v>12000</v>
      </c>
      <c r="O15" s="165">
        <f>O13</f>
        <v>10111.083216707413</v>
      </c>
      <c r="P15" s="165">
        <f>P13</f>
        <v>7995.4964194197173</v>
      </c>
      <c r="Q15" s="165">
        <f>Q13</f>
        <v>5626.0392064574962</v>
      </c>
      <c r="R15" s="167">
        <f>R13</f>
        <v>2972.2471279398096</v>
      </c>
    </row>
    <row r="16" spans="1:23" x14ac:dyDescent="0.2">
      <c r="E16" s="99">
        <v>2</v>
      </c>
      <c r="F16">
        <f>H15</f>
        <v>68000</v>
      </c>
      <c r="G16">
        <f>F16*C$4</f>
        <v>20400</v>
      </c>
      <c r="H16">
        <f>F16-G16</f>
        <v>47600</v>
      </c>
      <c r="J16" s="52"/>
      <c r="L16" s="168" t="s">
        <v>258</v>
      </c>
      <c r="M16" s="169"/>
      <c r="N16" s="170">
        <f>N14-N15</f>
        <v>57440</v>
      </c>
      <c r="O16" s="170">
        <f>O14-O15</f>
        <v>61217.130916137743</v>
      </c>
      <c r="P16" s="170">
        <f>P14-P15</f>
        <v>60944.397542212006</v>
      </c>
      <c r="Q16" s="170">
        <f>Q14-Q15</f>
        <v>61384.352163415169</v>
      </c>
      <c r="R16" s="171">
        <f>R14-R15</f>
        <v>62398.892539162727</v>
      </c>
      <c r="T16" s="164" t="s">
        <v>269</v>
      </c>
    </row>
    <row r="17" spans="3:20" x14ac:dyDescent="0.2">
      <c r="E17" s="99">
        <v>3</v>
      </c>
      <c r="F17">
        <f>H16</f>
        <v>47600</v>
      </c>
      <c r="G17">
        <f>F17*C$4</f>
        <v>14280</v>
      </c>
      <c r="H17">
        <f>F17-G17</f>
        <v>33320</v>
      </c>
      <c r="J17" s="52"/>
      <c r="T17" t="s">
        <v>262</v>
      </c>
    </row>
    <row r="18" spans="3:20" x14ac:dyDescent="0.2">
      <c r="E18" s="99">
        <v>4</v>
      </c>
      <c r="F18">
        <f t="shared" ref="F18:F19" si="5">H17</f>
        <v>33320</v>
      </c>
      <c r="G18">
        <f>F18*C$4</f>
        <v>9996</v>
      </c>
      <c r="H18">
        <f t="shared" ref="H18:H19" si="6">F18-G18</f>
        <v>23324</v>
      </c>
      <c r="J18" s="52"/>
      <c r="L18" s="104" t="s">
        <v>245</v>
      </c>
      <c r="M18" s="98"/>
      <c r="N18" s="98"/>
      <c r="O18" s="98"/>
      <c r="P18" s="98"/>
      <c r="Q18" s="98"/>
      <c r="R18" s="51"/>
      <c r="T18" t="s">
        <v>263</v>
      </c>
    </row>
    <row r="19" spans="3:20" x14ac:dyDescent="0.2">
      <c r="E19" s="99">
        <v>5</v>
      </c>
      <c r="F19">
        <f t="shared" si="5"/>
        <v>23324</v>
      </c>
      <c r="G19" s="9">
        <f>F19*C$4</f>
        <v>6997.2</v>
      </c>
      <c r="H19" s="9">
        <f t="shared" si="6"/>
        <v>16326.8</v>
      </c>
      <c r="J19" s="52"/>
      <c r="L19" s="107" t="s">
        <v>258</v>
      </c>
      <c r="N19" s="8">
        <f>N16</f>
        <v>57440</v>
      </c>
      <c r="O19" s="8">
        <f t="shared" ref="O19:R19" si="7">O16</f>
        <v>61217.130916137743</v>
      </c>
      <c r="P19" s="8">
        <f t="shared" si="7"/>
        <v>60944.397542212006</v>
      </c>
      <c r="Q19" s="8">
        <f t="shared" si="7"/>
        <v>61384.352163415169</v>
      </c>
      <c r="R19" s="116">
        <f t="shared" si="7"/>
        <v>62398.892539162727</v>
      </c>
    </row>
    <row r="20" spans="3:20" x14ac:dyDescent="0.2">
      <c r="E20" s="99"/>
      <c r="J20" s="52"/>
      <c r="L20" s="109" t="s">
        <v>23</v>
      </c>
      <c r="M20" s="8">
        <f>-C$3</f>
        <v>-80000</v>
      </c>
      <c r="R20" s="52"/>
    </row>
    <row r="21" spans="3:20" x14ac:dyDescent="0.2">
      <c r="E21" s="103" t="s">
        <v>42</v>
      </c>
      <c r="F21" s="84"/>
      <c r="G21" s="160">
        <f>H19-C9</f>
        <v>11326.8</v>
      </c>
      <c r="H21" s="84"/>
      <c r="I21" s="84"/>
      <c r="J21" s="48"/>
      <c r="L21" s="109" t="s">
        <v>270</v>
      </c>
      <c r="M21" s="8">
        <f>C$10</f>
        <v>100000</v>
      </c>
      <c r="N21" s="5">
        <f>-H7</f>
        <v>-15740.973194104889</v>
      </c>
      <c r="O21" s="5">
        <f>-H8</f>
        <v>-17629.889977397477</v>
      </c>
      <c r="P21" s="5">
        <f>-H9</f>
        <v>-19745.476774685172</v>
      </c>
      <c r="Q21" s="5">
        <f>-H10</f>
        <v>-22114.933987647397</v>
      </c>
      <c r="R21" s="172">
        <f>-H11</f>
        <v>-24768.726066165083</v>
      </c>
      <c r="T21" s="80" t="s">
        <v>333</v>
      </c>
    </row>
    <row r="22" spans="3:20" x14ac:dyDescent="0.2">
      <c r="G22" s="96"/>
      <c r="H22" s="86"/>
      <c r="L22" s="109" t="s">
        <v>271</v>
      </c>
      <c r="R22" s="116">
        <f>I31+I30</f>
        <v>8284.771999999999</v>
      </c>
      <c r="T22" t="s">
        <v>261</v>
      </c>
    </row>
    <row r="23" spans="3:20" x14ac:dyDescent="0.2">
      <c r="E23" s="104" t="s">
        <v>240</v>
      </c>
      <c r="F23" s="98"/>
      <c r="G23" s="98"/>
      <c r="H23" s="98"/>
      <c r="I23" s="98"/>
      <c r="J23" s="51"/>
      <c r="L23" s="118" t="s">
        <v>272</v>
      </c>
      <c r="M23" s="119">
        <f>C$5</f>
        <v>55000</v>
      </c>
      <c r="N23" s="84"/>
      <c r="O23" s="84"/>
      <c r="P23" s="84"/>
      <c r="Q23" s="84"/>
      <c r="R23" s="120">
        <f>-M23</f>
        <v>-55000</v>
      </c>
      <c r="T23" s="67" t="s">
        <v>275</v>
      </c>
    </row>
    <row r="24" spans="3:20" x14ac:dyDescent="0.2">
      <c r="C24" s="9"/>
      <c r="E24" s="99"/>
      <c r="J24" s="52"/>
      <c r="L24" s="109" t="s">
        <v>273</v>
      </c>
      <c r="M24" s="88">
        <f>SUM(M19:M23)</f>
        <v>75000</v>
      </c>
      <c r="N24" s="8">
        <f>SUM(N19:N23)</f>
        <v>41699.026805895111</v>
      </c>
      <c r="O24" s="8">
        <f t="shared" ref="O24:R24" si="8">SUM(O19:O23)</f>
        <v>43587.240938740266</v>
      </c>
      <c r="P24" s="8">
        <f t="shared" si="8"/>
        <v>41198.920767526834</v>
      </c>
      <c r="Q24" s="8">
        <f t="shared" si="8"/>
        <v>39269.418175767772</v>
      </c>
      <c r="R24" s="116">
        <f t="shared" si="8"/>
        <v>-9085.0615270023554</v>
      </c>
    </row>
    <row r="25" spans="3:20" x14ac:dyDescent="0.2">
      <c r="E25" s="99" t="s">
        <v>241</v>
      </c>
      <c r="J25" s="52"/>
      <c r="L25" s="99"/>
      <c r="R25" s="52"/>
    </row>
    <row r="26" spans="3:20" x14ac:dyDescent="0.2">
      <c r="E26" s="99" t="s">
        <v>208</v>
      </c>
      <c r="J26" s="52"/>
      <c r="L26" s="99" t="s">
        <v>274</v>
      </c>
      <c r="M26" s="8">
        <f>M24/(1+$C$13)^M$3</f>
        <v>75000</v>
      </c>
      <c r="N26" s="8">
        <f>N24/(1+$C$13)^N$3</f>
        <v>37908.206187177369</v>
      </c>
      <c r="O26" s="8">
        <f>O24/(1+$C$13)^O$3</f>
        <v>36022.513172512612</v>
      </c>
      <c r="P26" s="8">
        <f t="shared" ref="P26:Q26" si="9">P24/(1+$C$13)^P$3</f>
        <v>30953.358953814291</v>
      </c>
      <c r="Q26" s="8">
        <f t="shared" si="9"/>
        <v>26821.54099840705</v>
      </c>
      <c r="R26" s="116">
        <f>R24/(1+$C$13)^R$3</f>
        <v>-5641.1084234201289</v>
      </c>
    </row>
    <row r="27" spans="3:20" ht="16" x14ac:dyDescent="0.2">
      <c r="E27" s="99"/>
      <c r="F27" t="s">
        <v>211</v>
      </c>
      <c r="I27" s="86"/>
      <c r="J27" s="52"/>
      <c r="L27" s="99" t="s">
        <v>39</v>
      </c>
      <c r="M27" s="308">
        <f>SUM(M26:R26)</f>
        <v>201064.51088849118</v>
      </c>
      <c r="R27" s="52"/>
    </row>
    <row r="28" spans="3:20" x14ac:dyDescent="0.2">
      <c r="E28" s="99"/>
      <c r="F28" s="7" t="s">
        <v>48</v>
      </c>
      <c r="J28" s="52"/>
      <c r="L28" s="99" t="s">
        <v>41</v>
      </c>
      <c r="M28" s="5">
        <f>-PMT(C13,C8,M27)</f>
        <v>53040.311449611632</v>
      </c>
      <c r="R28" s="52"/>
    </row>
    <row r="29" spans="3:20" x14ac:dyDescent="0.2">
      <c r="C29" s="86"/>
      <c r="E29" s="99"/>
      <c r="F29" s="100">
        <f>C9*(1-C12)+H19*C12</f>
        <v>8284.771999999999</v>
      </c>
      <c r="H29" t="s">
        <v>212</v>
      </c>
      <c r="J29" s="52"/>
      <c r="L29" s="103" t="s">
        <v>47</v>
      </c>
      <c r="M29" s="122">
        <f>IRR(M24:R24)</f>
        <v>-0.81385905157037197</v>
      </c>
      <c r="N29" s="202" t="s">
        <v>329</v>
      </c>
      <c r="O29" s="84"/>
      <c r="P29" s="84"/>
      <c r="Q29" s="84"/>
      <c r="R29" s="48"/>
    </row>
    <row r="30" spans="3:20" x14ac:dyDescent="0.2">
      <c r="E30" s="99"/>
      <c r="H30" t="s">
        <v>209</v>
      </c>
      <c r="I30" s="86">
        <f>G21*C12</f>
        <v>3284.7719999999995</v>
      </c>
      <c r="J30" s="52"/>
    </row>
    <row r="31" spans="3:20" x14ac:dyDescent="0.2">
      <c r="E31" s="99"/>
      <c r="H31" t="s">
        <v>210</v>
      </c>
      <c r="I31" s="8">
        <f>C9</f>
        <v>5000</v>
      </c>
      <c r="J31" s="52"/>
      <c r="L31" t="s">
        <v>264</v>
      </c>
      <c r="Q31" s="5"/>
    </row>
    <row r="32" spans="3:20" x14ac:dyDescent="0.2">
      <c r="E32" s="99" t="s">
        <v>259</v>
      </c>
      <c r="J32" s="52"/>
      <c r="L32" t="s">
        <v>267</v>
      </c>
    </row>
    <row r="33" spans="5:20" x14ac:dyDescent="0.2">
      <c r="E33" s="99"/>
      <c r="J33" s="52"/>
      <c r="L33" t="s">
        <v>265</v>
      </c>
    </row>
    <row r="34" spans="5:20" x14ac:dyDescent="0.2">
      <c r="E34" s="101" t="s">
        <v>242</v>
      </c>
      <c r="F34" s="124"/>
      <c r="G34" s="124"/>
      <c r="H34" s="124"/>
      <c r="I34" s="124"/>
      <c r="J34" s="52"/>
      <c r="L34" t="s">
        <v>268</v>
      </c>
    </row>
    <row r="35" spans="5:20" x14ac:dyDescent="0.2">
      <c r="E35" s="126"/>
      <c r="F35" s="124"/>
      <c r="G35" s="124"/>
      <c r="H35" s="124"/>
      <c r="I35" s="124"/>
      <c r="J35" s="125"/>
    </row>
    <row r="36" spans="5:20" x14ac:dyDescent="0.2">
      <c r="E36" s="123"/>
      <c r="F36" s="124"/>
      <c r="G36" s="124"/>
      <c r="H36" s="124"/>
      <c r="I36" s="124"/>
      <c r="J36" s="125"/>
      <c r="L36" t="s">
        <v>291</v>
      </c>
    </row>
    <row r="37" spans="5:20" x14ac:dyDescent="0.2">
      <c r="E37" s="123"/>
      <c r="F37" s="124"/>
      <c r="G37" s="124"/>
      <c r="H37" s="124"/>
      <c r="I37" s="124"/>
      <c r="J37" s="125"/>
      <c r="L37" s="17" t="s">
        <v>292</v>
      </c>
      <c r="M37" s="17"/>
      <c r="N37" s="17"/>
      <c r="O37" s="17"/>
    </row>
    <row r="38" spans="5:20" x14ac:dyDescent="0.2">
      <c r="E38" s="101" t="s">
        <v>49</v>
      </c>
      <c r="F38" s="13"/>
      <c r="G38" s="130">
        <f>(1-((C12*C4)/(C11+C4)))</f>
        <v>0.79285714285714293</v>
      </c>
      <c r="H38" s="124"/>
      <c r="I38" s="124"/>
      <c r="J38" s="125"/>
      <c r="L38" t="s">
        <v>293</v>
      </c>
    </row>
    <row r="39" spans="5:20" x14ac:dyDescent="0.2">
      <c r="E39" s="101"/>
      <c r="F39" s="13"/>
      <c r="G39" s="102">
        <f>C9*G38</f>
        <v>3964.2857142857147</v>
      </c>
      <c r="H39" s="124"/>
      <c r="I39" s="124"/>
      <c r="J39" s="125"/>
    </row>
    <row r="40" spans="5:20" x14ac:dyDescent="0.2">
      <c r="E40" s="101"/>
      <c r="F40" s="13"/>
      <c r="G40" s="129">
        <f>G39+C9</f>
        <v>8964.2857142857138</v>
      </c>
      <c r="H40" s="184" t="s">
        <v>296</v>
      </c>
      <c r="I40" s="124"/>
      <c r="J40" s="125"/>
    </row>
    <row r="41" spans="5:20" x14ac:dyDescent="0.2">
      <c r="E41" s="101"/>
      <c r="F41" s="13"/>
      <c r="G41" s="13"/>
      <c r="H41" s="124"/>
      <c r="I41" s="124"/>
      <c r="J41" s="125"/>
      <c r="L41" s="104" t="s">
        <v>295</v>
      </c>
      <c r="M41" s="98"/>
      <c r="N41" s="98"/>
      <c r="O41" s="98"/>
      <c r="P41" s="98"/>
      <c r="Q41" s="98"/>
      <c r="R41" s="51"/>
      <c r="T41" t="s">
        <v>294</v>
      </c>
    </row>
    <row r="42" spans="5:20" x14ac:dyDescent="0.2">
      <c r="E42" s="101" t="s">
        <v>50</v>
      </c>
      <c r="F42" s="13"/>
      <c r="G42" s="13"/>
      <c r="H42" s="124"/>
      <c r="I42" s="124"/>
      <c r="J42" s="125"/>
      <c r="L42" s="99" t="s">
        <v>276</v>
      </c>
      <c r="N42" s="8">
        <f>N4</f>
        <v>167000</v>
      </c>
      <c r="O42" s="8">
        <f t="shared" ref="O42:R42" si="10">O4</f>
        <v>167000</v>
      </c>
      <c r="P42" s="8">
        <f t="shared" si="10"/>
        <v>167000</v>
      </c>
      <c r="Q42" s="8">
        <f t="shared" si="10"/>
        <v>167000</v>
      </c>
      <c r="R42" s="116">
        <f t="shared" si="10"/>
        <v>167000</v>
      </c>
    </row>
    <row r="43" spans="5:20" x14ac:dyDescent="0.2">
      <c r="E43" s="101"/>
      <c r="F43" s="13"/>
      <c r="G43" s="13"/>
      <c r="H43" s="124"/>
      <c r="I43" s="124"/>
      <c r="J43" s="125"/>
      <c r="L43" s="99" t="s">
        <v>277</v>
      </c>
      <c r="N43" s="5">
        <f>-N5</f>
        <v>-79000</v>
      </c>
      <c r="O43" s="5">
        <f t="shared" ref="O43:R43" si="11">-O5</f>
        <v>-79000</v>
      </c>
      <c r="P43" s="5">
        <f t="shared" si="11"/>
        <v>-79000</v>
      </c>
      <c r="Q43" s="5">
        <f t="shared" si="11"/>
        <v>-79000</v>
      </c>
      <c r="R43" s="172">
        <f t="shared" si="11"/>
        <v>-79000</v>
      </c>
    </row>
    <row r="44" spans="5:20" x14ac:dyDescent="0.2">
      <c r="E44" s="101"/>
      <c r="F44" s="13"/>
      <c r="G44" s="130">
        <f>(1-((C12*C4)/(C11+C4))*((1+C11/2)/(1+C11)))</f>
        <v>0.80395408163265314</v>
      </c>
      <c r="H44" s="124"/>
      <c r="I44" s="124"/>
      <c r="J44" s="125"/>
      <c r="L44" s="99" t="s">
        <v>278</v>
      </c>
      <c r="N44" s="5">
        <f>-N8</f>
        <v>-12000</v>
      </c>
      <c r="O44" s="5">
        <f t="shared" ref="O44:R44" si="12">-O8</f>
        <v>-10111.083216707413</v>
      </c>
      <c r="P44" s="5">
        <f t="shared" si="12"/>
        <v>-7995.4964194197173</v>
      </c>
      <c r="Q44" s="5">
        <f t="shared" si="12"/>
        <v>-5626.0392064574962</v>
      </c>
      <c r="R44" s="172">
        <f t="shared" si="12"/>
        <v>-2972.2471279398096</v>
      </c>
      <c r="T44" t="s">
        <v>288</v>
      </c>
    </row>
    <row r="45" spans="5:20" x14ac:dyDescent="0.2">
      <c r="E45" s="131"/>
      <c r="F45" s="132"/>
      <c r="G45" s="183">
        <f>C3*G44</f>
        <v>64316.326530612248</v>
      </c>
      <c r="H45" s="127"/>
      <c r="I45" s="127"/>
      <c r="J45" s="128"/>
      <c r="L45" s="99" t="s">
        <v>126</v>
      </c>
      <c r="N45" s="105">
        <f>-N10</f>
        <v>-18560</v>
      </c>
      <c r="O45" s="105">
        <f t="shared" ref="O45:R45" si="13">-O10</f>
        <v>-16671.785867154849</v>
      </c>
      <c r="P45" s="105">
        <f t="shared" si="13"/>
        <v>-19060.106038368278</v>
      </c>
      <c r="Q45" s="105">
        <f t="shared" si="13"/>
        <v>-20989.608630127324</v>
      </c>
      <c r="R45" s="180">
        <f t="shared" si="13"/>
        <v>-22628.860332897453</v>
      </c>
    </row>
    <row r="46" spans="5:20" x14ac:dyDescent="0.2">
      <c r="L46" s="178" t="s">
        <v>281</v>
      </c>
      <c r="M46" s="161"/>
      <c r="N46" s="162">
        <f>SUM(N42:N45)</f>
        <v>57440</v>
      </c>
      <c r="O46" s="162">
        <f t="shared" ref="O46:R46" si="14">SUM(O42:O45)</f>
        <v>61217.130916137743</v>
      </c>
      <c r="P46" s="162">
        <f t="shared" si="14"/>
        <v>60944.397542211998</v>
      </c>
      <c r="Q46" s="162">
        <f t="shared" si="14"/>
        <v>61384.352163415177</v>
      </c>
      <c r="R46" s="179">
        <f t="shared" si="14"/>
        <v>62398.892539162727</v>
      </c>
    </row>
    <row r="47" spans="5:20" x14ac:dyDescent="0.2">
      <c r="L47" s="99"/>
      <c r="N47" s="5"/>
      <c r="O47" s="5"/>
      <c r="P47" s="5"/>
      <c r="Q47" s="5"/>
      <c r="R47" s="172"/>
    </row>
    <row r="48" spans="5:20" x14ac:dyDescent="0.2">
      <c r="L48" s="99" t="s">
        <v>279</v>
      </c>
      <c r="N48" s="105">
        <f>N21</f>
        <v>-15740.973194104889</v>
      </c>
      <c r="O48" s="105">
        <f>O21</f>
        <v>-17629.889977397477</v>
      </c>
      <c r="P48" s="105">
        <f>P21</f>
        <v>-19745.476774685172</v>
      </c>
      <c r="Q48" s="105">
        <f>Q21</f>
        <v>-22114.933987647397</v>
      </c>
      <c r="R48" s="180">
        <f>R21</f>
        <v>-24768.726066165083</v>
      </c>
    </row>
    <row r="49" spans="12:20" x14ac:dyDescent="0.2">
      <c r="L49" s="99" t="s">
        <v>281</v>
      </c>
      <c r="N49" s="8">
        <f>SUM(N46:N48)</f>
        <v>41699.026805895111</v>
      </c>
      <c r="O49" s="8">
        <f>SUM(O46:O48)</f>
        <v>43587.240938740266</v>
      </c>
      <c r="P49" s="8">
        <f>SUM(P46:P48)</f>
        <v>41198.920767526826</v>
      </c>
      <c r="Q49" s="8">
        <f>SUM(Q46:Q48)</f>
        <v>39269.41817576778</v>
      </c>
      <c r="R49" s="116">
        <f>SUM(R46:R48)</f>
        <v>37630.166472997647</v>
      </c>
    </row>
    <row r="50" spans="12:20" x14ac:dyDescent="0.2">
      <c r="L50" s="99"/>
      <c r="N50" s="8"/>
      <c r="O50" s="8"/>
      <c r="P50" s="8"/>
      <c r="Q50" s="8"/>
      <c r="R50" s="116"/>
    </row>
    <row r="51" spans="12:20" x14ac:dyDescent="0.2">
      <c r="L51" s="109" t="s">
        <v>284</v>
      </c>
      <c r="M51" s="8">
        <f>-C$3</f>
        <v>-80000</v>
      </c>
      <c r="R51" s="52"/>
    </row>
    <row r="52" spans="12:20" x14ac:dyDescent="0.2">
      <c r="L52" s="174" t="s">
        <v>283</v>
      </c>
      <c r="M52" s="175">
        <f>C5</f>
        <v>55000</v>
      </c>
      <c r="N52" s="47"/>
      <c r="O52" s="47"/>
      <c r="P52" s="47"/>
      <c r="Q52" s="47"/>
      <c r="R52" s="176">
        <f>-C5</f>
        <v>-55000</v>
      </c>
      <c r="T52" t="s">
        <v>289</v>
      </c>
    </row>
    <row r="53" spans="12:20" x14ac:dyDescent="0.2">
      <c r="L53" s="99" t="s">
        <v>280</v>
      </c>
      <c r="M53" s="8">
        <f>C$10</f>
        <v>100000</v>
      </c>
      <c r="R53" s="52"/>
      <c r="T53" t="s">
        <v>290</v>
      </c>
    </row>
    <row r="54" spans="12:20" x14ac:dyDescent="0.2">
      <c r="L54" s="109" t="s">
        <v>260</v>
      </c>
      <c r="R54" s="177">
        <f>C9+I30</f>
        <v>8284.771999999999</v>
      </c>
    </row>
    <row r="55" spans="12:20" x14ac:dyDescent="0.2">
      <c r="L55" s="99"/>
      <c r="R55" s="52"/>
    </row>
    <row r="56" spans="12:20" x14ac:dyDescent="0.2">
      <c r="L56" s="109" t="s">
        <v>282</v>
      </c>
      <c r="M56" s="181">
        <f t="shared" ref="M56:R56" si="15">SUM(M49:M54)</f>
        <v>75000</v>
      </c>
      <c r="N56" s="181">
        <f t="shared" si="15"/>
        <v>41699.026805895111</v>
      </c>
      <c r="O56" s="181">
        <f t="shared" si="15"/>
        <v>43587.240938740266</v>
      </c>
      <c r="P56" s="181">
        <f t="shared" si="15"/>
        <v>41198.920767526826</v>
      </c>
      <c r="Q56" s="181">
        <f t="shared" si="15"/>
        <v>39269.41817576778</v>
      </c>
      <c r="R56" s="182">
        <f t="shared" si="15"/>
        <v>-9085.0615270023536</v>
      </c>
    </row>
    <row r="57" spans="12:20" x14ac:dyDescent="0.2">
      <c r="L57" s="99"/>
      <c r="R57" s="52"/>
    </row>
    <row r="58" spans="12:20" x14ac:dyDescent="0.2">
      <c r="L58" s="99" t="s">
        <v>40</v>
      </c>
      <c r="M58" s="8">
        <f>M56/(1+$C$13)^M$3</f>
        <v>75000</v>
      </c>
      <c r="N58" s="8">
        <f>N56/(1+$C13)^N3</f>
        <v>37908.206187177369</v>
      </c>
      <c r="O58" s="8">
        <f>O56/(1+$C13)^O3</f>
        <v>36022.513172512612</v>
      </c>
      <c r="P58" s="8">
        <f>P56/(1+$C13)^P3</f>
        <v>30953.358953814284</v>
      </c>
      <c r="Q58" s="8">
        <f>Q56/(1+$C13)^Q3</f>
        <v>26821.540998407054</v>
      </c>
      <c r="R58" s="116">
        <f>R56/(1+$C13)^R3</f>
        <v>-5641.108423420128</v>
      </c>
    </row>
    <row r="59" spans="12:20" x14ac:dyDescent="0.2">
      <c r="L59" s="99" t="s">
        <v>39</v>
      </c>
      <c r="M59" s="10">
        <f>SUM(M58:R58)</f>
        <v>201064.51088849118</v>
      </c>
      <c r="R59" s="52"/>
    </row>
    <row r="60" spans="12:20" x14ac:dyDescent="0.2">
      <c r="L60" s="99" t="s">
        <v>41</v>
      </c>
      <c r="M60" s="5">
        <f>-PMT(C13,C8,M59)</f>
        <v>53040.311449611632</v>
      </c>
      <c r="R60" s="52"/>
    </row>
    <row r="61" spans="12:20" x14ac:dyDescent="0.2">
      <c r="L61" s="103" t="s">
        <v>47</v>
      </c>
      <c r="M61" s="122">
        <f>IRR(M56:R56)</f>
        <v>-0.81385905157037208</v>
      </c>
      <c r="N61" s="84"/>
      <c r="O61" s="84"/>
      <c r="P61" s="84"/>
      <c r="Q61" s="84"/>
      <c r="R61" s="48"/>
    </row>
  </sheetData>
  <pageMargins left="0.7" right="0.7" top="0.75" bottom="0.75" header="0.3" footer="0.3"/>
  <pageSetup orientation="portrait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Y49"/>
  <sheetViews>
    <sheetView zoomScale="85" zoomScaleNormal="85" workbookViewId="0">
      <selection activeCell="C19" sqref="C19"/>
    </sheetView>
  </sheetViews>
  <sheetFormatPr baseColWidth="10" defaultColWidth="8.83203125" defaultRowHeight="15" x14ac:dyDescent="0.2"/>
  <cols>
    <col min="1" max="1" width="3.83203125" customWidth="1"/>
    <col min="2" max="2" width="20.6640625" bestFit="1" customWidth="1"/>
    <col min="3" max="3" width="11.5" bestFit="1" customWidth="1"/>
    <col min="4" max="4" width="3.5" customWidth="1"/>
    <col min="6" max="6" width="12.1640625" bestFit="1" customWidth="1"/>
    <col min="7" max="8" width="11.5" bestFit="1" customWidth="1"/>
    <col min="9" max="9" width="12.1640625" customWidth="1"/>
    <col min="10" max="10" width="6.6640625" customWidth="1"/>
    <col min="11" max="11" width="5.1640625" customWidth="1"/>
    <col min="12" max="12" width="35" customWidth="1"/>
    <col min="13" max="13" width="10.33203125" customWidth="1"/>
    <col min="14" max="14" width="12.5" bestFit="1" customWidth="1"/>
    <col min="15" max="18" width="10.5" bestFit="1" customWidth="1"/>
    <col min="23" max="23" width="12.1640625" bestFit="1" customWidth="1"/>
    <col min="24" max="24" width="11.1640625" bestFit="1" customWidth="1"/>
  </cols>
  <sheetData>
    <row r="1" spans="1:24" x14ac:dyDescent="0.2">
      <c r="A1" s="6" t="s">
        <v>616</v>
      </c>
    </row>
    <row r="2" spans="1:24" x14ac:dyDescent="0.2">
      <c r="B2" s="6" t="s">
        <v>19</v>
      </c>
      <c r="E2" s="6" t="s">
        <v>20</v>
      </c>
      <c r="L2" s="6" t="s">
        <v>21</v>
      </c>
      <c r="X2" t="s">
        <v>148</v>
      </c>
    </row>
    <row r="3" spans="1:24" x14ac:dyDescent="0.2">
      <c r="B3" t="s">
        <v>5</v>
      </c>
      <c r="C3">
        <v>55000</v>
      </c>
      <c r="E3" t="s">
        <v>13</v>
      </c>
      <c r="G3" s="5">
        <f>PMT(C11,C8,C10)</f>
        <v>-8472.9768626495716</v>
      </c>
      <c r="M3">
        <v>0</v>
      </c>
      <c r="N3">
        <v>1</v>
      </c>
      <c r="O3">
        <v>2</v>
      </c>
      <c r="P3">
        <v>3</v>
      </c>
      <c r="Q3">
        <v>4</v>
      </c>
      <c r="R3">
        <v>5</v>
      </c>
      <c r="S3">
        <v>6</v>
      </c>
      <c r="T3">
        <v>7</v>
      </c>
      <c r="U3">
        <v>8</v>
      </c>
      <c r="V3">
        <v>9</v>
      </c>
      <c r="W3">
        <v>10</v>
      </c>
      <c r="X3">
        <v>10</v>
      </c>
    </row>
    <row r="4" spans="1:24" x14ac:dyDescent="0.2">
      <c r="B4" t="s">
        <v>51</v>
      </c>
      <c r="C4" s="4">
        <v>0.3</v>
      </c>
      <c r="L4" t="s">
        <v>22</v>
      </c>
      <c r="N4" s="1">
        <f>C7</f>
        <v>44000</v>
      </c>
      <c r="O4" s="1">
        <f t="shared" ref="O4:R5" si="0">N4</f>
        <v>44000</v>
      </c>
      <c r="P4" s="1">
        <f t="shared" si="0"/>
        <v>44000</v>
      </c>
      <c r="Q4" s="1">
        <f t="shared" si="0"/>
        <v>44000</v>
      </c>
      <c r="R4" s="1">
        <f t="shared" si="0"/>
        <v>44000</v>
      </c>
      <c r="S4" s="1">
        <f t="shared" ref="S4:W5" si="1">R4</f>
        <v>44000</v>
      </c>
      <c r="T4" s="1">
        <f t="shared" si="1"/>
        <v>44000</v>
      </c>
      <c r="U4" s="1">
        <f t="shared" si="1"/>
        <v>44000</v>
      </c>
      <c r="V4" s="1">
        <f t="shared" si="1"/>
        <v>44000</v>
      </c>
      <c r="W4" s="1">
        <f t="shared" si="1"/>
        <v>44000</v>
      </c>
      <c r="X4" s="1"/>
    </row>
    <row r="5" spans="1:24" x14ac:dyDescent="0.2">
      <c r="B5" t="s">
        <v>6</v>
      </c>
      <c r="C5">
        <v>55000</v>
      </c>
      <c r="E5" s="6" t="s">
        <v>14</v>
      </c>
      <c r="L5" s="7" t="s">
        <v>24</v>
      </c>
      <c r="N5" s="1">
        <f>C6</f>
        <v>13000</v>
      </c>
      <c r="O5" s="1">
        <f t="shared" si="0"/>
        <v>13000</v>
      </c>
      <c r="P5" s="1">
        <f t="shared" si="0"/>
        <v>13000</v>
      </c>
      <c r="Q5" s="1">
        <f t="shared" si="0"/>
        <v>13000</v>
      </c>
      <c r="R5" s="1">
        <f t="shared" si="0"/>
        <v>13000</v>
      </c>
      <c r="S5" s="1">
        <f t="shared" si="1"/>
        <v>13000</v>
      </c>
      <c r="T5" s="1">
        <f t="shared" si="1"/>
        <v>13000</v>
      </c>
      <c r="U5" s="1">
        <f t="shared" si="1"/>
        <v>13000</v>
      </c>
      <c r="V5" s="1">
        <f t="shared" si="1"/>
        <v>13000</v>
      </c>
      <c r="W5" s="1">
        <f t="shared" si="1"/>
        <v>13000</v>
      </c>
      <c r="X5" s="1"/>
    </row>
    <row r="6" spans="1:24" x14ac:dyDescent="0.2">
      <c r="B6" t="s">
        <v>7</v>
      </c>
      <c r="C6">
        <v>13000</v>
      </c>
      <c r="E6" t="s">
        <v>4</v>
      </c>
      <c r="F6" t="s">
        <v>15</v>
      </c>
      <c r="G6" t="s">
        <v>16</v>
      </c>
      <c r="H6" t="s">
        <v>17</v>
      </c>
      <c r="I6" t="s">
        <v>18</v>
      </c>
      <c r="L6" s="109" t="s">
        <v>257</v>
      </c>
      <c r="N6" s="8">
        <f>N4-N5</f>
        <v>31000</v>
      </c>
      <c r="O6" s="8">
        <f t="shared" ref="O6:W6" si="2">O4-O5</f>
        <v>31000</v>
      </c>
      <c r="P6" s="8">
        <f t="shared" si="2"/>
        <v>31000</v>
      </c>
      <c r="Q6" s="8">
        <f t="shared" si="2"/>
        <v>31000</v>
      </c>
      <c r="R6" s="8">
        <f t="shared" si="2"/>
        <v>31000</v>
      </c>
      <c r="S6" s="8">
        <f t="shared" si="2"/>
        <v>31000</v>
      </c>
      <c r="T6" s="8">
        <f t="shared" si="2"/>
        <v>31000</v>
      </c>
      <c r="U6" s="8">
        <f t="shared" si="2"/>
        <v>31000</v>
      </c>
      <c r="V6" s="8">
        <f t="shared" si="2"/>
        <v>31000</v>
      </c>
      <c r="W6" s="8">
        <f t="shared" si="2"/>
        <v>31000</v>
      </c>
    </row>
    <row r="7" spans="1:24" x14ac:dyDescent="0.2">
      <c r="B7" t="s">
        <v>8</v>
      </c>
      <c r="C7">
        <v>44000</v>
      </c>
      <c r="E7">
        <v>1</v>
      </c>
      <c r="F7" s="5">
        <f>C10</f>
        <v>41250</v>
      </c>
      <c r="G7" s="5">
        <f t="shared" ref="G7:G13" si="3">-IPMT(C$11,E7,C$8,C$10)</f>
        <v>4125</v>
      </c>
      <c r="H7" s="5">
        <f t="shared" ref="H7:H13" si="4">-PPMT(C$11,E7,C$8,C$10)</f>
        <v>4347.9768626495716</v>
      </c>
      <c r="I7" s="5">
        <f>F7-H7</f>
        <v>36902.023137350428</v>
      </c>
      <c r="L7" s="19" t="s">
        <v>141</v>
      </c>
      <c r="M7" s="17"/>
      <c r="N7" s="21">
        <f>G17</f>
        <v>22000</v>
      </c>
      <c r="O7" s="21">
        <f>G18</f>
        <v>13200</v>
      </c>
      <c r="P7" s="21">
        <f>G19</f>
        <v>7920</v>
      </c>
      <c r="Q7" s="21">
        <f>G20</f>
        <v>4752</v>
      </c>
      <c r="R7" s="21">
        <f>G21</f>
        <v>2851.2000000000003</v>
      </c>
      <c r="S7" s="21">
        <f>G22</f>
        <v>1710.7199999999998</v>
      </c>
      <c r="T7" s="21">
        <f>G23</f>
        <v>1026.4319999999998</v>
      </c>
      <c r="U7" s="21">
        <f>G24</f>
        <v>615.85919999999987</v>
      </c>
      <c r="V7" s="21">
        <f>G25</f>
        <v>369.51551999999992</v>
      </c>
      <c r="W7" s="21">
        <f>G26</f>
        <v>221.70931199999995</v>
      </c>
      <c r="X7" s="21"/>
    </row>
    <row r="8" spans="1:24" x14ac:dyDescent="0.2">
      <c r="B8" t="s">
        <v>140</v>
      </c>
      <c r="C8">
        <v>7</v>
      </c>
      <c r="E8">
        <v>2</v>
      </c>
      <c r="F8" s="5">
        <f>I7</f>
        <v>36902.023137350428</v>
      </c>
      <c r="G8" s="5">
        <f t="shared" si="3"/>
        <v>3690.2023137350425</v>
      </c>
      <c r="H8" s="5">
        <f t="shared" si="4"/>
        <v>4782.7745489145291</v>
      </c>
      <c r="I8" s="5">
        <f t="shared" ref="I8:I11" si="5">F8-H8</f>
        <v>32119.248588435898</v>
      </c>
      <c r="L8" s="7" t="s">
        <v>44</v>
      </c>
      <c r="N8" s="1">
        <f>G7</f>
        <v>4125</v>
      </c>
      <c r="O8" s="1">
        <f>G8</f>
        <v>3690.2023137350425</v>
      </c>
      <c r="P8" s="1">
        <f>G9</f>
        <v>3211.9248588435898</v>
      </c>
      <c r="Q8" s="1">
        <f>G10</f>
        <v>2685.8196584629918</v>
      </c>
      <c r="R8" s="1">
        <f>G11</f>
        <v>2107.1039380443335</v>
      </c>
      <c r="S8" s="1">
        <f>G12</f>
        <v>1470.5166455838098</v>
      </c>
      <c r="T8" s="1">
        <f>G13</f>
        <v>770.27062387723379</v>
      </c>
      <c r="U8" s="1"/>
      <c r="V8" s="1"/>
      <c r="W8" s="1"/>
      <c r="X8" s="1"/>
    </row>
    <row r="9" spans="1:24" x14ac:dyDescent="0.2">
      <c r="B9" t="s">
        <v>10</v>
      </c>
      <c r="C9">
        <f>0.12*C3</f>
        <v>6600</v>
      </c>
      <c r="E9">
        <v>3</v>
      </c>
      <c r="F9" s="5">
        <f t="shared" ref="F9:F11" si="6">I8</f>
        <v>32119.248588435898</v>
      </c>
      <c r="G9" s="5">
        <f t="shared" si="3"/>
        <v>3211.9248588435898</v>
      </c>
      <c r="H9" s="5">
        <f t="shared" si="4"/>
        <v>5261.0520038059822</v>
      </c>
      <c r="I9" s="5">
        <f t="shared" si="5"/>
        <v>26858.196584629914</v>
      </c>
      <c r="L9" s="87" t="s">
        <v>358</v>
      </c>
      <c r="M9" s="17"/>
      <c r="N9" s="17"/>
      <c r="O9" s="17"/>
      <c r="P9" s="17"/>
      <c r="Q9" s="17"/>
      <c r="R9" s="18"/>
      <c r="S9" s="17"/>
      <c r="T9" s="18"/>
      <c r="U9" s="17"/>
      <c r="V9" s="18"/>
      <c r="W9" s="18"/>
      <c r="X9" s="20">
        <f>-G28</f>
        <v>6267.4360319999996</v>
      </c>
    </row>
    <row r="10" spans="1:24" x14ac:dyDescent="0.2">
      <c r="B10" t="s">
        <v>11</v>
      </c>
      <c r="C10">
        <f>0.75*C3</f>
        <v>41250</v>
      </c>
      <c r="E10">
        <v>4</v>
      </c>
      <c r="F10" s="5">
        <f t="shared" si="6"/>
        <v>26858.196584629914</v>
      </c>
      <c r="G10" s="5">
        <f t="shared" si="3"/>
        <v>2685.8196584629918</v>
      </c>
      <c r="H10" s="5">
        <f t="shared" si="4"/>
        <v>5787.1572041865802</v>
      </c>
      <c r="I10" s="5">
        <f t="shared" si="5"/>
        <v>21071.039380443333</v>
      </c>
      <c r="L10" s="7" t="s">
        <v>26</v>
      </c>
      <c r="N10" s="88">
        <f t="shared" ref="N10:X10" si="7">N4-N5-N7-N8+N9</f>
        <v>4875</v>
      </c>
      <c r="O10" s="88">
        <f t="shared" si="7"/>
        <v>14109.797686264958</v>
      </c>
      <c r="P10" s="88">
        <f t="shared" si="7"/>
        <v>19868.075141156409</v>
      </c>
      <c r="Q10" s="88">
        <f t="shared" si="7"/>
        <v>23562.180341537009</v>
      </c>
      <c r="R10" s="88">
        <f t="shared" si="7"/>
        <v>26041.696061955667</v>
      </c>
      <c r="S10" s="88">
        <f t="shared" si="7"/>
        <v>27818.763354416187</v>
      </c>
      <c r="T10" s="88">
        <f t="shared" si="7"/>
        <v>29203.297376122766</v>
      </c>
      <c r="U10" s="88">
        <f t="shared" si="7"/>
        <v>30384.140800000001</v>
      </c>
      <c r="V10" s="88">
        <f t="shared" si="7"/>
        <v>30630.484479999999</v>
      </c>
      <c r="W10" s="88">
        <f t="shared" si="7"/>
        <v>30778.290688000001</v>
      </c>
      <c r="X10" s="88">
        <f t="shared" si="7"/>
        <v>6267.4360319999996</v>
      </c>
    </row>
    <row r="11" spans="1:24" x14ac:dyDescent="0.2">
      <c r="B11" t="s">
        <v>12</v>
      </c>
      <c r="C11" s="4">
        <v>0.1</v>
      </c>
      <c r="E11">
        <v>5</v>
      </c>
      <c r="F11" s="5">
        <f t="shared" si="6"/>
        <v>21071.039380443333</v>
      </c>
      <c r="G11" s="91">
        <f t="shared" si="3"/>
        <v>2107.1039380443335</v>
      </c>
      <c r="H11" s="5">
        <f t="shared" si="4"/>
        <v>6365.872924605238</v>
      </c>
      <c r="I11" s="5">
        <f t="shared" si="5"/>
        <v>14705.166455838094</v>
      </c>
      <c r="L11" t="s">
        <v>144</v>
      </c>
      <c r="M11" s="1">
        <f>0.1*C5</f>
        <v>5500</v>
      </c>
    </row>
    <row r="12" spans="1:24" x14ac:dyDescent="0.2">
      <c r="B12" t="s">
        <v>37</v>
      </c>
      <c r="C12" s="4">
        <v>0.46</v>
      </c>
      <c r="E12">
        <v>6</v>
      </c>
      <c r="F12" s="5">
        <f t="shared" ref="F12:F13" si="8">I11</f>
        <v>14705.166455838094</v>
      </c>
      <c r="G12" s="5">
        <f t="shared" si="3"/>
        <v>1470.5166455838098</v>
      </c>
      <c r="H12" s="5">
        <f t="shared" si="4"/>
        <v>7002.4602170657618</v>
      </c>
      <c r="I12" s="5">
        <f t="shared" ref="I12:I13" si="9">F12-H12</f>
        <v>7702.7062387723327</v>
      </c>
      <c r="L12" s="7" t="s">
        <v>27</v>
      </c>
      <c r="M12" s="8">
        <f>M10*$C$12-M11</f>
        <v>-5500</v>
      </c>
      <c r="N12" s="8">
        <f t="shared" ref="N12:W12" si="10">N10*$C$12-N11</f>
        <v>2242.5</v>
      </c>
      <c r="O12" s="8">
        <f t="shared" si="10"/>
        <v>6490.5069356818803</v>
      </c>
      <c r="P12" s="8">
        <f t="shared" si="10"/>
        <v>9139.3145649319486</v>
      </c>
      <c r="Q12" s="8">
        <f t="shared" si="10"/>
        <v>10838.602957107025</v>
      </c>
      <c r="R12" s="8">
        <f t="shared" si="10"/>
        <v>11979.180188499608</v>
      </c>
      <c r="S12" s="8">
        <f t="shared" si="10"/>
        <v>12796.631143031447</v>
      </c>
      <c r="T12" s="8">
        <f t="shared" si="10"/>
        <v>13433.516793016473</v>
      </c>
      <c r="U12" s="8">
        <f t="shared" si="10"/>
        <v>13976.704768000001</v>
      </c>
      <c r="V12" s="8">
        <f t="shared" si="10"/>
        <v>14090.0228608</v>
      </c>
      <c r="W12" s="8">
        <f t="shared" si="10"/>
        <v>14158.013716480002</v>
      </c>
      <c r="X12" s="86"/>
    </row>
    <row r="13" spans="1:24" x14ac:dyDescent="0.2">
      <c r="B13" s="58" t="s">
        <v>147</v>
      </c>
      <c r="C13" s="79">
        <v>0.26</v>
      </c>
      <c r="E13">
        <v>7</v>
      </c>
      <c r="F13" s="5">
        <f t="shared" si="8"/>
        <v>7702.7062387723327</v>
      </c>
      <c r="G13" s="91">
        <f t="shared" si="3"/>
        <v>770.27062387723379</v>
      </c>
      <c r="H13" s="5">
        <f t="shared" si="4"/>
        <v>7702.7062387723381</v>
      </c>
      <c r="I13" s="5">
        <f t="shared" si="9"/>
        <v>0</v>
      </c>
      <c r="L13" s="7" t="s">
        <v>146</v>
      </c>
      <c r="X13" s="8">
        <f>X10*$C$13-X11</f>
        <v>1629.5333683199999</v>
      </c>
    </row>
    <row r="14" spans="1:24" x14ac:dyDescent="0.2">
      <c r="B14" t="s">
        <v>52</v>
      </c>
      <c r="C14" s="4">
        <v>0.12</v>
      </c>
      <c r="L14" s="7" t="s">
        <v>28</v>
      </c>
      <c r="M14" s="8">
        <f t="shared" ref="M14:W14" si="11">M10-M12</f>
        <v>5500</v>
      </c>
      <c r="N14" s="8">
        <f t="shared" si="11"/>
        <v>2632.5</v>
      </c>
      <c r="O14" s="8">
        <f t="shared" si="11"/>
        <v>7619.2907505830772</v>
      </c>
      <c r="P14" s="8">
        <f t="shared" si="11"/>
        <v>10728.76057622446</v>
      </c>
      <c r="Q14" s="8">
        <f t="shared" si="11"/>
        <v>12723.577384429984</v>
      </c>
      <c r="R14" s="8">
        <f t="shared" si="11"/>
        <v>14062.515873456059</v>
      </c>
      <c r="S14" s="8">
        <f t="shared" si="11"/>
        <v>15022.13221138474</v>
      </c>
      <c r="T14" s="8">
        <f t="shared" si="11"/>
        <v>15769.780583106292</v>
      </c>
      <c r="U14" s="8">
        <f t="shared" si="11"/>
        <v>16407.436031999998</v>
      </c>
      <c r="V14" s="8">
        <f t="shared" si="11"/>
        <v>16540.461619199999</v>
      </c>
      <c r="W14" s="8">
        <f t="shared" si="11"/>
        <v>16620.276971519997</v>
      </c>
      <c r="X14" s="8">
        <f>X10-X13</f>
        <v>4637.9026636799999</v>
      </c>
    </row>
    <row r="15" spans="1:24" x14ac:dyDescent="0.2">
      <c r="E15" s="6" t="s">
        <v>33</v>
      </c>
      <c r="L15" s="19" t="s">
        <v>357</v>
      </c>
      <c r="M15" s="17"/>
      <c r="N15" s="20">
        <f t="shared" ref="N15:W15" si="12">N7</f>
        <v>22000</v>
      </c>
      <c r="O15" s="20">
        <f t="shared" si="12"/>
        <v>13200</v>
      </c>
      <c r="P15" s="20">
        <f t="shared" si="12"/>
        <v>7920</v>
      </c>
      <c r="Q15" s="20">
        <f t="shared" si="12"/>
        <v>4752</v>
      </c>
      <c r="R15" s="20">
        <f t="shared" si="12"/>
        <v>2851.2000000000003</v>
      </c>
      <c r="S15" s="20">
        <f t="shared" si="12"/>
        <v>1710.7199999999998</v>
      </c>
      <c r="T15" s="20">
        <f t="shared" si="12"/>
        <v>1026.4319999999998</v>
      </c>
      <c r="U15" s="20">
        <f t="shared" si="12"/>
        <v>615.85919999999987</v>
      </c>
      <c r="V15" s="20">
        <f t="shared" si="12"/>
        <v>369.51551999999992</v>
      </c>
      <c r="W15" s="20">
        <f t="shared" si="12"/>
        <v>221.70931199999995</v>
      </c>
      <c r="X15" s="20"/>
    </row>
    <row r="16" spans="1:24" x14ac:dyDescent="0.2">
      <c r="E16" t="s">
        <v>4</v>
      </c>
      <c r="F16" t="s">
        <v>34</v>
      </c>
      <c r="G16" t="s">
        <v>35</v>
      </c>
      <c r="H16" t="s">
        <v>36</v>
      </c>
      <c r="L16" s="87" t="s">
        <v>142</v>
      </c>
      <c r="M16" s="17"/>
      <c r="N16" s="17"/>
      <c r="O16" s="17"/>
      <c r="P16" s="17"/>
      <c r="Q16" s="17"/>
      <c r="R16" s="18"/>
      <c r="S16" s="17"/>
      <c r="T16" s="18"/>
      <c r="U16" s="17"/>
      <c r="V16" s="18"/>
      <c r="W16" s="20"/>
      <c r="X16" s="20">
        <f>X9</f>
        <v>6267.4360319999996</v>
      </c>
    </row>
    <row r="17" spans="5:25" x14ac:dyDescent="0.2">
      <c r="E17">
        <v>1</v>
      </c>
      <c r="F17">
        <f>C3</f>
        <v>55000</v>
      </c>
      <c r="G17">
        <f>F17*0.2*2</f>
        <v>22000</v>
      </c>
      <c r="H17">
        <f>F17-G17</f>
        <v>33000</v>
      </c>
      <c r="L17" s="7" t="s">
        <v>256</v>
      </c>
      <c r="N17" s="5">
        <f>G7</f>
        <v>4125</v>
      </c>
      <c r="O17" s="5">
        <f>G8</f>
        <v>3690.2023137350425</v>
      </c>
      <c r="P17" s="5">
        <f>G9</f>
        <v>3211.9248588435898</v>
      </c>
      <c r="Q17" s="5">
        <f>G11</f>
        <v>2107.1039380443335</v>
      </c>
      <c r="R17" s="5">
        <f>G12</f>
        <v>1470.5166455838098</v>
      </c>
      <c r="S17" s="5">
        <f>G13</f>
        <v>770.27062387723379</v>
      </c>
    </row>
    <row r="18" spans="5:25" x14ac:dyDescent="0.2">
      <c r="E18">
        <v>2</v>
      </c>
      <c r="F18">
        <f>H17</f>
        <v>33000</v>
      </c>
      <c r="G18">
        <f t="shared" ref="G18:G26" si="13">F18*0.2*2</f>
        <v>13200</v>
      </c>
      <c r="H18">
        <f>F18-G18</f>
        <v>19800</v>
      </c>
      <c r="L18" s="7" t="s">
        <v>38</v>
      </c>
      <c r="M18" s="8">
        <f>M14+M15</f>
        <v>5500</v>
      </c>
      <c r="N18" s="8">
        <f>N14+N15+N17</f>
        <v>28757.5</v>
      </c>
      <c r="O18" s="8">
        <f t="shared" ref="O18:W18" si="14">O14+O15+O17</f>
        <v>24509.493064318121</v>
      </c>
      <c r="P18" s="8">
        <f t="shared" si="14"/>
        <v>21860.685435068051</v>
      </c>
      <c r="Q18" s="8">
        <f t="shared" si="14"/>
        <v>19582.681322474316</v>
      </c>
      <c r="R18" s="8">
        <f t="shared" si="14"/>
        <v>18384.23251903987</v>
      </c>
      <c r="S18" s="8">
        <f t="shared" si="14"/>
        <v>17503.122835261973</v>
      </c>
      <c r="T18" s="8">
        <f t="shared" si="14"/>
        <v>16796.212583106291</v>
      </c>
      <c r="U18" s="8">
        <f t="shared" si="14"/>
        <v>17023.295231999997</v>
      </c>
      <c r="V18" s="8">
        <f t="shared" si="14"/>
        <v>16909.9771392</v>
      </c>
      <c r="W18" s="8">
        <f t="shared" si="14"/>
        <v>16841.986283519997</v>
      </c>
      <c r="X18" s="8">
        <f>X14+X15-X16+X17</f>
        <v>-1629.5333683199997</v>
      </c>
    </row>
    <row r="19" spans="5:25" x14ac:dyDescent="0.2">
      <c r="E19">
        <v>3</v>
      </c>
      <c r="F19">
        <f>H18</f>
        <v>19800</v>
      </c>
      <c r="G19">
        <f t="shared" si="13"/>
        <v>7920</v>
      </c>
      <c r="H19">
        <f>F19-G19</f>
        <v>11880</v>
      </c>
      <c r="L19" s="7" t="s">
        <v>143</v>
      </c>
      <c r="M19" s="8">
        <f>0.25*-C3</f>
        <v>-13750</v>
      </c>
    </row>
    <row r="20" spans="5:25" x14ac:dyDescent="0.2">
      <c r="E20">
        <v>4</v>
      </c>
      <c r="F20" s="9">
        <f t="shared" ref="F20:F21" si="15">H19</f>
        <v>11880</v>
      </c>
      <c r="G20" s="9">
        <f t="shared" si="13"/>
        <v>4752</v>
      </c>
      <c r="H20" s="9">
        <f t="shared" ref="H20:H21" si="16">F20-G20</f>
        <v>7128</v>
      </c>
      <c r="L20" t="s">
        <v>359</v>
      </c>
      <c r="M20" s="8"/>
      <c r="N20" s="8">
        <f>-G7</f>
        <v>-4125</v>
      </c>
      <c r="O20" s="8">
        <f>-G8</f>
        <v>-3690.2023137350425</v>
      </c>
      <c r="P20" s="8">
        <f>-G9</f>
        <v>-3211.9248588435898</v>
      </c>
      <c r="Q20" s="8">
        <f>-G10</f>
        <v>-2685.8196584629918</v>
      </c>
      <c r="R20" s="8">
        <f>-G11</f>
        <v>-2107.1039380443335</v>
      </c>
      <c r="S20" s="8">
        <f>-G12</f>
        <v>-1470.5166455838098</v>
      </c>
      <c r="T20" s="8">
        <f>-G13</f>
        <v>-770.27062387723379</v>
      </c>
      <c r="U20" s="8"/>
      <c r="V20" s="8"/>
      <c r="W20" s="8"/>
      <c r="X20" s="8"/>
    </row>
    <row r="21" spans="5:25" x14ac:dyDescent="0.2">
      <c r="E21">
        <v>5</v>
      </c>
      <c r="F21" s="9">
        <f t="shared" si="15"/>
        <v>7128</v>
      </c>
      <c r="G21" s="89">
        <f t="shared" si="13"/>
        <v>2851.2000000000003</v>
      </c>
      <c r="H21" s="9">
        <f t="shared" si="16"/>
        <v>4276.7999999999993</v>
      </c>
      <c r="L21" s="7" t="s">
        <v>43</v>
      </c>
      <c r="R21" s="11"/>
      <c r="T21" s="11"/>
      <c r="V21" s="11"/>
      <c r="W21" s="11"/>
      <c r="X21" s="11">
        <f>C9</f>
        <v>6600</v>
      </c>
    </row>
    <row r="22" spans="5:25" x14ac:dyDescent="0.2">
      <c r="E22">
        <v>6</v>
      </c>
      <c r="F22" s="9">
        <f t="shared" ref="F22:F26" si="17">H21</f>
        <v>4276.7999999999993</v>
      </c>
      <c r="G22" s="9">
        <f t="shared" si="13"/>
        <v>1710.7199999999998</v>
      </c>
      <c r="H22" s="9">
        <f t="shared" ref="H22:H25" si="18">F22-G22</f>
        <v>2566.0799999999995</v>
      </c>
      <c r="L22" t="s">
        <v>258</v>
      </c>
      <c r="M22" s="8">
        <f>M18+M19+M20</f>
        <v>-8250</v>
      </c>
      <c r="N22" s="8">
        <f>N18+N19+N20</f>
        <v>24632.5</v>
      </c>
      <c r="O22" s="8">
        <f t="shared" ref="O22:V22" si="19">O18+O19+O20</f>
        <v>20819.290750583081</v>
      </c>
      <c r="P22" s="8">
        <f t="shared" si="19"/>
        <v>18648.76057622446</v>
      </c>
      <c r="Q22" s="8">
        <f t="shared" si="19"/>
        <v>16896.861664011325</v>
      </c>
      <c r="R22" s="88">
        <f t="shared" si="19"/>
        <v>16277.128580995537</v>
      </c>
      <c r="S22" s="88">
        <f t="shared" si="19"/>
        <v>16032.606189678163</v>
      </c>
      <c r="T22" s="88">
        <f t="shared" si="19"/>
        <v>16025.941959229058</v>
      </c>
      <c r="U22" s="88">
        <f t="shared" si="19"/>
        <v>17023.295231999997</v>
      </c>
      <c r="V22" s="88">
        <f t="shared" si="19"/>
        <v>16909.9771392</v>
      </c>
      <c r="W22" s="88">
        <f>W18+W19+W20</f>
        <v>16841.986283519997</v>
      </c>
      <c r="X22" s="88">
        <f>X18+X19+X20+X21</f>
        <v>4970.4666316800003</v>
      </c>
    </row>
    <row r="23" spans="5:25" x14ac:dyDescent="0.2">
      <c r="E23">
        <v>7</v>
      </c>
      <c r="F23" s="9">
        <f t="shared" si="17"/>
        <v>2566.0799999999995</v>
      </c>
      <c r="G23" s="9">
        <f t="shared" si="13"/>
        <v>1026.4319999999998</v>
      </c>
      <c r="H23" s="9">
        <f t="shared" si="18"/>
        <v>1539.6479999999997</v>
      </c>
      <c r="M23" s="8"/>
      <c r="R23" s="8"/>
      <c r="T23" s="8"/>
      <c r="V23" s="8"/>
    </row>
    <row r="24" spans="5:25" x14ac:dyDescent="0.2">
      <c r="E24">
        <v>8</v>
      </c>
      <c r="F24" s="9">
        <f t="shared" si="17"/>
        <v>1539.6479999999997</v>
      </c>
      <c r="G24" s="9">
        <f t="shared" si="13"/>
        <v>615.85919999999987</v>
      </c>
      <c r="H24" s="9">
        <f t="shared" si="18"/>
        <v>923.78879999999981</v>
      </c>
      <c r="Y24" t="s">
        <v>149</v>
      </c>
    </row>
    <row r="25" spans="5:25" x14ac:dyDescent="0.2">
      <c r="E25">
        <v>9</v>
      </c>
      <c r="F25" s="9">
        <f t="shared" si="17"/>
        <v>923.78879999999981</v>
      </c>
      <c r="G25" s="9">
        <f t="shared" si="13"/>
        <v>369.51551999999992</v>
      </c>
      <c r="H25" s="9">
        <f t="shared" si="18"/>
        <v>554.27327999999989</v>
      </c>
      <c r="L25" s="7" t="s">
        <v>360</v>
      </c>
      <c r="M25" s="90">
        <f>M18+M19+M20+M21</f>
        <v>-8250</v>
      </c>
      <c r="N25" s="8">
        <f t="shared" ref="N25:V25" si="20">N18+N19+N20+N21</f>
        <v>24632.5</v>
      </c>
      <c r="O25" s="8">
        <f t="shared" si="20"/>
        <v>20819.290750583081</v>
      </c>
      <c r="P25" s="8">
        <f t="shared" si="20"/>
        <v>18648.76057622446</v>
      </c>
      <c r="Q25" s="8">
        <f t="shared" si="20"/>
        <v>16896.861664011325</v>
      </c>
      <c r="R25" s="90">
        <f t="shared" si="20"/>
        <v>16277.128580995537</v>
      </c>
      <c r="S25" s="8">
        <f t="shared" si="20"/>
        <v>16032.606189678163</v>
      </c>
      <c r="T25" s="90">
        <f t="shared" si="20"/>
        <v>16025.941959229058</v>
      </c>
      <c r="U25" s="8">
        <f t="shared" si="20"/>
        <v>17023.295231999997</v>
      </c>
      <c r="V25" s="8">
        <f t="shared" si="20"/>
        <v>16909.9771392</v>
      </c>
      <c r="W25" s="8">
        <f>W18+W19+W20+W21</f>
        <v>16841.986283519997</v>
      </c>
      <c r="X25" s="8">
        <f>X18+X19+X20+X21</f>
        <v>4970.4666316800003</v>
      </c>
      <c r="Y25" s="8">
        <f>W25+X25</f>
        <v>21812.452915199996</v>
      </c>
    </row>
    <row r="26" spans="5:25" x14ac:dyDescent="0.2">
      <c r="E26">
        <v>10</v>
      </c>
      <c r="F26" s="9">
        <f t="shared" si="17"/>
        <v>554.27327999999989</v>
      </c>
      <c r="G26" s="9">
        <f t="shared" si="13"/>
        <v>221.70931199999995</v>
      </c>
      <c r="H26" s="9">
        <f>F26-G26</f>
        <v>332.56396799999993</v>
      </c>
    </row>
    <row r="27" spans="5:25" x14ac:dyDescent="0.2">
      <c r="L27" t="s">
        <v>40</v>
      </c>
      <c r="M27" s="90">
        <f t="shared" ref="M27:X27" si="21">M25/(1+$C14)^M3</f>
        <v>-8250</v>
      </c>
      <c r="N27" s="8">
        <f t="shared" si="21"/>
        <v>21993.303571428569</v>
      </c>
      <c r="O27" s="8">
        <f t="shared" si="21"/>
        <v>16597.011121319418</v>
      </c>
      <c r="P27" s="8">
        <f t="shared" si="21"/>
        <v>13273.819424358013</v>
      </c>
      <c r="Q27" s="8">
        <f t="shared" si="21"/>
        <v>10738.261055784735</v>
      </c>
      <c r="R27" s="90">
        <f t="shared" si="21"/>
        <v>9236.0798908416418</v>
      </c>
      <c r="S27" s="8">
        <f t="shared" si="21"/>
        <v>8122.6172492710984</v>
      </c>
      <c r="T27" s="90">
        <f t="shared" si="21"/>
        <v>7249.3222702918611</v>
      </c>
      <c r="U27" s="8">
        <f t="shared" si="21"/>
        <v>6875.4234291459625</v>
      </c>
      <c r="V27" s="8">
        <f t="shared" si="21"/>
        <v>6097.9072786048509</v>
      </c>
      <c r="W27" s="8">
        <f t="shared" si="21"/>
        <v>5422.6688343210408</v>
      </c>
      <c r="X27" s="8">
        <f t="shared" si="21"/>
        <v>1600.3572287680647</v>
      </c>
      <c r="Y27" s="8">
        <f>W27+X27</f>
        <v>7023.0260630891053</v>
      </c>
    </row>
    <row r="28" spans="5:25" x14ac:dyDescent="0.2">
      <c r="E28" t="s">
        <v>145</v>
      </c>
      <c r="G28" s="9">
        <f>H26-C9</f>
        <v>-6267.4360319999996</v>
      </c>
      <c r="L28" t="s">
        <v>39</v>
      </c>
      <c r="M28" s="10">
        <f>SUM(M27:X27)</f>
        <v>98956.771354135242</v>
      </c>
    </row>
    <row r="29" spans="5:25" x14ac:dyDescent="0.2">
      <c r="G29" s="1"/>
    </row>
    <row r="40" spans="5:8" x14ac:dyDescent="0.2">
      <c r="E40" s="12"/>
      <c r="F40" s="13"/>
      <c r="G40" s="13"/>
      <c r="H40" s="13"/>
    </row>
    <row r="41" spans="5:8" x14ac:dyDescent="0.2">
      <c r="E41" s="13"/>
      <c r="F41" s="13"/>
      <c r="G41" s="13"/>
      <c r="H41" s="13"/>
    </row>
    <row r="42" spans="5:8" x14ac:dyDescent="0.2">
      <c r="E42" s="13"/>
      <c r="F42" s="13"/>
      <c r="G42" s="13"/>
      <c r="H42" s="13"/>
    </row>
    <row r="43" spans="5:8" x14ac:dyDescent="0.2">
      <c r="E43" s="13"/>
      <c r="F43" s="13"/>
      <c r="G43" s="14"/>
      <c r="H43" s="13"/>
    </row>
    <row r="44" spans="5:8" x14ac:dyDescent="0.2">
      <c r="E44" s="13"/>
      <c r="F44" s="13"/>
      <c r="G44" s="15"/>
      <c r="H44" s="13"/>
    </row>
    <row r="45" spans="5:8" x14ac:dyDescent="0.2">
      <c r="G45" s="8"/>
    </row>
    <row r="49" spans="7:7" x14ac:dyDescent="0.2">
      <c r="G49" s="16"/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P27"/>
  <sheetViews>
    <sheetView workbookViewId="0">
      <selection activeCell="F4" sqref="F4"/>
    </sheetView>
  </sheetViews>
  <sheetFormatPr baseColWidth="10" defaultColWidth="8.83203125" defaultRowHeight="15" x14ac:dyDescent="0.2"/>
  <cols>
    <col min="2" max="2" width="5.33203125" customWidth="1"/>
    <col min="3" max="3" width="5.83203125" customWidth="1"/>
    <col min="4" max="4" width="3" customWidth="1"/>
    <col min="7" max="7" width="11.5" customWidth="1"/>
    <col min="8" max="8" width="17.33203125" customWidth="1"/>
    <col min="9" max="9" width="10.5" customWidth="1"/>
    <col min="10" max="10" width="12.1640625" customWidth="1"/>
    <col min="11" max="11" width="13.5" customWidth="1"/>
    <col min="12" max="12" width="12.5" customWidth="1"/>
    <col min="13" max="13" width="12" customWidth="1"/>
    <col min="14" max="14" width="12.6640625" customWidth="1"/>
  </cols>
  <sheetData>
    <row r="1" spans="1:16" x14ac:dyDescent="0.2">
      <c r="A1" s="6" t="s">
        <v>63</v>
      </c>
    </row>
    <row r="2" spans="1:16" ht="52.5" customHeight="1" thickBot="1" x14ac:dyDescent="0.25">
      <c r="E2" s="42" t="s">
        <v>4</v>
      </c>
      <c r="F2" s="40" t="s">
        <v>62</v>
      </c>
      <c r="G2" s="41" t="s">
        <v>61</v>
      </c>
      <c r="H2" s="40" t="s">
        <v>60</v>
      </c>
      <c r="I2" s="40" t="s">
        <v>59</v>
      </c>
      <c r="J2" s="41" t="s">
        <v>56</v>
      </c>
      <c r="K2" s="40" t="s">
        <v>58</v>
      </c>
      <c r="L2" s="40" t="s">
        <v>57</v>
      </c>
      <c r="M2" s="41" t="s">
        <v>56</v>
      </c>
      <c r="N2" s="40" t="s">
        <v>55</v>
      </c>
      <c r="O2" s="40" t="s">
        <v>299</v>
      </c>
    </row>
    <row r="3" spans="1:16" ht="19" thickTop="1" thickBot="1" x14ac:dyDescent="0.25">
      <c r="B3" t="s">
        <v>54</v>
      </c>
      <c r="C3" s="146">
        <v>0.08</v>
      </c>
      <c r="E3" s="35">
        <v>0</v>
      </c>
      <c r="F3" s="185">
        <v>7500</v>
      </c>
      <c r="G3" s="39"/>
      <c r="H3" s="39"/>
      <c r="I3" s="39"/>
      <c r="K3" s="39"/>
      <c r="L3" s="39"/>
      <c r="N3" s="39"/>
      <c r="O3" s="38" t="s">
        <v>53</v>
      </c>
    </row>
    <row r="4" spans="1:16" ht="17" thickBot="1" x14ac:dyDescent="0.25">
      <c r="E4" s="29">
        <v>1</v>
      </c>
      <c r="F4" s="37">
        <f>F3*(1-C3)</f>
        <v>6900</v>
      </c>
      <c r="G4" s="187">
        <f>(C$3*(1+C$3)^E4)/((1+C$3)^E4-1)</f>
        <v>1.0799999999999992</v>
      </c>
      <c r="H4" s="43">
        <f>F$3*G4</f>
        <v>8099.9999999999936</v>
      </c>
      <c r="I4" s="190">
        <v>0</v>
      </c>
      <c r="J4" s="187">
        <f t="shared" ref="J4:J18" si="0">(1/C$3)-(E4/((1+C$3)^E4-1))</f>
        <v>0</v>
      </c>
      <c r="K4" s="26">
        <f>I$4*J4</f>
        <v>0</v>
      </c>
      <c r="L4" s="190">
        <v>500</v>
      </c>
      <c r="M4" s="187">
        <f>(1/$C$3)-($E4/((1+$C$3)^$E4-1))</f>
        <v>0</v>
      </c>
      <c r="N4" s="43">
        <f>(L4-L$4)*M4+500</f>
        <v>500</v>
      </c>
      <c r="O4" s="36">
        <f>H4+K4+N4</f>
        <v>8599.9999999999927</v>
      </c>
    </row>
    <row r="5" spans="1:16" ht="17" thickBot="1" x14ac:dyDescent="0.25">
      <c r="C5" s="300">
        <f>H4/2</f>
        <v>4049.9999999999968</v>
      </c>
      <c r="E5" s="35">
        <v>2</v>
      </c>
      <c r="F5" s="28">
        <f>F4*(1-C3)</f>
        <v>6348</v>
      </c>
      <c r="G5" s="188">
        <f>(C$3*(1+C$3)^E5)/((1+C$3)^E5-1)</f>
        <v>0.56076923076923046</v>
      </c>
      <c r="H5" s="23">
        <f>F$3*G5</f>
        <v>4205.7692307692287</v>
      </c>
      <c r="I5" s="190">
        <v>900</v>
      </c>
      <c r="J5" s="188">
        <f>(1/$C$3)-($E5/((1+$C$3)^$E5-1))</f>
        <v>0.48076923076923883</v>
      </c>
      <c r="K5" s="23">
        <f>I$5*J5</f>
        <v>432.69230769231496</v>
      </c>
      <c r="L5" s="190">
        <f t="shared" ref="L5:L18" si="1">L4+400</f>
        <v>900</v>
      </c>
      <c r="M5" s="188">
        <f t="shared" ref="M5:M18" si="2">(1/$C$3)-($E5/((1+$C$3)^$E5-1))</f>
        <v>0.48076923076923883</v>
      </c>
      <c r="N5" s="23">
        <f>(L5-L4)*M5+500</f>
        <v>692.30769230769556</v>
      </c>
      <c r="O5" s="34">
        <f>H5+K5+N5</f>
        <v>5330.7692307692396</v>
      </c>
    </row>
    <row r="6" spans="1:16" ht="17" thickBot="1" x14ac:dyDescent="0.25">
      <c r="C6" s="300">
        <f>H4/3</f>
        <v>2699.9999999999977</v>
      </c>
      <c r="E6" s="29">
        <v>3</v>
      </c>
      <c r="F6" s="28">
        <f>F5*(1-C$3)</f>
        <v>5840.16</v>
      </c>
      <c r="G6" s="187">
        <f t="shared" ref="G6:G18" si="3">(C$3*(1+C$3)^E6)/((1+C$3)^E6-1)</f>
        <v>0.38803351404632802</v>
      </c>
      <c r="H6" s="26">
        <f>F$3*G6</f>
        <v>2910.25135534746</v>
      </c>
      <c r="I6" s="25">
        <f t="shared" ref="I6:I18" si="4">I5+900</f>
        <v>1800</v>
      </c>
      <c r="J6" s="187">
        <f>(1/C$3)-(E6/((1+C$3)^E6-1))</f>
        <v>0.94874322326269755</v>
      </c>
      <c r="K6" s="26">
        <f>I$5*J6</f>
        <v>853.86890093642785</v>
      </c>
      <c r="L6" s="25">
        <f t="shared" si="1"/>
        <v>1300</v>
      </c>
      <c r="M6" s="187">
        <f t="shared" si="2"/>
        <v>0.94874322326269755</v>
      </c>
      <c r="N6" s="26">
        <f>(L6-L5)*M6+500</f>
        <v>879.49728930507899</v>
      </c>
      <c r="O6" s="22">
        <f t="shared" ref="O6:O18" si="5">H6+K6+N6</f>
        <v>4643.617545588967</v>
      </c>
    </row>
    <row r="7" spans="1:16" ht="17" thickBot="1" x14ac:dyDescent="0.25">
      <c r="E7" s="35">
        <v>4</v>
      </c>
      <c r="F7" s="28">
        <f>F6*(1-C$3)</f>
        <v>5372.9472000000005</v>
      </c>
      <c r="G7" s="188">
        <f>(C$3*(1+C$3)^E7)/((1+C$3)^E7-1)</f>
        <v>0.30192080445403913</v>
      </c>
      <c r="H7" s="23">
        <f>F$3*G7</f>
        <v>2264.4060334052933</v>
      </c>
      <c r="I7" s="25">
        <f t="shared" si="4"/>
        <v>2700</v>
      </c>
      <c r="J7" s="188">
        <f>(1/C$3)-(E7/((1+C$3)^E7-1))</f>
        <v>1.4039597772980432</v>
      </c>
      <c r="K7" s="23">
        <f>I$5*J7</f>
        <v>1263.5637995682389</v>
      </c>
      <c r="L7" s="25">
        <f t="shared" si="1"/>
        <v>1700</v>
      </c>
      <c r="M7" s="188">
        <f>(1/$C$3)-($E7/((1+$C$3)^$E7-1))</f>
        <v>1.4039597772980432</v>
      </c>
      <c r="N7" s="23">
        <f>(L7-L6)*M7+500</f>
        <v>1061.5839109192173</v>
      </c>
      <c r="O7" s="186">
        <f t="shared" si="5"/>
        <v>4589.5537438927495</v>
      </c>
      <c r="P7" s="164" t="s">
        <v>300</v>
      </c>
    </row>
    <row r="8" spans="1:16" ht="17" thickBot="1" x14ac:dyDescent="0.25">
      <c r="E8" s="29">
        <v>5</v>
      </c>
      <c r="F8" s="28">
        <f t="shared" ref="F8:F18" si="6">F7*(1-C$3)</f>
        <v>4943.1114240000006</v>
      </c>
      <c r="G8" s="187">
        <f t="shared" si="3"/>
        <v>0.25045645456683646</v>
      </c>
      <c r="H8" s="26">
        <f t="shared" ref="H8:H18" si="7">F$3*G8</f>
        <v>1878.4234092512734</v>
      </c>
      <c r="I8" s="25">
        <f t="shared" si="4"/>
        <v>3600</v>
      </c>
      <c r="J8" s="187">
        <f t="shared" si="0"/>
        <v>1.8464715895727188</v>
      </c>
      <c r="K8" s="26">
        <f t="shared" ref="K8:K18" si="8">I$5*J8</f>
        <v>1661.824430615447</v>
      </c>
      <c r="L8" s="25">
        <f t="shared" si="1"/>
        <v>2100</v>
      </c>
      <c r="M8" s="187">
        <f t="shared" si="2"/>
        <v>1.8464715895727188</v>
      </c>
      <c r="N8" s="26">
        <f>(L8-L7)*M8+500</f>
        <v>1238.5886358290875</v>
      </c>
      <c r="O8" s="22">
        <f t="shared" si="5"/>
        <v>4778.8364756958081</v>
      </c>
    </row>
    <row r="9" spans="1:16" ht="17" thickBot="1" x14ac:dyDescent="0.25">
      <c r="E9" s="33">
        <v>6</v>
      </c>
      <c r="F9" s="28">
        <f t="shared" si="6"/>
        <v>4547.6625100800011</v>
      </c>
      <c r="G9" s="189">
        <f t="shared" si="3"/>
        <v>0.2163153862290097</v>
      </c>
      <c r="H9" s="32">
        <f t="shared" si="7"/>
        <v>1622.3653967175728</v>
      </c>
      <c r="I9" s="31">
        <f t="shared" si="4"/>
        <v>4500</v>
      </c>
      <c r="J9" s="189">
        <f t="shared" si="0"/>
        <v>2.2763460328242733</v>
      </c>
      <c r="K9" s="32">
        <f>I$5*J9</f>
        <v>2048.711429541846</v>
      </c>
      <c r="L9" s="31">
        <f t="shared" si="1"/>
        <v>2500</v>
      </c>
      <c r="M9" s="189">
        <f t="shared" si="2"/>
        <v>2.2763460328242733</v>
      </c>
      <c r="N9" s="32">
        <f t="shared" ref="N9:N18" si="9">(L9-L8)*M9+500</f>
        <v>1410.5384131297092</v>
      </c>
      <c r="O9" s="30">
        <f t="shared" si="5"/>
        <v>5081.615239389128</v>
      </c>
    </row>
    <row r="10" spans="1:16" ht="18" thickTop="1" thickBot="1" x14ac:dyDescent="0.25">
      <c r="E10" s="29">
        <v>7</v>
      </c>
      <c r="F10" s="28">
        <f t="shared" si="6"/>
        <v>4183.8495092736011</v>
      </c>
      <c r="G10" s="187">
        <f t="shared" si="3"/>
        <v>0.19207240142841048</v>
      </c>
      <c r="H10" s="26">
        <f t="shared" si="7"/>
        <v>1440.5430107130785</v>
      </c>
      <c r="I10" s="25">
        <f t="shared" si="4"/>
        <v>5400</v>
      </c>
      <c r="J10" s="187">
        <f t="shared" si="0"/>
        <v>2.6936648750140844</v>
      </c>
      <c r="K10" s="26">
        <f t="shared" si="8"/>
        <v>2424.2983875126761</v>
      </c>
      <c r="L10" s="25">
        <f t="shared" si="1"/>
        <v>2900</v>
      </c>
      <c r="M10" s="187">
        <f t="shared" si="2"/>
        <v>2.6936648750140844</v>
      </c>
      <c r="N10" s="26">
        <f t="shared" si="9"/>
        <v>1577.4659500056337</v>
      </c>
      <c r="O10" s="22">
        <f t="shared" si="5"/>
        <v>5442.3073482313885</v>
      </c>
    </row>
    <row r="11" spans="1:16" ht="17" thickBot="1" x14ac:dyDescent="0.25">
      <c r="E11" s="33">
        <v>8</v>
      </c>
      <c r="F11" s="28">
        <f t="shared" si="6"/>
        <v>3849.1415485317134</v>
      </c>
      <c r="G11" s="189">
        <f t="shared" si="3"/>
        <v>0.17401476059182211</v>
      </c>
      <c r="H11" s="32">
        <f t="shared" si="7"/>
        <v>1305.1107044386658</v>
      </c>
      <c r="I11" s="31">
        <f t="shared" si="4"/>
        <v>6300</v>
      </c>
      <c r="J11" s="189">
        <f t="shared" si="0"/>
        <v>3.09852394081779</v>
      </c>
      <c r="K11" s="32">
        <f t="shared" si="8"/>
        <v>2788.6715467360109</v>
      </c>
      <c r="L11" s="31">
        <f t="shared" si="1"/>
        <v>3300</v>
      </c>
      <c r="M11" s="189">
        <f t="shared" si="2"/>
        <v>3.09852394081779</v>
      </c>
      <c r="N11" s="32">
        <f t="shared" si="9"/>
        <v>1739.4095763271159</v>
      </c>
      <c r="O11" s="30">
        <f t="shared" si="5"/>
        <v>5833.1918275017924</v>
      </c>
    </row>
    <row r="12" spans="1:16" ht="18" thickTop="1" thickBot="1" x14ac:dyDescent="0.25">
      <c r="E12" s="29">
        <v>9</v>
      </c>
      <c r="F12" s="28">
        <f t="shared" si="6"/>
        <v>3541.2102246491763</v>
      </c>
      <c r="G12" s="187">
        <f t="shared" si="3"/>
        <v>0.16007970917199468</v>
      </c>
      <c r="H12" s="26">
        <f t="shared" si="7"/>
        <v>1200.5978187899602</v>
      </c>
      <c r="I12" s="25">
        <f t="shared" si="4"/>
        <v>7200</v>
      </c>
      <c r="J12" s="187">
        <f t="shared" si="0"/>
        <v>3.4910327181505973</v>
      </c>
      <c r="K12" s="26">
        <f t="shared" si="8"/>
        <v>3141.9294463355377</v>
      </c>
      <c r="L12" s="25">
        <f t="shared" si="1"/>
        <v>3700</v>
      </c>
      <c r="M12" s="187">
        <f t="shared" si="2"/>
        <v>3.4910327181505973</v>
      </c>
      <c r="N12" s="26">
        <f t="shared" si="9"/>
        <v>1896.4130872602389</v>
      </c>
      <c r="O12" s="22">
        <f t="shared" si="5"/>
        <v>6238.9403523857372</v>
      </c>
    </row>
    <row r="13" spans="1:16" ht="17" thickBot="1" x14ac:dyDescent="0.25">
      <c r="E13" s="33">
        <v>10</v>
      </c>
      <c r="F13" s="28">
        <f t="shared" si="6"/>
        <v>3257.9134066772422</v>
      </c>
      <c r="G13" s="189">
        <f t="shared" si="3"/>
        <v>0.14902948869707539</v>
      </c>
      <c r="H13" s="32">
        <f t="shared" si="7"/>
        <v>1117.7211652280655</v>
      </c>
      <c r="I13" s="31">
        <f t="shared" si="4"/>
        <v>8100</v>
      </c>
      <c r="J13" s="189">
        <f t="shared" si="0"/>
        <v>3.8713139128655794</v>
      </c>
      <c r="K13" s="32">
        <f t="shared" si="8"/>
        <v>3484.1825215790213</v>
      </c>
      <c r="L13" s="31">
        <f t="shared" si="1"/>
        <v>4100</v>
      </c>
      <c r="M13" s="189">
        <f t="shared" si="2"/>
        <v>3.8713139128655794</v>
      </c>
      <c r="N13" s="32">
        <f t="shared" si="9"/>
        <v>2048.5255651462317</v>
      </c>
      <c r="O13" s="30">
        <f t="shared" si="5"/>
        <v>6650.4292519533192</v>
      </c>
    </row>
    <row r="14" spans="1:16" ht="18" thickTop="1" thickBot="1" x14ac:dyDescent="0.25">
      <c r="E14" s="29">
        <v>11</v>
      </c>
      <c r="F14" s="28">
        <f t="shared" si="6"/>
        <v>2997.2803341430631</v>
      </c>
      <c r="G14" s="187">
        <f t="shared" si="3"/>
        <v>0.14007634214449127</v>
      </c>
      <c r="H14" s="26">
        <f t="shared" si="7"/>
        <v>1050.5725660836845</v>
      </c>
      <c r="I14" s="25">
        <f t="shared" si="4"/>
        <v>9000</v>
      </c>
      <c r="J14" s="187">
        <f t="shared" si="0"/>
        <v>4.2395029551324495</v>
      </c>
      <c r="K14" s="26">
        <f t="shared" si="8"/>
        <v>3815.5526596192044</v>
      </c>
      <c r="L14" s="25">
        <f t="shared" si="1"/>
        <v>4500</v>
      </c>
      <c r="M14" s="187">
        <f t="shared" si="2"/>
        <v>4.2395029551324495</v>
      </c>
      <c r="N14" s="26">
        <f t="shared" si="9"/>
        <v>2195.80118205298</v>
      </c>
      <c r="O14" s="22">
        <f t="shared" si="5"/>
        <v>7061.9264077558691</v>
      </c>
    </row>
    <row r="15" spans="1:16" ht="17" thickBot="1" x14ac:dyDescent="0.25">
      <c r="E15" s="33">
        <v>12</v>
      </c>
      <c r="F15" s="28">
        <f t="shared" si="6"/>
        <v>2757.4979074116181</v>
      </c>
      <c r="G15" s="189">
        <f t="shared" si="3"/>
        <v>0.13269501692446953</v>
      </c>
      <c r="H15" s="32">
        <f t="shared" si="7"/>
        <v>995.21262693352151</v>
      </c>
      <c r="I15" s="31">
        <f t="shared" si="4"/>
        <v>9900</v>
      </c>
      <c r="J15" s="189">
        <f t="shared" si="0"/>
        <v>4.595747461329573</v>
      </c>
      <c r="K15" s="32">
        <f t="shared" si="8"/>
        <v>4136.1727151966161</v>
      </c>
      <c r="L15" s="31">
        <f t="shared" si="1"/>
        <v>4900</v>
      </c>
      <c r="M15" s="189">
        <f t="shared" si="2"/>
        <v>4.595747461329573</v>
      </c>
      <c r="N15" s="32">
        <f t="shared" si="9"/>
        <v>2338.2989845318293</v>
      </c>
      <c r="O15" s="30">
        <f t="shared" si="5"/>
        <v>7469.6843266619671</v>
      </c>
    </row>
    <row r="16" spans="1:16" ht="18" thickTop="1" thickBot="1" x14ac:dyDescent="0.25">
      <c r="E16" s="29">
        <v>13</v>
      </c>
      <c r="F16" s="28">
        <f t="shared" si="6"/>
        <v>2536.8980748186887</v>
      </c>
      <c r="G16" s="187">
        <f t="shared" si="3"/>
        <v>0.12652180519655568</v>
      </c>
      <c r="H16" s="26">
        <f t="shared" si="7"/>
        <v>948.91353897416752</v>
      </c>
      <c r="I16" s="25">
        <f t="shared" si="4"/>
        <v>10800</v>
      </c>
      <c r="J16" s="187">
        <f t="shared" si="0"/>
        <v>4.9402066555597015</v>
      </c>
      <c r="K16" s="26">
        <f t="shared" si="8"/>
        <v>4446.1859900037316</v>
      </c>
      <c r="L16" s="25">
        <f t="shared" si="1"/>
        <v>5300</v>
      </c>
      <c r="M16" s="187">
        <f t="shared" si="2"/>
        <v>4.9402066555597015</v>
      </c>
      <c r="N16" s="26">
        <f t="shared" si="9"/>
        <v>2476.0826622238806</v>
      </c>
      <c r="O16" s="22">
        <f t="shared" si="5"/>
        <v>7871.1821912017804</v>
      </c>
    </row>
    <row r="17" spans="5:15" ht="17" thickBot="1" x14ac:dyDescent="0.25">
      <c r="E17" s="33">
        <v>14</v>
      </c>
      <c r="F17" s="28">
        <f t="shared" si="6"/>
        <v>2333.9462288331938</v>
      </c>
      <c r="G17" s="189">
        <f t="shared" si="3"/>
        <v>0.12129685282784076</v>
      </c>
      <c r="H17" s="32">
        <f t="shared" si="7"/>
        <v>909.72639620880568</v>
      </c>
      <c r="I17" s="31">
        <f t="shared" si="4"/>
        <v>11700</v>
      </c>
      <c r="J17" s="189">
        <f t="shared" si="0"/>
        <v>5.2730507551278656</v>
      </c>
      <c r="K17" s="32">
        <f t="shared" si="8"/>
        <v>4745.7456796150791</v>
      </c>
      <c r="L17" s="31">
        <f t="shared" si="1"/>
        <v>5700</v>
      </c>
      <c r="M17" s="189">
        <f t="shared" si="2"/>
        <v>5.2730507551278656</v>
      </c>
      <c r="N17" s="32">
        <f t="shared" si="9"/>
        <v>2609.2203020511461</v>
      </c>
      <c r="O17" s="30">
        <f t="shared" si="5"/>
        <v>8264.6923778750315</v>
      </c>
    </row>
    <row r="18" spans="5:15" ht="18" thickTop="1" thickBot="1" x14ac:dyDescent="0.25">
      <c r="E18" s="29">
        <v>15</v>
      </c>
      <c r="F18" s="28">
        <f t="shared" si="6"/>
        <v>2147.2305305265386</v>
      </c>
      <c r="G18" s="187">
        <f t="shared" si="3"/>
        <v>0.11682954493601999</v>
      </c>
      <c r="H18" s="26">
        <f t="shared" si="7"/>
        <v>876.22158702014997</v>
      </c>
      <c r="I18" s="25">
        <f t="shared" si="4"/>
        <v>12600</v>
      </c>
      <c r="J18" s="187">
        <f t="shared" si="0"/>
        <v>5.5944603244962501</v>
      </c>
      <c r="K18" s="26">
        <f t="shared" si="8"/>
        <v>5035.0142920466251</v>
      </c>
      <c r="L18" s="25">
        <f t="shared" si="1"/>
        <v>6100</v>
      </c>
      <c r="M18" s="187">
        <f t="shared" si="2"/>
        <v>5.5944603244962501</v>
      </c>
      <c r="N18" s="26">
        <f t="shared" si="9"/>
        <v>2737.7841297985001</v>
      </c>
      <c r="O18" s="22">
        <f t="shared" si="5"/>
        <v>8649.0200088652746</v>
      </c>
    </row>
    <row r="20" spans="5:15" x14ac:dyDescent="0.2">
      <c r="E20" t="s">
        <v>297</v>
      </c>
    </row>
    <row r="22" spans="5:15" ht="16" x14ac:dyDescent="0.2">
      <c r="E22" s="136" t="s">
        <v>298</v>
      </c>
    </row>
    <row r="23" spans="5:15" ht="16" x14ac:dyDescent="0.2">
      <c r="E23" s="136" t="s">
        <v>181</v>
      </c>
    </row>
    <row r="25" spans="5:15" ht="16" x14ac:dyDescent="0.2">
      <c r="E25" s="136" t="s">
        <v>179</v>
      </c>
    </row>
    <row r="26" spans="5:15" ht="16" x14ac:dyDescent="0.2">
      <c r="E26" s="136" t="s">
        <v>180</v>
      </c>
    </row>
    <row r="27" spans="5:15" ht="16" x14ac:dyDescent="0.2">
      <c r="E27" s="136"/>
    </row>
  </sheetData>
  <pageMargins left="0.7" right="0.7" top="0.75" bottom="0.75" header="0.3" footer="0.3"/>
  <pageSetup orientation="portrait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P11"/>
  <sheetViews>
    <sheetView workbookViewId="0">
      <selection activeCell="E12" sqref="E12"/>
    </sheetView>
  </sheetViews>
  <sheetFormatPr baseColWidth="10" defaultColWidth="8.83203125" defaultRowHeight="15" x14ac:dyDescent="0.2"/>
  <cols>
    <col min="2" max="2" width="5.33203125" customWidth="1"/>
    <col min="3" max="3" width="5.83203125" customWidth="1"/>
    <col min="4" max="4" width="3" customWidth="1"/>
    <col min="7" max="7" width="3.83203125" customWidth="1"/>
    <col min="8" max="8" width="17.33203125" customWidth="1"/>
    <col min="9" max="9" width="12.5" customWidth="1"/>
    <col min="10" max="10" width="19.33203125" customWidth="1"/>
    <col min="11" max="11" width="4.5" customWidth="1"/>
    <col min="12" max="12" width="12.6640625" customWidth="1"/>
    <col min="13" max="13" width="11.5" customWidth="1"/>
    <col min="14" max="14" width="11.33203125" customWidth="1"/>
  </cols>
  <sheetData>
    <row r="1" spans="1:16" x14ac:dyDescent="0.2">
      <c r="A1" s="6" t="s">
        <v>64</v>
      </c>
      <c r="B1" t="s">
        <v>615</v>
      </c>
    </row>
    <row r="2" spans="1:16" ht="52.5" customHeight="1" thickBot="1" x14ac:dyDescent="0.25">
      <c r="E2" s="42" t="s">
        <v>4</v>
      </c>
      <c r="F2" s="40" t="s">
        <v>62</v>
      </c>
      <c r="H2" s="40" t="s">
        <v>65</v>
      </c>
      <c r="I2" s="40" t="s">
        <v>66</v>
      </c>
      <c r="J2" s="40" t="s">
        <v>68</v>
      </c>
      <c r="L2" s="40" t="s">
        <v>67</v>
      </c>
      <c r="M2" s="137" t="s">
        <v>301</v>
      </c>
      <c r="N2" s="137" t="s">
        <v>302</v>
      </c>
      <c r="O2" s="137" t="s">
        <v>182</v>
      </c>
    </row>
    <row r="3" spans="1:16" ht="18" thickTop="1" thickBot="1" x14ac:dyDescent="0.25">
      <c r="B3" t="s">
        <v>54</v>
      </c>
      <c r="C3" s="146">
        <v>0.15</v>
      </c>
      <c r="E3" s="35"/>
      <c r="F3" s="39"/>
      <c r="H3" s="39"/>
      <c r="I3" s="39"/>
      <c r="J3" s="39"/>
      <c r="L3" s="39"/>
    </row>
    <row r="4" spans="1:16" ht="17" thickBot="1" x14ac:dyDescent="0.25">
      <c r="E4" s="29">
        <v>1</v>
      </c>
      <c r="F4" s="191">
        <v>15000</v>
      </c>
      <c r="H4" s="185">
        <f>-(F5-F4)</f>
        <v>1000</v>
      </c>
      <c r="I4" s="138">
        <v>10000</v>
      </c>
      <c r="J4" s="43">
        <f>F4*C$3</f>
        <v>2250</v>
      </c>
      <c r="L4" s="23">
        <f>H4+J4+I4</f>
        <v>13250</v>
      </c>
      <c r="M4" s="5">
        <f>-(I4+H4)</f>
        <v>-11000</v>
      </c>
      <c r="N4" s="5">
        <f>J4</f>
        <v>2250</v>
      </c>
      <c r="O4" s="5">
        <f>N4-M4</f>
        <v>13250</v>
      </c>
      <c r="P4" t="s">
        <v>183</v>
      </c>
    </row>
    <row r="5" spans="1:16" ht="17" thickBot="1" x14ac:dyDescent="0.25">
      <c r="E5" s="35">
        <v>2</v>
      </c>
      <c r="F5" s="37">
        <f t="shared" ref="F5:F8" si="0">F4-1000</f>
        <v>14000</v>
      </c>
      <c r="H5" s="185">
        <f>-(F6-F5)</f>
        <v>1000</v>
      </c>
      <c r="I5" s="23">
        <f>I4+1500</f>
        <v>11500</v>
      </c>
      <c r="J5" s="43">
        <f>F5*C$3</f>
        <v>2100</v>
      </c>
      <c r="L5" s="23">
        <f>H5+J5+I5</f>
        <v>14600</v>
      </c>
      <c r="M5" s="5">
        <f>-(I5+H5)</f>
        <v>-12500</v>
      </c>
      <c r="N5" s="5">
        <f>J5</f>
        <v>2100</v>
      </c>
      <c r="O5" s="5">
        <f>N5-M5</f>
        <v>14600</v>
      </c>
      <c r="P5" t="s">
        <v>69</v>
      </c>
    </row>
    <row r="6" spans="1:16" ht="17" thickBot="1" x14ac:dyDescent="0.25">
      <c r="E6" s="29">
        <v>3</v>
      </c>
      <c r="F6" s="37">
        <f t="shared" si="0"/>
        <v>13000</v>
      </c>
      <c r="H6" s="185">
        <f t="shared" ref="H6:H7" si="1">-(F7-F6)</f>
        <v>1000</v>
      </c>
      <c r="I6" s="23">
        <f t="shared" ref="I6:I8" si="2">I5+1500</f>
        <v>13000</v>
      </c>
      <c r="J6" s="43">
        <f>F6*C$3</f>
        <v>1950</v>
      </c>
      <c r="L6" s="23">
        <f>H6+J6+I6</f>
        <v>15950</v>
      </c>
      <c r="M6" s="5">
        <f>-(I6+H6)</f>
        <v>-14000</v>
      </c>
      <c r="N6" s="5">
        <f>J6</f>
        <v>1950</v>
      </c>
      <c r="O6" s="5">
        <f>N6-M6</f>
        <v>15950</v>
      </c>
      <c r="P6" t="s">
        <v>70</v>
      </c>
    </row>
    <row r="7" spans="1:16" ht="17" thickBot="1" x14ac:dyDescent="0.25">
      <c r="E7" s="35">
        <v>4</v>
      </c>
      <c r="F7" s="37">
        <f t="shared" si="0"/>
        <v>12000</v>
      </c>
      <c r="H7" s="185">
        <f t="shared" si="1"/>
        <v>1000</v>
      </c>
      <c r="I7" s="23">
        <f t="shared" si="2"/>
        <v>14500</v>
      </c>
      <c r="J7" s="43">
        <f t="shared" ref="J7" si="3">F7*C$3</f>
        <v>1800</v>
      </c>
      <c r="L7" s="23">
        <f>H7+J7+I7</f>
        <v>17300</v>
      </c>
      <c r="M7" s="5">
        <f>-(I7+H7)</f>
        <v>-15500</v>
      </c>
      <c r="N7" s="5">
        <f>J7</f>
        <v>1800</v>
      </c>
      <c r="O7" s="5">
        <f>N7-M7</f>
        <v>17300</v>
      </c>
    </row>
    <row r="8" spans="1:16" ht="17" thickBot="1" x14ac:dyDescent="0.25">
      <c r="E8" s="29">
        <v>5</v>
      </c>
      <c r="F8" s="37">
        <f t="shared" si="0"/>
        <v>11000</v>
      </c>
      <c r="H8" s="185">
        <f>-(F9-F8)</f>
        <v>1000</v>
      </c>
      <c r="I8" s="23">
        <f t="shared" si="2"/>
        <v>16000</v>
      </c>
      <c r="J8" s="43">
        <f>F8*C$3</f>
        <v>1650</v>
      </c>
      <c r="L8" s="23">
        <f>H8+J8+I8</f>
        <v>18650</v>
      </c>
      <c r="M8" s="5">
        <f>-(I8+H8)</f>
        <v>-17000</v>
      </c>
      <c r="N8" s="5">
        <f>J8</f>
        <v>1650</v>
      </c>
      <c r="O8" s="5">
        <f>N8-M8</f>
        <v>18650</v>
      </c>
    </row>
    <row r="9" spans="1:16" x14ac:dyDescent="0.2">
      <c r="F9">
        <v>10000</v>
      </c>
    </row>
    <row r="11" spans="1:16" x14ac:dyDescent="0.2">
      <c r="E11" t="s">
        <v>303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V19"/>
  <sheetViews>
    <sheetView workbookViewId="0">
      <selection activeCell="B2" sqref="B2"/>
    </sheetView>
  </sheetViews>
  <sheetFormatPr baseColWidth="10" defaultColWidth="8.83203125" defaultRowHeight="15" outlineLevelCol="1" x14ac:dyDescent="0.2"/>
  <cols>
    <col min="2" max="2" width="6.6640625" customWidth="1"/>
    <col min="3" max="3" width="5.83203125" customWidth="1"/>
    <col min="4" max="4" width="3" customWidth="1"/>
    <col min="6" max="6" width="9.1640625" customWidth="1" outlineLevel="1"/>
    <col min="7" max="7" width="3.83203125" customWidth="1" outlineLevel="1"/>
    <col min="8" max="8" width="17.33203125" customWidth="1" outlineLevel="1"/>
    <col min="9" max="9" width="19.33203125" customWidth="1" outlineLevel="1"/>
    <col min="10" max="11" width="12.5" customWidth="1" outlineLevel="1"/>
    <col min="12" max="12" width="4.5" customWidth="1" outlineLevel="1"/>
    <col min="13" max="13" width="12.6640625" customWidth="1"/>
    <col min="14" max="14" width="5.5" customWidth="1"/>
    <col min="15" max="15" width="19.5" customWidth="1"/>
    <col min="16" max="16" width="15" customWidth="1"/>
    <col min="17" max="17" width="25.33203125" customWidth="1"/>
    <col min="18" max="18" width="9.5" customWidth="1"/>
    <col min="19" max="19" width="11.5" customWidth="1"/>
    <col min="20" max="20" width="18.33203125" customWidth="1"/>
  </cols>
  <sheetData>
    <row r="1" spans="1:22" x14ac:dyDescent="0.2">
      <c r="A1" s="6" t="s">
        <v>71</v>
      </c>
      <c r="B1" t="s">
        <v>605</v>
      </c>
    </row>
    <row r="2" spans="1:22" ht="33.75" customHeight="1" x14ac:dyDescent="0.2"/>
    <row r="3" spans="1:22" ht="60.75" customHeight="1" thickBot="1" x14ac:dyDescent="0.25">
      <c r="A3" s="324" t="s">
        <v>306</v>
      </c>
      <c r="B3" s="324"/>
      <c r="E3" s="42" t="s">
        <v>4</v>
      </c>
      <c r="F3" s="40" t="s">
        <v>62</v>
      </c>
      <c r="H3" s="40" t="s">
        <v>65</v>
      </c>
      <c r="I3" s="40" t="s">
        <v>68</v>
      </c>
      <c r="J3" s="40" t="s">
        <v>66</v>
      </c>
      <c r="K3" s="41" t="s">
        <v>74</v>
      </c>
      <c r="M3" s="40" t="s">
        <v>67</v>
      </c>
      <c r="O3" s="41" t="s">
        <v>90</v>
      </c>
      <c r="P3" s="41" t="s">
        <v>92</v>
      </c>
      <c r="Q3" s="41" t="s">
        <v>91</v>
      </c>
      <c r="S3" s="41" t="s">
        <v>61</v>
      </c>
      <c r="T3" s="40" t="s">
        <v>94</v>
      </c>
    </row>
    <row r="4" spans="1:22" ht="18" thickTop="1" thickBot="1" x14ac:dyDescent="0.25">
      <c r="B4" t="s">
        <v>304</v>
      </c>
      <c r="C4" s="146">
        <v>0.15</v>
      </c>
      <c r="E4" s="29">
        <v>1</v>
      </c>
      <c r="F4" s="191">
        <v>25000</v>
      </c>
      <c r="H4" s="43">
        <f>-(F5-F4)</f>
        <v>7000</v>
      </c>
      <c r="I4" s="43">
        <f>F4*C$4</f>
        <v>3750</v>
      </c>
      <c r="J4" s="139">
        <v>2000</v>
      </c>
      <c r="K4" s="192">
        <v>5000</v>
      </c>
      <c r="M4" s="43">
        <f>H4+I4+J4+K4</f>
        <v>17750</v>
      </c>
      <c r="O4" s="24">
        <f>1/(1+$C$4)^E4</f>
        <v>0.86956521739130443</v>
      </c>
      <c r="P4" s="1">
        <f>M4*O4</f>
        <v>15434.782608695654</v>
      </c>
      <c r="Q4" s="1">
        <f>M4*O4</f>
        <v>15434.782608695654</v>
      </c>
      <c r="S4" s="16">
        <f>(C$4*(1+C$4)^E4)/((1+C$4)^E4-1)</f>
        <v>1.1500000000000006</v>
      </c>
      <c r="T4" s="56">
        <f>Q4*S4</f>
        <v>17750.000000000011</v>
      </c>
    </row>
    <row r="5" spans="1:22" ht="17" thickBot="1" x14ac:dyDescent="0.25">
      <c r="E5" s="35">
        <v>2</v>
      </c>
      <c r="F5" s="191">
        <v>18000</v>
      </c>
      <c r="H5" s="43">
        <f>-(F6-F5)</f>
        <v>5000</v>
      </c>
      <c r="I5" s="43">
        <f>F5*C$4</f>
        <v>2700</v>
      </c>
      <c r="J5" s="139">
        <v>2500</v>
      </c>
      <c r="K5" s="192">
        <v>5000</v>
      </c>
      <c r="M5" s="193">
        <f>H5+I5+J5+K5</f>
        <v>15200</v>
      </c>
      <c r="O5" s="24">
        <f>1/(1+$C$4)^E5</f>
        <v>0.7561436672967865</v>
      </c>
      <c r="P5" s="1">
        <f>M5*O5</f>
        <v>11493.383742911155</v>
      </c>
      <c r="Q5" s="8">
        <f>Q4+P5</f>
        <v>26928.166351606807</v>
      </c>
      <c r="S5" s="16">
        <f t="shared" ref="S5:S10" si="0">(C$4*(1+C$4)^E5)/((1+C$4)^E5-1)</f>
        <v>0.61511627906976774</v>
      </c>
      <c r="T5" s="23">
        <f>Q5*S5</f>
        <v>16563.953488372103</v>
      </c>
      <c r="V5" t="s">
        <v>305</v>
      </c>
    </row>
    <row r="6" spans="1:22" ht="17" thickBot="1" x14ac:dyDescent="0.25">
      <c r="E6" s="29">
        <v>3</v>
      </c>
      <c r="F6" s="191">
        <v>13000</v>
      </c>
      <c r="H6" s="43">
        <f t="shared" ref="H6:H10" si="1">-(F7-F6)</f>
        <v>4000</v>
      </c>
      <c r="I6" s="43">
        <f t="shared" ref="I6:I8" si="2">F6*C$4</f>
        <v>1950</v>
      </c>
      <c r="J6" s="139">
        <v>3000</v>
      </c>
      <c r="K6" s="192">
        <v>5000</v>
      </c>
      <c r="M6" s="148">
        <f t="shared" ref="M6:M10" si="3">H6+I6+J6+K6</f>
        <v>13950</v>
      </c>
      <c r="O6" s="24">
        <f t="shared" ref="O6:O10" si="4">1/(1+$C$4)^E6</f>
        <v>0.65751623243198831</v>
      </c>
      <c r="P6" s="1">
        <f t="shared" ref="P6:P8" si="5">M6*O6</f>
        <v>9172.3514424262376</v>
      </c>
      <c r="Q6" s="8">
        <f>Q5+P6</f>
        <v>36100.517794033047</v>
      </c>
      <c r="S6" s="16">
        <f t="shared" si="0"/>
        <v>0.43797696184305279</v>
      </c>
      <c r="T6" s="26">
        <f t="shared" ref="T6:T10" si="6">Q6*S6</f>
        <v>15811.19510439166</v>
      </c>
    </row>
    <row r="7" spans="1:22" ht="17" thickBot="1" x14ac:dyDescent="0.25">
      <c r="E7" s="35">
        <v>4</v>
      </c>
      <c r="F7" s="191">
        <v>9000</v>
      </c>
      <c r="H7" s="43">
        <f t="shared" si="1"/>
        <v>3000</v>
      </c>
      <c r="I7" s="43">
        <f t="shared" si="2"/>
        <v>1350</v>
      </c>
      <c r="J7" s="139">
        <v>3500</v>
      </c>
      <c r="K7" s="192">
        <v>6500</v>
      </c>
      <c r="M7" s="193">
        <f t="shared" si="3"/>
        <v>14350</v>
      </c>
      <c r="O7" s="24">
        <f t="shared" si="4"/>
        <v>0.57175324559303342</v>
      </c>
      <c r="P7" s="1">
        <f t="shared" si="5"/>
        <v>8204.6590742600292</v>
      </c>
      <c r="Q7" s="8">
        <f t="shared" ref="Q7:Q10" si="7">Q6+P7</f>
        <v>44305.176868293078</v>
      </c>
      <c r="S7" s="16">
        <f t="shared" si="0"/>
        <v>0.35026535159085798</v>
      </c>
      <c r="T7" s="23">
        <f>Q7*S7</f>
        <v>15518.568353067823</v>
      </c>
    </row>
    <row r="8" spans="1:22" ht="17" thickBot="1" x14ac:dyDescent="0.25">
      <c r="E8" s="29">
        <v>5</v>
      </c>
      <c r="F8" s="191">
        <v>6000</v>
      </c>
      <c r="H8" s="43">
        <f t="shared" si="1"/>
        <v>2000</v>
      </c>
      <c r="I8" s="43">
        <f t="shared" si="2"/>
        <v>900</v>
      </c>
      <c r="J8" s="139">
        <v>4000</v>
      </c>
      <c r="K8" s="192">
        <v>8000</v>
      </c>
      <c r="M8" s="148">
        <f t="shared" si="3"/>
        <v>14900</v>
      </c>
      <c r="O8" s="24">
        <f t="shared" si="4"/>
        <v>0.49717673529828987</v>
      </c>
      <c r="P8" s="1">
        <f t="shared" si="5"/>
        <v>7407.9333559445195</v>
      </c>
      <c r="Q8" s="8">
        <f t="shared" si="7"/>
        <v>51713.1102242376</v>
      </c>
      <c r="S8" s="16">
        <f t="shared" si="0"/>
        <v>0.29831555246152841</v>
      </c>
      <c r="T8" s="57">
        <f t="shared" si="6"/>
        <v>15426.825046047354</v>
      </c>
      <c r="V8" s="59" t="s">
        <v>93</v>
      </c>
    </row>
    <row r="9" spans="1:22" ht="17" thickBot="1" x14ac:dyDescent="0.25">
      <c r="E9" s="35">
        <v>6</v>
      </c>
      <c r="F9" s="191">
        <v>4000</v>
      </c>
      <c r="H9" s="43">
        <f t="shared" si="1"/>
        <v>1000</v>
      </c>
      <c r="I9" s="43">
        <f>F9*C$4</f>
        <v>600</v>
      </c>
      <c r="J9" s="139">
        <v>4500</v>
      </c>
      <c r="K9" s="192">
        <v>9500</v>
      </c>
      <c r="M9" s="193">
        <f t="shared" si="3"/>
        <v>15600</v>
      </c>
      <c r="O9" s="24">
        <f t="shared" si="4"/>
        <v>0.43232759591155645</v>
      </c>
      <c r="P9" s="1">
        <f>M9*O9</f>
        <v>6744.3104962202806</v>
      </c>
      <c r="Q9" s="8">
        <f t="shared" si="7"/>
        <v>58457.420720457878</v>
      </c>
      <c r="S9" s="16">
        <f t="shared" si="0"/>
        <v>0.26423690656738347</v>
      </c>
      <c r="T9" s="32">
        <f>Q9*S9</f>
        <v>15446.608017081855</v>
      </c>
    </row>
    <row r="10" spans="1:22" ht="17" thickBot="1" x14ac:dyDescent="0.25">
      <c r="E10" s="138">
        <v>7</v>
      </c>
      <c r="F10" s="191">
        <v>3000</v>
      </c>
      <c r="H10" s="43">
        <f t="shared" si="1"/>
        <v>500</v>
      </c>
      <c r="I10" s="43">
        <f>F10*C$4</f>
        <v>450</v>
      </c>
      <c r="J10" s="139">
        <v>5000</v>
      </c>
      <c r="K10" s="192">
        <v>11000</v>
      </c>
      <c r="M10" s="148">
        <f t="shared" si="3"/>
        <v>16950</v>
      </c>
      <c r="O10" s="24">
        <f t="shared" si="4"/>
        <v>0.37593703992309269</v>
      </c>
      <c r="P10" s="1">
        <f>M10*O10</f>
        <v>6372.132826696421</v>
      </c>
      <c r="Q10" s="8">
        <f t="shared" si="7"/>
        <v>64829.553547154297</v>
      </c>
      <c r="S10" s="16">
        <f t="shared" si="0"/>
        <v>0.24036036361061153</v>
      </c>
      <c r="T10" s="26">
        <f t="shared" si="6"/>
        <v>15582.455063307618</v>
      </c>
    </row>
    <row r="11" spans="1:22" x14ac:dyDescent="0.2">
      <c r="F11" s="147">
        <v>2500</v>
      </c>
    </row>
    <row r="13" spans="1:22" ht="52.5" customHeight="1" thickBot="1" x14ac:dyDescent="0.25">
      <c r="A13" s="324" t="s">
        <v>307</v>
      </c>
      <c r="B13" s="324"/>
      <c r="E13" s="42" t="s">
        <v>4</v>
      </c>
      <c r="F13" s="40" t="s">
        <v>62</v>
      </c>
      <c r="H13" s="40" t="s">
        <v>65</v>
      </c>
      <c r="I13" s="40" t="s">
        <v>68</v>
      </c>
      <c r="J13" s="40" t="s">
        <v>66</v>
      </c>
      <c r="M13" s="40" t="s">
        <v>67</v>
      </c>
      <c r="T13" s="40" t="s">
        <v>95</v>
      </c>
    </row>
    <row r="14" spans="1:22" ht="18" thickTop="1" thickBot="1" x14ac:dyDescent="0.25">
      <c r="B14" t="s">
        <v>304</v>
      </c>
      <c r="C14" s="146">
        <v>0.15</v>
      </c>
      <c r="E14" s="29">
        <v>1</v>
      </c>
      <c r="F14" s="191">
        <v>15000</v>
      </c>
      <c r="H14" s="43">
        <f>-(F15-F14)</f>
        <v>1000</v>
      </c>
      <c r="I14" s="43">
        <f>F14*C$14</f>
        <v>2250</v>
      </c>
      <c r="J14" s="194">
        <v>10000</v>
      </c>
      <c r="M14" s="43">
        <f>H14+I14+J14</f>
        <v>13250</v>
      </c>
      <c r="T14" s="61">
        <f>T8</f>
        <v>15426.825046047354</v>
      </c>
      <c r="V14" t="s">
        <v>308</v>
      </c>
    </row>
    <row r="15" spans="1:22" ht="17" thickBot="1" x14ac:dyDescent="0.25">
      <c r="E15" s="35">
        <v>2</v>
      </c>
      <c r="F15" s="191">
        <f t="shared" ref="F15:F18" si="8">F14-1000</f>
        <v>14000</v>
      </c>
      <c r="H15" s="43">
        <f t="shared" ref="H15:H17" si="9">-(F16-F15)</f>
        <v>1000</v>
      </c>
      <c r="I15" s="43">
        <f>F15*C$14</f>
        <v>2100</v>
      </c>
      <c r="J15" s="194">
        <f>J14+1500</f>
        <v>11500</v>
      </c>
      <c r="M15" s="193">
        <f t="shared" ref="M15:M18" si="10">H15+I15+J15</f>
        <v>14600</v>
      </c>
      <c r="T15" s="61">
        <f>T14</f>
        <v>15426.825046047354</v>
      </c>
      <c r="V15" t="s">
        <v>308</v>
      </c>
    </row>
    <row r="16" spans="1:22" ht="17" thickBot="1" x14ac:dyDescent="0.25">
      <c r="E16" s="29">
        <v>3</v>
      </c>
      <c r="F16" s="191">
        <f t="shared" si="8"/>
        <v>13000</v>
      </c>
      <c r="H16" s="43">
        <f t="shared" si="9"/>
        <v>1000</v>
      </c>
      <c r="I16" s="43">
        <f>F16*C$14</f>
        <v>1950</v>
      </c>
      <c r="J16" s="194">
        <f t="shared" ref="J16:J18" si="11">J15+1500</f>
        <v>13000</v>
      </c>
      <c r="M16" s="148">
        <f t="shared" si="10"/>
        <v>15950</v>
      </c>
      <c r="T16" s="61">
        <f>T15</f>
        <v>15426.825046047354</v>
      </c>
      <c r="V16" t="s">
        <v>309</v>
      </c>
    </row>
    <row r="17" spans="5:13" ht="17" thickBot="1" x14ac:dyDescent="0.25">
      <c r="E17" s="35">
        <v>4</v>
      </c>
      <c r="F17" s="191">
        <f t="shared" si="8"/>
        <v>12000</v>
      </c>
      <c r="H17" s="43">
        <f t="shared" si="9"/>
        <v>1000</v>
      </c>
      <c r="I17" s="43">
        <f>F17*C$14</f>
        <v>1800</v>
      </c>
      <c r="J17" s="194">
        <f t="shared" si="11"/>
        <v>14500</v>
      </c>
      <c r="M17" s="193">
        <f t="shared" si="10"/>
        <v>17300</v>
      </c>
    </row>
    <row r="18" spans="5:13" ht="17" thickBot="1" x14ac:dyDescent="0.25">
      <c r="E18" s="138">
        <v>5</v>
      </c>
      <c r="F18" s="191">
        <f t="shared" si="8"/>
        <v>11000</v>
      </c>
      <c r="H18" s="43">
        <f>-(F19-F18)</f>
        <v>1000</v>
      </c>
      <c r="I18" s="43">
        <f>F18*C$14</f>
        <v>1650</v>
      </c>
      <c r="J18" s="194">
        <f t="shared" si="11"/>
        <v>16000</v>
      </c>
      <c r="M18" s="148">
        <f t="shared" si="10"/>
        <v>18650</v>
      </c>
    </row>
    <row r="19" spans="5:13" x14ac:dyDescent="0.2">
      <c r="F19">
        <v>10000</v>
      </c>
    </row>
  </sheetData>
  <mergeCells count="2">
    <mergeCell ref="A3:B3"/>
    <mergeCell ref="A13:B13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1"/>
  <sheetViews>
    <sheetView topLeftCell="A13" zoomScale="115" zoomScaleNormal="115" workbookViewId="0">
      <selection activeCell="D16" sqref="D16:D22"/>
    </sheetView>
  </sheetViews>
  <sheetFormatPr baseColWidth="10" defaultColWidth="8.83203125" defaultRowHeight="15" x14ac:dyDescent="0.2"/>
  <cols>
    <col min="2" max="2" width="23.1640625" customWidth="1"/>
    <col min="3" max="3" width="8.83203125" customWidth="1"/>
    <col min="4" max="4" width="10" customWidth="1"/>
    <col min="5" max="5" width="11.5" customWidth="1"/>
    <col min="6" max="6" width="9.5" customWidth="1"/>
    <col min="7" max="8" width="8.1640625" customWidth="1"/>
    <col min="16" max="16" width="3.5" customWidth="1"/>
  </cols>
  <sheetData>
    <row r="1" spans="1:13" x14ac:dyDescent="0.2">
      <c r="A1" s="6" t="s">
        <v>389</v>
      </c>
      <c r="F1" s="6"/>
      <c r="G1" s="6"/>
      <c r="H1" s="6"/>
    </row>
    <row r="2" spans="1:13" x14ac:dyDescent="0.2">
      <c r="F2" s="6"/>
      <c r="G2" s="211"/>
      <c r="H2" s="211"/>
    </row>
    <row r="3" spans="1:13" x14ac:dyDescent="0.2">
      <c r="B3" t="s">
        <v>380</v>
      </c>
      <c r="F3" s="6"/>
      <c r="G3" s="3"/>
      <c r="H3" s="3"/>
    </row>
    <row r="4" spans="1:13" x14ac:dyDescent="0.2">
      <c r="B4" t="s">
        <v>388</v>
      </c>
      <c r="D4" s="146">
        <v>0.03</v>
      </c>
      <c r="F4" s="6"/>
      <c r="G4" s="3"/>
      <c r="H4" s="3"/>
    </row>
    <row r="5" spans="1:13" x14ac:dyDescent="0.2">
      <c r="B5" t="s">
        <v>387</v>
      </c>
      <c r="D5" s="146">
        <v>0.04</v>
      </c>
      <c r="F5" s="6"/>
      <c r="G5" s="3"/>
      <c r="H5" s="3"/>
      <c r="M5">
        <f>50000*(1+M6)</f>
        <v>51886.792452830188</v>
      </c>
    </row>
    <row r="6" spans="1:13" x14ac:dyDescent="0.2">
      <c r="D6" s="3"/>
      <c r="E6" s="3"/>
      <c r="F6" s="6"/>
      <c r="M6">
        <f>(0.1-0.06)/(1.06)</f>
        <v>3.7735849056603779E-2</v>
      </c>
    </row>
    <row r="7" spans="1:13" x14ac:dyDescent="0.2">
      <c r="B7" t="s">
        <v>386</v>
      </c>
      <c r="D7" s="3"/>
      <c r="E7" s="3"/>
      <c r="F7" s="6"/>
    </row>
    <row r="8" spans="1:13" x14ac:dyDescent="0.2">
      <c r="B8" t="s">
        <v>385</v>
      </c>
      <c r="D8" s="213">
        <v>0.08</v>
      </c>
      <c r="E8" s="3"/>
      <c r="F8" s="6"/>
    </row>
    <row r="9" spans="1:13" x14ac:dyDescent="0.2">
      <c r="B9" t="s">
        <v>384</v>
      </c>
      <c r="D9" s="93">
        <v>-0.02</v>
      </c>
    </row>
    <row r="10" spans="1:13" x14ac:dyDescent="0.2">
      <c r="D10" s="4"/>
    </row>
    <row r="11" spans="1:13" x14ac:dyDescent="0.2">
      <c r="B11" t="s">
        <v>304</v>
      </c>
      <c r="D11" s="146">
        <v>0.2</v>
      </c>
    </row>
    <row r="13" spans="1:13" x14ac:dyDescent="0.2">
      <c r="B13" t="s">
        <v>383</v>
      </c>
      <c r="D13" s="1">
        <f>0.35*50*6*52</f>
        <v>5460</v>
      </c>
    </row>
    <row r="14" spans="1:13" x14ac:dyDescent="0.2">
      <c r="B14" t="s">
        <v>382</v>
      </c>
      <c r="D14" s="1">
        <f>0.8*50*6*52</f>
        <v>12480</v>
      </c>
    </row>
    <row r="16" spans="1:13" x14ac:dyDescent="0.2">
      <c r="B16" t="s">
        <v>381</v>
      </c>
      <c r="C16" t="s">
        <v>380</v>
      </c>
      <c r="D16" t="s">
        <v>379</v>
      </c>
      <c r="E16" t="s">
        <v>377</v>
      </c>
      <c r="F16" t="s">
        <v>378</v>
      </c>
    </row>
    <row r="17" spans="2:6" x14ac:dyDescent="0.2">
      <c r="B17">
        <v>0</v>
      </c>
      <c r="C17" s="8">
        <f>D13</f>
        <v>5460</v>
      </c>
      <c r="D17" s="8">
        <f>D14</f>
        <v>12480</v>
      </c>
      <c r="E17" s="8">
        <f t="shared" ref="E17:E22" si="0">C17+D17</f>
        <v>17940</v>
      </c>
      <c r="F17" s="1"/>
    </row>
    <row r="18" spans="2:6" x14ac:dyDescent="0.2">
      <c r="B18">
        <v>1</v>
      </c>
      <c r="C18" s="1">
        <f>C17*(1+D$4)</f>
        <v>5623.8</v>
      </c>
      <c r="D18" s="1">
        <f>D17*(1+D$8)</f>
        <v>13478.400000000001</v>
      </c>
      <c r="E18" s="8">
        <f t="shared" si="0"/>
        <v>19102.2</v>
      </c>
      <c r="F18" s="1">
        <f>E18/(1+D$11)^B18</f>
        <v>15918.500000000002</v>
      </c>
    </row>
    <row r="19" spans="2:6" x14ac:dyDescent="0.2">
      <c r="B19">
        <v>2</v>
      </c>
      <c r="C19" s="1">
        <f>C18*(1+D$4)</f>
        <v>5792.5140000000001</v>
      </c>
      <c r="D19" s="1">
        <f>D18*(1+D$8)</f>
        <v>14556.672000000002</v>
      </c>
      <c r="E19" s="8">
        <f t="shared" si="0"/>
        <v>20349.186000000002</v>
      </c>
      <c r="F19" s="1">
        <f>E19/(1+D$11)^B19</f>
        <v>14131.379166666668</v>
      </c>
    </row>
    <row r="20" spans="2:6" x14ac:dyDescent="0.2">
      <c r="B20">
        <v>3</v>
      </c>
      <c r="C20" s="1">
        <f>C19*(1+D$4)</f>
        <v>5966.2894200000001</v>
      </c>
      <c r="D20" s="1">
        <f>D19*(1+D$9)</f>
        <v>14265.538560000003</v>
      </c>
      <c r="E20" s="8">
        <f t="shared" si="0"/>
        <v>20231.827980000002</v>
      </c>
      <c r="F20" s="1">
        <f>E20/(1+D$11)^B20</f>
        <v>11708.233784722224</v>
      </c>
    </row>
    <row r="21" spans="2:6" x14ac:dyDescent="0.2">
      <c r="B21">
        <v>4</v>
      </c>
      <c r="C21" s="1">
        <f>C20*(1+D$5)</f>
        <v>6204.9409968</v>
      </c>
      <c r="D21" s="1">
        <f>D20*(1+D$9)</f>
        <v>13980.227788800003</v>
      </c>
      <c r="E21" s="8">
        <f t="shared" si="0"/>
        <v>20185.168785600003</v>
      </c>
      <c r="F21" s="100">
        <f>E21/(1+D$11)^B21</f>
        <v>9734.3599467592612</v>
      </c>
    </row>
    <row r="22" spans="2:6" x14ac:dyDescent="0.2">
      <c r="B22" s="13">
        <v>5</v>
      </c>
      <c r="C22" s="15">
        <f>C21*(1+D$5)</f>
        <v>6453.1386366719998</v>
      </c>
      <c r="D22" s="15">
        <f>D21*(1+D$9)</f>
        <v>13700.623233024002</v>
      </c>
      <c r="E22" s="129">
        <f t="shared" si="0"/>
        <v>20153.761869696002</v>
      </c>
      <c r="F22" s="183">
        <f>E22/(1+D$11)^B22</f>
        <v>8099.3448871913588</v>
      </c>
    </row>
    <row r="23" spans="2:6" x14ac:dyDescent="0.2">
      <c r="B23" t="s">
        <v>377</v>
      </c>
      <c r="F23" s="8">
        <f>SUM(F17:F21)</f>
        <v>51492.47289814816</v>
      </c>
    </row>
    <row r="25" spans="2:6" x14ac:dyDescent="0.2">
      <c r="B25" t="s">
        <v>78</v>
      </c>
      <c r="C25" s="8">
        <f>F23</f>
        <v>51492.47289814816</v>
      </c>
    </row>
    <row r="26" spans="2:6" x14ac:dyDescent="0.2">
      <c r="B26" t="s">
        <v>9</v>
      </c>
      <c r="C26">
        <v>4</v>
      </c>
    </row>
    <row r="27" spans="2:6" x14ac:dyDescent="0.2">
      <c r="B27" t="s">
        <v>54</v>
      </c>
      <c r="C27" s="2">
        <f>D11</f>
        <v>0.2</v>
      </c>
    </row>
    <row r="29" spans="2:6" x14ac:dyDescent="0.2">
      <c r="B29" t="s">
        <v>41</v>
      </c>
      <c r="C29" s="212">
        <f>C25*(C27*(1+C27)^C26)/((1+C27)^C26-1)</f>
        <v>19890.982079284655</v>
      </c>
    </row>
    <row r="31" spans="2:6" x14ac:dyDescent="0.2">
      <c r="B31" t="s">
        <v>376</v>
      </c>
    </row>
  </sheetData>
  <pageMargins left="0.7" right="0.7" top="0.75" bottom="0.75" header="0.3" footer="0.3"/>
  <pageSetup orientation="portrait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X20"/>
  <sheetViews>
    <sheetView zoomScale="85" zoomScaleNormal="85" workbookViewId="0">
      <selection activeCell="B2" sqref="B2"/>
    </sheetView>
  </sheetViews>
  <sheetFormatPr baseColWidth="10" defaultColWidth="8.83203125" defaultRowHeight="15" outlineLevelCol="1" x14ac:dyDescent="0.2"/>
  <cols>
    <col min="2" max="2" width="5.33203125" customWidth="1"/>
    <col min="3" max="3" width="5.83203125" customWidth="1"/>
    <col min="4" max="4" width="3" customWidth="1"/>
    <col min="6" max="6" width="9.1640625" customWidth="1" outlineLevel="1"/>
    <col min="7" max="7" width="3.83203125" customWidth="1" outlineLevel="1"/>
    <col min="8" max="8" width="17.33203125" customWidth="1" outlineLevel="1"/>
    <col min="9" max="9" width="19.33203125" customWidth="1" outlineLevel="1"/>
    <col min="10" max="11" width="12.5" customWidth="1" outlineLevel="1"/>
    <col min="12" max="12" width="4.5" customWidth="1" outlineLevel="1"/>
    <col min="13" max="13" width="12.6640625" customWidth="1"/>
    <col min="14" max="14" width="5.5" customWidth="1"/>
    <col min="15" max="15" width="19.5" customWidth="1"/>
    <col min="16" max="16" width="15" customWidth="1"/>
    <col min="17" max="17" width="25.33203125" customWidth="1"/>
    <col min="18" max="18" width="9.5" customWidth="1"/>
    <col min="19" max="19" width="11.5" customWidth="1"/>
    <col min="20" max="20" width="18.33203125" customWidth="1"/>
    <col min="22" max="22" width="18.5" customWidth="1"/>
  </cols>
  <sheetData>
    <row r="1" spans="1:24" x14ac:dyDescent="0.2">
      <c r="A1" s="6" t="s">
        <v>96</v>
      </c>
      <c r="B1" t="s">
        <v>604</v>
      </c>
      <c r="T1" s="6" t="s">
        <v>311</v>
      </c>
    </row>
    <row r="2" spans="1:24" ht="33.75" customHeight="1" x14ac:dyDescent="0.2"/>
    <row r="3" spans="1:24" ht="52" thickBot="1" x14ac:dyDescent="0.25">
      <c r="A3" s="60" t="s">
        <v>73</v>
      </c>
      <c r="E3" s="42" t="s">
        <v>4</v>
      </c>
      <c r="F3" s="40" t="s">
        <v>62</v>
      </c>
      <c r="H3" s="40" t="s">
        <v>65</v>
      </c>
      <c r="I3" s="40" t="s">
        <v>68</v>
      </c>
      <c r="J3" s="40" t="s">
        <v>66</v>
      </c>
      <c r="K3" s="41" t="s">
        <v>74</v>
      </c>
      <c r="M3" s="40" t="s">
        <v>67</v>
      </c>
      <c r="O3" s="41" t="s">
        <v>90</v>
      </c>
      <c r="P3" s="41" t="s">
        <v>92</v>
      </c>
      <c r="Q3" s="41" t="s">
        <v>91</v>
      </c>
      <c r="S3" s="41" t="s">
        <v>61</v>
      </c>
      <c r="T3" s="40" t="s">
        <v>94</v>
      </c>
    </row>
    <row r="4" spans="1:24" ht="18" thickTop="1" thickBot="1" x14ac:dyDescent="0.25">
      <c r="B4" t="s">
        <v>54</v>
      </c>
      <c r="C4" s="2">
        <v>0.15</v>
      </c>
      <c r="E4" s="29">
        <v>1</v>
      </c>
      <c r="F4" s="37">
        <v>25000</v>
      </c>
      <c r="H4" s="43">
        <f>-(F5-F4)</f>
        <v>7000</v>
      </c>
      <c r="I4" s="43">
        <f>F4*C$14</f>
        <v>3750</v>
      </c>
      <c r="J4" s="29">
        <v>2000</v>
      </c>
      <c r="K4" s="44">
        <v>5000</v>
      </c>
      <c r="M4" s="43">
        <f>H4+I4+J4+K4</f>
        <v>17750</v>
      </c>
      <c r="O4" s="24">
        <f>1/(1+$C$4)^E4</f>
        <v>0.86956521739130443</v>
      </c>
      <c r="P4" s="1">
        <f>M4*O4</f>
        <v>15434.782608695654</v>
      </c>
      <c r="Q4" s="1">
        <f>M4*O4</f>
        <v>15434.782608695654</v>
      </c>
      <c r="S4" s="16">
        <f>(C$4*(1+C$4)^E4)/((1+C$4)^E4-1)</f>
        <v>1.1500000000000006</v>
      </c>
      <c r="T4" s="56">
        <f>Q4*S4</f>
        <v>17750.000000000011</v>
      </c>
    </row>
    <row r="5" spans="1:24" ht="17" thickBot="1" x14ac:dyDescent="0.25">
      <c r="E5" s="35">
        <v>2</v>
      </c>
      <c r="F5" s="37">
        <v>18000</v>
      </c>
      <c r="H5" s="43">
        <f t="shared" ref="H5:H10" si="0">-(F6-F5)</f>
        <v>5000</v>
      </c>
      <c r="I5" s="43">
        <f>F5*C$14</f>
        <v>2700</v>
      </c>
      <c r="J5" s="23">
        <v>2500</v>
      </c>
      <c r="K5" s="45">
        <v>5000</v>
      </c>
      <c r="M5" s="23">
        <f t="shared" ref="M5:M10" si="1">H5+I5+J5+K5</f>
        <v>15200</v>
      </c>
      <c r="O5" s="24">
        <f>1/(1+$C$4)^E5</f>
        <v>0.7561436672967865</v>
      </c>
      <c r="P5" s="1">
        <f>M5*O5</f>
        <v>11493.383742911155</v>
      </c>
      <c r="Q5" s="8">
        <f>Q4+P5</f>
        <v>26928.166351606807</v>
      </c>
      <c r="S5" s="16">
        <f t="shared" ref="S5:S10" si="2">(C$4*(1+C$4)^E5)/((1+C$4)^E5-1)</f>
        <v>0.61511627906976774</v>
      </c>
      <c r="T5" s="23">
        <f t="shared" ref="T5:T10" si="3">Q5*S5</f>
        <v>16563.953488372103</v>
      </c>
    </row>
    <row r="6" spans="1:24" ht="17" thickBot="1" x14ac:dyDescent="0.25">
      <c r="E6" s="29">
        <v>3</v>
      </c>
      <c r="F6" s="37">
        <v>13000</v>
      </c>
      <c r="H6" s="43">
        <f t="shared" si="0"/>
        <v>4000</v>
      </c>
      <c r="I6" s="43">
        <f t="shared" ref="I6:I10" si="4">F6*C$14</f>
        <v>1950</v>
      </c>
      <c r="J6" s="23">
        <v>3000</v>
      </c>
      <c r="K6" s="45">
        <v>5000</v>
      </c>
      <c r="M6" s="29">
        <f t="shared" si="1"/>
        <v>13950</v>
      </c>
      <c r="O6" s="24">
        <f t="shared" ref="O6:O10" si="5">1/(1+$C$4)^E6</f>
        <v>0.65751623243198831</v>
      </c>
      <c r="P6" s="1">
        <f t="shared" ref="P6:P10" si="6">M6*O6</f>
        <v>9172.3514424262376</v>
      </c>
      <c r="Q6" s="8">
        <f t="shared" ref="Q6:Q10" si="7">Q5+P6</f>
        <v>36100.517794033047</v>
      </c>
      <c r="S6" s="16">
        <f t="shared" si="2"/>
        <v>0.43797696184305279</v>
      </c>
      <c r="T6" s="26">
        <f t="shared" si="3"/>
        <v>15811.19510439166</v>
      </c>
    </row>
    <row r="7" spans="1:24" ht="17" thickBot="1" x14ac:dyDescent="0.25">
      <c r="E7" s="35">
        <v>4</v>
      </c>
      <c r="F7" s="37">
        <v>9000</v>
      </c>
      <c r="H7" s="43">
        <f t="shared" si="0"/>
        <v>3000</v>
      </c>
      <c r="I7" s="43">
        <f t="shared" si="4"/>
        <v>1350</v>
      </c>
      <c r="J7" s="23">
        <v>3500</v>
      </c>
      <c r="K7" s="45">
        <v>6500</v>
      </c>
      <c r="M7" s="23">
        <f t="shared" si="1"/>
        <v>14350</v>
      </c>
      <c r="O7" s="24">
        <f t="shared" si="5"/>
        <v>0.57175324559303342</v>
      </c>
      <c r="P7" s="1">
        <f t="shared" si="6"/>
        <v>8204.6590742600292</v>
      </c>
      <c r="Q7" s="8">
        <f t="shared" si="7"/>
        <v>44305.176868293078</v>
      </c>
      <c r="S7" s="16">
        <f t="shared" si="2"/>
        <v>0.35026535159085798</v>
      </c>
      <c r="T7" s="23">
        <f t="shared" si="3"/>
        <v>15518.568353067823</v>
      </c>
    </row>
    <row r="8" spans="1:24" ht="17" thickBot="1" x14ac:dyDescent="0.25">
      <c r="E8" s="29">
        <v>5</v>
      </c>
      <c r="F8" s="37">
        <v>6000</v>
      </c>
      <c r="H8" s="43">
        <f t="shared" si="0"/>
        <v>2000</v>
      </c>
      <c r="I8" s="43">
        <f t="shared" si="4"/>
        <v>900</v>
      </c>
      <c r="J8" s="23">
        <v>4000</v>
      </c>
      <c r="K8" s="45">
        <v>8000</v>
      </c>
      <c r="M8" s="29">
        <f t="shared" si="1"/>
        <v>14900</v>
      </c>
      <c r="O8" s="24">
        <f t="shared" si="5"/>
        <v>0.49717673529828987</v>
      </c>
      <c r="P8" s="1">
        <f t="shared" si="6"/>
        <v>7407.9333559445195</v>
      </c>
      <c r="Q8" s="8">
        <f t="shared" si="7"/>
        <v>51713.1102242376</v>
      </c>
      <c r="S8" s="16">
        <f t="shared" si="2"/>
        <v>0.29831555246152841</v>
      </c>
      <c r="T8" s="57">
        <f t="shared" si="3"/>
        <v>15426.825046047354</v>
      </c>
      <c r="V8" s="64" t="s">
        <v>93</v>
      </c>
    </row>
    <row r="9" spans="1:24" ht="17" thickBot="1" x14ac:dyDescent="0.25">
      <c r="E9" s="35">
        <v>6</v>
      </c>
      <c r="F9" s="37">
        <v>4000</v>
      </c>
      <c r="H9" s="43">
        <f t="shared" si="0"/>
        <v>1000</v>
      </c>
      <c r="I9" s="43">
        <f t="shared" si="4"/>
        <v>600</v>
      </c>
      <c r="J9" s="23">
        <v>4500</v>
      </c>
      <c r="K9" s="45">
        <v>9500</v>
      </c>
      <c r="M9" s="23">
        <f t="shared" si="1"/>
        <v>15600</v>
      </c>
      <c r="O9" s="24">
        <f t="shared" si="5"/>
        <v>0.43232759591155645</v>
      </c>
      <c r="P9" s="1">
        <f t="shared" si="6"/>
        <v>6744.3104962202806</v>
      </c>
      <c r="Q9" s="8">
        <f t="shared" si="7"/>
        <v>58457.420720457878</v>
      </c>
      <c r="S9" s="16">
        <f t="shared" si="2"/>
        <v>0.26423690656738347</v>
      </c>
      <c r="T9" s="32">
        <f t="shared" si="3"/>
        <v>15446.608017081855</v>
      </c>
    </row>
    <row r="10" spans="1:24" ht="17" thickBot="1" x14ac:dyDescent="0.25">
      <c r="E10" s="29">
        <v>7</v>
      </c>
      <c r="F10" s="37">
        <v>3000</v>
      </c>
      <c r="H10" s="43">
        <f t="shared" si="0"/>
        <v>1000</v>
      </c>
      <c r="I10" s="43">
        <f t="shared" si="4"/>
        <v>450</v>
      </c>
      <c r="J10" s="23">
        <v>5000</v>
      </c>
      <c r="K10" s="45">
        <v>11000</v>
      </c>
      <c r="M10" s="29">
        <f t="shared" si="1"/>
        <v>17450</v>
      </c>
      <c r="O10" s="24">
        <f t="shared" si="5"/>
        <v>0.37593703992309269</v>
      </c>
      <c r="P10" s="1">
        <f t="shared" si="6"/>
        <v>6560.101346657967</v>
      </c>
      <c r="Q10" s="8">
        <f t="shared" si="7"/>
        <v>65017.522067115846</v>
      </c>
      <c r="S10" s="16">
        <f t="shared" si="2"/>
        <v>0.24036036361061153</v>
      </c>
      <c r="T10" s="26">
        <f t="shared" si="3"/>
        <v>15627.635245112924</v>
      </c>
    </row>
    <row r="11" spans="1:24" x14ac:dyDescent="0.2">
      <c r="F11">
        <v>2000</v>
      </c>
    </row>
    <row r="12" spans="1:24" x14ac:dyDescent="0.2">
      <c r="T12" s="6" t="s">
        <v>312</v>
      </c>
    </row>
    <row r="13" spans="1:24" ht="52.5" customHeight="1" thickBot="1" x14ac:dyDescent="0.25">
      <c r="A13" s="60" t="s">
        <v>72</v>
      </c>
      <c r="E13" s="42" t="s">
        <v>4</v>
      </c>
      <c r="F13" s="40" t="s">
        <v>62</v>
      </c>
      <c r="M13" s="195" t="s">
        <v>67</v>
      </c>
      <c r="O13" s="41" t="s">
        <v>90</v>
      </c>
      <c r="P13" s="41" t="s">
        <v>92</v>
      </c>
      <c r="Q13" s="41" t="s">
        <v>91</v>
      </c>
      <c r="S13" s="41" t="s">
        <v>61</v>
      </c>
      <c r="T13" s="40" t="s">
        <v>94</v>
      </c>
      <c r="V13" s="40" t="s">
        <v>95</v>
      </c>
    </row>
    <row r="14" spans="1:24" ht="18" thickTop="1" thickBot="1" x14ac:dyDescent="0.25">
      <c r="B14" t="s">
        <v>54</v>
      </c>
      <c r="C14" s="2">
        <v>0.15</v>
      </c>
      <c r="E14" s="29">
        <v>1</v>
      </c>
      <c r="F14" s="37">
        <v>15000</v>
      </c>
      <c r="M14" s="138">
        <v>16000</v>
      </c>
      <c r="O14" s="24">
        <f>1/(1+$C$14)^E14</f>
        <v>0.86956521739130443</v>
      </c>
      <c r="P14" s="1">
        <f>M14*O14</f>
        <v>13913.043478260872</v>
      </c>
      <c r="Q14" s="1">
        <f>M14*O14</f>
        <v>13913.043478260872</v>
      </c>
      <c r="S14" s="16">
        <f>(C$4*(1+C$4)^E14)/((1+C$4)^E14-1)</f>
        <v>1.1500000000000006</v>
      </c>
      <c r="T14" s="56">
        <f>Q14*S14</f>
        <v>16000.000000000011</v>
      </c>
      <c r="V14" s="61">
        <f>T8</f>
        <v>15426.825046047354</v>
      </c>
      <c r="X14" t="s">
        <v>314</v>
      </c>
    </row>
    <row r="15" spans="1:24" ht="17" thickBot="1" x14ac:dyDescent="0.25">
      <c r="E15" s="35">
        <v>2</v>
      </c>
      <c r="F15" s="37">
        <f t="shared" ref="F15:F18" si="8">F14-1000</f>
        <v>14000</v>
      </c>
      <c r="M15" s="139">
        <v>14000</v>
      </c>
      <c r="O15" s="24">
        <f>1/(1+$C$4)^E15</f>
        <v>0.7561436672967865</v>
      </c>
      <c r="P15" s="1">
        <f>M15*O15</f>
        <v>10586.01134215501</v>
      </c>
      <c r="Q15" s="8">
        <f>Q14+P15</f>
        <v>24499.054820415884</v>
      </c>
      <c r="S15" s="16">
        <f t="shared" ref="S15:S18" si="9">(C$4*(1+C$4)^E15)/((1+C$4)^E15-1)</f>
        <v>0.61511627906976774</v>
      </c>
      <c r="T15" s="63">
        <f t="shared" ref="T15:T18" si="10">Q15*S15</f>
        <v>15069.767441860475</v>
      </c>
      <c r="V15" s="61">
        <f>V14</f>
        <v>15426.825046047354</v>
      </c>
      <c r="X15" t="s">
        <v>315</v>
      </c>
    </row>
    <row r="16" spans="1:24" ht="17" thickBot="1" x14ac:dyDescent="0.25">
      <c r="E16" s="29">
        <v>3</v>
      </c>
      <c r="F16" s="37">
        <f t="shared" si="8"/>
        <v>13000</v>
      </c>
      <c r="M16" s="138">
        <v>13500</v>
      </c>
      <c r="O16" s="24">
        <f t="shared" ref="O16:O18" si="11">1/(1+$C$4)^E16</f>
        <v>0.65751623243198831</v>
      </c>
      <c r="P16" s="1">
        <f t="shared" ref="P16:P18" si="12">M16*O16</f>
        <v>8876.4691378318421</v>
      </c>
      <c r="Q16" s="8">
        <f t="shared" ref="Q16:Q18" si="13">Q15+P16</f>
        <v>33375.523958247722</v>
      </c>
      <c r="S16" s="16">
        <f t="shared" si="9"/>
        <v>0.43797696184305279</v>
      </c>
      <c r="T16" s="140">
        <f t="shared" si="10"/>
        <v>14617.710583153357</v>
      </c>
      <c r="V16" s="61">
        <f>V15</f>
        <v>15426.825046047354</v>
      </c>
      <c r="X16" t="s">
        <v>315</v>
      </c>
    </row>
    <row r="17" spans="5:24" ht="17" thickBot="1" x14ac:dyDescent="0.25">
      <c r="E17" s="35">
        <v>4</v>
      </c>
      <c r="F17" s="37">
        <f t="shared" si="8"/>
        <v>12000</v>
      </c>
      <c r="M17" s="139">
        <v>15300</v>
      </c>
      <c r="O17" s="24">
        <f t="shared" si="11"/>
        <v>0.57175324559303342</v>
      </c>
      <c r="P17" s="1">
        <f t="shared" si="12"/>
        <v>8747.824657573412</v>
      </c>
      <c r="Q17" s="8">
        <f t="shared" si="13"/>
        <v>42123.348615821131</v>
      </c>
      <c r="S17" s="16">
        <f t="shared" si="9"/>
        <v>0.35026535159085798</v>
      </c>
      <c r="T17" s="63">
        <f t="shared" si="10"/>
        <v>14754.349513104869</v>
      </c>
      <c r="V17" s="61">
        <f>V16</f>
        <v>15426.825046047354</v>
      </c>
      <c r="X17" t="s">
        <v>316</v>
      </c>
    </row>
    <row r="18" spans="5:24" ht="17" thickBot="1" x14ac:dyDescent="0.25">
      <c r="E18" s="29">
        <v>5</v>
      </c>
      <c r="F18" s="37">
        <f t="shared" si="8"/>
        <v>11000</v>
      </c>
      <c r="M18" s="138">
        <v>17500</v>
      </c>
      <c r="O18" s="24">
        <f t="shared" si="11"/>
        <v>0.49717673529828987</v>
      </c>
      <c r="P18" s="1">
        <f t="shared" si="12"/>
        <v>8700.5928677200736</v>
      </c>
      <c r="Q18" s="8">
        <f t="shared" si="13"/>
        <v>50823.941483541203</v>
      </c>
      <c r="S18" s="16">
        <f t="shared" si="9"/>
        <v>0.29831555246152841</v>
      </c>
      <c r="T18" s="62">
        <f t="shared" si="10"/>
        <v>15161.572181934986</v>
      </c>
      <c r="V18" s="61">
        <f>V17</f>
        <v>15426.825046047354</v>
      </c>
      <c r="X18" s="58" t="s">
        <v>317</v>
      </c>
    </row>
    <row r="19" spans="5:24" x14ac:dyDescent="0.2">
      <c r="F19">
        <v>10000</v>
      </c>
    </row>
    <row r="20" spans="5:24" x14ac:dyDescent="0.2">
      <c r="M20" s="58" t="s">
        <v>310</v>
      </c>
      <c r="S20" t="s">
        <v>313</v>
      </c>
    </row>
  </sheetData>
  <pageMargins left="0.7" right="0.7" top="0.75" bottom="0.75" header="0.3" footer="0.3"/>
  <pageSetup orientation="portrait" r:id="rId1"/>
  <drawing r:id="rId2"/>
  <legacyDrawing r:id="rId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G28"/>
  <sheetViews>
    <sheetView topLeftCell="A9" workbookViewId="0">
      <selection activeCell="A22" sqref="A22"/>
    </sheetView>
  </sheetViews>
  <sheetFormatPr baseColWidth="10" defaultColWidth="8.83203125" defaultRowHeight="15" outlineLevelCol="1" x14ac:dyDescent="0.2"/>
  <cols>
    <col min="2" max="2" width="27.83203125" customWidth="1"/>
    <col min="3" max="3" width="20.5" customWidth="1"/>
    <col min="4" max="4" width="3" customWidth="1"/>
    <col min="6" max="6" width="9.1640625" customWidth="1" outlineLevel="1"/>
    <col min="7" max="7" width="3.83203125" customWidth="1" outlineLevel="1"/>
    <col min="8" max="8" width="9.5" customWidth="1"/>
  </cols>
  <sheetData>
    <row r="1" spans="1:5" x14ac:dyDescent="0.2">
      <c r="A1" s="6" t="s">
        <v>98</v>
      </c>
    </row>
    <row r="3" spans="1:5" x14ac:dyDescent="0.2">
      <c r="A3" s="6" t="s">
        <v>576</v>
      </c>
    </row>
    <row r="4" spans="1:5" x14ac:dyDescent="0.2">
      <c r="B4" t="s">
        <v>570</v>
      </c>
      <c r="C4" s="147">
        <v>1600</v>
      </c>
      <c r="E4" t="s">
        <v>573</v>
      </c>
    </row>
    <row r="5" spans="1:5" x14ac:dyDescent="0.2">
      <c r="B5" t="s">
        <v>186</v>
      </c>
      <c r="C5" s="147">
        <v>995</v>
      </c>
      <c r="E5" t="s">
        <v>573</v>
      </c>
    </row>
    <row r="6" spans="1:5" x14ac:dyDescent="0.2">
      <c r="B6" t="s">
        <v>571</v>
      </c>
      <c r="C6" s="147">
        <v>350</v>
      </c>
      <c r="E6" t="s">
        <v>573</v>
      </c>
    </row>
    <row r="7" spans="1:5" x14ac:dyDescent="0.2">
      <c r="B7" t="s">
        <v>572</v>
      </c>
      <c r="C7" s="147">
        <v>200</v>
      </c>
      <c r="E7" t="s">
        <v>574</v>
      </c>
    </row>
    <row r="8" spans="1:5" x14ac:dyDescent="0.2">
      <c r="B8" t="s">
        <v>110</v>
      </c>
      <c r="C8" t="s">
        <v>575</v>
      </c>
      <c r="E8" t="s">
        <v>573</v>
      </c>
    </row>
    <row r="10" spans="1:5" x14ac:dyDescent="0.2">
      <c r="A10" s="6" t="s">
        <v>577</v>
      </c>
    </row>
    <row r="11" spans="1:5" x14ac:dyDescent="0.2">
      <c r="B11" t="s">
        <v>578</v>
      </c>
      <c r="C11" s="147">
        <v>1050</v>
      </c>
      <c r="E11" t="s">
        <v>574</v>
      </c>
    </row>
    <row r="12" spans="1:5" x14ac:dyDescent="0.2">
      <c r="B12" t="s">
        <v>579</v>
      </c>
      <c r="C12" s="297" t="s">
        <v>580</v>
      </c>
      <c r="E12" t="s">
        <v>573</v>
      </c>
    </row>
    <row r="14" spans="1:5" x14ac:dyDescent="0.2">
      <c r="A14" s="205" t="s">
        <v>601</v>
      </c>
    </row>
    <row r="15" spans="1:5" x14ac:dyDescent="0.2">
      <c r="B15" t="s">
        <v>569</v>
      </c>
      <c r="C15" s="145">
        <v>200</v>
      </c>
    </row>
    <row r="16" spans="1:5" x14ac:dyDescent="0.2">
      <c r="B16" t="s">
        <v>54</v>
      </c>
      <c r="C16" s="2">
        <v>0.1</v>
      </c>
      <c r="E16" t="s">
        <v>581</v>
      </c>
    </row>
    <row r="17" spans="1:3" x14ac:dyDescent="0.2">
      <c r="B17" t="s">
        <v>9</v>
      </c>
      <c r="C17">
        <v>2</v>
      </c>
    </row>
    <row r="18" spans="1:3" x14ac:dyDescent="0.2">
      <c r="B18" t="s">
        <v>61</v>
      </c>
      <c r="C18">
        <f>(C$16*(1+C$16)^C17)/((1+C$16)^C17-1)</f>
        <v>0.57619047619047581</v>
      </c>
    </row>
    <row r="19" spans="1:3" x14ac:dyDescent="0.2">
      <c r="B19" t="s">
        <v>318</v>
      </c>
      <c r="C19" s="66">
        <f>C15*C18</f>
        <v>115.23809523809516</v>
      </c>
    </row>
    <row r="20" spans="1:3" x14ac:dyDescent="0.2">
      <c r="C20" s="66"/>
    </row>
    <row r="21" spans="1:3" x14ac:dyDescent="0.2">
      <c r="A21" s="205" t="s">
        <v>602</v>
      </c>
    </row>
    <row r="22" spans="1:3" x14ac:dyDescent="0.2">
      <c r="A22" s="60"/>
      <c r="B22" t="s">
        <v>97</v>
      </c>
      <c r="C22" s="145">
        <v>1050</v>
      </c>
    </row>
    <row r="23" spans="1:3" x14ac:dyDescent="0.2">
      <c r="B23" t="s">
        <v>54</v>
      </c>
      <c r="C23" s="2">
        <v>0.1</v>
      </c>
    </row>
    <row r="24" spans="1:3" x14ac:dyDescent="0.2">
      <c r="B24" t="s">
        <v>9</v>
      </c>
      <c r="C24">
        <v>4</v>
      </c>
    </row>
    <row r="25" spans="1:3" x14ac:dyDescent="0.2">
      <c r="B25" t="s">
        <v>61</v>
      </c>
      <c r="C25">
        <f>(C$23*(1+C$23)^C24)/((1+C$23)^C24-1)</f>
        <v>0.31547080370609765</v>
      </c>
    </row>
    <row r="26" spans="1:3" x14ac:dyDescent="0.2">
      <c r="B26" t="s">
        <v>318</v>
      </c>
      <c r="C26" s="66">
        <f>C22*C25</f>
        <v>331.24434389140254</v>
      </c>
    </row>
    <row r="28" spans="1:3" x14ac:dyDescent="0.2">
      <c r="B28" t="s">
        <v>582</v>
      </c>
    </row>
  </sheetData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U30"/>
  <sheetViews>
    <sheetView workbookViewId="0"/>
  </sheetViews>
  <sheetFormatPr baseColWidth="10" defaultColWidth="8.83203125" defaultRowHeight="15" x14ac:dyDescent="0.2"/>
  <cols>
    <col min="1" max="1" width="5.33203125" customWidth="1"/>
    <col min="2" max="2" width="23.5" customWidth="1"/>
    <col min="3" max="3" width="12.1640625" customWidth="1"/>
    <col min="6" max="6" width="10.6640625" bestFit="1" customWidth="1"/>
    <col min="15" max="15" width="10.5" bestFit="1" customWidth="1"/>
    <col min="20" max="20" width="2.6640625" customWidth="1"/>
    <col min="21" max="21" width="16.33203125" bestFit="1" customWidth="1"/>
  </cols>
  <sheetData>
    <row r="1" spans="1:21" x14ac:dyDescent="0.2">
      <c r="A1" s="6" t="s">
        <v>185</v>
      </c>
    </row>
    <row r="2" spans="1:21" ht="42.75" customHeight="1" x14ac:dyDescent="0.2"/>
    <row r="3" spans="1:21" x14ac:dyDescent="0.2">
      <c r="A3" s="60" t="s">
        <v>72</v>
      </c>
      <c r="F3" s="6" t="s">
        <v>199</v>
      </c>
    </row>
    <row r="4" spans="1:21" x14ac:dyDescent="0.2">
      <c r="B4" t="s">
        <v>186</v>
      </c>
      <c r="C4" s="145">
        <v>30000</v>
      </c>
      <c r="F4" t="s">
        <v>190</v>
      </c>
    </row>
    <row r="5" spans="1:21" x14ac:dyDescent="0.2">
      <c r="B5" t="s">
        <v>206</v>
      </c>
      <c r="C5" s="145">
        <v>6000</v>
      </c>
      <c r="F5" t="s">
        <v>191</v>
      </c>
    </row>
    <row r="6" spans="1:21" x14ac:dyDescent="0.2">
      <c r="B6" t="s">
        <v>54</v>
      </c>
      <c r="C6" s="146">
        <v>0.11</v>
      </c>
    </row>
    <row r="7" spans="1:21" x14ac:dyDescent="0.2">
      <c r="B7" t="s">
        <v>9</v>
      </c>
      <c r="C7" s="147">
        <v>10</v>
      </c>
      <c r="F7" s="6" t="s">
        <v>200</v>
      </c>
    </row>
    <row r="8" spans="1:21" x14ac:dyDescent="0.2">
      <c r="B8" t="s">
        <v>10</v>
      </c>
      <c r="C8" s="145">
        <v>2000</v>
      </c>
      <c r="F8" t="s">
        <v>189</v>
      </c>
    </row>
    <row r="9" spans="1:21" x14ac:dyDescent="0.2">
      <c r="B9" t="s">
        <v>61</v>
      </c>
      <c r="C9" s="16">
        <f>(C$6*(1+C$6)^C7)/((1+C$6)^C7-1)</f>
        <v>0.16980142709749024</v>
      </c>
      <c r="F9" t="s">
        <v>192</v>
      </c>
    </row>
    <row r="10" spans="1:21" x14ac:dyDescent="0.2">
      <c r="B10" t="s">
        <v>205</v>
      </c>
      <c r="C10" s="144">
        <f>C$6/((1+C$6)^C$7-1)</f>
        <v>5.9801427097490242E-2</v>
      </c>
    </row>
    <row r="11" spans="1:21" x14ac:dyDescent="0.2">
      <c r="F11" t="s">
        <v>187</v>
      </c>
    </row>
    <row r="12" spans="1:21" ht="18" x14ac:dyDescent="0.2">
      <c r="A12" s="60" t="s">
        <v>73</v>
      </c>
      <c r="F12" s="141" t="s">
        <v>194</v>
      </c>
      <c r="U12" t="s">
        <v>201</v>
      </c>
    </row>
    <row r="13" spans="1:21" ht="16" x14ac:dyDescent="0.2">
      <c r="A13" s="60"/>
      <c r="B13" t="s">
        <v>97</v>
      </c>
      <c r="C13" s="145">
        <v>50000</v>
      </c>
      <c r="G13" s="141" t="s">
        <v>196</v>
      </c>
      <c r="Q13" s="5">
        <f>C8*C10</f>
        <v>119.60285419498048</v>
      </c>
      <c r="R13" s="5">
        <f>-C5</f>
        <v>-6000</v>
      </c>
      <c r="S13">
        <f>Q13+R13</f>
        <v>-5880.3971458050191</v>
      </c>
      <c r="U13" s="143">
        <f>-O17+Q13+R13</f>
        <v>-10974.439958729727</v>
      </c>
    </row>
    <row r="14" spans="1:21" ht="16" x14ac:dyDescent="0.2">
      <c r="B14" t="s">
        <v>206</v>
      </c>
      <c r="C14" s="145">
        <v>2000</v>
      </c>
      <c r="G14" s="142" t="s">
        <v>197</v>
      </c>
    </row>
    <row r="15" spans="1:21" x14ac:dyDescent="0.2">
      <c r="B15" t="s">
        <v>54</v>
      </c>
      <c r="C15" s="146">
        <v>0.11</v>
      </c>
      <c r="F15" t="s">
        <v>188</v>
      </c>
    </row>
    <row r="16" spans="1:21" ht="18" x14ac:dyDescent="0.2">
      <c r="B16" t="s">
        <v>9</v>
      </c>
      <c r="C16" s="147">
        <v>10</v>
      </c>
      <c r="F16" s="141" t="s">
        <v>193</v>
      </c>
    </row>
    <row r="17" spans="1:21" ht="16" x14ac:dyDescent="0.2">
      <c r="B17" t="s">
        <v>10</v>
      </c>
      <c r="C17" s="145">
        <v>12000</v>
      </c>
      <c r="G17" s="141" t="s">
        <v>195</v>
      </c>
      <c r="O17" s="5">
        <f>C4*C9</f>
        <v>5094.0428129247075</v>
      </c>
      <c r="P17" s="5">
        <f>-C13*C18</f>
        <v>-8490.0713548745116</v>
      </c>
      <c r="Q17" s="5">
        <f>C17*C19</f>
        <v>717.61712516988291</v>
      </c>
      <c r="R17" s="5">
        <f>-C14</f>
        <v>-2000</v>
      </c>
      <c r="S17">
        <f>O17+P17+Q17+R17</f>
        <v>-4678.4114167799216</v>
      </c>
      <c r="U17" s="143">
        <f>P17+Q17+R17</f>
        <v>-9772.4542297046282</v>
      </c>
    </row>
    <row r="18" spans="1:21" ht="16" x14ac:dyDescent="0.2">
      <c r="B18" t="s">
        <v>61</v>
      </c>
      <c r="C18" s="16">
        <f>(C$15*(1+C$15)^C16)/((1+C$15)^C16-1)</f>
        <v>0.16980142709749024</v>
      </c>
      <c r="G18" s="142" t="s">
        <v>198</v>
      </c>
    </row>
    <row r="19" spans="1:21" x14ac:dyDescent="0.2">
      <c r="B19" t="s">
        <v>205</v>
      </c>
      <c r="C19" s="144">
        <f>C$6/((1+C$6)^C$7-1)</f>
        <v>5.9801427097490242E-2</v>
      </c>
    </row>
    <row r="20" spans="1:21" x14ac:dyDescent="0.2">
      <c r="F20" t="s">
        <v>331</v>
      </c>
    </row>
    <row r="24" spans="1:21" x14ac:dyDescent="0.2">
      <c r="F24" s="6" t="s">
        <v>202</v>
      </c>
    </row>
    <row r="25" spans="1:21" x14ac:dyDescent="0.2">
      <c r="F25" t="s">
        <v>203</v>
      </c>
    </row>
    <row r="26" spans="1:21" x14ac:dyDescent="0.2">
      <c r="F26" t="s">
        <v>204</v>
      </c>
    </row>
    <row r="28" spans="1:21" x14ac:dyDescent="0.2">
      <c r="A28" s="6"/>
    </row>
    <row r="30" spans="1:21" x14ac:dyDescent="0.2">
      <c r="C30" s="2"/>
    </row>
  </sheetData>
  <pageMargins left="0.7" right="0.7" top="0.75" bottom="0.75" header="0.3" footer="0.3"/>
  <pageSetup orientation="portrait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AH19"/>
  <sheetViews>
    <sheetView workbookViewId="0">
      <selection activeCell="P7" sqref="P7"/>
    </sheetView>
  </sheetViews>
  <sheetFormatPr baseColWidth="10" defaultColWidth="8.83203125" defaultRowHeight="15" x14ac:dyDescent="0.2"/>
  <cols>
    <col min="1" max="1" width="5.1640625" customWidth="1"/>
    <col min="2" max="2" width="44" customWidth="1"/>
    <col min="3" max="3" width="2.6640625" customWidth="1"/>
    <col min="4" max="4" width="12" customWidth="1"/>
    <col min="5" max="5" width="5.33203125" customWidth="1"/>
    <col min="6" max="6" width="8" customWidth="1"/>
    <col min="7" max="7" width="3" customWidth="1"/>
    <col min="8" max="8" width="10.33203125" customWidth="1"/>
    <col min="9" max="9" width="14.5" customWidth="1"/>
    <col min="10" max="10" width="15.1640625" customWidth="1"/>
    <col min="11" max="11" width="3.83203125" customWidth="1"/>
    <col min="12" max="12" width="11.1640625" customWidth="1"/>
    <col min="13" max="13" width="14.83203125" customWidth="1"/>
    <col min="14" max="14" width="3.1640625" customWidth="1"/>
    <col min="15" max="15" width="9.6640625" customWidth="1"/>
    <col min="16" max="16" width="13.33203125" customWidth="1"/>
    <col min="17" max="17" width="4.33203125" customWidth="1"/>
    <col min="18" max="18" width="9.6640625" customWidth="1"/>
    <col min="19" max="19" width="11.5" customWidth="1"/>
    <col min="20" max="20" width="13" customWidth="1"/>
    <col min="21" max="21" width="10.33203125" customWidth="1"/>
    <col min="22" max="22" width="17" customWidth="1"/>
    <col min="23" max="23" width="10.33203125" customWidth="1"/>
    <col min="24" max="24" width="13.1640625" hidden="1" customWidth="1"/>
    <col min="25" max="25" width="19.5" hidden="1" customWidth="1"/>
    <col min="26" max="26" width="15" hidden="1" customWidth="1"/>
    <col min="27" max="27" width="25.33203125" hidden="1" customWidth="1"/>
    <col min="28" max="28" width="4.5" hidden="1" customWidth="1"/>
    <col min="29" max="29" width="11.5" hidden="1" customWidth="1"/>
    <col min="30" max="30" width="18.33203125" hidden="1" customWidth="1"/>
    <col min="31" max="31" width="9.1640625" hidden="1" customWidth="1"/>
    <col min="32" max="33" width="12.5" hidden="1" customWidth="1"/>
    <col min="34" max="34" width="18.5" customWidth="1"/>
  </cols>
  <sheetData>
    <row r="1" spans="1:34" x14ac:dyDescent="0.2">
      <c r="A1" s="6" t="s">
        <v>99</v>
      </c>
      <c r="B1" s="6"/>
      <c r="C1" s="6"/>
      <c r="H1" s="205" t="s">
        <v>343</v>
      </c>
      <c r="L1" s="6" t="s">
        <v>339</v>
      </c>
    </row>
    <row r="2" spans="1:34" x14ac:dyDescent="0.2">
      <c r="H2" t="s">
        <v>344</v>
      </c>
      <c r="L2" t="s">
        <v>611</v>
      </c>
      <c r="O2" t="s">
        <v>610</v>
      </c>
      <c r="R2" t="s">
        <v>345</v>
      </c>
    </row>
    <row r="3" spans="1:34" ht="71.25" customHeight="1" thickBot="1" x14ac:dyDescent="0.25">
      <c r="A3" s="60"/>
      <c r="B3" s="40" t="s">
        <v>108</v>
      </c>
      <c r="C3" s="60"/>
      <c r="H3" s="40" t="s">
        <v>101</v>
      </c>
      <c r="I3" s="40" t="s">
        <v>106</v>
      </c>
      <c r="J3" s="40" t="s">
        <v>609</v>
      </c>
      <c r="L3" s="41" t="s">
        <v>90</v>
      </c>
      <c r="M3" s="41" t="s">
        <v>92</v>
      </c>
      <c r="O3" s="41" t="s">
        <v>61</v>
      </c>
      <c r="P3" s="40" t="s">
        <v>356</v>
      </c>
      <c r="R3" s="40" t="s">
        <v>97</v>
      </c>
      <c r="S3" s="41" t="s">
        <v>61</v>
      </c>
      <c r="T3" s="40" t="s">
        <v>100</v>
      </c>
      <c r="U3" s="40" t="s">
        <v>340</v>
      </c>
      <c r="X3" s="41" t="s">
        <v>103</v>
      </c>
      <c r="Y3" s="41" t="s">
        <v>90</v>
      </c>
      <c r="Z3" s="41" t="s">
        <v>92</v>
      </c>
      <c r="AA3" s="41" t="s">
        <v>102</v>
      </c>
      <c r="AC3" s="41" t="s">
        <v>61</v>
      </c>
      <c r="AD3" s="40" t="s">
        <v>94</v>
      </c>
      <c r="AF3" s="41" t="s">
        <v>104</v>
      </c>
      <c r="AG3" s="41" t="s">
        <v>105</v>
      </c>
    </row>
    <row r="4" spans="1:34" ht="18" thickTop="1" thickBot="1" x14ac:dyDescent="0.25">
      <c r="B4" s="147" t="s">
        <v>107</v>
      </c>
      <c r="D4" t="s">
        <v>319</v>
      </c>
      <c r="F4" s="196">
        <f>6%/4</f>
        <v>1.4999999999999999E-2</v>
      </c>
      <c r="H4" s="72">
        <v>1</v>
      </c>
      <c r="I4" s="72"/>
      <c r="J4" s="29">
        <v>50</v>
      </c>
      <c r="L4" s="24">
        <f>1/(1+$F$4)^H4</f>
        <v>0.98522167487684742</v>
      </c>
      <c r="M4" s="1">
        <f>J4*L4</f>
        <v>49.26108374384237</v>
      </c>
      <c r="O4" s="16">
        <f>(F$4*(1+F$4)^H4)/((1+F$4)^H4-1)</f>
        <v>1.0150000000000063</v>
      </c>
      <c r="P4" s="69">
        <f>M4*O4</f>
        <v>50.00000000000032</v>
      </c>
      <c r="R4" s="191">
        <v>50</v>
      </c>
      <c r="S4">
        <f>(F$4*(1+F$4)^H4)/((1+F$4)^H4-1)</f>
        <v>1.0150000000000063</v>
      </c>
      <c r="T4" s="65">
        <f>R$4*S4</f>
        <v>50.75000000000032</v>
      </c>
      <c r="U4" s="65">
        <f>T4</f>
        <v>50.75000000000032</v>
      </c>
      <c r="V4" t="s">
        <v>336</v>
      </c>
      <c r="X4">
        <v>50</v>
      </c>
      <c r="Y4" s="24">
        <f>1/(1+$F$4)^H4</f>
        <v>0.98522167487684742</v>
      </c>
      <c r="Z4" s="1">
        <f>X4*Y4</f>
        <v>49.26108374384237</v>
      </c>
      <c r="AA4" s="1">
        <f>X4*Y4</f>
        <v>49.26108374384237</v>
      </c>
      <c r="AC4" s="16">
        <f>(F$4*(1+F$4)^H4)/((1+F$4)^H4-1)</f>
        <v>1.0150000000000063</v>
      </c>
      <c r="AD4" s="69">
        <f>AA4*AC4</f>
        <v>50.00000000000032</v>
      </c>
      <c r="AF4" s="68">
        <f>X4*S4</f>
        <v>50.75000000000032</v>
      </c>
      <c r="AG4" s="66">
        <f>T4</f>
        <v>50.75000000000032</v>
      </c>
    </row>
    <row r="5" spans="1:34" ht="17" thickBot="1" x14ac:dyDescent="0.25">
      <c r="B5" s="197" t="s">
        <v>606</v>
      </c>
      <c r="H5" s="35">
        <v>2</v>
      </c>
      <c r="I5" s="35">
        <v>5</v>
      </c>
      <c r="J5" s="23">
        <f>I5</f>
        <v>5</v>
      </c>
      <c r="L5" s="24">
        <f t="shared" ref="L5:L6" si="0">1/(1+$F$4)^H5</f>
        <v>0.9706617486471405</v>
      </c>
      <c r="M5" s="1">
        <f t="shared" ref="M5:M6" si="1">J5*L5</f>
        <v>4.8533087432357025</v>
      </c>
      <c r="O5" s="16">
        <f>(F$4*(1+F$4)^H5)/((1+F$4)^H5-1)</f>
        <v>0.51127791563275882</v>
      </c>
      <c r="P5" s="70">
        <f>M5*O5</f>
        <v>2.4813895781637942</v>
      </c>
      <c r="R5" s="191">
        <v>50</v>
      </c>
      <c r="S5" s="27">
        <f>(F$4*(1+F$4)^H5)/((1+F$4)^H5-1)</f>
        <v>0.51127791563275882</v>
      </c>
      <c r="T5" s="65">
        <f>R$4*S5</f>
        <v>25.563895781637942</v>
      </c>
      <c r="U5" s="65">
        <f>T5+P5</f>
        <v>28.045285359801738</v>
      </c>
      <c r="V5" t="s">
        <v>612</v>
      </c>
      <c r="X5" s="61">
        <f>J5</f>
        <v>5</v>
      </c>
      <c r="Y5" s="24">
        <f>1/(1+$F$4)^H5</f>
        <v>0.9706617486471405</v>
      </c>
      <c r="Z5" s="73">
        <f>X5*Y5</f>
        <v>4.8533087432357025</v>
      </c>
      <c r="AA5" s="8">
        <f>AA4+Z5</f>
        <v>54.114392487078071</v>
      </c>
      <c r="AC5" s="16">
        <f>(F$4*(1+F$4)^H5)/((1+F$4)^H5-1)</f>
        <v>0.51127791563275882</v>
      </c>
      <c r="AD5" s="70">
        <f>AA5*AC5</f>
        <v>27.667493796526298</v>
      </c>
      <c r="AF5" s="68">
        <f>X5*S5</f>
        <v>2.556389578163794</v>
      </c>
      <c r="AG5" s="66">
        <f>T5+AF5</f>
        <v>28.120285359801738</v>
      </c>
    </row>
    <row r="6" spans="1:34" ht="17" thickBot="1" x14ac:dyDescent="0.25">
      <c r="B6" s="147" t="s">
        <v>607</v>
      </c>
      <c r="H6" s="29">
        <v>3</v>
      </c>
      <c r="I6" s="29">
        <f>5+20</f>
        <v>25</v>
      </c>
      <c r="J6" s="23">
        <f>I6</f>
        <v>25</v>
      </c>
      <c r="L6" s="24">
        <f t="shared" si="0"/>
        <v>0.95631699374102519</v>
      </c>
      <c r="M6" s="1">
        <f t="shared" si="1"/>
        <v>23.907924843525631</v>
      </c>
      <c r="O6" s="16">
        <f>(F$4*(1+F$4)^H6)/((1+F$4)^H6-1)</f>
        <v>0.34338296020819759</v>
      </c>
      <c r="P6" s="69">
        <f>M6*O6</f>
        <v>8.2095740052049404</v>
      </c>
      <c r="R6" s="191">
        <v>50</v>
      </c>
      <c r="S6" s="27">
        <f>(F$4*(1+F$4)^H6)/((1+F$4)^H6-1)</f>
        <v>0.34338296020819759</v>
      </c>
      <c r="T6" s="65">
        <f>R$4*S6</f>
        <v>17.169148010409881</v>
      </c>
      <c r="U6" s="65">
        <f>T6+P6</f>
        <v>25.378722015614819</v>
      </c>
      <c r="V6" t="s">
        <v>334</v>
      </c>
      <c r="X6" s="61">
        <f>J6</f>
        <v>25</v>
      </c>
      <c r="Y6" s="24">
        <f>1/(1+$F$4)^H6</f>
        <v>0.95631699374102519</v>
      </c>
      <c r="Z6" s="1">
        <f>X6*Y6</f>
        <v>23.907924843525631</v>
      </c>
      <c r="AA6" s="8">
        <f t="shared" ref="AA6:AA7" si="2">AA5+Z6</f>
        <v>78.022317330603698</v>
      </c>
      <c r="AC6" s="16">
        <f>(F$4*(1+F$4)^H6)/((1+F$4)^H6-1)</f>
        <v>0.34338296020819759</v>
      </c>
      <c r="AD6" s="71">
        <f>AA6*AC6</f>
        <v>26.791534287286055</v>
      </c>
      <c r="AF6" s="68">
        <f>X6*S6</f>
        <v>8.5845740052049404</v>
      </c>
      <c r="AG6" s="66">
        <f>T6+AF6</f>
        <v>25.753722015614819</v>
      </c>
    </row>
    <row r="7" spans="1:34" ht="17" thickBot="1" x14ac:dyDescent="0.25">
      <c r="B7" s="147" t="s">
        <v>608</v>
      </c>
      <c r="F7" s="5"/>
      <c r="H7" s="29">
        <v>4</v>
      </c>
      <c r="I7" s="29">
        <f>5+45+20</f>
        <v>70</v>
      </c>
      <c r="J7" s="23">
        <f>I7</f>
        <v>70</v>
      </c>
      <c r="L7" s="24">
        <f>1/(1+$F$4)^H7</f>
        <v>0.94218423028672449</v>
      </c>
      <c r="M7" s="1">
        <f>J7*L7</f>
        <v>65.952896120070719</v>
      </c>
      <c r="O7" s="16">
        <f>(F$4*(1+F$4)^H7)/((1+F$4)^H7-1)</f>
        <v>0.25944478598813381</v>
      </c>
      <c r="P7" s="70">
        <f>M7*O7</f>
        <v>17.111135019169367</v>
      </c>
      <c r="R7" s="191">
        <v>50</v>
      </c>
      <c r="S7" s="27">
        <f>(F$4*(1+F$4)^H7)/((1+F$4)^H7-1)</f>
        <v>0.25944478598813381</v>
      </c>
      <c r="T7" s="65">
        <f>R$4*S7</f>
        <v>12.97223929940669</v>
      </c>
      <c r="U7" s="65">
        <f>T7+P7</f>
        <v>30.083374318576055</v>
      </c>
      <c r="V7" t="s">
        <v>335</v>
      </c>
      <c r="X7" s="61">
        <f>J7</f>
        <v>70</v>
      </c>
      <c r="Y7" s="24">
        <f>1/(1+$F$4)^H7</f>
        <v>0.94218423028672449</v>
      </c>
      <c r="Z7" s="1">
        <f>X7*Y7</f>
        <v>65.952896120070719</v>
      </c>
      <c r="AA7" s="8">
        <f t="shared" si="2"/>
        <v>143.9752134506744</v>
      </c>
      <c r="AC7" s="16">
        <f>(F$4*(1+F$4)^H7)/((1+F$4)^H7-1)</f>
        <v>0.25944478598813381</v>
      </c>
      <c r="AD7" s="71">
        <f>AA7*AC7</f>
        <v>37.353618441306104</v>
      </c>
      <c r="AF7" s="68">
        <f>X7*S7</f>
        <v>18.161135019169368</v>
      </c>
      <c r="AG7" s="66">
        <f>T7+AF7</f>
        <v>31.13337431857606</v>
      </c>
    </row>
    <row r="8" spans="1:34" x14ac:dyDescent="0.2">
      <c r="J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F8" s="27"/>
      <c r="AG8" s="27"/>
      <c r="AH8" s="67"/>
    </row>
    <row r="9" spans="1:34" x14ac:dyDescent="0.2">
      <c r="H9" t="s">
        <v>342</v>
      </c>
      <c r="J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F9" s="27"/>
      <c r="AG9" s="27"/>
    </row>
    <row r="10" spans="1:34" x14ac:dyDescent="0.2">
      <c r="H10" t="s">
        <v>341</v>
      </c>
      <c r="J10" s="27"/>
      <c r="L10" s="206" t="s">
        <v>349</v>
      </c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F10" s="27"/>
      <c r="AG10" s="27"/>
    </row>
    <row r="11" spans="1:34" x14ac:dyDescent="0.2">
      <c r="L11" s="58"/>
    </row>
    <row r="12" spans="1:34" x14ac:dyDescent="0.2">
      <c r="H12" t="s">
        <v>346</v>
      </c>
    </row>
    <row r="13" spans="1:34" x14ac:dyDescent="0.2">
      <c r="H13" s="204" t="s">
        <v>338</v>
      </c>
    </row>
    <row r="14" spans="1:34" x14ac:dyDescent="0.2">
      <c r="H14" s="204" t="s">
        <v>337</v>
      </c>
    </row>
    <row r="16" spans="1:34" x14ac:dyDescent="0.2">
      <c r="H16" t="s">
        <v>347</v>
      </c>
    </row>
    <row r="17" spans="8:8" x14ac:dyDescent="0.2">
      <c r="H17" t="s">
        <v>348</v>
      </c>
    </row>
    <row r="18" spans="8:8" x14ac:dyDescent="0.2">
      <c r="H18" t="s">
        <v>350</v>
      </c>
    </row>
    <row r="19" spans="8:8" x14ac:dyDescent="0.2">
      <c r="H19" t="s">
        <v>320</v>
      </c>
    </row>
  </sheetData>
  <pageMargins left="0.7" right="0.7" top="0.75" bottom="0.75" header="0.3" footer="0.3"/>
  <pageSetup orientation="portrait" r:id="rId1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AQ40"/>
  <sheetViews>
    <sheetView topLeftCell="S4" zoomScale="85" zoomScaleNormal="85" workbookViewId="0">
      <selection activeCell="AV20" sqref="AV20"/>
    </sheetView>
  </sheetViews>
  <sheetFormatPr baseColWidth="10" defaultColWidth="8.83203125" defaultRowHeight="15" outlineLevelCol="1" x14ac:dyDescent="0.2"/>
  <cols>
    <col min="2" max="2" width="2.5" customWidth="1"/>
    <col min="3" max="3" width="5.83203125" customWidth="1"/>
    <col min="4" max="4" width="3" customWidth="1"/>
    <col min="6" max="6" width="9.1640625" customWidth="1" outlineLevel="1"/>
    <col min="7" max="7" width="10.83203125" customWidth="1" outlineLevel="1"/>
    <col min="8" max="8" width="3.5" customWidth="1" outlineLevel="1"/>
    <col min="9" max="9" width="11.1640625" customWidth="1" outlineLevel="1"/>
    <col min="10" max="10" width="15" customWidth="1" outlineLevel="1"/>
    <col min="11" max="11" width="13.6640625" customWidth="1" outlineLevel="1"/>
    <col min="12" max="12" width="3.83203125" customWidth="1" outlineLevel="1"/>
    <col min="13" max="13" width="13" customWidth="1" outlineLevel="1"/>
    <col min="14" max="14" width="12.83203125" customWidth="1" outlineLevel="1"/>
    <col min="15" max="15" width="10.5" customWidth="1" outlineLevel="1"/>
    <col min="16" max="16" width="10.6640625" customWidth="1" outlineLevel="1"/>
    <col min="17" max="17" width="2.83203125" customWidth="1" outlineLevel="1"/>
    <col min="18" max="20" width="12.5" customWidth="1" outlineLevel="1"/>
    <col min="21" max="21" width="3.83203125" customWidth="1" outlineLevel="1"/>
    <col min="22" max="23" width="15.5" customWidth="1" outlineLevel="1"/>
    <col min="24" max="24" width="3.5" customWidth="1" outlineLevel="1"/>
    <col min="25" max="25" width="14.1640625" customWidth="1" outlineLevel="1"/>
    <col min="26" max="26" width="4.5" customWidth="1" outlineLevel="1"/>
    <col min="27" max="27" width="13.83203125" customWidth="1"/>
    <col min="28" max="28" width="11.83203125" customWidth="1"/>
    <col min="29" max="29" width="13.5" customWidth="1"/>
    <col min="30" max="30" width="19.5" hidden="1" customWidth="1" outlineLevel="1"/>
    <col min="31" max="31" width="15" hidden="1" customWidth="1" outlineLevel="1"/>
    <col min="32" max="32" width="25.33203125" hidden="1" customWidth="1" outlineLevel="1"/>
    <col min="33" max="33" width="3.6640625" hidden="1" customWidth="1" outlineLevel="1"/>
    <col min="34" max="34" width="11.5" hidden="1" customWidth="1" outlineLevel="1"/>
    <col min="35" max="35" width="18.33203125" customWidth="1" collapsed="1"/>
    <col min="36" max="36" width="14.6640625" customWidth="1"/>
    <col min="37" max="37" width="3.6640625" customWidth="1"/>
    <col min="38" max="38" width="19.5" customWidth="1"/>
    <col min="39" max="39" width="15" customWidth="1"/>
    <col min="40" max="40" width="25.33203125" customWidth="1"/>
    <col min="41" max="41" width="3.6640625" customWidth="1"/>
    <col min="42" max="42" width="11.5" customWidth="1"/>
    <col min="43" max="43" width="18.33203125" customWidth="1"/>
  </cols>
  <sheetData>
    <row r="1" spans="1:43" x14ac:dyDescent="0.2">
      <c r="A1" s="6" t="s">
        <v>109</v>
      </c>
      <c r="C1" t="s">
        <v>603</v>
      </c>
    </row>
    <row r="2" spans="1:43" x14ac:dyDescent="0.2">
      <c r="K2" s="152" t="s">
        <v>219</v>
      </c>
      <c r="O2" s="152" t="s">
        <v>218</v>
      </c>
      <c r="R2" s="325" t="s">
        <v>323</v>
      </c>
      <c r="S2" s="326"/>
      <c r="T2" s="152" t="s">
        <v>220</v>
      </c>
      <c r="X2" s="95"/>
      <c r="Y2" s="152" t="s">
        <v>221</v>
      </c>
      <c r="AB2" s="152" t="s">
        <v>324</v>
      </c>
    </row>
    <row r="3" spans="1:43" ht="33.75" customHeight="1" x14ac:dyDescent="0.2">
      <c r="M3" s="153"/>
      <c r="N3" s="153"/>
      <c r="X3" s="95"/>
      <c r="Y3" s="156" t="s">
        <v>322</v>
      </c>
    </row>
    <row r="4" spans="1:43" ht="85.5" customHeight="1" thickBot="1" x14ac:dyDescent="0.25">
      <c r="A4" s="60"/>
      <c r="E4" s="42" t="s">
        <v>4</v>
      </c>
      <c r="F4" s="75" t="s">
        <v>110</v>
      </c>
      <c r="G4" s="40" t="s">
        <v>207</v>
      </c>
      <c r="I4" s="41" t="s">
        <v>65</v>
      </c>
      <c r="J4" s="75" t="s">
        <v>217</v>
      </c>
      <c r="K4" s="75" t="s">
        <v>216</v>
      </c>
      <c r="M4" s="75" t="s">
        <v>223</v>
      </c>
      <c r="N4" s="75" t="s">
        <v>224</v>
      </c>
      <c r="O4" s="75" t="s">
        <v>213</v>
      </c>
      <c r="P4" s="75" t="s">
        <v>214</v>
      </c>
      <c r="R4" s="40" t="s">
        <v>66</v>
      </c>
      <c r="S4" s="40" t="s">
        <v>74</v>
      </c>
      <c r="T4" s="75" t="s">
        <v>113</v>
      </c>
      <c r="V4" s="40" t="s">
        <v>232</v>
      </c>
      <c r="W4" s="75" t="s">
        <v>233</v>
      </c>
      <c r="X4" s="95"/>
      <c r="Y4" s="75" t="s">
        <v>114</v>
      </c>
      <c r="AA4" s="40" t="s">
        <v>215</v>
      </c>
      <c r="AB4" s="75" t="s">
        <v>112</v>
      </c>
      <c r="AD4" s="41" t="s">
        <v>90</v>
      </c>
      <c r="AE4" s="41" t="s">
        <v>92</v>
      </c>
      <c r="AF4" s="41" t="s">
        <v>91</v>
      </c>
      <c r="AH4" s="41" t="s">
        <v>61</v>
      </c>
      <c r="AI4" s="40" t="s">
        <v>94</v>
      </c>
      <c r="AL4" s="75" t="s">
        <v>90</v>
      </c>
      <c r="AM4" s="75" t="s">
        <v>184</v>
      </c>
      <c r="AN4" s="75" t="s">
        <v>91</v>
      </c>
      <c r="AP4" s="75" t="s">
        <v>61</v>
      </c>
      <c r="AQ4" s="77" t="s">
        <v>94</v>
      </c>
    </row>
    <row r="5" spans="1:43" ht="18" thickTop="1" thickBot="1" x14ac:dyDescent="0.25">
      <c r="A5" t="s">
        <v>304</v>
      </c>
      <c r="C5" s="146">
        <v>0.1</v>
      </c>
      <c r="E5" s="29">
        <v>0</v>
      </c>
      <c r="F5" s="198">
        <v>25000</v>
      </c>
      <c r="G5" s="37">
        <v>25000</v>
      </c>
      <c r="I5" s="74"/>
      <c r="J5" s="74"/>
      <c r="K5" s="74"/>
      <c r="M5" s="74"/>
      <c r="N5" s="74"/>
      <c r="O5" s="74">
        <f>G5</f>
        <v>25000</v>
      </c>
      <c r="P5" s="74"/>
      <c r="R5" s="29"/>
      <c r="S5" s="44"/>
      <c r="T5" s="44"/>
      <c r="X5" s="95"/>
      <c r="AA5" s="43"/>
      <c r="AB5" s="76"/>
      <c r="AD5" s="24">
        <f t="shared" ref="AD5:AD12" si="0">1/(1+$C$5)^E5</f>
        <v>1</v>
      </c>
      <c r="AE5" s="1">
        <f t="shared" ref="AE5:AE12" si="1">AA5*AD5</f>
        <v>0</v>
      </c>
      <c r="AF5" s="1">
        <f>AA5*AD5</f>
        <v>0</v>
      </c>
      <c r="AH5" s="16"/>
      <c r="AI5" s="56"/>
      <c r="AL5" s="24">
        <f t="shared" ref="AL5:AL12" si="2">1/(1+$C$5)^E5</f>
        <v>1</v>
      </c>
      <c r="AM5" s="1">
        <f t="shared" ref="AM5:AM12" si="3">AB5*AL5</f>
        <v>0</v>
      </c>
      <c r="AN5" s="1">
        <f>AI5*AL5</f>
        <v>0</v>
      </c>
      <c r="AP5" s="16"/>
      <c r="AQ5" s="56"/>
    </row>
    <row r="6" spans="1:43" ht="17" thickBot="1" x14ac:dyDescent="0.25">
      <c r="A6" t="s">
        <v>111</v>
      </c>
      <c r="C6" s="146">
        <v>0.4</v>
      </c>
      <c r="E6" s="35">
        <v>1</v>
      </c>
      <c r="F6" s="43">
        <v>20000</v>
      </c>
      <c r="G6" s="37">
        <v>18000</v>
      </c>
      <c r="I6" s="37">
        <f t="shared" ref="I6:I12" si="4">G5-G6</f>
        <v>7000</v>
      </c>
      <c r="J6" s="185">
        <f>F$5/5</f>
        <v>5000</v>
      </c>
      <c r="K6" s="154">
        <f>-J6*C$6</f>
        <v>-2000</v>
      </c>
      <c r="M6" s="63">
        <f t="shared" ref="M6:M12" si="5">-(G6-F6)</f>
        <v>2000</v>
      </c>
      <c r="N6" s="63">
        <f t="shared" ref="N6:N12" si="6">M6*C$6</f>
        <v>800</v>
      </c>
      <c r="O6" s="63">
        <f t="shared" ref="O6:O12" si="7">G6+N6</f>
        <v>18800</v>
      </c>
      <c r="P6" s="63">
        <f>O5-G6</f>
        <v>7000</v>
      </c>
      <c r="R6" s="199">
        <v>2000</v>
      </c>
      <c r="S6" s="199">
        <v>5000</v>
      </c>
      <c r="T6" s="63">
        <f t="shared" ref="T6:T12" si="8">(R6+S6)*(1-C$6)</f>
        <v>4200</v>
      </c>
      <c r="V6" s="154">
        <f>(G6)*C$5</f>
        <v>1800</v>
      </c>
      <c r="W6" s="154">
        <f>(N5)*$C$5</f>
        <v>0</v>
      </c>
      <c r="X6" s="95"/>
      <c r="Y6" s="43">
        <f>O5+V6</f>
        <v>26800</v>
      </c>
      <c r="AA6" s="37">
        <f>(I6)+(R6+S6)+(V6)</f>
        <v>15800</v>
      </c>
      <c r="AB6" s="149">
        <f>((P6+K6)+(T6))+(N6+V6+W6)</f>
        <v>11800</v>
      </c>
      <c r="AC6" s="8"/>
      <c r="AD6" s="24">
        <f t="shared" si="0"/>
        <v>0.90909090909090906</v>
      </c>
      <c r="AE6" s="1">
        <f t="shared" si="1"/>
        <v>14363.636363636364</v>
      </c>
      <c r="AF6" s="8">
        <f>AF5+AE6</f>
        <v>14363.636363636364</v>
      </c>
      <c r="AH6" s="16">
        <f t="shared" ref="AH6:AH12" si="9">(C$5*(1+C$5)^E6)/((1+C$5)^E6-1)</f>
        <v>1.0999999999999992</v>
      </c>
      <c r="AI6" s="23">
        <f>AF6*AH6</f>
        <v>15799.999999999989</v>
      </c>
      <c r="AL6" s="24">
        <f t="shared" si="2"/>
        <v>0.90909090909090906</v>
      </c>
      <c r="AM6" s="1">
        <f t="shared" si="3"/>
        <v>10727.272727272726</v>
      </c>
      <c r="AN6" s="8">
        <f>AN5+AM6</f>
        <v>10727.272727272726</v>
      </c>
      <c r="AP6" s="16">
        <f t="shared" ref="AP6:AP12" si="10">(C$5*(1+C$5)^E6)/((1+C$5)^E6-1)</f>
        <v>1.0999999999999992</v>
      </c>
      <c r="AQ6" s="23">
        <f t="shared" ref="AQ6:AQ12" si="11">AN6*AP6</f>
        <v>11799.999999999991</v>
      </c>
    </row>
    <row r="7" spans="1:43" ht="17" thickBot="1" x14ac:dyDescent="0.25">
      <c r="A7" t="s">
        <v>10</v>
      </c>
      <c r="C7" s="147">
        <v>0</v>
      </c>
      <c r="E7" s="29">
        <v>2</v>
      </c>
      <c r="F7" s="43">
        <v>15000</v>
      </c>
      <c r="G7" s="37">
        <v>13000</v>
      </c>
      <c r="I7" s="37">
        <f t="shared" si="4"/>
        <v>5000</v>
      </c>
      <c r="J7" s="185">
        <f>F$5/5</f>
        <v>5000</v>
      </c>
      <c r="K7" s="151">
        <f t="shared" ref="K7:K10" si="12">-J7*C$6</f>
        <v>-2000</v>
      </c>
      <c r="M7" s="43">
        <f>-(G7-F7)</f>
        <v>2000</v>
      </c>
      <c r="N7" s="151">
        <f>M7*C$6</f>
        <v>800</v>
      </c>
      <c r="O7" s="43">
        <f>G7+N7</f>
        <v>13800</v>
      </c>
      <c r="P7" s="201">
        <f>O6-G7</f>
        <v>5800</v>
      </c>
      <c r="R7" s="200">
        <v>2500</v>
      </c>
      <c r="S7" s="200">
        <v>5000</v>
      </c>
      <c r="T7" s="151">
        <f>(R7+S7)*(1-C$6)</f>
        <v>4500</v>
      </c>
      <c r="V7" s="151">
        <f>(G7)*C$5</f>
        <v>1300</v>
      </c>
      <c r="W7" s="151">
        <f>(N6)*$C$5</f>
        <v>80</v>
      </c>
      <c r="X7" s="95"/>
      <c r="Y7" s="43">
        <f t="shared" ref="Y7:Y12" si="13">O6+V7+W7</f>
        <v>20180</v>
      </c>
      <c r="AA7" s="37">
        <f t="shared" ref="AA7:AA12" si="14">I7+V7+R7+S7</f>
        <v>13800</v>
      </c>
      <c r="AB7" s="148">
        <f t="shared" ref="AB7:AB12" si="15">((P7+K7)+(T7))+(N7+V7+W7)</f>
        <v>10480</v>
      </c>
      <c r="AC7" s="8"/>
      <c r="AD7" s="24">
        <f t="shared" si="0"/>
        <v>0.82644628099173545</v>
      </c>
      <c r="AE7" s="1">
        <f t="shared" si="1"/>
        <v>11404.958677685949</v>
      </c>
      <c r="AF7" s="8">
        <f t="shared" ref="AF7:AF11" si="16">AF6+AE7</f>
        <v>25768.595041322311</v>
      </c>
      <c r="AH7" s="16">
        <f t="shared" si="9"/>
        <v>0.57619047619047581</v>
      </c>
      <c r="AI7" s="26">
        <f t="shared" ref="AI7:AI11" si="17">AF7*AH7</f>
        <v>14847.619047619037</v>
      </c>
      <c r="AL7" s="24">
        <f t="shared" si="2"/>
        <v>0.82644628099173545</v>
      </c>
      <c r="AM7" s="1">
        <f t="shared" si="3"/>
        <v>8661.1570247933869</v>
      </c>
      <c r="AN7" s="8">
        <f t="shared" ref="AN7:AN12" si="18">AN6+AM7</f>
        <v>19388.429752066113</v>
      </c>
      <c r="AP7" s="16">
        <f t="shared" si="10"/>
        <v>0.57619047619047581</v>
      </c>
      <c r="AQ7" s="26">
        <f t="shared" si="11"/>
        <v>11171.428571428563</v>
      </c>
    </row>
    <row r="8" spans="1:43" ht="17" thickBot="1" x14ac:dyDescent="0.25">
      <c r="E8" s="35">
        <v>3</v>
      </c>
      <c r="F8" s="43">
        <v>10000</v>
      </c>
      <c r="G8" s="37">
        <v>9000</v>
      </c>
      <c r="I8" s="37">
        <f t="shared" si="4"/>
        <v>4000</v>
      </c>
      <c r="J8" s="185">
        <f>F$5/5</f>
        <v>5000</v>
      </c>
      <c r="K8" s="43">
        <f t="shared" si="12"/>
        <v>-2000</v>
      </c>
      <c r="M8" s="63">
        <f t="shared" si="5"/>
        <v>1000</v>
      </c>
      <c r="N8" s="63">
        <f>M8*C$6</f>
        <v>400</v>
      </c>
      <c r="O8" s="63">
        <f t="shared" si="7"/>
        <v>9400</v>
      </c>
      <c r="P8" s="63">
        <f>O7-G8</f>
        <v>4800</v>
      </c>
      <c r="R8" s="199">
        <v>3000</v>
      </c>
      <c r="S8" s="199">
        <v>5000</v>
      </c>
      <c r="T8" s="63">
        <f t="shared" si="8"/>
        <v>4800</v>
      </c>
      <c r="V8" s="43">
        <f>(G8)*C$5</f>
        <v>900</v>
      </c>
      <c r="W8" s="43">
        <f t="shared" ref="W8:W12" si="19">(N7)*$C$5</f>
        <v>80</v>
      </c>
      <c r="X8" s="95"/>
      <c r="Y8" s="43">
        <f t="shared" si="13"/>
        <v>14780</v>
      </c>
      <c r="AA8" s="37">
        <f t="shared" si="14"/>
        <v>12900</v>
      </c>
      <c r="AB8" s="155">
        <f t="shared" si="15"/>
        <v>8980</v>
      </c>
      <c r="AC8" s="8"/>
      <c r="AD8" s="24">
        <f t="shared" si="0"/>
        <v>0.75131480090157754</v>
      </c>
      <c r="AE8" s="1">
        <f t="shared" si="1"/>
        <v>9691.9609316303504</v>
      </c>
      <c r="AF8" s="8">
        <f t="shared" si="16"/>
        <v>35460.555972952658</v>
      </c>
      <c r="AH8" s="16">
        <f t="shared" si="9"/>
        <v>0.40211480362537733</v>
      </c>
      <c r="AI8" s="23">
        <f t="shared" si="17"/>
        <v>14259.21450151056</v>
      </c>
      <c r="AL8" s="24">
        <f t="shared" si="2"/>
        <v>0.75131480090157754</v>
      </c>
      <c r="AM8" s="1">
        <f t="shared" si="3"/>
        <v>6746.8069120961663</v>
      </c>
      <c r="AN8" s="8">
        <f t="shared" si="18"/>
        <v>26135.236664162279</v>
      </c>
      <c r="AP8" s="16">
        <f t="shared" si="10"/>
        <v>0.40211480362537733</v>
      </c>
      <c r="AQ8" s="23">
        <f t="shared" si="11"/>
        <v>10509.365558912377</v>
      </c>
    </row>
    <row r="9" spans="1:43" ht="17" thickBot="1" x14ac:dyDescent="0.25">
      <c r="E9" s="29">
        <v>4</v>
      </c>
      <c r="F9" s="43">
        <v>5000</v>
      </c>
      <c r="G9" s="37">
        <v>6000</v>
      </c>
      <c r="I9" s="37">
        <f t="shared" si="4"/>
        <v>3000</v>
      </c>
      <c r="J9" s="185">
        <f>F$5/5</f>
        <v>5000</v>
      </c>
      <c r="K9" s="43">
        <f t="shared" si="12"/>
        <v>-2000</v>
      </c>
      <c r="M9" s="76">
        <f>-(G9-F9)</f>
        <v>-1000</v>
      </c>
      <c r="N9" s="76">
        <f t="shared" si="6"/>
        <v>-400</v>
      </c>
      <c r="O9" s="76">
        <f t="shared" si="7"/>
        <v>5600</v>
      </c>
      <c r="P9" s="76">
        <f t="shared" ref="P9:P12" si="20">O8-G9</f>
        <v>3400</v>
      </c>
      <c r="R9" s="200">
        <v>3500</v>
      </c>
      <c r="S9" s="200">
        <v>6500</v>
      </c>
      <c r="T9" s="76">
        <f t="shared" si="8"/>
        <v>6000</v>
      </c>
      <c r="V9" s="43">
        <f t="shared" ref="V9:V12" si="21">(G9)*C$5</f>
        <v>600</v>
      </c>
      <c r="W9" s="43">
        <f t="shared" si="19"/>
        <v>40</v>
      </c>
      <c r="X9" s="95"/>
      <c r="Y9" s="43">
        <f t="shared" si="13"/>
        <v>10040</v>
      </c>
      <c r="AA9" s="37">
        <f t="shared" si="14"/>
        <v>13600</v>
      </c>
      <c r="AB9" s="148">
        <f t="shared" si="15"/>
        <v>7640</v>
      </c>
      <c r="AC9" s="8"/>
      <c r="AD9" s="24">
        <f t="shared" si="0"/>
        <v>0.68301345536507052</v>
      </c>
      <c r="AE9" s="1">
        <f t="shared" si="1"/>
        <v>9288.9829929649586</v>
      </c>
      <c r="AF9" s="8">
        <f t="shared" si="16"/>
        <v>44749.538965917614</v>
      </c>
      <c r="AH9" s="16">
        <f t="shared" si="9"/>
        <v>0.31547080370609765</v>
      </c>
      <c r="AI9" s="208">
        <f t="shared" si="17"/>
        <v>14117.173023055364</v>
      </c>
      <c r="AL9" s="24">
        <f t="shared" si="2"/>
        <v>0.68301345536507052</v>
      </c>
      <c r="AM9" s="1">
        <f t="shared" si="3"/>
        <v>5218.2227989891389</v>
      </c>
      <c r="AN9" s="8">
        <f t="shared" si="18"/>
        <v>31353.459463151419</v>
      </c>
      <c r="AP9" s="16">
        <f t="shared" si="10"/>
        <v>0.31547080370609765</v>
      </c>
      <c r="AQ9" s="208">
        <f t="shared" si="11"/>
        <v>9891.1010558069302</v>
      </c>
    </row>
    <row r="10" spans="1:43" ht="17" thickBot="1" x14ac:dyDescent="0.25">
      <c r="E10" s="35">
        <v>5</v>
      </c>
      <c r="F10" s="37">
        <v>0</v>
      </c>
      <c r="G10" s="37">
        <v>4000</v>
      </c>
      <c r="I10" s="37">
        <f t="shared" si="4"/>
        <v>2000</v>
      </c>
      <c r="J10" s="185">
        <f>F$5/5</f>
        <v>5000</v>
      </c>
      <c r="K10" s="43">
        <f t="shared" si="12"/>
        <v>-2000</v>
      </c>
      <c r="M10" s="63">
        <f>-(G10-F10)</f>
        <v>-4000</v>
      </c>
      <c r="N10" s="63">
        <f t="shared" si="6"/>
        <v>-1600</v>
      </c>
      <c r="O10" s="63">
        <f t="shared" si="7"/>
        <v>2400</v>
      </c>
      <c r="P10" s="63">
        <f t="shared" si="20"/>
        <v>1600</v>
      </c>
      <c r="R10" s="199">
        <v>4000</v>
      </c>
      <c r="S10" s="199">
        <v>8000</v>
      </c>
      <c r="T10" s="63">
        <f t="shared" si="8"/>
        <v>7200</v>
      </c>
      <c r="V10" s="43">
        <f t="shared" si="21"/>
        <v>400</v>
      </c>
      <c r="W10" s="43">
        <f t="shared" si="19"/>
        <v>-40</v>
      </c>
      <c r="X10" s="95"/>
      <c r="Y10" s="43">
        <f t="shared" si="13"/>
        <v>5960</v>
      </c>
      <c r="AA10" s="37">
        <f t="shared" si="14"/>
        <v>14400</v>
      </c>
      <c r="AB10" s="149">
        <f t="shared" si="15"/>
        <v>5560</v>
      </c>
      <c r="AC10" s="8"/>
      <c r="AD10" s="24">
        <f t="shared" si="0"/>
        <v>0.62092132305915493</v>
      </c>
      <c r="AE10" s="1">
        <f t="shared" si="1"/>
        <v>8941.2670520518313</v>
      </c>
      <c r="AF10" s="8">
        <f t="shared" si="16"/>
        <v>53690.806017969444</v>
      </c>
      <c r="AH10" s="16">
        <f t="shared" si="9"/>
        <v>0.26379748079474524</v>
      </c>
      <c r="AI10" s="207">
        <f t="shared" si="17"/>
        <v>14163.499369379686</v>
      </c>
      <c r="AJ10" s="64" t="s">
        <v>93</v>
      </c>
      <c r="AL10" s="24">
        <f t="shared" si="2"/>
        <v>0.62092132305915493</v>
      </c>
      <c r="AM10" s="1">
        <f t="shared" si="3"/>
        <v>3452.3225562089015</v>
      </c>
      <c r="AN10" s="8">
        <f t="shared" si="18"/>
        <v>34805.782019360318</v>
      </c>
      <c r="AP10" s="16">
        <f t="shared" si="10"/>
        <v>0.26379748079474524</v>
      </c>
      <c r="AQ10" s="32">
        <f t="shared" si="11"/>
        <v>9181.6776137982924</v>
      </c>
    </row>
    <row r="11" spans="1:43" ht="17" thickBot="1" x14ac:dyDescent="0.25">
      <c r="E11" s="29">
        <v>6</v>
      </c>
      <c r="F11" s="37"/>
      <c r="G11" s="37">
        <v>3000</v>
      </c>
      <c r="I11" s="37">
        <f t="shared" si="4"/>
        <v>1000</v>
      </c>
      <c r="J11" s="37"/>
      <c r="K11" s="37"/>
      <c r="M11" s="43">
        <f>-(G11-F11)</f>
        <v>-3000</v>
      </c>
      <c r="N11" s="43">
        <f t="shared" si="6"/>
        <v>-1200</v>
      </c>
      <c r="O11" s="43">
        <f t="shared" si="7"/>
        <v>1800</v>
      </c>
      <c r="P11" s="76">
        <f t="shared" si="20"/>
        <v>-600</v>
      </c>
      <c r="R11" s="200">
        <v>4500</v>
      </c>
      <c r="S11" s="200">
        <v>9500</v>
      </c>
      <c r="T11" s="76">
        <f t="shared" si="8"/>
        <v>8400</v>
      </c>
      <c r="V11" s="43">
        <f t="shared" si="21"/>
        <v>300</v>
      </c>
      <c r="W11" s="43">
        <f t="shared" si="19"/>
        <v>-160</v>
      </c>
      <c r="X11" s="95"/>
      <c r="Y11" s="43">
        <f t="shared" si="13"/>
        <v>2540</v>
      </c>
      <c r="AA11" s="37">
        <f t="shared" si="14"/>
        <v>15300</v>
      </c>
      <c r="AB11" s="148">
        <f t="shared" si="15"/>
        <v>6740</v>
      </c>
      <c r="AC11" s="8"/>
      <c r="AD11" s="24">
        <f t="shared" si="0"/>
        <v>0.56447393005377722</v>
      </c>
      <c r="AE11" s="1">
        <f t="shared" si="1"/>
        <v>8636.4511298227917</v>
      </c>
      <c r="AF11" s="8">
        <f t="shared" si="16"/>
        <v>62327.257147792232</v>
      </c>
      <c r="AH11" s="16">
        <f t="shared" si="9"/>
        <v>0.22960738036266726</v>
      </c>
      <c r="AI11" s="26">
        <f t="shared" si="17"/>
        <v>14310.798238894902</v>
      </c>
      <c r="AL11" s="24">
        <f t="shared" si="2"/>
        <v>0.56447393005377722</v>
      </c>
      <c r="AM11" s="1">
        <f t="shared" si="3"/>
        <v>3804.5542885624586</v>
      </c>
      <c r="AN11" s="8">
        <f t="shared" si="18"/>
        <v>38610.336307922778</v>
      </c>
      <c r="AP11" s="16">
        <f t="shared" si="10"/>
        <v>0.22960738036266726</v>
      </c>
      <c r="AQ11" s="209">
        <f t="shared" si="11"/>
        <v>8865.2181745837279</v>
      </c>
    </row>
    <row r="12" spans="1:43" ht="17" thickBot="1" x14ac:dyDescent="0.25">
      <c r="E12" s="138">
        <v>7</v>
      </c>
      <c r="F12" s="37"/>
      <c r="G12" s="37">
        <v>2500</v>
      </c>
      <c r="I12" s="37">
        <f t="shared" si="4"/>
        <v>500</v>
      </c>
      <c r="J12" s="37"/>
      <c r="K12" s="37"/>
      <c r="M12" s="63">
        <f t="shared" si="5"/>
        <v>-2500</v>
      </c>
      <c r="N12" s="63">
        <f t="shared" si="6"/>
        <v>-1000</v>
      </c>
      <c r="O12" s="63">
        <f t="shared" si="7"/>
        <v>1500</v>
      </c>
      <c r="P12" s="63">
        <f t="shared" si="20"/>
        <v>-700</v>
      </c>
      <c r="R12" s="199">
        <v>5000</v>
      </c>
      <c r="S12" s="199">
        <v>11000</v>
      </c>
      <c r="T12" s="63">
        <f t="shared" si="8"/>
        <v>9600</v>
      </c>
      <c r="V12" s="43">
        <f t="shared" si="21"/>
        <v>250</v>
      </c>
      <c r="W12" s="43">
        <f t="shared" si="19"/>
        <v>-120</v>
      </c>
      <c r="X12" s="95"/>
      <c r="Y12" s="43">
        <f t="shared" si="13"/>
        <v>1930</v>
      </c>
      <c r="AA12" s="37">
        <f t="shared" si="14"/>
        <v>16750</v>
      </c>
      <c r="AB12" s="148">
        <f t="shared" si="15"/>
        <v>8030</v>
      </c>
      <c r="AC12" s="8"/>
      <c r="AD12" s="24">
        <f t="shared" si="0"/>
        <v>0.51315811823070645</v>
      </c>
      <c r="AE12" s="1">
        <f t="shared" si="1"/>
        <v>8595.3984803643325</v>
      </c>
      <c r="AF12" s="8">
        <f t="shared" ref="AF12" si="22">AF11+AE12</f>
        <v>70922.655628156557</v>
      </c>
      <c r="AH12" s="16">
        <f t="shared" si="9"/>
        <v>0.20540549970059557</v>
      </c>
      <c r="AI12" s="26">
        <f t="shared" ref="AI12" si="23">AF12*AH12</f>
        <v>14567.903519394755</v>
      </c>
      <c r="AL12" s="24">
        <f t="shared" si="2"/>
        <v>0.51315811823070645</v>
      </c>
      <c r="AM12" s="1">
        <f t="shared" si="3"/>
        <v>4120.6596893925725</v>
      </c>
      <c r="AN12" s="8">
        <f t="shared" si="18"/>
        <v>42730.995997315353</v>
      </c>
      <c r="AP12" s="16">
        <f t="shared" si="10"/>
        <v>0.20540549970059557</v>
      </c>
      <c r="AQ12" s="26">
        <f t="shared" si="11"/>
        <v>8777.1815855327095</v>
      </c>
    </row>
    <row r="13" spans="1:43" x14ac:dyDescent="0.2">
      <c r="X13" s="95"/>
    </row>
    <row r="14" spans="1:43" x14ac:dyDescent="0.2">
      <c r="V14" s="95"/>
      <c r="W14" s="95"/>
      <c r="X14" s="95"/>
      <c r="Y14" s="5"/>
      <c r="AA14" s="64" t="s">
        <v>351</v>
      </c>
      <c r="AI14" t="s">
        <v>353</v>
      </c>
      <c r="AQ14" s="64" t="s">
        <v>351</v>
      </c>
    </row>
    <row r="15" spans="1:43" x14ac:dyDescent="0.2">
      <c r="AA15" s="64" t="s">
        <v>352</v>
      </c>
      <c r="AI15" t="s">
        <v>354</v>
      </c>
      <c r="AQ15" s="64" t="s">
        <v>355</v>
      </c>
    </row>
    <row r="23" spans="5:28" x14ac:dyDescent="0.2">
      <c r="AB23" s="150"/>
    </row>
    <row r="26" spans="5:28" x14ac:dyDescent="0.2">
      <c r="Y26" s="6" t="s">
        <v>327</v>
      </c>
    </row>
    <row r="27" spans="5:28" x14ac:dyDescent="0.2">
      <c r="E27" s="6" t="s">
        <v>222</v>
      </c>
      <c r="Y27" t="s">
        <v>617</v>
      </c>
    </row>
    <row r="28" spans="5:28" x14ac:dyDescent="0.2">
      <c r="E28" t="s">
        <v>225</v>
      </c>
    </row>
    <row r="29" spans="5:28" x14ac:dyDescent="0.2">
      <c r="F29" t="s">
        <v>228</v>
      </c>
      <c r="Y29" t="s">
        <v>326</v>
      </c>
    </row>
    <row r="30" spans="5:28" x14ac:dyDescent="0.2">
      <c r="E30" t="s">
        <v>229</v>
      </c>
      <c r="Y30" s="67" t="s">
        <v>234</v>
      </c>
    </row>
    <row r="31" spans="5:28" x14ac:dyDescent="0.2">
      <c r="E31" t="s">
        <v>230</v>
      </c>
      <c r="Y31" t="s">
        <v>325</v>
      </c>
    </row>
    <row r="32" spans="5:28" x14ac:dyDescent="0.2">
      <c r="F32" t="s">
        <v>226</v>
      </c>
    </row>
    <row r="33" spans="5:25" x14ac:dyDescent="0.2">
      <c r="F33" t="s">
        <v>227</v>
      </c>
    </row>
    <row r="34" spans="5:25" x14ac:dyDescent="0.2">
      <c r="Y34" s="6" t="s">
        <v>328</v>
      </c>
    </row>
    <row r="35" spans="5:25" x14ac:dyDescent="0.2">
      <c r="E35" s="58" t="s">
        <v>321</v>
      </c>
      <c r="Y35" t="s">
        <v>231</v>
      </c>
    </row>
    <row r="36" spans="5:25" x14ac:dyDescent="0.2">
      <c r="Y36" t="s">
        <v>614</v>
      </c>
    </row>
    <row r="37" spans="5:25" x14ac:dyDescent="0.2">
      <c r="E37" t="s">
        <v>613</v>
      </c>
    </row>
    <row r="38" spans="5:25" x14ac:dyDescent="0.2">
      <c r="G38" s="67"/>
      <c r="H38" s="67"/>
    </row>
    <row r="39" spans="5:25" x14ac:dyDescent="0.2">
      <c r="G39" s="13"/>
      <c r="H39" s="13"/>
      <c r="I39" s="67"/>
      <c r="K39" s="13"/>
      <c r="L39" s="13"/>
      <c r="O39" s="13"/>
    </row>
    <row r="40" spans="5:25" x14ac:dyDescent="0.2">
      <c r="G40" s="13"/>
      <c r="H40" s="13"/>
    </row>
  </sheetData>
  <mergeCells count="1">
    <mergeCell ref="R2:S2"/>
  </mergeCells>
  <pageMargins left="0.7" right="0.7" top="0.75" bottom="0.75" header="0.3" footer="0.3"/>
  <pageSetup orientation="portrait" r:id="rId1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B2:I26"/>
  <sheetViews>
    <sheetView workbookViewId="0">
      <selection activeCell="K21" sqref="K21"/>
    </sheetView>
  </sheetViews>
  <sheetFormatPr baseColWidth="10" defaultColWidth="8.83203125" defaultRowHeight="15" x14ac:dyDescent="0.2"/>
  <cols>
    <col min="1" max="1" width="3.5" customWidth="1"/>
    <col min="2" max="2" width="20.5" bestFit="1" customWidth="1"/>
    <col min="3" max="3" width="8.33203125" customWidth="1"/>
    <col min="7" max="7" width="13.5" bestFit="1" customWidth="1"/>
    <col min="8" max="8" width="4.1640625" customWidth="1"/>
  </cols>
  <sheetData>
    <row r="2" spans="2:9" x14ac:dyDescent="0.2">
      <c r="B2" s="97"/>
      <c r="C2" s="309" t="s">
        <v>618</v>
      </c>
      <c r="D2" s="309" t="s">
        <v>619</v>
      </c>
      <c r="E2" s="310" t="s">
        <v>620</v>
      </c>
      <c r="G2" s="311" t="s">
        <v>621</v>
      </c>
      <c r="I2" s="164" t="s">
        <v>622</v>
      </c>
    </row>
    <row r="3" spans="2:9" x14ac:dyDescent="0.2">
      <c r="B3" s="99"/>
      <c r="C3" s="3">
        <v>50</v>
      </c>
      <c r="D3" s="3">
        <v>120</v>
      </c>
      <c r="E3" s="219">
        <v>100</v>
      </c>
      <c r="G3" s="312"/>
      <c r="I3" s="164"/>
    </row>
    <row r="4" spans="2:9" x14ac:dyDescent="0.2">
      <c r="B4" s="99" t="s">
        <v>623</v>
      </c>
      <c r="C4" s="3">
        <f>0.5</f>
        <v>0.5</v>
      </c>
      <c r="D4" s="3">
        <v>2</v>
      </c>
      <c r="E4" s="219"/>
      <c r="G4" s="313">
        <v>1</v>
      </c>
      <c r="I4" s="314">
        <f>G4/C4</f>
        <v>2</v>
      </c>
    </row>
    <row r="5" spans="2:9" x14ac:dyDescent="0.2">
      <c r="B5" s="103" t="s">
        <v>624</v>
      </c>
      <c r="C5" s="50">
        <v>0.7</v>
      </c>
      <c r="D5" s="50"/>
      <c r="E5" s="220">
        <v>0.8</v>
      </c>
      <c r="G5" s="315">
        <v>2</v>
      </c>
      <c r="I5" s="314">
        <f>G5/C5</f>
        <v>2.8571428571428572</v>
      </c>
    </row>
    <row r="7" spans="2:9" x14ac:dyDescent="0.2">
      <c r="I7" s="164" t="s">
        <v>625</v>
      </c>
    </row>
    <row r="8" spans="2:9" x14ac:dyDescent="0.2">
      <c r="I8" s="164" t="s">
        <v>626</v>
      </c>
    </row>
    <row r="9" spans="2:9" x14ac:dyDescent="0.2">
      <c r="B9" s="104" t="s">
        <v>627</v>
      </c>
      <c r="C9" s="98"/>
      <c r="D9" s="98"/>
      <c r="E9" s="98"/>
      <c r="F9" s="51"/>
      <c r="I9" s="164" t="s">
        <v>628</v>
      </c>
    </row>
    <row r="10" spans="2:9" x14ac:dyDescent="0.2">
      <c r="B10" s="99" t="s">
        <v>629</v>
      </c>
      <c r="C10" s="3">
        <f>C3/C4</f>
        <v>100</v>
      </c>
      <c r="D10" s="3">
        <f>D3/D4</f>
        <v>60</v>
      </c>
      <c r="E10" s="3"/>
      <c r="F10" s="52"/>
      <c r="I10" s="3"/>
    </row>
    <row r="11" spans="2:9" x14ac:dyDescent="0.2">
      <c r="B11" s="99" t="s">
        <v>630</v>
      </c>
      <c r="C11" s="3"/>
      <c r="D11" s="3"/>
      <c r="E11" s="3"/>
      <c r="F11" s="316">
        <f>MIN(D10,C10)</f>
        <v>60</v>
      </c>
      <c r="H11" s="3"/>
      <c r="I11" s="3"/>
    </row>
    <row r="12" spans="2:9" x14ac:dyDescent="0.2">
      <c r="B12" s="99" t="s">
        <v>631</v>
      </c>
      <c r="C12" s="3">
        <f>60*C4</f>
        <v>30</v>
      </c>
      <c r="D12" s="3">
        <f>D10</f>
        <v>60</v>
      </c>
      <c r="E12" s="3"/>
      <c r="F12" s="52"/>
      <c r="H12" s="3"/>
      <c r="I12" s="3"/>
    </row>
    <row r="13" spans="2:9" x14ac:dyDescent="0.2">
      <c r="B13" s="99" t="s">
        <v>632</v>
      </c>
      <c r="C13" s="3">
        <f>C3-C12</f>
        <v>20</v>
      </c>
      <c r="D13" s="3"/>
      <c r="E13" s="3"/>
      <c r="F13" s="52"/>
      <c r="H13" s="3"/>
      <c r="I13" s="3"/>
    </row>
    <row r="14" spans="2:9" x14ac:dyDescent="0.2">
      <c r="B14" s="99" t="s">
        <v>633</v>
      </c>
      <c r="C14" s="317">
        <f>C13/C5</f>
        <v>28.571428571428573</v>
      </c>
      <c r="D14" s="3"/>
      <c r="E14" s="3">
        <f>E3/E5</f>
        <v>125</v>
      </c>
      <c r="F14" s="52"/>
      <c r="I14" s="3"/>
    </row>
    <row r="15" spans="2:9" x14ac:dyDescent="0.2">
      <c r="B15" s="99" t="s">
        <v>634</v>
      </c>
      <c r="C15" s="317"/>
      <c r="D15" s="3"/>
      <c r="E15" s="3"/>
      <c r="F15" s="318">
        <f>MIN(E14,C14)</f>
        <v>28.571428571428573</v>
      </c>
      <c r="H15" s="319"/>
      <c r="I15" s="3"/>
    </row>
    <row r="16" spans="2:9" x14ac:dyDescent="0.2">
      <c r="B16" s="99"/>
      <c r="C16" s="317"/>
      <c r="D16" s="3"/>
      <c r="E16" s="3"/>
      <c r="F16" s="52"/>
      <c r="H16" s="319"/>
      <c r="I16" s="3"/>
    </row>
    <row r="17" spans="2:9" x14ac:dyDescent="0.2">
      <c r="B17" s="103" t="s">
        <v>635</v>
      </c>
      <c r="C17" s="320"/>
      <c r="D17" s="50"/>
      <c r="E17" s="50"/>
      <c r="F17" s="321">
        <f>G4*F11+G5*F15</f>
        <v>117.14285714285714</v>
      </c>
      <c r="H17" s="3"/>
      <c r="I17" s="3"/>
    </row>
    <row r="18" spans="2:9" x14ac:dyDescent="0.2">
      <c r="C18" s="3"/>
      <c r="D18" s="3"/>
      <c r="E18" s="3"/>
      <c r="H18" s="3"/>
      <c r="I18" s="3"/>
    </row>
    <row r="19" spans="2:9" x14ac:dyDescent="0.2">
      <c r="B19" s="104" t="s">
        <v>636</v>
      </c>
      <c r="C19" s="322"/>
      <c r="D19" s="322"/>
      <c r="E19" s="322"/>
      <c r="F19" s="51"/>
      <c r="H19" s="3"/>
      <c r="I19" s="3"/>
    </row>
    <row r="20" spans="2:9" x14ac:dyDescent="0.2">
      <c r="B20" s="99" t="s">
        <v>633</v>
      </c>
      <c r="C20" s="317">
        <f>C3/C5</f>
        <v>71.428571428571431</v>
      </c>
      <c r="D20" s="3"/>
      <c r="E20" s="3">
        <f>E3/E5</f>
        <v>125</v>
      </c>
      <c r="F20" s="52"/>
      <c r="I20" s="3"/>
    </row>
    <row r="21" spans="2:9" x14ac:dyDescent="0.2">
      <c r="B21" s="99" t="s">
        <v>634</v>
      </c>
      <c r="C21" s="317"/>
      <c r="D21" s="3"/>
      <c r="E21" s="3"/>
      <c r="F21" s="323">
        <f>MIN(E20,C20)</f>
        <v>71.428571428571431</v>
      </c>
      <c r="I21" s="3"/>
    </row>
    <row r="22" spans="2:9" x14ac:dyDescent="0.2">
      <c r="B22" s="99" t="s">
        <v>632</v>
      </c>
      <c r="C22" s="317">
        <f>C20-F21</f>
        <v>0</v>
      </c>
      <c r="D22" s="3"/>
      <c r="E22" s="3"/>
      <c r="F22" s="52"/>
    </row>
    <row r="23" spans="2:9" x14ac:dyDescent="0.2">
      <c r="B23" s="99" t="s">
        <v>629</v>
      </c>
      <c r="C23" s="3">
        <f>C22/C4</f>
        <v>0</v>
      </c>
      <c r="E23" s="3"/>
      <c r="F23" s="52"/>
    </row>
    <row r="24" spans="2:9" x14ac:dyDescent="0.2">
      <c r="B24" s="99" t="s">
        <v>630</v>
      </c>
      <c r="C24" s="3"/>
      <c r="D24" s="3"/>
      <c r="E24" s="3"/>
      <c r="F24" s="316">
        <f>C23</f>
        <v>0</v>
      </c>
    </row>
    <row r="25" spans="2:9" x14ac:dyDescent="0.2">
      <c r="B25" s="99"/>
      <c r="C25" s="3"/>
      <c r="D25" s="3"/>
      <c r="E25" s="3"/>
      <c r="F25" s="52"/>
    </row>
    <row r="26" spans="2:9" x14ac:dyDescent="0.2">
      <c r="B26" s="103" t="s">
        <v>635</v>
      </c>
      <c r="C26" s="320"/>
      <c r="D26" s="50"/>
      <c r="E26" s="50"/>
      <c r="F26" s="321">
        <f>G4*C23+G5*F21</f>
        <v>142.85714285714286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P43"/>
  <sheetViews>
    <sheetView topLeftCell="A16" zoomScale="85" zoomScaleNormal="85" workbookViewId="0">
      <selection activeCell="D13" sqref="A11:D13"/>
    </sheetView>
  </sheetViews>
  <sheetFormatPr baseColWidth="10" defaultColWidth="8.83203125" defaultRowHeight="15" x14ac:dyDescent="0.2"/>
  <cols>
    <col min="2" max="2" width="6.1640625" customWidth="1"/>
    <col min="3" max="3" width="28.83203125" customWidth="1"/>
    <col min="4" max="4" width="30" customWidth="1"/>
    <col min="5" max="5" width="33" customWidth="1"/>
    <col min="7" max="8" width="3.1640625" customWidth="1"/>
    <col min="9" max="9" width="11.83203125" customWidth="1"/>
    <col min="10" max="10" width="12.5" bestFit="1" customWidth="1"/>
    <col min="14" max="14" width="17.83203125" customWidth="1"/>
    <col min="15" max="15" width="4.6640625" customWidth="1"/>
    <col min="16" max="16" width="3.1640625" customWidth="1"/>
  </cols>
  <sheetData>
    <row r="1" spans="1:16" ht="19" x14ac:dyDescent="0.25">
      <c r="A1" s="46" t="s">
        <v>75</v>
      </c>
      <c r="G1" s="47"/>
      <c r="I1" s="46" t="s">
        <v>76</v>
      </c>
      <c r="P1" s="47"/>
    </row>
    <row r="2" spans="1:16" ht="19" x14ac:dyDescent="0.25">
      <c r="A2" s="46"/>
      <c r="G2" s="47"/>
      <c r="I2" s="46"/>
      <c r="P2" s="47"/>
    </row>
    <row r="3" spans="1:16" x14ac:dyDescent="0.2">
      <c r="A3" s="48"/>
      <c r="B3" s="48" t="s">
        <v>77</v>
      </c>
      <c r="C3" s="49" t="s">
        <v>78</v>
      </c>
      <c r="D3" s="50" t="s">
        <v>79</v>
      </c>
      <c r="E3" s="50" t="s">
        <v>80</v>
      </c>
      <c r="G3" s="47"/>
      <c r="P3" s="47"/>
    </row>
    <row r="4" spans="1:16" x14ac:dyDescent="0.2">
      <c r="A4" s="51" t="s">
        <v>81</v>
      </c>
      <c r="G4" s="47"/>
      <c r="I4" t="s">
        <v>552</v>
      </c>
      <c r="P4" s="47"/>
    </row>
    <row r="5" spans="1:16" ht="54.75" customHeight="1" x14ac:dyDescent="0.2">
      <c r="A5" s="52" t="s">
        <v>78</v>
      </c>
      <c r="C5" s="47"/>
      <c r="G5" s="47"/>
      <c r="I5" s="292" t="s">
        <v>554</v>
      </c>
      <c r="P5" s="47"/>
    </row>
    <row r="6" spans="1:16" ht="60.75" customHeight="1" x14ac:dyDescent="0.2">
      <c r="A6" s="52" t="s">
        <v>82</v>
      </c>
      <c r="D6" s="47"/>
      <c r="G6" s="47"/>
      <c r="P6" s="47"/>
    </row>
    <row r="7" spans="1:16" ht="54.75" customHeight="1" x14ac:dyDescent="0.2">
      <c r="A7" s="52" t="s">
        <v>80</v>
      </c>
      <c r="E7" s="47"/>
      <c r="G7" s="47"/>
      <c r="P7" s="47"/>
    </row>
    <row r="8" spans="1:16" x14ac:dyDescent="0.2">
      <c r="G8" s="47"/>
      <c r="P8" s="47"/>
    </row>
    <row r="9" spans="1:16" x14ac:dyDescent="0.2">
      <c r="G9" s="47"/>
      <c r="P9" s="47"/>
    </row>
    <row r="10" spans="1:16" x14ac:dyDescent="0.2">
      <c r="G10" s="47"/>
      <c r="P10" s="47"/>
    </row>
    <row r="11" spans="1:16" x14ac:dyDescent="0.2">
      <c r="G11" s="47"/>
      <c r="P11" s="47"/>
    </row>
    <row r="12" spans="1:16" x14ac:dyDescent="0.2">
      <c r="G12" s="47"/>
      <c r="I12" t="s">
        <v>553</v>
      </c>
      <c r="P12" s="47"/>
    </row>
    <row r="13" spans="1:16" ht="24" x14ac:dyDescent="0.2">
      <c r="G13" s="47"/>
      <c r="I13" s="286" t="s">
        <v>536</v>
      </c>
      <c r="P13" s="47"/>
    </row>
    <row r="14" spans="1:16" x14ac:dyDescent="0.2">
      <c r="G14" s="47"/>
      <c r="P14" s="47"/>
    </row>
    <row r="15" spans="1:16" x14ac:dyDescent="0.2">
      <c r="G15" s="47"/>
      <c r="P15" s="47"/>
    </row>
    <row r="16" spans="1:16" ht="24" x14ac:dyDescent="0.3">
      <c r="G16" s="47"/>
      <c r="I16" s="285" t="s">
        <v>537</v>
      </c>
      <c r="P16" s="47"/>
    </row>
    <row r="17" spans="1:16" x14ac:dyDescent="0.2">
      <c r="G17" s="47"/>
      <c r="P17" s="47"/>
    </row>
    <row r="18" spans="1:16" x14ac:dyDescent="0.2">
      <c r="G18" s="47"/>
      <c r="P18" s="47"/>
    </row>
    <row r="19" spans="1:16" x14ac:dyDescent="0.2">
      <c r="G19" s="47"/>
      <c r="P19" s="47"/>
    </row>
    <row r="20" spans="1:16" x14ac:dyDescent="0.2">
      <c r="G20" s="47"/>
      <c r="P20" s="47"/>
    </row>
    <row r="21" spans="1:16" x14ac:dyDescent="0.2">
      <c r="G21" s="47"/>
      <c r="P21" s="47"/>
    </row>
    <row r="22" spans="1:16" x14ac:dyDescent="0.2">
      <c r="G22" s="47"/>
      <c r="J22" s="4"/>
      <c r="P22" s="47"/>
    </row>
    <row r="23" spans="1:16" x14ac:dyDescent="0.2">
      <c r="G23" s="47"/>
      <c r="P23" s="47"/>
    </row>
    <row r="24" spans="1:16" x14ac:dyDescent="0.2">
      <c r="G24" s="47"/>
      <c r="P24" s="47"/>
    </row>
    <row r="25" spans="1:16" x14ac:dyDescent="0.2">
      <c r="G25" s="47"/>
      <c r="P25" s="47"/>
    </row>
    <row r="26" spans="1:16" x14ac:dyDescent="0.2">
      <c r="G26" s="47"/>
      <c r="P26" s="47"/>
    </row>
    <row r="27" spans="1:16" x14ac:dyDescent="0.2">
      <c r="G27" s="47"/>
      <c r="P27" s="47"/>
    </row>
    <row r="28" spans="1:16" x14ac:dyDescent="0.2">
      <c r="G28" s="47"/>
      <c r="P28" s="47"/>
    </row>
    <row r="29" spans="1:16" x14ac:dyDescent="0.2">
      <c r="G29" s="47"/>
      <c r="P29" s="47"/>
    </row>
    <row r="30" spans="1:16" x14ac:dyDescent="0.2">
      <c r="G30" s="47"/>
      <c r="P30" s="47"/>
    </row>
    <row r="31" spans="1:16" x14ac:dyDescent="0.2">
      <c r="G31" s="47"/>
      <c r="P31" s="47"/>
    </row>
    <row r="32" spans="1:16" x14ac:dyDescent="0.2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</row>
    <row r="34" spans="9:13" ht="22" x14ac:dyDescent="0.2">
      <c r="I34" s="53" t="s">
        <v>83</v>
      </c>
    </row>
    <row r="36" spans="9:13" ht="29" x14ac:dyDescent="0.35">
      <c r="J36" s="54" t="s">
        <v>84</v>
      </c>
    </row>
    <row r="39" spans="9:13" x14ac:dyDescent="0.2">
      <c r="J39" t="s">
        <v>54</v>
      </c>
      <c r="K39" s="55">
        <v>1.4999999999999999E-2</v>
      </c>
      <c r="M39" s="7" t="s">
        <v>85</v>
      </c>
    </row>
    <row r="40" spans="9:13" x14ac:dyDescent="0.2">
      <c r="J40" t="s">
        <v>86</v>
      </c>
      <c r="K40" s="2">
        <v>0.02</v>
      </c>
      <c r="M40" s="7" t="s">
        <v>87</v>
      </c>
    </row>
    <row r="41" spans="9:13" x14ac:dyDescent="0.2">
      <c r="J41" s="7" t="s">
        <v>88</v>
      </c>
      <c r="M41" s="7" t="s">
        <v>89</v>
      </c>
    </row>
    <row r="43" spans="9:13" x14ac:dyDescent="0.2">
      <c r="K43">
        <f>(K39-K40)/(1+K40)</f>
        <v>-4.9019607843137263E-3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9"/>
  <sheetViews>
    <sheetView zoomScale="130" zoomScaleNormal="130" workbookViewId="0">
      <selection activeCell="J19" sqref="J19"/>
    </sheetView>
  </sheetViews>
  <sheetFormatPr baseColWidth="10" defaultColWidth="8.83203125" defaultRowHeight="15" x14ac:dyDescent="0.2"/>
  <cols>
    <col min="2" max="2" width="3.33203125" customWidth="1"/>
    <col min="3" max="3" width="5.1640625" bestFit="1" customWidth="1"/>
    <col min="4" max="4" width="10" customWidth="1"/>
    <col min="5" max="7" width="9.1640625" customWidth="1"/>
    <col min="8" max="8" width="9.6640625" customWidth="1"/>
    <col min="9" max="9" width="3.33203125" customWidth="1"/>
    <col min="10" max="10" width="13.1640625" customWidth="1"/>
    <col min="11" max="11" width="4.1640625" customWidth="1"/>
  </cols>
  <sheetData>
    <row r="1" spans="1:13" x14ac:dyDescent="0.2">
      <c r="A1" s="6" t="s">
        <v>398</v>
      </c>
    </row>
    <row r="2" spans="1:13" x14ac:dyDescent="0.2">
      <c r="H2" s="2">
        <v>0.1</v>
      </c>
    </row>
    <row r="3" spans="1:13" x14ac:dyDescent="0.2">
      <c r="C3" t="s">
        <v>4</v>
      </c>
      <c r="D3" t="s">
        <v>397</v>
      </c>
      <c r="E3" t="s">
        <v>396</v>
      </c>
      <c r="H3" t="s">
        <v>395</v>
      </c>
      <c r="J3" t="s">
        <v>394</v>
      </c>
    </row>
    <row r="4" spans="1:13" x14ac:dyDescent="0.2">
      <c r="C4">
        <v>0</v>
      </c>
      <c r="F4">
        <v>1</v>
      </c>
    </row>
    <row r="5" spans="1:13" x14ac:dyDescent="0.2">
      <c r="C5">
        <v>1</v>
      </c>
      <c r="D5" s="2">
        <v>0.05</v>
      </c>
      <c r="F5" s="214">
        <f t="shared" ref="F5:F17" si="0">F4/(1+D5)^C5</f>
        <v>0.95238095238095233</v>
      </c>
      <c r="H5" s="27">
        <f>F4*(1-D$5)*(1+H$2)</f>
        <v>1.0449999999999999</v>
      </c>
      <c r="J5" s="78">
        <f>M$5+D5+(M$5*D5)</f>
        <v>0.15500000000000003</v>
      </c>
      <c r="L5" s="7" t="s">
        <v>393</v>
      </c>
      <c r="M5" s="2">
        <v>0.1</v>
      </c>
    </row>
    <row r="6" spans="1:13" x14ac:dyDescent="0.2">
      <c r="C6">
        <v>2</v>
      </c>
      <c r="D6" s="2">
        <v>0.05</v>
      </c>
      <c r="F6" s="214">
        <f t="shared" si="0"/>
        <v>0.86383759853147601</v>
      </c>
      <c r="H6" s="27">
        <f>H5*(1-D$6)*(1+H$2)</f>
        <v>1.092025</v>
      </c>
      <c r="J6" s="78">
        <f t="shared" ref="J6:J17" si="1">M$5+D6+(M$5*D6)</f>
        <v>0.15500000000000003</v>
      </c>
    </row>
    <row r="7" spans="1:13" x14ac:dyDescent="0.2">
      <c r="C7">
        <v>3</v>
      </c>
      <c r="D7" s="2">
        <v>0.05</v>
      </c>
      <c r="F7" s="214">
        <f t="shared" si="0"/>
        <v>0.7462153966366275</v>
      </c>
      <c r="H7" s="27">
        <f t="shared" ref="H7:H17" si="2">H6*(1-D6)*(1+H$2)</f>
        <v>1.141166125</v>
      </c>
      <c r="J7" s="78">
        <f t="shared" si="1"/>
        <v>0.15500000000000003</v>
      </c>
      <c r="L7" t="s">
        <v>392</v>
      </c>
    </row>
    <row r="8" spans="1:13" x14ac:dyDescent="0.2">
      <c r="C8">
        <v>4</v>
      </c>
      <c r="D8" s="2">
        <v>0.05</v>
      </c>
      <c r="F8" s="214">
        <f t="shared" si="0"/>
        <v>0.61391325354075921</v>
      </c>
      <c r="H8" s="27">
        <f t="shared" si="2"/>
        <v>1.1925186006250001</v>
      </c>
      <c r="J8" s="78">
        <f t="shared" si="1"/>
        <v>0.15500000000000003</v>
      </c>
      <c r="L8" t="s">
        <v>391</v>
      </c>
    </row>
    <row r="9" spans="1:13" x14ac:dyDescent="0.2">
      <c r="C9">
        <v>5</v>
      </c>
      <c r="D9" s="2">
        <v>0.05</v>
      </c>
      <c r="F9" s="214">
        <f t="shared" si="0"/>
        <v>0.48101709809097015</v>
      </c>
      <c r="H9" s="27">
        <f t="shared" si="2"/>
        <v>1.2461819376531251</v>
      </c>
      <c r="J9" s="78">
        <f t="shared" si="1"/>
        <v>0.15500000000000003</v>
      </c>
    </row>
    <row r="10" spans="1:13" x14ac:dyDescent="0.2">
      <c r="C10">
        <v>6</v>
      </c>
      <c r="D10" s="55">
        <v>7.4999999999999997E-2</v>
      </c>
      <c r="F10" s="214">
        <f t="shared" si="0"/>
        <v>0.3116805692867608</v>
      </c>
      <c r="H10" s="27">
        <f t="shared" si="2"/>
        <v>1.3022601248475159</v>
      </c>
      <c r="J10" s="78">
        <f t="shared" si="1"/>
        <v>0.1825</v>
      </c>
    </row>
    <row r="11" spans="1:13" x14ac:dyDescent="0.2">
      <c r="C11">
        <v>7</v>
      </c>
      <c r="D11" s="55">
        <v>7.4999999999999997E-2</v>
      </c>
      <c r="F11" s="214">
        <f t="shared" si="0"/>
        <v>0.1878669906522373</v>
      </c>
      <c r="H11" s="27">
        <f t="shared" si="2"/>
        <v>1.3250496770323477</v>
      </c>
      <c r="J11" s="78">
        <f t="shared" si="1"/>
        <v>0.1825</v>
      </c>
    </row>
    <row r="12" spans="1:13" x14ac:dyDescent="0.2">
      <c r="C12">
        <v>8</v>
      </c>
      <c r="D12" s="55">
        <v>7.4999999999999997E-2</v>
      </c>
      <c r="F12" s="214">
        <f t="shared" si="0"/>
        <v>0.10533744123960265</v>
      </c>
      <c r="H12" s="27">
        <f t="shared" si="2"/>
        <v>1.3482380463804138</v>
      </c>
      <c r="J12" s="78">
        <f t="shared" si="1"/>
        <v>0.1825</v>
      </c>
    </row>
    <row r="13" spans="1:13" x14ac:dyDescent="0.2">
      <c r="C13">
        <v>9</v>
      </c>
      <c r="D13" s="55">
        <v>0.03</v>
      </c>
      <c r="F13" s="214">
        <f t="shared" si="0"/>
        <v>8.0732377508295067E-2</v>
      </c>
      <c r="H13" s="27">
        <f t="shared" si="2"/>
        <v>1.371832212192071</v>
      </c>
      <c r="J13" s="78">
        <f t="shared" si="1"/>
        <v>0.13300000000000001</v>
      </c>
    </row>
    <row r="14" spans="1:13" x14ac:dyDescent="0.2">
      <c r="C14">
        <v>10</v>
      </c>
      <c r="D14" s="55">
        <v>0.03</v>
      </c>
      <c r="F14" s="214">
        <f t="shared" si="0"/>
        <v>6.0072470839067603E-2</v>
      </c>
      <c r="H14" s="27">
        <f t="shared" si="2"/>
        <v>1.4637449704089398</v>
      </c>
      <c r="J14" s="78">
        <f t="shared" si="1"/>
        <v>0.13300000000000001</v>
      </c>
    </row>
    <row r="15" spans="1:13" x14ac:dyDescent="0.2">
      <c r="C15">
        <v>11</v>
      </c>
      <c r="D15" s="55">
        <v>0.03</v>
      </c>
      <c r="F15" s="214">
        <f t="shared" si="0"/>
        <v>4.339763107200114E-2</v>
      </c>
      <c r="H15" s="27">
        <f t="shared" si="2"/>
        <v>1.5618158834263389</v>
      </c>
      <c r="J15" s="78">
        <f t="shared" si="1"/>
        <v>0.13300000000000001</v>
      </c>
    </row>
    <row r="16" spans="1:13" x14ac:dyDescent="0.2">
      <c r="C16">
        <v>12</v>
      </c>
      <c r="D16" s="55">
        <v>0.03</v>
      </c>
      <c r="F16" s="214">
        <f t="shared" si="0"/>
        <v>3.043822528193901E-2</v>
      </c>
      <c r="H16" s="27">
        <f t="shared" si="2"/>
        <v>1.6664575476159036</v>
      </c>
      <c r="J16" s="78">
        <f t="shared" si="1"/>
        <v>0.13300000000000001</v>
      </c>
    </row>
    <row r="17" spans="3:10" x14ac:dyDescent="0.2">
      <c r="C17">
        <v>13</v>
      </c>
      <c r="D17" s="55">
        <v>0.03</v>
      </c>
      <c r="F17" s="214">
        <f t="shared" si="0"/>
        <v>2.0726950292750596E-2</v>
      </c>
      <c r="H17" s="27">
        <f t="shared" si="2"/>
        <v>1.7781102033061693</v>
      </c>
      <c r="J17" s="78">
        <f t="shared" si="1"/>
        <v>0.13300000000000001</v>
      </c>
    </row>
    <row r="19" spans="3:10" x14ac:dyDescent="0.2">
      <c r="J19" t="s">
        <v>390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12"/>
  <sheetViews>
    <sheetView zoomScale="145" zoomScaleNormal="145" workbookViewId="0">
      <selection activeCell="F21" sqref="F21"/>
    </sheetView>
  </sheetViews>
  <sheetFormatPr baseColWidth="10" defaultColWidth="8.83203125" defaultRowHeight="15" x14ac:dyDescent="0.2"/>
  <cols>
    <col min="1" max="1" width="37" customWidth="1"/>
    <col min="2" max="2" width="11.1640625" customWidth="1"/>
    <col min="3" max="3" width="3.5" customWidth="1"/>
    <col min="4" max="4" width="6.83203125" customWidth="1"/>
    <col min="11" max="11" width="13.1640625" customWidth="1"/>
  </cols>
  <sheetData>
    <row r="1" spans="1:11" x14ac:dyDescent="0.2">
      <c r="A1" s="205" t="s">
        <v>405</v>
      </c>
    </row>
    <row r="2" spans="1:11" x14ac:dyDescent="0.2">
      <c r="A2" s="205"/>
    </row>
    <row r="3" spans="1:11" x14ac:dyDescent="0.2">
      <c r="A3" t="s">
        <v>584</v>
      </c>
      <c r="D3" s="220" t="s">
        <v>404</v>
      </c>
      <c r="E3" s="50" t="s">
        <v>54</v>
      </c>
      <c r="F3" s="50" t="s">
        <v>86</v>
      </c>
      <c r="G3" s="50" t="s">
        <v>88</v>
      </c>
      <c r="H3" s="50" t="s">
        <v>403</v>
      </c>
      <c r="I3" s="50" t="s">
        <v>80</v>
      </c>
    </row>
    <row r="4" spans="1:11" x14ac:dyDescent="0.2">
      <c r="A4" t="s">
        <v>585</v>
      </c>
      <c r="D4" s="219">
        <v>0</v>
      </c>
      <c r="H4" s="147">
        <v>100</v>
      </c>
      <c r="I4" s="147">
        <v>100</v>
      </c>
    </row>
    <row r="5" spans="1:11" x14ac:dyDescent="0.2">
      <c r="A5" t="s">
        <v>587</v>
      </c>
      <c r="D5" s="219">
        <v>1</v>
      </c>
      <c r="E5" s="218">
        <v>0.05</v>
      </c>
      <c r="F5" s="93">
        <v>0.03</v>
      </c>
      <c r="G5" s="55">
        <f>(E5-F5)/(1+F5)</f>
        <v>1.9417475728155342E-2</v>
      </c>
      <c r="H5" s="216">
        <f>H4*(1+G5)</f>
        <v>101.94174757281553</v>
      </c>
      <c r="I5" s="216">
        <f>I4*(1+E5)</f>
        <v>105</v>
      </c>
      <c r="K5" s="55"/>
    </row>
    <row r="6" spans="1:11" x14ac:dyDescent="0.2">
      <c r="A6" t="s">
        <v>586</v>
      </c>
      <c r="D6" s="219">
        <v>2</v>
      </c>
      <c r="E6" s="218">
        <v>4.4999999999999998E-2</v>
      </c>
      <c r="F6" s="217">
        <v>2.5000000000000001E-2</v>
      </c>
      <c r="G6" s="55">
        <f>(E6-F6)/(1+F6)</f>
        <v>1.9512195121951219E-2</v>
      </c>
      <c r="H6" s="216">
        <f>H5*(1+G6)</f>
        <v>103.930854842529</v>
      </c>
      <c r="I6" s="216">
        <f>I5*(1+E6)</f>
        <v>109.72499999999999</v>
      </c>
      <c r="K6" s="55"/>
    </row>
    <row r="7" spans="1:11" x14ac:dyDescent="0.2">
      <c r="A7" t="s">
        <v>588</v>
      </c>
      <c r="D7" s="219">
        <v>3</v>
      </c>
      <c r="E7" s="218">
        <v>5.5E-2</v>
      </c>
      <c r="F7" s="217">
        <v>3.5000000000000003E-2</v>
      </c>
      <c r="G7" s="55">
        <f>(E7-F7)/(1+F7)</f>
        <v>1.932367149758454E-2</v>
      </c>
      <c r="H7" s="298">
        <f>H6*(1+G7)</f>
        <v>105.93918053996919</v>
      </c>
      <c r="I7" s="298">
        <f>I6*(1+E7)</f>
        <v>115.75987499999999</v>
      </c>
      <c r="K7" s="215">
        <f>((I7/(1+F7))/(1+F6))/(1+F5)</f>
        <v>105.93918053996919</v>
      </c>
    </row>
    <row r="8" spans="1:11" x14ac:dyDescent="0.2">
      <c r="A8" t="s">
        <v>589</v>
      </c>
    </row>
    <row r="9" spans="1:11" x14ac:dyDescent="0.2">
      <c r="D9" t="s">
        <v>402</v>
      </c>
    </row>
    <row r="10" spans="1:11" x14ac:dyDescent="0.2">
      <c r="A10" t="s">
        <v>590</v>
      </c>
      <c r="D10" t="s">
        <v>401</v>
      </c>
    </row>
    <row r="11" spans="1:11" x14ac:dyDescent="0.2">
      <c r="A11" t="s">
        <v>591</v>
      </c>
      <c r="D11" t="s">
        <v>400</v>
      </c>
    </row>
    <row r="12" spans="1:11" x14ac:dyDescent="0.2">
      <c r="A12" t="s">
        <v>592</v>
      </c>
      <c r="D12" t="s">
        <v>399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C157"/>
  <sheetViews>
    <sheetView topLeftCell="J7" zoomScaleNormal="100" workbookViewId="0">
      <selection activeCell="V15" sqref="V15"/>
    </sheetView>
  </sheetViews>
  <sheetFormatPr baseColWidth="10" defaultColWidth="8.83203125" defaultRowHeight="15" x14ac:dyDescent="0.2"/>
  <cols>
    <col min="1" max="1" width="5.1640625" customWidth="1"/>
    <col min="2" max="2" width="32.5" bestFit="1" customWidth="1"/>
    <col min="3" max="3" width="12.5" customWidth="1"/>
    <col min="4" max="4" width="5.5" bestFit="1" customWidth="1"/>
    <col min="5" max="5" width="4.1640625" customWidth="1"/>
    <col min="7" max="7" width="12.6640625" customWidth="1"/>
    <col min="8" max="8" width="12.5" customWidth="1"/>
    <col min="9" max="9" width="15.6640625" bestFit="1" customWidth="1"/>
    <col min="10" max="10" width="4.33203125" customWidth="1"/>
    <col min="11" max="11" width="11.83203125" customWidth="1"/>
    <col min="12" max="12" width="3.83203125" customWidth="1"/>
    <col min="13" max="13" width="24.6640625" bestFit="1" customWidth="1"/>
    <col min="14" max="14" width="14.33203125" customWidth="1"/>
    <col min="15" max="15" width="3.83203125" customWidth="1"/>
    <col min="17" max="17" width="12.6640625" customWidth="1"/>
    <col min="18" max="18" width="11.83203125" customWidth="1"/>
    <col min="19" max="19" width="15.6640625" bestFit="1" customWidth="1"/>
    <col min="20" max="20" width="15.6640625" customWidth="1"/>
    <col min="21" max="21" width="16.5" customWidth="1"/>
    <col min="22" max="22" width="11.83203125" customWidth="1"/>
    <col min="23" max="23" width="3.5" customWidth="1"/>
    <col min="25" max="25" width="10.5" customWidth="1"/>
    <col min="26" max="26" width="11.5" bestFit="1" customWidth="1"/>
    <col min="27" max="27" width="15.6640625" bestFit="1" customWidth="1"/>
    <col min="28" max="28" width="5" customWidth="1"/>
    <col min="29" max="29" width="10.5" customWidth="1"/>
  </cols>
  <sheetData>
    <row r="1" spans="1:24" ht="35.25" customHeight="1" x14ac:dyDescent="0.2">
      <c r="A1" s="205" t="s">
        <v>439</v>
      </c>
      <c r="C1" s="59"/>
      <c r="X1" t="s">
        <v>438</v>
      </c>
    </row>
    <row r="2" spans="1:24" x14ac:dyDescent="0.2">
      <c r="A2" s="205"/>
      <c r="B2" s="6" t="s">
        <v>437</v>
      </c>
      <c r="C2" t="s">
        <v>435</v>
      </c>
      <c r="M2" s="6" t="s">
        <v>436</v>
      </c>
      <c r="N2" t="s">
        <v>435</v>
      </c>
    </row>
    <row r="3" spans="1:24" x14ac:dyDescent="0.2">
      <c r="B3" s="6" t="s">
        <v>108</v>
      </c>
      <c r="C3" s="232"/>
      <c r="M3" s="6" t="s">
        <v>434</v>
      </c>
      <c r="P3" s="6" t="s">
        <v>433</v>
      </c>
    </row>
    <row r="4" spans="1:24" x14ac:dyDescent="0.2">
      <c r="B4" s="3"/>
      <c r="C4" s="210"/>
      <c r="P4" t="s">
        <v>432</v>
      </c>
      <c r="V4" s="236">
        <f>N10/12</f>
        <v>2.5000000000000001E-3</v>
      </c>
    </row>
    <row r="5" spans="1:24" x14ac:dyDescent="0.2">
      <c r="B5" t="s">
        <v>431</v>
      </c>
      <c r="C5" s="92">
        <v>1500</v>
      </c>
      <c r="D5" s="234"/>
      <c r="E5" t="s">
        <v>422</v>
      </c>
      <c r="P5" t="s">
        <v>430</v>
      </c>
      <c r="V5" s="235">
        <f>12*N9</f>
        <v>300</v>
      </c>
    </row>
    <row r="6" spans="1:24" x14ac:dyDescent="0.2">
      <c r="B6" t="s">
        <v>429</v>
      </c>
      <c r="C6" s="92">
        <v>1500</v>
      </c>
      <c r="D6" s="234"/>
      <c r="E6" t="s">
        <v>422</v>
      </c>
      <c r="P6" t="s">
        <v>428</v>
      </c>
      <c r="V6" s="235">
        <f>(N7-(N7*N8))</f>
        <v>297000</v>
      </c>
    </row>
    <row r="7" spans="1:24" x14ac:dyDescent="0.2">
      <c r="B7" t="s">
        <v>427</v>
      </c>
      <c r="C7" s="93">
        <v>0.05</v>
      </c>
      <c r="D7" s="234"/>
      <c r="E7" t="s">
        <v>422</v>
      </c>
      <c r="M7" t="s">
        <v>426</v>
      </c>
      <c r="N7" s="92">
        <v>330000</v>
      </c>
      <c r="P7" t="s">
        <v>425</v>
      </c>
      <c r="V7" s="5">
        <f>PMT(V4,V5,V6)</f>
        <v>-1408.4076021572889</v>
      </c>
    </row>
    <row r="8" spans="1:24" x14ac:dyDescent="0.2">
      <c r="D8" s="234"/>
      <c r="M8" t="s">
        <v>424</v>
      </c>
      <c r="N8" s="93">
        <v>0.1</v>
      </c>
    </row>
    <row r="9" spans="1:24" x14ac:dyDescent="0.2">
      <c r="B9" t="s">
        <v>423</v>
      </c>
      <c r="C9" s="92">
        <v>36000</v>
      </c>
      <c r="D9" s="234"/>
      <c r="E9" t="s">
        <v>422</v>
      </c>
      <c r="F9" s="6" t="s">
        <v>420</v>
      </c>
      <c r="M9" t="s">
        <v>421</v>
      </c>
      <c r="N9" s="233">
        <v>25</v>
      </c>
      <c r="P9" s="6" t="s">
        <v>420</v>
      </c>
    </row>
    <row r="10" spans="1:24" x14ac:dyDescent="0.2">
      <c r="B10" t="s">
        <v>419</v>
      </c>
      <c r="C10" s="93">
        <v>0.02</v>
      </c>
      <c r="F10" s="50" t="s">
        <v>9</v>
      </c>
      <c r="G10" s="232" t="s">
        <v>416</v>
      </c>
      <c r="H10" s="232" t="s">
        <v>418</v>
      </c>
      <c r="I10" s="232" t="s">
        <v>414</v>
      </c>
      <c r="J10" s="232"/>
      <c r="K10" s="84" t="s">
        <v>411</v>
      </c>
      <c r="M10" t="s">
        <v>417</v>
      </c>
      <c r="N10" s="93">
        <v>0.03</v>
      </c>
      <c r="P10" s="50" t="s">
        <v>9</v>
      </c>
      <c r="Q10" s="232" t="s">
        <v>416</v>
      </c>
      <c r="R10" s="232" t="s">
        <v>415</v>
      </c>
      <c r="S10" s="232" t="s">
        <v>414</v>
      </c>
      <c r="T10" s="232" t="s">
        <v>413</v>
      </c>
      <c r="U10" s="231" t="s">
        <v>412</v>
      </c>
      <c r="V10" s="84" t="s">
        <v>411</v>
      </c>
    </row>
    <row r="11" spans="1:24" x14ac:dyDescent="0.2">
      <c r="F11" s="3">
        <v>0</v>
      </c>
      <c r="G11" s="230"/>
      <c r="H11" s="230"/>
      <c r="I11" s="210"/>
      <c r="J11" s="210"/>
      <c r="K11" s="1">
        <f t="shared" ref="K11:K21" si="0">SUM(G11:J11)</f>
        <v>0</v>
      </c>
      <c r="P11" s="3">
        <v>0</v>
      </c>
      <c r="Q11" s="230"/>
      <c r="R11" s="230">
        <f>-N7*N8</f>
        <v>-33000</v>
      </c>
      <c r="S11" s="210"/>
      <c r="T11" s="210"/>
      <c r="U11" s="229"/>
      <c r="V11" s="1">
        <f>SUM(Q11:U11)</f>
        <v>-33000</v>
      </c>
    </row>
    <row r="12" spans="1:24" x14ac:dyDescent="0.2">
      <c r="F12" s="3">
        <v>1</v>
      </c>
      <c r="G12" s="226">
        <f>C9</f>
        <v>36000</v>
      </c>
      <c r="H12" s="226">
        <f>-C$5*12</f>
        <v>-18000</v>
      </c>
      <c r="I12" s="226">
        <f>-(C6)*12</f>
        <v>-18000</v>
      </c>
      <c r="J12" s="226"/>
      <c r="K12" s="1">
        <f>SUM(G12:J12)</f>
        <v>0</v>
      </c>
      <c r="P12" s="3">
        <v>1</v>
      </c>
      <c r="Q12" s="226">
        <f>C9</f>
        <v>36000</v>
      </c>
      <c r="R12" s="226">
        <f>V$7*12</f>
        <v>-16900.891225887466</v>
      </c>
      <c r="S12" s="226">
        <f>-(C6)*12</f>
        <v>-18000</v>
      </c>
      <c r="T12" s="226">
        <f t="shared" ref="T12:T21" si="1">R12+S12</f>
        <v>-34900.891225887462</v>
      </c>
      <c r="U12" s="228"/>
      <c r="V12" s="1">
        <f t="shared" ref="V12:V21" si="2">SUM(Q12:S12)</f>
        <v>1099.1087741125339</v>
      </c>
    </row>
    <row r="13" spans="1:24" x14ac:dyDescent="0.2">
      <c r="F13" s="3">
        <v>2</v>
      </c>
      <c r="G13" s="226">
        <f t="shared" ref="G13:G21" si="3">G12*(1+C$10)</f>
        <v>36720</v>
      </c>
      <c r="H13" s="226">
        <f>H12*(1+C$7)</f>
        <v>-18900</v>
      </c>
      <c r="I13" s="226">
        <f t="shared" ref="I13:I21" si="4">I12*(1+C$7)</f>
        <v>-18900</v>
      </c>
      <c r="J13" s="226"/>
      <c r="K13" s="1">
        <f t="shared" si="0"/>
        <v>-1080</v>
      </c>
      <c r="P13" s="3">
        <v>2</v>
      </c>
      <c r="Q13" s="226">
        <f t="shared" ref="Q13:Q21" si="5">Q12*(1+C$10)</f>
        <v>36720</v>
      </c>
      <c r="R13" s="226">
        <f t="shared" ref="R13:R21" si="6">V$7*12</f>
        <v>-16900.891225887466</v>
      </c>
      <c r="S13" s="226">
        <f t="shared" ref="S13:S21" si="7">S12*(1+C$7)</f>
        <v>-18900</v>
      </c>
      <c r="T13" s="226">
        <f t="shared" si="1"/>
        <v>-35800.891225887462</v>
      </c>
      <c r="U13" s="225">
        <f t="shared" ref="U13:U21" si="8">(T13/T12)-1</f>
        <v>2.5787307096972745E-2</v>
      </c>
      <c r="V13" s="1">
        <f t="shared" si="2"/>
        <v>919.10877411253387</v>
      </c>
    </row>
    <row r="14" spans="1:24" x14ac:dyDescent="0.2">
      <c r="F14" s="3">
        <v>3</v>
      </c>
      <c r="G14" s="226">
        <f t="shared" si="3"/>
        <v>37454.400000000001</v>
      </c>
      <c r="H14" s="226">
        <f t="shared" ref="H14:H21" si="9">H13*(1+C$7)</f>
        <v>-19845</v>
      </c>
      <c r="I14" s="226">
        <f t="shared" si="4"/>
        <v>-19845</v>
      </c>
      <c r="J14" s="226"/>
      <c r="K14" s="1">
        <f t="shared" si="0"/>
        <v>-2235.5999999999985</v>
      </c>
      <c r="P14" s="3">
        <v>3</v>
      </c>
      <c r="Q14" s="226">
        <f t="shared" si="5"/>
        <v>37454.400000000001</v>
      </c>
      <c r="R14" s="226">
        <f t="shared" si="6"/>
        <v>-16900.891225887466</v>
      </c>
      <c r="S14" s="226">
        <f t="shared" si="7"/>
        <v>-19845</v>
      </c>
      <c r="T14" s="226">
        <f t="shared" si="1"/>
        <v>-36745.891225887462</v>
      </c>
      <c r="U14" s="225">
        <f t="shared" si="8"/>
        <v>2.6395990927641444E-2</v>
      </c>
      <c r="V14" s="1">
        <f t="shared" si="2"/>
        <v>708.50877411253532</v>
      </c>
    </row>
    <row r="15" spans="1:24" x14ac:dyDescent="0.2">
      <c r="F15" s="3">
        <v>4</v>
      </c>
      <c r="G15" s="226">
        <f t="shared" si="3"/>
        <v>38203.488000000005</v>
      </c>
      <c r="H15" s="226">
        <f t="shared" si="9"/>
        <v>-20837.25</v>
      </c>
      <c r="I15" s="226">
        <f t="shared" si="4"/>
        <v>-20837.25</v>
      </c>
      <c r="J15" s="226"/>
      <c r="K15" s="1">
        <f t="shared" si="0"/>
        <v>-3471.0119999999952</v>
      </c>
      <c r="P15" s="3">
        <v>4</v>
      </c>
      <c r="Q15" s="226">
        <f t="shared" si="5"/>
        <v>38203.488000000005</v>
      </c>
      <c r="R15" s="226">
        <f t="shared" si="6"/>
        <v>-16900.891225887466</v>
      </c>
      <c r="S15" s="226">
        <f t="shared" si="7"/>
        <v>-20837.25</v>
      </c>
      <c r="T15" s="226">
        <f t="shared" si="1"/>
        <v>-37738.141225887462</v>
      </c>
      <c r="U15" s="225">
        <f t="shared" si="8"/>
        <v>2.7003019028722264E-2</v>
      </c>
      <c r="V15" s="1">
        <f t="shared" si="2"/>
        <v>465.3467741125387</v>
      </c>
    </row>
    <row r="16" spans="1:24" x14ac:dyDescent="0.2">
      <c r="F16" s="3">
        <v>5</v>
      </c>
      <c r="G16" s="226">
        <f t="shared" si="3"/>
        <v>38967.557760000003</v>
      </c>
      <c r="H16" s="226">
        <f t="shared" si="9"/>
        <v>-21879.112499999999</v>
      </c>
      <c r="I16" s="226">
        <f t="shared" si="4"/>
        <v>-21879.112499999999</v>
      </c>
      <c r="J16" s="226"/>
      <c r="K16" s="1">
        <f t="shared" si="0"/>
        <v>-4790.6672399999952</v>
      </c>
      <c r="P16" s="3">
        <v>5</v>
      </c>
      <c r="Q16" s="226">
        <f t="shared" si="5"/>
        <v>38967.557760000003</v>
      </c>
      <c r="R16" s="226">
        <f t="shared" si="6"/>
        <v>-16900.891225887466</v>
      </c>
      <c r="S16" s="226">
        <f t="shared" si="7"/>
        <v>-21879.112499999999</v>
      </c>
      <c r="T16" s="226">
        <f t="shared" si="1"/>
        <v>-38780.003725887465</v>
      </c>
      <c r="U16" s="225">
        <f t="shared" si="8"/>
        <v>2.7607679290926779E-2</v>
      </c>
      <c r="V16" s="1">
        <f t="shared" si="2"/>
        <v>187.55403411253792</v>
      </c>
    </row>
    <row r="17" spans="5:29" x14ac:dyDescent="0.2">
      <c r="F17" s="3">
        <v>6</v>
      </c>
      <c r="G17" s="226">
        <f t="shared" si="3"/>
        <v>39746.908915200002</v>
      </c>
      <c r="H17" s="226">
        <f t="shared" si="9"/>
        <v>-22973.068125000002</v>
      </c>
      <c r="I17" s="226">
        <f t="shared" si="4"/>
        <v>-22973.068125000002</v>
      </c>
      <c r="J17" s="226"/>
      <c r="K17" s="1">
        <f t="shared" si="0"/>
        <v>-6199.2273348000017</v>
      </c>
      <c r="P17" s="3">
        <v>6</v>
      </c>
      <c r="Q17" s="226">
        <f t="shared" si="5"/>
        <v>39746.908915200002</v>
      </c>
      <c r="R17" s="226">
        <f t="shared" si="6"/>
        <v>-16900.891225887466</v>
      </c>
      <c r="S17" s="226">
        <f t="shared" si="7"/>
        <v>-22973.068125000002</v>
      </c>
      <c r="T17" s="226">
        <f t="shared" si="1"/>
        <v>-39873.959350887468</v>
      </c>
      <c r="U17" s="225">
        <f t="shared" si="8"/>
        <v>2.8209270755426452E-2</v>
      </c>
      <c r="V17" s="1">
        <f t="shared" si="2"/>
        <v>-127.05043568746623</v>
      </c>
    </row>
    <row r="18" spans="5:29" x14ac:dyDescent="0.2">
      <c r="F18" s="3">
        <v>7</v>
      </c>
      <c r="G18" s="226">
        <f t="shared" si="3"/>
        <v>40541.847093504002</v>
      </c>
      <c r="H18" s="226">
        <f t="shared" si="9"/>
        <v>-24121.721531250001</v>
      </c>
      <c r="I18" s="226">
        <f t="shared" si="4"/>
        <v>-24121.721531250001</v>
      </c>
      <c r="J18" s="226"/>
      <c r="K18" s="1">
        <f t="shared" si="0"/>
        <v>-7701.595968996</v>
      </c>
      <c r="P18" s="3">
        <v>7</v>
      </c>
      <c r="Q18" s="226">
        <f t="shared" si="5"/>
        <v>40541.847093504002</v>
      </c>
      <c r="R18" s="226">
        <f t="shared" si="6"/>
        <v>-16900.891225887466</v>
      </c>
      <c r="S18" s="226">
        <f t="shared" si="7"/>
        <v>-24121.721531250001</v>
      </c>
      <c r="T18" s="226">
        <f t="shared" si="1"/>
        <v>-41022.612757137467</v>
      </c>
      <c r="U18" s="225">
        <f t="shared" si="8"/>
        <v>2.8807106817307693E-2</v>
      </c>
      <c r="V18" s="1">
        <f t="shared" si="2"/>
        <v>-480.76566363346501</v>
      </c>
    </row>
    <row r="19" spans="5:29" x14ac:dyDescent="0.2">
      <c r="F19" s="3">
        <v>8</v>
      </c>
      <c r="G19" s="226">
        <f t="shared" si="3"/>
        <v>41352.684035374084</v>
      </c>
      <c r="H19" s="226">
        <f t="shared" si="9"/>
        <v>-25327.807607812501</v>
      </c>
      <c r="I19" s="226">
        <f t="shared" si="4"/>
        <v>-25327.807607812501</v>
      </c>
      <c r="J19" s="226"/>
      <c r="K19" s="1">
        <f t="shared" si="0"/>
        <v>-9302.9311802509183</v>
      </c>
      <c r="P19" s="3">
        <v>8</v>
      </c>
      <c r="Q19" s="226">
        <f t="shared" si="5"/>
        <v>41352.684035374084</v>
      </c>
      <c r="R19" s="226">
        <f t="shared" si="6"/>
        <v>-16900.891225887466</v>
      </c>
      <c r="S19" s="226">
        <f t="shared" si="7"/>
        <v>-25327.807607812501</v>
      </c>
      <c r="T19" s="226">
        <f t="shared" si="1"/>
        <v>-42228.698833699964</v>
      </c>
      <c r="U19" s="225">
        <f t="shared" si="8"/>
        <v>2.9400518287384214E-2</v>
      </c>
      <c r="V19" s="1">
        <f t="shared" si="2"/>
        <v>-876.01479832588302</v>
      </c>
    </row>
    <row r="20" spans="5:29" x14ac:dyDescent="0.2">
      <c r="F20" s="3">
        <v>9</v>
      </c>
      <c r="G20" s="226">
        <f t="shared" si="3"/>
        <v>42179.737716081567</v>
      </c>
      <c r="H20" s="226">
        <f t="shared" si="9"/>
        <v>-26594.197988203126</v>
      </c>
      <c r="I20" s="226">
        <f t="shared" si="4"/>
        <v>-26594.197988203126</v>
      </c>
      <c r="J20" s="226"/>
      <c r="K20" s="1">
        <f t="shared" si="0"/>
        <v>-11008.658260324686</v>
      </c>
      <c r="P20" s="3">
        <v>9</v>
      </c>
      <c r="Q20" s="226">
        <f t="shared" si="5"/>
        <v>42179.737716081567</v>
      </c>
      <c r="R20" s="226">
        <f t="shared" si="6"/>
        <v>-16900.891225887466</v>
      </c>
      <c r="S20" s="226">
        <f t="shared" si="7"/>
        <v>-26594.197988203126</v>
      </c>
      <c r="T20" s="226">
        <f t="shared" si="1"/>
        <v>-43495.089214090593</v>
      </c>
      <c r="U20" s="225">
        <f t="shared" si="8"/>
        <v>2.9988856284153487E-2</v>
      </c>
      <c r="V20" s="1">
        <f t="shared" si="2"/>
        <v>-1315.3514980090258</v>
      </c>
    </row>
    <row r="21" spans="5:29" x14ac:dyDescent="0.2">
      <c r="F21" s="3">
        <v>10</v>
      </c>
      <c r="G21" s="226">
        <f t="shared" si="3"/>
        <v>43023.332470403198</v>
      </c>
      <c r="H21" s="226">
        <f t="shared" si="9"/>
        <v>-27923.907887613284</v>
      </c>
      <c r="I21" s="226">
        <f t="shared" si="4"/>
        <v>-27923.907887613284</v>
      </c>
      <c r="J21" s="227"/>
      <c r="K21" s="1">
        <f t="shared" si="0"/>
        <v>-12824.48330482337</v>
      </c>
      <c r="P21" s="3">
        <v>10</v>
      </c>
      <c r="Q21" s="226">
        <f t="shared" si="5"/>
        <v>43023.332470403198</v>
      </c>
      <c r="R21" s="226">
        <f t="shared" si="6"/>
        <v>-16900.891225887466</v>
      </c>
      <c r="S21" s="226">
        <f t="shared" si="7"/>
        <v>-27923.907887613284</v>
      </c>
      <c r="T21" s="226">
        <f t="shared" si="1"/>
        <v>-44824.799113500747</v>
      </c>
      <c r="U21" s="225">
        <f t="shared" si="8"/>
        <v>3.0571494930498488E-2</v>
      </c>
      <c r="V21" s="1">
        <f t="shared" si="2"/>
        <v>-1801.4666430975522</v>
      </c>
    </row>
    <row r="22" spans="5:29" x14ac:dyDescent="0.2">
      <c r="J22" s="1"/>
      <c r="U22" s="1"/>
    </row>
    <row r="23" spans="5:29" x14ac:dyDescent="0.2">
      <c r="F23" t="s">
        <v>282</v>
      </c>
      <c r="J23" s="1"/>
      <c r="K23" s="223">
        <f>SUM(K11:K21)</f>
        <v>-58614.175289194965</v>
      </c>
      <c r="P23" t="s">
        <v>282</v>
      </c>
      <c r="U23" s="224">
        <f>AVERAGE(U13:U21)</f>
        <v>2.8196804824337063E-2</v>
      </c>
      <c r="V23" s="223">
        <f>SUM(V11:V21)</f>
        <v>-34221.021908190713</v>
      </c>
    </row>
    <row r="25" spans="5:29" x14ac:dyDescent="0.2">
      <c r="F25" t="s">
        <v>410</v>
      </c>
      <c r="P25" t="s">
        <v>410</v>
      </c>
    </row>
    <row r="27" spans="5:29" ht="29" x14ac:dyDescent="0.35">
      <c r="G27" s="54" t="s">
        <v>84</v>
      </c>
      <c r="I27" s="222">
        <f>(C10-C7)/(1+C7)</f>
        <v>-2.8571428571428574E-2</v>
      </c>
      <c r="Q27" s="54" t="s">
        <v>84</v>
      </c>
      <c r="S27" s="222">
        <f>(C10-U23)/(1+U23)</f>
        <v>-7.9720193506509201E-3</v>
      </c>
      <c r="T27" s="222"/>
    </row>
    <row r="28" spans="5:29" x14ac:dyDescent="0.2">
      <c r="E28" s="221"/>
      <c r="H28" s="221"/>
      <c r="I28" s="221"/>
      <c r="J28" s="221"/>
      <c r="K28" s="221"/>
      <c r="L28" s="221"/>
      <c r="M28" s="221"/>
      <c r="N28" s="221"/>
      <c r="O28" s="221"/>
      <c r="R28" s="221"/>
      <c r="S28" s="221"/>
      <c r="T28" s="221"/>
      <c r="U28" s="221"/>
      <c r="V28" s="221"/>
      <c r="W28" s="221"/>
      <c r="X28" s="221"/>
      <c r="Y28" s="221"/>
      <c r="AA28" s="221"/>
      <c r="AB28" s="221"/>
      <c r="AC28" s="221"/>
    </row>
    <row r="29" spans="5:29" x14ac:dyDescent="0.2">
      <c r="E29" s="221"/>
      <c r="F29" t="s">
        <v>409</v>
      </c>
      <c r="G29" s="221"/>
      <c r="H29" s="221"/>
      <c r="I29" s="221"/>
      <c r="J29" s="221"/>
      <c r="K29" s="221"/>
      <c r="L29" s="221"/>
      <c r="M29" s="221"/>
      <c r="N29" s="221"/>
      <c r="O29" s="221"/>
      <c r="P29" t="s">
        <v>408</v>
      </c>
      <c r="Q29" s="221"/>
      <c r="R29" s="221"/>
      <c r="S29" s="221"/>
      <c r="T29" s="221"/>
      <c r="U29" s="221"/>
      <c r="V29" s="221"/>
      <c r="W29" s="221"/>
      <c r="X29" s="221"/>
      <c r="Y29" s="221"/>
      <c r="AA29" s="221"/>
      <c r="AB29" s="221"/>
      <c r="AC29" s="221"/>
    </row>
    <row r="30" spans="5:29" x14ac:dyDescent="0.2">
      <c r="E30" s="221"/>
      <c r="G30" t="s">
        <v>407</v>
      </c>
      <c r="H30" s="221"/>
      <c r="I30" s="221"/>
      <c r="J30" s="221"/>
      <c r="K30" s="221"/>
      <c r="L30" s="221"/>
      <c r="M30" s="221"/>
      <c r="N30" s="221"/>
      <c r="O30" s="221"/>
      <c r="P30" s="6" t="s">
        <v>406</v>
      </c>
      <c r="R30" s="221"/>
      <c r="S30" s="221"/>
      <c r="T30" s="221"/>
      <c r="U30" s="221"/>
      <c r="V30" s="221"/>
      <c r="W30" s="221"/>
      <c r="X30" s="221"/>
      <c r="Y30" s="221"/>
      <c r="AA30" s="221"/>
      <c r="AB30" s="221"/>
      <c r="AC30" s="221"/>
    </row>
    <row r="31" spans="5:29" x14ac:dyDescent="0.2">
      <c r="E31" s="221"/>
      <c r="F31" s="221"/>
      <c r="G31" s="221"/>
      <c r="H31" s="221"/>
      <c r="I31" s="221"/>
      <c r="J31" s="221"/>
      <c r="K31" s="221"/>
      <c r="L31" s="221"/>
      <c r="M31" s="221"/>
      <c r="N31" s="221"/>
      <c r="O31" s="221"/>
      <c r="P31" s="221"/>
      <c r="Q31" s="221"/>
      <c r="R31" s="221"/>
      <c r="S31" s="221"/>
      <c r="T31" s="221"/>
      <c r="U31" s="221"/>
      <c r="V31" s="221"/>
      <c r="W31" s="221"/>
      <c r="X31" s="221"/>
      <c r="Y31" s="221"/>
      <c r="AA31" s="221"/>
      <c r="AB31" s="221"/>
      <c r="AC31" s="221"/>
    </row>
    <row r="32" spans="5:29" x14ac:dyDescent="0.2">
      <c r="E32" s="221"/>
      <c r="F32" s="221"/>
      <c r="G32" s="221"/>
      <c r="H32" s="221"/>
      <c r="I32" s="221"/>
      <c r="J32" s="221"/>
      <c r="K32" s="221"/>
      <c r="L32" s="221"/>
      <c r="M32" s="221"/>
      <c r="N32" s="221"/>
      <c r="O32" s="221"/>
      <c r="P32" s="221"/>
      <c r="Q32" s="221"/>
      <c r="R32" s="221"/>
      <c r="S32" s="221"/>
      <c r="T32" s="221"/>
      <c r="U32" s="221"/>
      <c r="V32" s="221"/>
      <c r="W32" s="221"/>
      <c r="X32" s="221"/>
      <c r="Y32" s="221"/>
      <c r="AA32" s="221"/>
      <c r="AB32" s="221"/>
      <c r="AC32" s="221"/>
    </row>
    <row r="33" spans="5:29" x14ac:dyDescent="0.2">
      <c r="E33" s="221"/>
      <c r="F33" s="221"/>
      <c r="G33" s="221"/>
      <c r="H33" s="221"/>
      <c r="I33" s="221"/>
      <c r="J33" s="221"/>
      <c r="K33" s="221"/>
      <c r="L33" s="221"/>
      <c r="M33" s="221"/>
      <c r="N33" s="221"/>
      <c r="O33" s="221"/>
      <c r="P33" s="221"/>
      <c r="Q33" s="221"/>
      <c r="R33" s="221"/>
      <c r="S33" s="221"/>
      <c r="T33" s="221"/>
      <c r="U33" s="221"/>
      <c r="V33" s="221"/>
      <c r="W33" s="221"/>
      <c r="X33" s="221"/>
      <c r="Y33" s="221"/>
      <c r="AA33" s="221"/>
      <c r="AB33" s="221"/>
      <c r="AC33" s="221"/>
    </row>
    <row r="34" spans="5:29" x14ac:dyDescent="0.2">
      <c r="E34" s="221"/>
      <c r="F34" s="221"/>
      <c r="G34" s="221"/>
      <c r="H34" s="221"/>
      <c r="I34" s="221"/>
      <c r="J34" s="221"/>
      <c r="K34" s="221"/>
      <c r="L34" s="221"/>
      <c r="M34" s="221"/>
      <c r="N34" s="221"/>
      <c r="O34" s="221"/>
      <c r="P34" s="221"/>
      <c r="Q34" s="221"/>
      <c r="R34" s="221"/>
      <c r="S34" s="221"/>
      <c r="T34" s="221"/>
      <c r="U34" s="221"/>
      <c r="V34" s="221"/>
      <c r="W34" s="221"/>
      <c r="X34" s="221"/>
      <c r="Y34" s="221"/>
      <c r="AA34" s="221"/>
      <c r="AB34" s="221"/>
      <c r="AC34" s="221"/>
    </row>
    <row r="35" spans="5:29" x14ac:dyDescent="0.2">
      <c r="E35" s="221"/>
      <c r="F35" s="221"/>
      <c r="G35" s="221"/>
      <c r="H35" s="221"/>
      <c r="I35" s="221"/>
      <c r="J35" s="221"/>
      <c r="K35" s="221"/>
      <c r="L35" s="221"/>
      <c r="M35" s="221"/>
      <c r="N35" s="221"/>
      <c r="O35" s="221"/>
      <c r="P35" s="221"/>
      <c r="Q35" s="221"/>
      <c r="R35" s="221"/>
      <c r="S35" s="221"/>
      <c r="T35" s="221"/>
      <c r="U35" s="221"/>
      <c r="V35" s="221"/>
      <c r="W35" s="221"/>
      <c r="X35" s="221"/>
      <c r="Y35" s="221"/>
      <c r="AA35" s="221"/>
      <c r="AB35" s="221"/>
      <c r="AC35" s="221"/>
    </row>
    <row r="36" spans="5:29" x14ac:dyDescent="0.2">
      <c r="E36" s="221"/>
      <c r="F36" s="221"/>
      <c r="G36" s="221"/>
      <c r="H36" s="221"/>
      <c r="I36" s="221"/>
      <c r="J36" s="221"/>
      <c r="K36" s="221"/>
      <c r="L36" s="221"/>
      <c r="M36" s="221"/>
      <c r="N36" s="221"/>
      <c r="O36" s="221"/>
      <c r="P36" s="221"/>
      <c r="Q36" s="221"/>
      <c r="R36" s="221"/>
      <c r="S36" s="221"/>
      <c r="T36" s="221"/>
      <c r="U36" s="221"/>
      <c r="V36" s="221"/>
      <c r="W36" s="221"/>
      <c r="X36" s="221"/>
      <c r="Y36" s="221"/>
      <c r="AA36" s="221"/>
      <c r="AB36" s="221"/>
      <c r="AC36" s="221"/>
    </row>
    <row r="37" spans="5:29" x14ac:dyDescent="0.2">
      <c r="E37" s="221"/>
      <c r="F37" s="221"/>
      <c r="G37" s="221"/>
      <c r="H37" s="221"/>
      <c r="I37" s="221"/>
      <c r="J37" s="221"/>
      <c r="K37" s="221"/>
      <c r="L37" s="221"/>
      <c r="M37" s="221"/>
      <c r="N37" s="221"/>
      <c r="O37" s="221"/>
      <c r="P37" s="221"/>
      <c r="Q37" s="221"/>
      <c r="R37" s="221"/>
      <c r="S37" s="221"/>
      <c r="T37" s="221"/>
      <c r="U37" s="221"/>
      <c r="V37" s="221"/>
      <c r="W37" s="221"/>
      <c r="X37" s="221"/>
      <c r="Y37" s="221"/>
      <c r="AA37" s="221"/>
      <c r="AB37" s="221"/>
      <c r="AC37" s="221"/>
    </row>
    <row r="38" spans="5:29" x14ac:dyDescent="0.2">
      <c r="F38" s="221"/>
      <c r="G38" s="221"/>
      <c r="H38" s="221"/>
      <c r="I38" s="221"/>
      <c r="J38" s="221"/>
      <c r="P38" s="221"/>
      <c r="Q38" s="221"/>
      <c r="R38" s="221"/>
      <c r="S38" s="221"/>
      <c r="T38" s="221"/>
      <c r="U38" s="221"/>
    </row>
    <row r="39" spans="5:29" x14ac:dyDescent="0.2">
      <c r="F39" s="221"/>
      <c r="G39" s="221"/>
      <c r="H39" s="221"/>
      <c r="I39" s="221"/>
      <c r="J39" s="221"/>
      <c r="P39" s="221"/>
      <c r="Q39" s="221"/>
      <c r="R39" s="221"/>
      <c r="S39" s="221"/>
      <c r="T39" s="221"/>
      <c r="U39" s="221"/>
    </row>
    <row r="40" spans="5:29" x14ac:dyDescent="0.2">
      <c r="F40" s="221"/>
      <c r="G40" s="221"/>
      <c r="H40" s="221"/>
      <c r="I40" s="221"/>
      <c r="J40" s="221"/>
      <c r="P40" s="221"/>
      <c r="Q40" s="221"/>
      <c r="R40" s="221"/>
      <c r="S40" s="221"/>
      <c r="T40" s="221"/>
      <c r="U40" s="221"/>
    </row>
    <row r="41" spans="5:29" x14ac:dyDescent="0.2">
      <c r="F41" s="221"/>
      <c r="G41" s="221"/>
      <c r="H41" s="221"/>
      <c r="I41" s="221"/>
      <c r="J41" s="221"/>
      <c r="P41" s="221"/>
      <c r="Q41" s="221"/>
      <c r="R41" s="221"/>
      <c r="S41" s="221"/>
      <c r="T41" s="221"/>
      <c r="U41" s="221"/>
    </row>
    <row r="42" spans="5:29" x14ac:dyDescent="0.2">
      <c r="F42" s="221"/>
      <c r="G42" s="221"/>
      <c r="H42" s="221"/>
      <c r="I42" s="221"/>
      <c r="J42" s="221"/>
      <c r="P42" s="221"/>
      <c r="Q42" s="221"/>
      <c r="R42" s="221"/>
      <c r="S42" s="221"/>
      <c r="T42" s="221"/>
      <c r="U42" s="221"/>
    </row>
    <row r="43" spans="5:29" x14ac:dyDescent="0.2">
      <c r="F43" s="221"/>
      <c r="G43" s="221"/>
      <c r="H43" s="221"/>
      <c r="I43" s="221"/>
      <c r="J43" s="221"/>
      <c r="P43" s="221"/>
      <c r="Q43" s="221"/>
      <c r="R43" s="221"/>
      <c r="S43" s="221"/>
      <c r="T43" s="221"/>
      <c r="U43" s="221"/>
    </row>
    <row r="44" spans="5:29" x14ac:dyDescent="0.2">
      <c r="F44" s="221"/>
      <c r="G44" s="221"/>
      <c r="H44" s="221"/>
      <c r="I44" s="221"/>
      <c r="J44" s="221"/>
      <c r="P44" s="221"/>
      <c r="Q44" s="221"/>
      <c r="R44" s="221"/>
      <c r="S44" s="221"/>
      <c r="T44" s="221"/>
      <c r="U44" s="221"/>
    </row>
    <row r="45" spans="5:29" x14ac:dyDescent="0.2">
      <c r="F45" s="221"/>
      <c r="G45" s="221"/>
      <c r="H45" s="221"/>
      <c r="I45" s="221"/>
      <c r="J45" s="221"/>
      <c r="P45" s="221"/>
      <c r="Q45" s="221"/>
      <c r="R45" s="221"/>
      <c r="S45" s="221"/>
      <c r="T45" s="221"/>
      <c r="U45" s="221"/>
    </row>
    <row r="46" spans="5:29" x14ac:dyDescent="0.2">
      <c r="F46" s="221"/>
      <c r="G46" s="221"/>
      <c r="H46" s="221"/>
      <c r="I46" s="221"/>
      <c r="J46" s="221"/>
      <c r="P46" s="221"/>
      <c r="Q46" s="221"/>
      <c r="R46" s="221"/>
      <c r="S46" s="221"/>
      <c r="T46" s="221"/>
      <c r="U46" s="221"/>
    </row>
    <row r="47" spans="5:29" x14ac:dyDescent="0.2">
      <c r="F47" s="221"/>
      <c r="G47" s="221"/>
      <c r="H47" s="221"/>
      <c r="I47" s="221"/>
      <c r="J47" s="221"/>
      <c r="P47" s="221"/>
      <c r="Q47" s="221"/>
      <c r="R47" s="221"/>
      <c r="S47" s="221"/>
      <c r="T47" s="221"/>
      <c r="U47" s="221"/>
    </row>
    <row r="48" spans="5:29" x14ac:dyDescent="0.2">
      <c r="F48" s="221"/>
      <c r="G48" s="221"/>
      <c r="H48" s="221"/>
      <c r="I48" s="221"/>
      <c r="J48" s="221"/>
      <c r="P48" s="221"/>
      <c r="Q48" s="221"/>
      <c r="R48" s="221"/>
      <c r="S48" s="221"/>
      <c r="T48" s="221"/>
      <c r="U48" s="221"/>
    </row>
    <row r="49" spans="6:21" x14ac:dyDescent="0.2">
      <c r="F49" s="221"/>
      <c r="G49" s="221"/>
      <c r="H49" s="221"/>
      <c r="I49" s="221"/>
      <c r="J49" s="221"/>
      <c r="P49" s="221"/>
      <c r="Q49" s="221"/>
      <c r="R49" s="221"/>
      <c r="S49" s="221"/>
      <c r="T49" s="221"/>
      <c r="U49" s="221"/>
    </row>
    <row r="50" spans="6:21" x14ac:dyDescent="0.2">
      <c r="F50" s="221"/>
      <c r="G50" s="221"/>
      <c r="H50" s="221"/>
      <c r="I50" s="221"/>
      <c r="J50" s="221"/>
      <c r="P50" s="221"/>
      <c r="Q50" s="221"/>
      <c r="R50" s="221"/>
      <c r="S50" s="221"/>
      <c r="T50" s="221"/>
      <c r="U50" s="221"/>
    </row>
    <row r="51" spans="6:21" x14ac:dyDescent="0.2">
      <c r="F51" s="221"/>
      <c r="G51" s="221"/>
      <c r="H51" s="221"/>
      <c r="I51" s="221"/>
      <c r="J51" s="221"/>
      <c r="P51" s="221"/>
      <c r="Q51" s="221"/>
      <c r="R51" s="221"/>
      <c r="S51" s="221"/>
      <c r="T51" s="221"/>
      <c r="U51" s="221"/>
    </row>
    <row r="52" spans="6:21" x14ac:dyDescent="0.2">
      <c r="F52" s="221"/>
      <c r="G52" s="221"/>
      <c r="H52" s="221"/>
      <c r="I52" s="221"/>
      <c r="J52" s="221"/>
      <c r="P52" s="221"/>
      <c r="Q52" s="221"/>
      <c r="R52" s="221"/>
      <c r="S52" s="221"/>
      <c r="T52" s="221"/>
      <c r="U52" s="221"/>
    </row>
    <row r="53" spans="6:21" x14ac:dyDescent="0.2">
      <c r="F53" s="221"/>
      <c r="G53" s="221"/>
      <c r="H53" s="221"/>
      <c r="I53" s="221"/>
      <c r="J53" s="221"/>
      <c r="P53" s="221"/>
      <c r="Q53" s="221"/>
      <c r="R53" s="221"/>
      <c r="S53" s="221"/>
      <c r="T53" s="221"/>
      <c r="U53" s="221"/>
    </row>
    <row r="54" spans="6:21" x14ac:dyDescent="0.2">
      <c r="F54" s="221"/>
      <c r="G54" s="221"/>
      <c r="H54" s="221"/>
      <c r="I54" s="221"/>
      <c r="J54" s="221"/>
      <c r="P54" s="221"/>
      <c r="Q54" s="221"/>
      <c r="R54" s="221"/>
      <c r="S54" s="221"/>
      <c r="T54" s="221"/>
      <c r="U54" s="221"/>
    </row>
    <row r="55" spans="6:21" x14ac:dyDescent="0.2">
      <c r="F55" s="221"/>
      <c r="G55" s="221"/>
      <c r="H55" s="221"/>
      <c r="I55" s="221"/>
      <c r="J55" s="221"/>
      <c r="P55" s="221"/>
      <c r="Q55" s="221"/>
      <c r="R55" s="221"/>
      <c r="S55" s="221"/>
      <c r="T55" s="221"/>
      <c r="U55" s="221"/>
    </row>
    <row r="56" spans="6:21" x14ac:dyDescent="0.2">
      <c r="F56" s="221"/>
      <c r="G56" s="221"/>
      <c r="H56" s="221"/>
      <c r="I56" s="221"/>
      <c r="J56" s="221"/>
      <c r="P56" s="221"/>
      <c r="Q56" s="221"/>
      <c r="R56" s="221"/>
      <c r="S56" s="221"/>
      <c r="T56" s="221"/>
      <c r="U56" s="221"/>
    </row>
    <row r="57" spans="6:21" x14ac:dyDescent="0.2">
      <c r="F57" s="221"/>
      <c r="G57" s="221"/>
      <c r="H57" s="221"/>
      <c r="I57" s="221"/>
      <c r="J57" s="221"/>
      <c r="P57" s="221"/>
      <c r="Q57" s="221"/>
      <c r="R57" s="221"/>
      <c r="S57" s="221"/>
      <c r="T57" s="221"/>
      <c r="U57" s="221"/>
    </row>
    <row r="58" spans="6:21" x14ac:dyDescent="0.2">
      <c r="F58" s="221"/>
      <c r="G58" s="221"/>
      <c r="H58" s="221"/>
      <c r="I58" s="221"/>
      <c r="J58" s="221"/>
      <c r="P58" s="221"/>
      <c r="Q58" s="221"/>
      <c r="R58" s="221"/>
      <c r="S58" s="221"/>
      <c r="T58" s="221"/>
      <c r="U58" s="221"/>
    </row>
    <row r="59" spans="6:21" x14ac:dyDescent="0.2">
      <c r="F59" s="221"/>
      <c r="G59" s="221"/>
      <c r="H59" s="221"/>
      <c r="I59" s="221"/>
      <c r="J59" s="221"/>
      <c r="P59" s="221"/>
      <c r="Q59" s="221"/>
      <c r="R59" s="221"/>
      <c r="S59" s="221"/>
      <c r="T59" s="221"/>
      <c r="U59" s="221"/>
    </row>
    <row r="60" spans="6:21" x14ac:dyDescent="0.2">
      <c r="F60" s="221"/>
      <c r="G60" s="221"/>
      <c r="H60" s="221"/>
      <c r="I60" s="221"/>
      <c r="J60" s="221"/>
      <c r="P60" s="221"/>
      <c r="Q60" s="221"/>
      <c r="R60" s="221"/>
      <c r="S60" s="221"/>
      <c r="T60" s="221"/>
      <c r="U60" s="221"/>
    </row>
    <row r="61" spans="6:21" x14ac:dyDescent="0.2">
      <c r="F61" s="221"/>
      <c r="G61" s="221"/>
      <c r="H61" s="221"/>
      <c r="I61" s="221"/>
      <c r="J61" s="221"/>
      <c r="P61" s="221"/>
      <c r="Q61" s="221"/>
      <c r="R61" s="221"/>
      <c r="S61" s="221"/>
      <c r="T61" s="221"/>
      <c r="U61" s="221"/>
    </row>
    <row r="62" spans="6:21" x14ac:dyDescent="0.2">
      <c r="F62" s="221"/>
      <c r="G62" s="221"/>
      <c r="H62" s="221"/>
      <c r="I62" s="221"/>
      <c r="J62" s="221"/>
      <c r="P62" s="221"/>
      <c r="Q62" s="221"/>
      <c r="R62" s="221"/>
      <c r="S62" s="221"/>
      <c r="T62" s="221"/>
      <c r="U62" s="221"/>
    </row>
    <row r="63" spans="6:21" x14ac:dyDescent="0.2">
      <c r="F63" s="221"/>
      <c r="G63" s="221"/>
      <c r="H63" s="221"/>
      <c r="I63" s="221"/>
      <c r="J63" s="221"/>
      <c r="P63" s="221"/>
      <c r="Q63" s="221"/>
      <c r="R63" s="221"/>
      <c r="S63" s="221"/>
      <c r="T63" s="221"/>
      <c r="U63" s="221"/>
    </row>
    <row r="64" spans="6:21" x14ac:dyDescent="0.2">
      <c r="F64" s="221"/>
      <c r="G64" s="221"/>
      <c r="H64" s="221"/>
      <c r="I64" s="221"/>
      <c r="J64" s="221"/>
      <c r="P64" s="221"/>
      <c r="Q64" s="221"/>
      <c r="R64" s="221"/>
      <c r="S64" s="221"/>
      <c r="T64" s="221"/>
      <c r="U64" s="221"/>
    </row>
    <row r="65" spans="6:21" x14ac:dyDescent="0.2">
      <c r="F65" s="221"/>
      <c r="G65" s="221"/>
      <c r="H65" s="221"/>
      <c r="I65" s="221"/>
      <c r="J65" s="221"/>
      <c r="P65" s="221"/>
      <c r="Q65" s="221"/>
      <c r="R65" s="221"/>
      <c r="S65" s="221"/>
      <c r="T65" s="221"/>
      <c r="U65" s="221"/>
    </row>
    <row r="66" spans="6:21" x14ac:dyDescent="0.2">
      <c r="F66" s="221"/>
      <c r="G66" s="221"/>
      <c r="H66" s="221"/>
      <c r="I66" s="221"/>
      <c r="J66" s="221"/>
      <c r="P66" s="221"/>
      <c r="Q66" s="221"/>
      <c r="R66" s="221"/>
      <c r="S66" s="221"/>
      <c r="T66" s="221"/>
      <c r="U66" s="221"/>
    </row>
    <row r="67" spans="6:21" x14ac:dyDescent="0.2">
      <c r="F67" s="221"/>
      <c r="G67" s="221"/>
      <c r="H67" s="221"/>
      <c r="I67" s="221"/>
      <c r="J67" s="221"/>
      <c r="P67" s="221"/>
      <c r="Q67" s="221"/>
      <c r="R67" s="221"/>
      <c r="S67" s="221"/>
      <c r="T67" s="221"/>
      <c r="U67" s="221"/>
    </row>
    <row r="68" spans="6:21" x14ac:dyDescent="0.2">
      <c r="F68" s="221"/>
      <c r="G68" s="221"/>
      <c r="H68" s="221"/>
      <c r="I68" s="221"/>
      <c r="J68" s="221"/>
      <c r="P68" s="221"/>
      <c r="Q68" s="221"/>
      <c r="R68" s="221"/>
      <c r="S68" s="221"/>
      <c r="T68" s="221"/>
      <c r="U68" s="221"/>
    </row>
    <row r="69" spans="6:21" x14ac:dyDescent="0.2">
      <c r="F69" s="221"/>
      <c r="G69" s="221"/>
      <c r="H69" s="221"/>
      <c r="I69" s="221"/>
      <c r="J69" s="221"/>
      <c r="P69" s="221"/>
      <c r="Q69" s="221"/>
      <c r="R69" s="221"/>
      <c r="S69" s="221"/>
      <c r="T69" s="221"/>
      <c r="U69" s="221"/>
    </row>
    <row r="70" spans="6:21" x14ac:dyDescent="0.2">
      <c r="F70" s="221"/>
      <c r="G70" s="221"/>
      <c r="H70" s="221"/>
      <c r="I70" s="221"/>
      <c r="J70" s="221"/>
      <c r="P70" s="221"/>
      <c r="Q70" s="221"/>
      <c r="R70" s="221"/>
      <c r="S70" s="221"/>
      <c r="T70" s="221"/>
      <c r="U70" s="221"/>
    </row>
    <row r="71" spans="6:21" x14ac:dyDescent="0.2">
      <c r="F71" s="221"/>
      <c r="G71" s="221"/>
      <c r="H71" s="221"/>
      <c r="I71" s="221"/>
      <c r="J71" s="221"/>
      <c r="P71" s="221"/>
      <c r="Q71" s="221"/>
      <c r="R71" s="221"/>
      <c r="S71" s="221"/>
      <c r="T71" s="221"/>
      <c r="U71" s="221"/>
    </row>
    <row r="72" spans="6:21" x14ac:dyDescent="0.2">
      <c r="F72" s="221"/>
      <c r="G72" s="221"/>
      <c r="H72" s="221"/>
      <c r="I72" s="221"/>
      <c r="J72" s="221"/>
      <c r="P72" s="221"/>
      <c r="Q72" s="221"/>
      <c r="R72" s="221"/>
      <c r="S72" s="221"/>
      <c r="T72" s="221"/>
      <c r="U72" s="221"/>
    </row>
    <row r="73" spans="6:21" x14ac:dyDescent="0.2">
      <c r="F73" s="221"/>
      <c r="G73" s="221"/>
      <c r="H73" s="221"/>
      <c r="I73" s="221"/>
      <c r="J73" s="221"/>
      <c r="P73" s="221"/>
      <c r="Q73" s="221"/>
      <c r="R73" s="221"/>
      <c r="S73" s="221"/>
      <c r="T73" s="221"/>
      <c r="U73" s="221"/>
    </row>
    <row r="74" spans="6:21" x14ac:dyDescent="0.2">
      <c r="F74" s="221"/>
      <c r="G74" s="221"/>
      <c r="H74" s="221"/>
      <c r="I74" s="221"/>
      <c r="J74" s="221"/>
      <c r="P74" s="221"/>
      <c r="Q74" s="221"/>
      <c r="R74" s="221"/>
      <c r="S74" s="221"/>
      <c r="T74" s="221"/>
      <c r="U74" s="221"/>
    </row>
    <row r="75" spans="6:21" x14ac:dyDescent="0.2">
      <c r="F75" s="221"/>
      <c r="G75" s="221"/>
      <c r="H75" s="221"/>
      <c r="I75" s="221"/>
      <c r="J75" s="221"/>
      <c r="P75" s="221"/>
      <c r="Q75" s="221"/>
      <c r="R75" s="221"/>
      <c r="S75" s="221"/>
      <c r="T75" s="221"/>
      <c r="U75" s="221"/>
    </row>
    <row r="76" spans="6:21" x14ac:dyDescent="0.2">
      <c r="F76" s="221"/>
      <c r="G76" s="221"/>
      <c r="H76" s="221"/>
      <c r="I76" s="221"/>
      <c r="J76" s="221"/>
      <c r="P76" s="221"/>
      <c r="Q76" s="221"/>
      <c r="R76" s="221"/>
      <c r="S76" s="221"/>
      <c r="T76" s="221"/>
      <c r="U76" s="221"/>
    </row>
    <row r="77" spans="6:21" x14ac:dyDescent="0.2">
      <c r="F77" s="221"/>
      <c r="G77" s="221"/>
      <c r="H77" s="221"/>
      <c r="I77" s="221"/>
      <c r="J77" s="221"/>
      <c r="P77" s="221"/>
      <c r="Q77" s="221"/>
      <c r="R77" s="221"/>
      <c r="S77" s="221"/>
      <c r="T77" s="221"/>
      <c r="U77" s="221"/>
    </row>
    <row r="78" spans="6:21" x14ac:dyDescent="0.2">
      <c r="F78" s="221"/>
      <c r="G78" s="221"/>
      <c r="H78" s="221"/>
      <c r="I78" s="221"/>
      <c r="J78" s="221"/>
      <c r="P78" s="221"/>
      <c r="Q78" s="221"/>
      <c r="R78" s="221"/>
      <c r="S78" s="221"/>
      <c r="T78" s="221"/>
      <c r="U78" s="221"/>
    </row>
    <row r="79" spans="6:21" x14ac:dyDescent="0.2">
      <c r="F79" s="221"/>
      <c r="G79" s="221"/>
      <c r="H79" s="221"/>
      <c r="I79" s="221"/>
      <c r="J79" s="221"/>
      <c r="P79" s="221"/>
      <c r="Q79" s="221"/>
      <c r="R79" s="221"/>
      <c r="S79" s="221"/>
      <c r="T79" s="221"/>
      <c r="U79" s="221"/>
    </row>
    <row r="80" spans="6:21" x14ac:dyDescent="0.2">
      <c r="F80" s="221"/>
      <c r="G80" s="221"/>
      <c r="H80" s="221"/>
      <c r="I80" s="221"/>
      <c r="J80" s="221"/>
      <c r="P80" s="221"/>
      <c r="Q80" s="221"/>
      <c r="R80" s="221"/>
      <c r="S80" s="221"/>
      <c r="T80" s="221"/>
      <c r="U80" s="221"/>
    </row>
    <row r="81" spans="6:21" x14ac:dyDescent="0.2">
      <c r="F81" s="221"/>
      <c r="G81" s="221"/>
      <c r="H81" s="221"/>
      <c r="I81" s="221"/>
      <c r="J81" s="221"/>
      <c r="P81" s="221"/>
      <c r="Q81" s="221"/>
      <c r="R81" s="221"/>
      <c r="S81" s="221"/>
      <c r="T81" s="221"/>
      <c r="U81" s="221"/>
    </row>
    <row r="82" spans="6:21" x14ac:dyDescent="0.2">
      <c r="F82" s="221"/>
      <c r="G82" s="221"/>
      <c r="H82" s="221"/>
      <c r="I82" s="221"/>
      <c r="J82" s="221"/>
      <c r="P82" s="221"/>
      <c r="Q82" s="221"/>
      <c r="R82" s="221"/>
      <c r="S82" s="221"/>
      <c r="T82" s="221"/>
      <c r="U82" s="221"/>
    </row>
    <row r="83" spans="6:21" x14ac:dyDescent="0.2">
      <c r="F83" s="221"/>
      <c r="G83" s="221"/>
      <c r="H83" s="221"/>
      <c r="I83" s="221"/>
      <c r="J83" s="221"/>
      <c r="P83" s="221"/>
      <c r="Q83" s="221"/>
      <c r="R83" s="221"/>
      <c r="S83" s="221"/>
      <c r="T83" s="221"/>
      <c r="U83" s="221"/>
    </row>
    <row r="84" spans="6:21" x14ac:dyDescent="0.2">
      <c r="F84" s="221"/>
      <c r="G84" s="221"/>
      <c r="H84" s="221"/>
      <c r="I84" s="221"/>
      <c r="J84" s="221"/>
      <c r="P84" s="221"/>
      <c r="Q84" s="221"/>
      <c r="R84" s="221"/>
      <c r="S84" s="221"/>
      <c r="T84" s="221"/>
      <c r="U84" s="221"/>
    </row>
    <row r="85" spans="6:21" x14ac:dyDescent="0.2">
      <c r="F85" s="221"/>
      <c r="G85" s="221"/>
      <c r="H85" s="221"/>
      <c r="I85" s="221"/>
      <c r="J85" s="221"/>
      <c r="P85" s="221"/>
      <c r="Q85" s="221"/>
      <c r="R85" s="221"/>
      <c r="S85" s="221"/>
      <c r="T85" s="221"/>
      <c r="U85" s="221"/>
    </row>
    <row r="86" spans="6:21" x14ac:dyDescent="0.2">
      <c r="F86" s="221"/>
      <c r="G86" s="221"/>
      <c r="H86" s="221"/>
      <c r="I86" s="221"/>
      <c r="J86" s="221"/>
      <c r="P86" s="221"/>
      <c r="Q86" s="221"/>
      <c r="R86" s="221"/>
      <c r="S86" s="221"/>
      <c r="T86" s="221"/>
      <c r="U86" s="221"/>
    </row>
    <row r="87" spans="6:21" x14ac:dyDescent="0.2">
      <c r="F87" s="221"/>
      <c r="G87" s="221"/>
      <c r="H87" s="221"/>
      <c r="I87" s="221"/>
      <c r="J87" s="221"/>
      <c r="P87" s="221"/>
      <c r="Q87" s="221"/>
      <c r="R87" s="221"/>
      <c r="S87" s="221"/>
      <c r="T87" s="221"/>
      <c r="U87" s="221"/>
    </row>
    <row r="88" spans="6:21" x14ac:dyDescent="0.2">
      <c r="F88" s="221"/>
      <c r="G88" s="221"/>
      <c r="H88" s="221"/>
      <c r="I88" s="221"/>
      <c r="J88" s="221"/>
      <c r="P88" s="221"/>
      <c r="Q88" s="221"/>
      <c r="R88" s="221"/>
      <c r="S88" s="221"/>
      <c r="T88" s="221"/>
      <c r="U88" s="221"/>
    </row>
    <row r="89" spans="6:21" x14ac:dyDescent="0.2">
      <c r="F89" s="221"/>
      <c r="G89" s="221"/>
      <c r="H89" s="221"/>
      <c r="I89" s="221"/>
      <c r="J89" s="221"/>
      <c r="P89" s="221"/>
      <c r="Q89" s="221"/>
      <c r="R89" s="221"/>
      <c r="S89" s="221"/>
      <c r="T89" s="221"/>
      <c r="U89" s="221"/>
    </row>
    <row r="90" spans="6:21" x14ac:dyDescent="0.2">
      <c r="F90" s="221"/>
      <c r="G90" s="221"/>
      <c r="H90" s="221"/>
      <c r="I90" s="221"/>
      <c r="J90" s="221"/>
      <c r="P90" s="221"/>
      <c r="Q90" s="221"/>
      <c r="R90" s="221"/>
      <c r="S90" s="221"/>
      <c r="T90" s="221"/>
      <c r="U90" s="221"/>
    </row>
    <row r="91" spans="6:21" x14ac:dyDescent="0.2">
      <c r="F91" s="221"/>
      <c r="G91" s="221"/>
      <c r="H91" s="221"/>
      <c r="I91" s="221"/>
      <c r="J91" s="221"/>
      <c r="P91" s="221"/>
      <c r="Q91" s="221"/>
      <c r="R91" s="221"/>
      <c r="S91" s="221"/>
      <c r="T91" s="221"/>
      <c r="U91" s="221"/>
    </row>
    <row r="92" spans="6:21" x14ac:dyDescent="0.2">
      <c r="F92" s="221"/>
      <c r="G92" s="221"/>
      <c r="H92" s="221"/>
      <c r="I92" s="221"/>
      <c r="J92" s="221"/>
      <c r="P92" s="221"/>
      <c r="Q92" s="221"/>
      <c r="R92" s="221"/>
      <c r="S92" s="221"/>
      <c r="T92" s="221"/>
      <c r="U92" s="221"/>
    </row>
    <row r="93" spans="6:21" x14ac:dyDescent="0.2">
      <c r="F93" s="221"/>
      <c r="G93" s="221"/>
      <c r="H93" s="221"/>
      <c r="I93" s="221"/>
      <c r="J93" s="221"/>
      <c r="P93" s="221"/>
      <c r="Q93" s="221"/>
      <c r="R93" s="221"/>
      <c r="S93" s="221"/>
      <c r="T93" s="221"/>
      <c r="U93" s="221"/>
    </row>
    <row r="94" spans="6:21" x14ac:dyDescent="0.2">
      <c r="F94" s="221"/>
      <c r="G94" s="221"/>
      <c r="H94" s="221"/>
      <c r="I94" s="221"/>
      <c r="J94" s="221"/>
      <c r="P94" s="221"/>
      <c r="Q94" s="221"/>
      <c r="R94" s="221"/>
      <c r="S94" s="221"/>
      <c r="T94" s="221"/>
      <c r="U94" s="221"/>
    </row>
    <row r="95" spans="6:21" x14ac:dyDescent="0.2">
      <c r="F95" s="221"/>
      <c r="G95" s="221"/>
      <c r="H95" s="221"/>
      <c r="I95" s="221"/>
      <c r="J95" s="221"/>
      <c r="P95" s="221"/>
      <c r="Q95" s="221"/>
      <c r="R95" s="221"/>
      <c r="S95" s="221"/>
      <c r="T95" s="221"/>
      <c r="U95" s="221"/>
    </row>
    <row r="96" spans="6:21" x14ac:dyDescent="0.2">
      <c r="F96" s="221"/>
      <c r="G96" s="221"/>
      <c r="H96" s="221"/>
      <c r="I96" s="221"/>
      <c r="J96" s="221"/>
      <c r="P96" s="221"/>
      <c r="Q96" s="221"/>
      <c r="R96" s="221"/>
      <c r="S96" s="221"/>
      <c r="T96" s="221"/>
      <c r="U96" s="221"/>
    </row>
    <row r="97" spans="6:21" x14ac:dyDescent="0.2">
      <c r="F97" s="221"/>
      <c r="G97" s="221"/>
      <c r="H97" s="221"/>
      <c r="I97" s="221"/>
      <c r="J97" s="221"/>
      <c r="P97" s="221"/>
      <c r="Q97" s="221"/>
      <c r="R97" s="221"/>
      <c r="S97" s="221"/>
      <c r="T97" s="221"/>
      <c r="U97" s="221"/>
    </row>
    <row r="98" spans="6:21" x14ac:dyDescent="0.2">
      <c r="F98" s="221"/>
      <c r="G98" s="221"/>
      <c r="H98" s="221"/>
      <c r="I98" s="221"/>
      <c r="J98" s="221"/>
      <c r="P98" s="221"/>
      <c r="Q98" s="221"/>
      <c r="R98" s="221"/>
      <c r="S98" s="221"/>
      <c r="T98" s="221"/>
      <c r="U98" s="221"/>
    </row>
    <row r="99" spans="6:21" x14ac:dyDescent="0.2">
      <c r="F99" s="221"/>
      <c r="G99" s="221"/>
      <c r="H99" s="221"/>
      <c r="I99" s="221"/>
      <c r="J99" s="221"/>
      <c r="P99" s="221"/>
      <c r="Q99" s="221"/>
      <c r="R99" s="221"/>
      <c r="S99" s="221"/>
      <c r="T99" s="221"/>
      <c r="U99" s="221"/>
    </row>
    <row r="100" spans="6:21" x14ac:dyDescent="0.2">
      <c r="F100" s="221"/>
      <c r="G100" s="221"/>
      <c r="H100" s="221"/>
      <c r="I100" s="221"/>
      <c r="J100" s="221"/>
      <c r="P100" s="221"/>
      <c r="Q100" s="221"/>
      <c r="R100" s="221"/>
      <c r="S100" s="221"/>
      <c r="T100" s="221"/>
      <c r="U100" s="221"/>
    </row>
    <row r="101" spans="6:21" x14ac:dyDescent="0.2">
      <c r="F101" s="221"/>
      <c r="G101" s="221"/>
      <c r="H101" s="221"/>
      <c r="I101" s="221"/>
      <c r="J101" s="221"/>
      <c r="P101" s="221"/>
      <c r="Q101" s="221"/>
      <c r="R101" s="221"/>
      <c r="S101" s="221"/>
      <c r="T101" s="221"/>
      <c r="U101" s="221"/>
    </row>
    <row r="102" spans="6:21" x14ac:dyDescent="0.2">
      <c r="F102" s="221"/>
      <c r="G102" s="221"/>
      <c r="H102" s="221"/>
      <c r="I102" s="221"/>
      <c r="J102" s="221"/>
      <c r="P102" s="221"/>
      <c r="Q102" s="221"/>
      <c r="R102" s="221"/>
      <c r="S102" s="221"/>
      <c r="T102" s="221"/>
      <c r="U102" s="221"/>
    </row>
    <row r="103" spans="6:21" x14ac:dyDescent="0.2">
      <c r="F103" s="221"/>
      <c r="G103" s="221"/>
      <c r="H103" s="221"/>
      <c r="I103" s="221"/>
      <c r="J103" s="221"/>
      <c r="P103" s="221"/>
      <c r="Q103" s="221"/>
      <c r="R103" s="221"/>
      <c r="S103" s="221"/>
      <c r="T103" s="221"/>
      <c r="U103" s="221"/>
    </row>
    <row r="104" spans="6:21" x14ac:dyDescent="0.2">
      <c r="F104" s="221"/>
      <c r="G104" s="221"/>
      <c r="H104" s="221"/>
      <c r="I104" s="221"/>
      <c r="J104" s="221"/>
      <c r="P104" s="221"/>
      <c r="Q104" s="221"/>
      <c r="R104" s="221"/>
      <c r="S104" s="221"/>
      <c r="T104" s="221"/>
      <c r="U104" s="221"/>
    </row>
    <row r="105" spans="6:21" x14ac:dyDescent="0.2">
      <c r="F105" s="221"/>
      <c r="G105" s="221"/>
      <c r="H105" s="221"/>
      <c r="I105" s="221"/>
      <c r="J105" s="221"/>
      <c r="P105" s="221"/>
      <c r="Q105" s="221"/>
      <c r="R105" s="221"/>
      <c r="S105" s="221"/>
      <c r="T105" s="221"/>
      <c r="U105" s="221"/>
    </row>
    <row r="106" spans="6:21" x14ac:dyDescent="0.2">
      <c r="F106" s="221"/>
      <c r="G106" s="221"/>
      <c r="H106" s="221"/>
      <c r="I106" s="221"/>
      <c r="J106" s="221"/>
      <c r="P106" s="221"/>
      <c r="Q106" s="221"/>
      <c r="R106" s="221"/>
      <c r="S106" s="221"/>
      <c r="T106" s="221"/>
      <c r="U106" s="221"/>
    </row>
    <row r="107" spans="6:21" x14ac:dyDescent="0.2">
      <c r="F107" s="221"/>
      <c r="G107" s="221"/>
      <c r="H107" s="221"/>
      <c r="I107" s="221"/>
      <c r="J107" s="221"/>
      <c r="P107" s="221"/>
      <c r="Q107" s="221"/>
      <c r="R107" s="221"/>
      <c r="S107" s="221"/>
      <c r="T107" s="221"/>
      <c r="U107" s="221"/>
    </row>
    <row r="108" spans="6:21" x14ac:dyDescent="0.2">
      <c r="F108" s="221"/>
      <c r="G108" s="221"/>
      <c r="H108" s="221"/>
      <c r="I108" s="221"/>
      <c r="J108" s="221"/>
      <c r="P108" s="221"/>
      <c r="Q108" s="221"/>
      <c r="R108" s="221"/>
      <c r="S108" s="221"/>
      <c r="T108" s="221"/>
      <c r="U108" s="221"/>
    </row>
    <row r="109" spans="6:21" x14ac:dyDescent="0.2">
      <c r="F109" s="221"/>
      <c r="G109" s="221"/>
      <c r="H109" s="221"/>
      <c r="I109" s="221"/>
      <c r="J109" s="221"/>
      <c r="P109" s="221"/>
      <c r="Q109" s="221"/>
      <c r="R109" s="221"/>
      <c r="S109" s="221"/>
      <c r="T109" s="221"/>
      <c r="U109" s="221"/>
    </row>
    <row r="110" spans="6:21" x14ac:dyDescent="0.2">
      <c r="F110" s="221"/>
      <c r="G110" s="221"/>
      <c r="H110" s="221"/>
      <c r="I110" s="221"/>
      <c r="J110" s="221"/>
      <c r="P110" s="221"/>
      <c r="Q110" s="221"/>
      <c r="R110" s="221"/>
      <c r="S110" s="221"/>
      <c r="T110" s="221"/>
      <c r="U110" s="221"/>
    </row>
    <row r="111" spans="6:21" x14ac:dyDescent="0.2">
      <c r="F111" s="221"/>
      <c r="G111" s="221"/>
      <c r="H111" s="221"/>
      <c r="I111" s="221"/>
      <c r="J111" s="221"/>
      <c r="P111" s="221"/>
      <c r="Q111" s="221"/>
      <c r="R111" s="221"/>
      <c r="S111" s="221"/>
      <c r="T111" s="221"/>
      <c r="U111" s="221"/>
    </row>
    <row r="112" spans="6:21" x14ac:dyDescent="0.2">
      <c r="F112" s="221"/>
      <c r="G112" s="221"/>
      <c r="H112" s="221"/>
      <c r="I112" s="221"/>
      <c r="J112" s="221"/>
      <c r="P112" s="221"/>
      <c r="Q112" s="221"/>
      <c r="R112" s="221"/>
      <c r="S112" s="221"/>
      <c r="T112" s="221"/>
      <c r="U112" s="221"/>
    </row>
    <row r="113" spans="6:21" x14ac:dyDescent="0.2">
      <c r="F113" s="221"/>
      <c r="G113" s="221"/>
      <c r="H113" s="221"/>
      <c r="I113" s="221"/>
      <c r="J113" s="221"/>
      <c r="P113" s="221"/>
      <c r="Q113" s="221"/>
      <c r="R113" s="221"/>
      <c r="S113" s="221"/>
      <c r="T113" s="221"/>
      <c r="U113" s="221"/>
    </row>
    <row r="114" spans="6:21" x14ac:dyDescent="0.2">
      <c r="F114" s="221"/>
      <c r="G114" s="221"/>
      <c r="H114" s="221"/>
      <c r="I114" s="221"/>
      <c r="J114" s="221"/>
      <c r="P114" s="221"/>
      <c r="Q114" s="221"/>
      <c r="R114" s="221"/>
      <c r="S114" s="221"/>
      <c r="T114" s="221"/>
      <c r="U114" s="221"/>
    </row>
    <row r="115" spans="6:21" x14ac:dyDescent="0.2">
      <c r="F115" s="221"/>
      <c r="G115" s="221"/>
      <c r="H115" s="221"/>
      <c r="I115" s="221"/>
      <c r="J115" s="221"/>
      <c r="P115" s="221"/>
      <c r="Q115" s="221"/>
      <c r="R115" s="221"/>
      <c r="S115" s="221"/>
      <c r="T115" s="221"/>
      <c r="U115" s="221"/>
    </row>
    <row r="116" spans="6:21" x14ac:dyDescent="0.2">
      <c r="F116" s="221"/>
      <c r="G116" s="221"/>
      <c r="H116" s="221"/>
      <c r="I116" s="221"/>
      <c r="J116" s="221"/>
      <c r="P116" s="221"/>
      <c r="Q116" s="221"/>
      <c r="R116" s="221"/>
      <c r="S116" s="221"/>
      <c r="T116" s="221"/>
      <c r="U116" s="221"/>
    </row>
    <row r="117" spans="6:21" x14ac:dyDescent="0.2">
      <c r="F117" s="221"/>
      <c r="G117" s="221"/>
      <c r="H117" s="221"/>
      <c r="I117" s="221"/>
      <c r="J117" s="221"/>
      <c r="P117" s="221"/>
      <c r="Q117" s="221"/>
      <c r="R117" s="221"/>
      <c r="S117" s="221"/>
      <c r="T117" s="221"/>
      <c r="U117" s="221"/>
    </row>
    <row r="118" spans="6:21" x14ac:dyDescent="0.2">
      <c r="F118" s="221"/>
      <c r="G118" s="221"/>
      <c r="H118" s="221"/>
      <c r="I118" s="221"/>
      <c r="J118" s="221"/>
      <c r="P118" s="221"/>
      <c r="Q118" s="221"/>
      <c r="R118" s="221"/>
      <c r="S118" s="221"/>
      <c r="T118" s="221"/>
      <c r="U118" s="221"/>
    </row>
    <row r="119" spans="6:21" x14ac:dyDescent="0.2">
      <c r="F119" s="221"/>
      <c r="G119" s="221"/>
      <c r="H119" s="221"/>
      <c r="I119" s="221"/>
      <c r="J119" s="221"/>
      <c r="P119" s="221"/>
      <c r="Q119" s="221"/>
      <c r="R119" s="221"/>
      <c r="S119" s="221"/>
      <c r="T119" s="221"/>
      <c r="U119" s="221"/>
    </row>
    <row r="120" spans="6:21" x14ac:dyDescent="0.2">
      <c r="F120" s="221"/>
      <c r="G120" s="221"/>
      <c r="H120" s="221"/>
      <c r="I120" s="221"/>
      <c r="J120" s="221"/>
      <c r="P120" s="221"/>
      <c r="Q120" s="221"/>
      <c r="R120" s="221"/>
      <c r="S120" s="221"/>
      <c r="T120" s="221"/>
      <c r="U120" s="221"/>
    </row>
    <row r="121" spans="6:21" x14ac:dyDescent="0.2">
      <c r="F121" s="221"/>
      <c r="G121" s="221"/>
      <c r="H121" s="221"/>
      <c r="I121" s="221"/>
      <c r="J121" s="221"/>
      <c r="P121" s="221"/>
      <c r="Q121" s="221"/>
      <c r="R121" s="221"/>
      <c r="S121" s="221"/>
      <c r="T121" s="221"/>
      <c r="U121" s="221"/>
    </row>
    <row r="122" spans="6:21" x14ac:dyDescent="0.2">
      <c r="F122" s="221"/>
      <c r="G122" s="221"/>
      <c r="H122" s="221"/>
      <c r="I122" s="221"/>
      <c r="J122" s="221"/>
      <c r="P122" s="221"/>
      <c r="Q122" s="221"/>
      <c r="R122" s="221"/>
      <c r="S122" s="221"/>
      <c r="T122" s="221"/>
      <c r="U122" s="221"/>
    </row>
    <row r="123" spans="6:21" x14ac:dyDescent="0.2">
      <c r="F123" s="221"/>
      <c r="G123" s="221"/>
      <c r="H123" s="221"/>
      <c r="I123" s="221"/>
      <c r="J123" s="221"/>
      <c r="P123" s="221"/>
      <c r="Q123" s="221"/>
      <c r="R123" s="221"/>
      <c r="S123" s="221"/>
      <c r="T123" s="221"/>
      <c r="U123" s="221"/>
    </row>
    <row r="124" spans="6:21" x14ac:dyDescent="0.2">
      <c r="F124" s="221"/>
      <c r="G124" s="221"/>
      <c r="H124" s="221"/>
      <c r="I124" s="221"/>
      <c r="J124" s="221"/>
      <c r="P124" s="221"/>
      <c r="Q124" s="221"/>
      <c r="R124" s="221"/>
      <c r="S124" s="221"/>
      <c r="T124" s="221"/>
      <c r="U124" s="221"/>
    </row>
    <row r="125" spans="6:21" x14ac:dyDescent="0.2">
      <c r="F125" s="221"/>
      <c r="G125" s="221"/>
      <c r="H125" s="221"/>
      <c r="I125" s="221"/>
      <c r="J125" s="221"/>
      <c r="P125" s="221"/>
      <c r="Q125" s="221"/>
      <c r="R125" s="221"/>
      <c r="S125" s="221"/>
      <c r="T125" s="221"/>
      <c r="U125" s="221"/>
    </row>
    <row r="126" spans="6:21" x14ac:dyDescent="0.2">
      <c r="F126" s="221"/>
      <c r="G126" s="221"/>
      <c r="H126" s="221"/>
      <c r="I126" s="221"/>
      <c r="J126" s="221"/>
      <c r="P126" s="221"/>
      <c r="Q126" s="221"/>
      <c r="R126" s="221"/>
      <c r="S126" s="221"/>
      <c r="T126" s="221"/>
      <c r="U126" s="221"/>
    </row>
    <row r="127" spans="6:21" x14ac:dyDescent="0.2">
      <c r="F127" s="221"/>
      <c r="G127" s="221"/>
      <c r="H127" s="221"/>
      <c r="I127" s="221"/>
      <c r="J127" s="221"/>
      <c r="P127" s="221"/>
      <c r="Q127" s="221"/>
      <c r="R127" s="221"/>
      <c r="S127" s="221"/>
      <c r="T127" s="221"/>
      <c r="U127" s="221"/>
    </row>
    <row r="128" spans="6:21" x14ac:dyDescent="0.2">
      <c r="F128" s="221"/>
      <c r="G128" s="221"/>
      <c r="H128" s="221"/>
      <c r="I128" s="221"/>
      <c r="J128" s="221"/>
      <c r="P128" s="221"/>
      <c r="Q128" s="221"/>
      <c r="R128" s="221"/>
      <c r="S128" s="221"/>
      <c r="T128" s="221"/>
      <c r="U128" s="221"/>
    </row>
    <row r="129" spans="6:21" x14ac:dyDescent="0.2">
      <c r="F129" s="221"/>
      <c r="G129" s="221"/>
      <c r="H129" s="221"/>
      <c r="I129" s="221"/>
      <c r="J129" s="221"/>
      <c r="P129" s="221"/>
      <c r="Q129" s="221"/>
      <c r="R129" s="221"/>
      <c r="S129" s="221"/>
      <c r="T129" s="221"/>
      <c r="U129" s="221"/>
    </row>
    <row r="130" spans="6:21" x14ac:dyDescent="0.2">
      <c r="F130" s="221"/>
      <c r="G130" s="221"/>
      <c r="H130" s="221"/>
      <c r="I130" s="221"/>
      <c r="J130" s="221"/>
      <c r="P130" s="221"/>
      <c r="Q130" s="221"/>
      <c r="R130" s="221"/>
      <c r="S130" s="221"/>
      <c r="T130" s="221"/>
      <c r="U130" s="221"/>
    </row>
    <row r="131" spans="6:21" x14ac:dyDescent="0.2">
      <c r="F131" s="221"/>
      <c r="G131" s="221"/>
      <c r="H131" s="221"/>
      <c r="I131" s="221"/>
      <c r="J131" s="221"/>
      <c r="P131" s="221"/>
      <c r="Q131" s="221"/>
      <c r="R131" s="221"/>
      <c r="S131" s="221"/>
      <c r="T131" s="221"/>
      <c r="U131" s="221"/>
    </row>
    <row r="132" spans="6:21" x14ac:dyDescent="0.2">
      <c r="F132" s="221"/>
      <c r="G132" s="221"/>
      <c r="H132" s="221"/>
      <c r="I132" s="221"/>
      <c r="J132" s="221"/>
      <c r="P132" s="221"/>
      <c r="Q132" s="221"/>
      <c r="R132" s="221"/>
      <c r="S132" s="221"/>
      <c r="T132" s="221"/>
      <c r="U132" s="221"/>
    </row>
    <row r="133" spans="6:21" x14ac:dyDescent="0.2">
      <c r="F133" s="221"/>
      <c r="G133" s="221"/>
      <c r="H133" s="221"/>
      <c r="I133" s="221"/>
      <c r="J133" s="221"/>
      <c r="P133" s="221"/>
      <c r="Q133" s="221"/>
      <c r="R133" s="221"/>
      <c r="S133" s="221"/>
      <c r="T133" s="221"/>
      <c r="U133" s="221"/>
    </row>
    <row r="134" spans="6:21" x14ac:dyDescent="0.2">
      <c r="F134" s="221"/>
      <c r="G134" s="221"/>
      <c r="H134" s="221"/>
      <c r="I134" s="221"/>
      <c r="J134" s="221"/>
      <c r="P134" s="221"/>
      <c r="Q134" s="221"/>
      <c r="R134" s="221"/>
      <c r="S134" s="221"/>
      <c r="T134" s="221"/>
      <c r="U134" s="221"/>
    </row>
    <row r="135" spans="6:21" x14ac:dyDescent="0.2">
      <c r="F135" s="221"/>
      <c r="G135" s="221"/>
      <c r="H135" s="221"/>
      <c r="I135" s="221"/>
      <c r="J135" s="221"/>
      <c r="P135" s="221"/>
      <c r="Q135" s="221"/>
      <c r="R135" s="221"/>
      <c r="S135" s="221"/>
      <c r="T135" s="221"/>
      <c r="U135" s="221"/>
    </row>
    <row r="136" spans="6:21" x14ac:dyDescent="0.2">
      <c r="F136" s="221"/>
      <c r="G136" s="221"/>
      <c r="H136" s="221"/>
      <c r="I136" s="221"/>
      <c r="J136" s="221"/>
      <c r="P136" s="221"/>
      <c r="Q136" s="221"/>
      <c r="R136" s="221"/>
      <c r="S136" s="221"/>
      <c r="T136" s="221"/>
      <c r="U136" s="221"/>
    </row>
    <row r="137" spans="6:21" x14ac:dyDescent="0.2">
      <c r="F137" s="221"/>
      <c r="G137" s="221"/>
      <c r="H137" s="221"/>
      <c r="I137" s="221"/>
      <c r="J137" s="221"/>
      <c r="P137" s="221"/>
      <c r="Q137" s="221"/>
      <c r="R137" s="221"/>
      <c r="S137" s="221"/>
      <c r="T137" s="221"/>
      <c r="U137" s="221"/>
    </row>
    <row r="138" spans="6:21" x14ac:dyDescent="0.2">
      <c r="F138" s="221"/>
      <c r="G138" s="221"/>
      <c r="H138" s="221"/>
      <c r="I138" s="221"/>
      <c r="J138" s="221"/>
      <c r="P138" s="221"/>
      <c r="Q138" s="221"/>
      <c r="R138" s="221"/>
      <c r="S138" s="221"/>
      <c r="T138" s="221"/>
      <c r="U138" s="221"/>
    </row>
    <row r="139" spans="6:21" x14ac:dyDescent="0.2">
      <c r="F139" s="221"/>
      <c r="G139" s="221"/>
      <c r="H139" s="221"/>
      <c r="I139" s="221"/>
      <c r="J139" s="221"/>
      <c r="P139" s="221"/>
      <c r="Q139" s="221"/>
      <c r="R139" s="221"/>
      <c r="S139" s="221"/>
      <c r="T139" s="221"/>
      <c r="U139" s="221"/>
    </row>
    <row r="140" spans="6:21" x14ac:dyDescent="0.2">
      <c r="F140" s="221"/>
      <c r="G140" s="221"/>
      <c r="H140" s="221"/>
      <c r="I140" s="221"/>
      <c r="J140" s="221"/>
      <c r="P140" s="221"/>
      <c r="Q140" s="221"/>
      <c r="R140" s="221"/>
      <c r="S140" s="221"/>
      <c r="T140" s="221"/>
      <c r="U140" s="221"/>
    </row>
    <row r="141" spans="6:21" x14ac:dyDescent="0.2">
      <c r="F141" s="221"/>
      <c r="G141" s="221"/>
      <c r="H141" s="221"/>
      <c r="I141" s="221"/>
      <c r="J141" s="221"/>
      <c r="P141" s="221"/>
      <c r="Q141" s="221"/>
      <c r="R141" s="221"/>
      <c r="S141" s="221"/>
      <c r="T141" s="221"/>
      <c r="U141" s="221"/>
    </row>
    <row r="142" spans="6:21" x14ac:dyDescent="0.2">
      <c r="F142" s="221"/>
      <c r="G142" s="221"/>
      <c r="H142" s="221"/>
      <c r="I142" s="221"/>
      <c r="J142" s="221"/>
      <c r="P142" s="221"/>
      <c r="Q142" s="221"/>
      <c r="R142" s="221"/>
      <c r="S142" s="221"/>
      <c r="T142" s="221"/>
      <c r="U142" s="221"/>
    </row>
    <row r="143" spans="6:21" x14ac:dyDescent="0.2">
      <c r="F143" s="221"/>
      <c r="G143" s="221"/>
      <c r="H143" s="221"/>
      <c r="I143" s="221"/>
      <c r="J143" s="221"/>
      <c r="P143" s="221"/>
      <c r="Q143" s="221"/>
      <c r="R143" s="221"/>
      <c r="S143" s="221"/>
      <c r="T143" s="221"/>
      <c r="U143" s="221"/>
    </row>
    <row r="144" spans="6:21" x14ac:dyDescent="0.2">
      <c r="F144" s="221"/>
      <c r="G144" s="221"/>
      <c r="H144" s="221"/>
      <c r="I144" s="221"/>
      <c r="J144" s="221"/>
      <c r="P144" s="221"/>
      <c r="Q144" s="221"/>
      <c r="R144" s="221"/>
      <c r="S144" s="221"/>
      <c r="T144" s="221"/>
      <c r="U144" s="221"/>
    </row>
    <row r="145" spans="6:21" x14ac:dyDescent="0.2">
      <c r="F145" s="221"/>
      <c r="G145" s="221"/>
      <c r="H145" s="221"/>
      <c r="I145" s="221"/>
      <c r="J145" s="221"/>
      <c r="P145" s="221"/>
      <c r="Q145" s="221"/>
      <c r="R145" s="221"/>
      <c r="S145" s="221"/>
      <c r="T145" s="221"/>
      <c r="U145" s="221"/>
    </row>
    <row r="146" spans="6:21" x14ac:dyDescent="0.2">
      <c r="F146" s="221"/>
      <c r="G146" s="221"/>
      <c r="H146" s="221"/>
      <c r="I146" s="221"/>
      <c r="J146" s="221"/>
      <c r="P146" s="221"/>
      <c r="Q146" s="221"/>
      <c r="R146" s="221"/>
      <c r="S146" s="221"/>
      <c r="T146" s="221"/>
      <c r="U146" s="221"/>
    </row>
    <row r="147" spans="6:21" x14ac:dyDescent="0.2">
      <c r="F147" s="221"/>
      <c r="G147" s="221"/>
      <c r="H147" s="221"/>
      <c r="I147" s="221"/>
      <c r="J147" s="221"/>
      <c r="P147" s="221"/>
      <c r="Q147" s="221"/>
      <c r="R147" s="221"/>
      <c r="S147" s="221"/>
      <c r="T147" s="221"/>
      <c r="U147" s="221"/>
    </row>
    <row r="148" spans="6:21" x14ac:dyDescent="0.2">
      <c r="F148" s="221"/>
      <c r="G148" s="221"/>
      <c r="H148" s="221"/>
      <c r="I148" s="221"/>
      <c r="J148" s="221"/>
      <c r="P148" s="221"/>
      <c r="Q148" s="221"/>
      <c r="R148" s="221"/>
      <c r="S148" s="221"/>
      <c r="T148" s="221"/>
      <c r="U148" s="221"/>
    </row>
    <row r="149" spans="6:21" x14ac:dyDescent="0.2">
      <c r="F149" s="221"/>
      <c r="G149" s="221"/>
      <c r="H149" s="221"/>
      <c r="I149" s="221"/>
      <c r="J149" s="221"/>
      <c r="P149" s="221"/>
      <c r="Q149" s="221"/>
      <c r="R149" s="221"/>
      <c r="S149" s="221"/>
      <c r="T149" s="221"/>
      <c r="U149" s="221"/>
    </row>
    <row r="150" spans="6:21" x14ac:dyDescent="0.2">
      <c r="F150" s="221"/>
      <c r="G150" s="221"/>
      <c r="H150" s="221"/>
      <c r="I150" s="221"/>
      <c r="J150" s="221"/>
      <c r="P150" s="221"/>
      <c r="Q150" s="221"/>
      <c r="R150" s="221"/>
      <c r="S150" s="221"/>
      <c r="T150" s="221"/>
      <c r="U150" s="221"/>
    </row>
    <row r="151" spans="6:21" x14ac:dyDescent="0.2">
      <c r="F151" s="221"/>
      <c r="G151" s="221"/>
      <c r="H151" s="221"/>
      <c r="I151" s="221"/>
      <c r="J151" s="221"/>
      <c r="P151" s="221"/>
      <c r="Q151" s="221"/>
      <c r="R151" s="221"/>
      <c r="S151" s="221"/>
      <c r="T151" s="221"/>
      <c r="U151" s="221"/>
    </row>
    <row r="152" spans="6:21" x14ac:dyDescent="0.2">
      <c r="F152" s="221"/>
      <c r="G152" s="221"/>
      <c r="H152" s="221"/>
      <c r="I152" s="221"/>
      <c r="J152" s="221"/>
      <c r="P152" s="221"/>
      <c r="Q152" s="221"/>
      <c r="R152" s="221"/>
      <c r="S152" s="221"/>
      <c r="T152" s="221"/>
      <c r="U152" s="221"/>
    </row>
    <row r="153" spans="6:21" x14ac:dyDescent="0.2">
      <c r="F153" s="221"/>
      <c r="G153" s="221"/>
      <c r="H153" s="221"/>
      <c r="I153" s="221"/>
      <c r="J153" s="221"/>
      <c r="P153" s="221"/>
      <c r="Q153" s="221"/>
      <c r="R153" s="221"/>
      <c r="S153" s="221"/>
      <c r="T153" s="221"/>
      <c r="U153" s="221"/>
    </row>
    <row r="154" spans="6:21" x14ac:dyDescent="0.2">
      <c r="F154" s="221"/>
      <c r="G154" s="221"/>
      <c r="H154" s="221"/>
      <c r="I154" s="221"/>
      <c r="J154" s="221"/>
      <c r="P154" s="221"/>
      <c r="Q154" s="221"/>
      <c r="R154" s="221"/>
      <c r="S154" s="221"/>
      <c r="T154" s="221"/>
      <c r="U154" s="221"/>
    </row>
    <row r="155" spans="6:21" x14ac:dyDescent="0.2">
      <c r="F155" s="221"/>
      <c r="G155" s="221"/>
      <c r="H155" s="221"/>
      <c r="I155" s="221"/>
      <c r="J155" s="221"/>
      <c r="P155" s="221"/>
      <c r="Q155" s="221"/>
      <c r="R155" s="221"/>
      <c r="S155" s="221"/>
      <c r="T155" s="221"/>
      <c r="U155" s="221"/>
    </row>
    <row r="156" spans="6:21" x14ac:dyDescent="0.2">
      <c r="F156" s="221"/>
      <c r="G156" s="221"/>
      <c r="H156" s="221"/>
      <c r="I156" s="221"/>
      <c r="J156" s="221"/>
      <c r="P156" s="221"/>
      <c r="Q156" s="221"/>
      <c r="R156" s="221"/>
      <c r="S156" s="221"/>
      <c r="T156" s="221"/>
      <c r="U156" s="221"/>
    </row>
    <row r="157" spans="6:21" x14ac:dyDescent="0.2">
      <c r="F157" s="221"/>
      <c r="G157" s="221"/>
      <c r="H157" s="221"/>
      <c r="I157" s="221"/>
      <c r="J157" s="221"/>
      <c r="P157" s="221"/>
      <c r="Q157" s="221"/>
      <c r="R157" s="221"/>
      <c r="S157" s="221"/>
      <c r="T157" s="221"/>
      <c r="U157" s="221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21"/>
  <sheetViews>
    <sheetView zoomScale="130" zoomScaleNormal="130" workbookViewId="0">
      <selection activeCell="F7" sqref="F7"/>
    </sheetView>
  </sheetViews>
  <sheetFormatPr baseColWidth="10" defaultColWidth="8.83203125" defaultRowHeight="15" x14ac:dyDescent="0.2"/>
  <cols>
    <col min="2" max="2" width="30.5" customWidth="1"/>
    <col min="3" max="3" width="19.83203125" customWidth="1"/>
    <col min="4" max="4" width="14.1640625" customWidth="1"/>
    <col min="5" max="5" width="3" customWidth="1"/>
    <col min="6" max="6" width="13.1640625" customWidth="1"/>
    <col min="7" max="7" width="12.83203125" customWidth="1"/>
    <col min="8" max="10" width="8.1640625" customWidth="1"/>
  </cols>
  <sheetData>
    <row r="1" spans="1:10" x14ac:dyDescent="0.2">
      <c r="A1" s="6" t="s">
        <v>450</v>
      </c>
      <c r="D1" t="s">
        <v>583</v>
      </c>
      <c r="F1" s="6" t="s">
        <v>449</v>
      </c>
      <c r="H1" s="6"/>
      <c r="I1" s="6"/>
      <c r="J1" s="6"/>
    </row>
    <row r="2" spans="1:10" x14ac:dyDescent="0.2">
      <c r="C2" s="240">
        <v>2005</v>
      </c>
      <c r="D2" s="240">
        <v>2016</v>
      </c>
      <c r="F2" s="6">
        <v>2020</v>
      </c>
      <c r="H2" s="211"/>
      <c r="I2" s="211"/>
      <c r="J2" s="211"/>
    </row>
    <row r="3" spans="1:10" x14ac:dyDescent="0.2">
      <c r="B3" t="s">
        <v>448</v>
      </c>
      <c r="C3" s="239">
        <v>4339</v>
      </c>
      <c r="D3" s="239">
        <v>6106</v>
      </c>
      <c r="F3" s="9">
        <f>D3*(1+C15)^(F2-D2)</f>
        <v>6913.6675268905765</v>
      </c>
    </row>
    <row r="4" spans="1:10" x14ac:dyDescent="0.2">
      <c r="B4" t="s">
        <v>447</v>
      </c>
      <c r="D4" s="2">
        <f>(D3/C3)-1</f>
        <v>0.40723669048167777</v>
      </c>
    </row>
    <row r="5" spans="1:10" x14ac:dyDescent="0.2">
      <c r="D5" s="2"/>
    </row>
    <row r="6" spans="1:10" x14ac:dyDescent="0.2">
      <c r="B6" t="s">
        <v>446</v>
      </c>
      <c r="C6" s="92">
        <v>5250000</v>
      </c>
      <c r="D6" s="1">
        <f>C6*D3/C3</f>
        <v>7387992.6250288086</v>
      </c>
      <c r="F6" s="212">
        <f>F3/D3*D6</f>
        <v>8365234.9657007437</v>
      </c>
    </row>
    <row r="7" spans="1:10" x14ac:dyDescent="0.2">
      <c r="D7" s="238">
        <f>(D6/C6)-1</f>
        <v>0.40723669048167777</v>
      </c>
      <c r="F7" s="3"/>
      <c r="G7" s="235">
        <f>D6*(1+C15)^(F2-D2)</f>
        <v>8365234.9657007437</v>
      </c>
      <c r="H7" s="3"/>
      <c r="I7" s="3"/>
      <c r="J7" s="3"/>
    </row>
    <row r="8" spans="1:10" x14ac:dyDescent="0.2">
      <c r="B8" t="s">
        <v>445</v>
      </c>
      <c r="D8" s="3"/>
      <c r="E8" s="3"/>
    </row>
    <row r="9" spans="1:10" x14ac:dyDescent="0.2">
      <c r="F9" s="235">
        <f>D6*(1+C15)^4</f>
        <v>8365234.9657007437</v>
      </c>
    </row>
    <row r="10" spans="1:10" x14ac:dyDescent="0.2">
      <c r="B10" t="s">
        <v>78</v>
      </c>
      <c r="C10" s="150">
        <f>C3</f>
        <v>4339</v>
      </c>
    </row>
    <row r="11" spans="1:10" x14ac:dyDescent="0.2">
      <c r="B11" t="s">
        <v>79</v>
      </c>
      <c r="C11" s="150">
        <f>D3</f>
        <v>6106</v>
      </c>
    </row>
    <row r="12" spans="1:10" x14ac:dyDescent="0.2">
      <c r="B12" t="s">
        <v>9</v>
      </c>
      <c r="C12">
        <f>D2-C2</f>
        <v>11</v>
      </c>
    </row>
    <row r="14" spans="1:10" x14ac:dyDescent="0.2">
      <c r="B14" t="s">
        <v>444</v>
      </c>
    </row>
    <row r="15" spans="1:10" x14ac:dyDescent="0.2">
      <c r="B15" t="s">
        <v>86</v>
      </c>
      <c r="C15" s="237">
        <f>(C11/C10)^(1/C12)-1</f>
        <v>3.1544392840142876E-2</v>
      </c>
    </row>
    <row r="16" spans="1:10" x14ac:dyDescent="0.2">
      <c r="D16" t="s">
        <v>443</v>
      </c>
    </row>
    <row r="17" spans="2:2" x14ac:dyDescent="0.2">
      <c r="B17" t="s">
        <v>442</v>
      </c>
    </row>
    <row r="20" spans="2:2" x14ac:dyDescent="0.2">
      <c r="B20" t="s">
        <v>441</v>
      </c>
    </row>
    <row r="21" spans="2:2" x14ac:dyDescent="0.2">
      <c r="B21" t="s">
        <v>440</v>
      </c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16"/>
  <sheetViews>
    <sheetView zoomScale="160" zoomScaleNormal="160" workbookViewId="0">
      <selection activeCell="B12" sqref="B12"/>
    </sheetView>
  </sheetViews>
  <sheetFormatPr baseColWidth="10" defaultColWidth="8.83203125" defaultRowHeight="15" x14ac:dyDescent="0.2"/>
  <cols>
    <col min="2" max="2" width="30.5" customWidth="1"/>
    <col min="3" max="3" width="13.33203125" customWidth="1"/>
    <col min="4" max="4" width="14.1640625" customWidth="1"/>
    <col min="5" max="5" width="11.5" customWidth="1"/>
    <col min="6" max="6" width="10.5" customWidth="1"/>
    <col min="7" max="8" width="8.1640625" customWidth="1"/>
    <col min="9" max="9" width="9.5" customWidth="1"/>
    <col min="10" max="10" width="8.1640625" customWidth="1"/>
    <col min="11" max="11" width="11.5" bestFit="1" customWidth="1"/>
  </cols>
  <sheetData>
    <row r="1" spans="1:13" x14ac:dyDescent="0.2">
      <c r="A1" s="6" t="s">
        <v>453</v>
      </c>
      <c r="F1" s="6"/>
      <c r="G1" s="6"/>
      <c r="H1" s="6"/>
      <c r="I1" s="6"/>
      <c r="J1" s="6"/>
    </row>
    <row r="2" spans="1:13" x14ac:dyDescent="0.2">
      <c r="D2" s="6">
        <v>1997</v>
      </c>
      <c r="E2" s="6">
        <v>2009</v>
      </c>
      <c r="F2" s="6"/>
      <c r="G2" s="211"/>
      <c r="H2" s="211"/>
      <c r="I2" s="211"/>
      <c r="J2" s="211"/>
    </row>
    <row r="3" spans="1:13" x14ac:dyDescent="0.2">
      <c r="B3" t="s">
        <v>452</v>
      </c>
      <c r="D3" s="92">
        <v>1200</v>
      </c>
      <c r="E3" s="243">
        <v>2100</v>
      </c>
      <c r="F3" s="6"/>
    </row>
    <row r="4" spans="1:13" x14ac:dyDescent="0.2">
      <c r="F4" s="6"/>
      <c r="G4" s="242"/>
    </row>
    <row r="5" spans="1:13" x14ac:dyDescent="0.2">
      <c r="B5" t="s">
        <v>451</v>
      </c>
      <c r="D5" s="239">
        <v>435</v>
      </c>
      <c r="E5" s="241">
        <f>D5*(1+C13)^(C11)</f>
        <v>761.25000000000023</v>
      </c>
      <c r="F5" s="6"/>
    </row>
    <row r="6" spans="1:13" x14ac:dyDescent="0.2">
      <c r="F6" s="6"/>
      <c r="G6" s="3"/>
      <c r="H6" s="3"/>
      <c r="I6" s="3"/>
      <c r="J6" s="3"/>
    </row>
    <row r="7" spans="1:13" x14ac:dyDescent="0.2">
      <c r="B7" t="s">
        <v>445</v>
      </c>
      <c r="D7" s="3"/>
      <c r="E7" s="3"/>
      <c r="F7" s="6"/>
    </row>
    <row r="9" spans="1:13" x14ac:dyDescent="0.2">
      <c r="B9" t="s">
        <v>78</v>
      </c>
      <c r="C9">
        <v>1200</v>
      </c>
    </row>
    <row r="10" spans="1:13" x14ac:dyDescent="0.2">
      <c r="B10" t="s">
        <v>79</v>
      </c>
      <c r="C10">
        <v>2100</v>
      </c>
      <c r="J10" t="s">
        <v>9</v>
      </c>
      <c r="K10">
        <v>12</v>
      </c>
    </row>
    <row r="11" spans="1:13" x14ac:dyDescent="0.2">
      <c r="B11" t="s">
        <v>9</v>
      </c>
      <c r="C11">
        <f>E2-D2</f>
        <v>12</v>
      </c>
      <c r="J11" t="s">
        <v>54</v>
      </c>
      <c r="K11">
        <v>0.06</v>
      </c>
    </row>
    <row r="12" spans="1:13" x14ac:dyDescent="0.2">
      <c r="J12" t="s">
        <v>86</v>
      </c>
      <c r="K12">
        <v>0.04</v>
      </c>
    </row>
    <row r="13" spans="1:13" x14ac:dyDescent="0.2">
      <c r="B13" t="s">
        <v>54</v>
      </c>
      <c r="C13" s="237">
        <f>(C10/C9)^(1/C11)-1</f>
        <v>4.7739146593731796E-2</v>
      </c>
    </row>
    <row r="14" spans="1:13" x14ac:dyDescent="0.2">
      <c r="K14" s="27">
        <f>(1+K11)^K10</f>
        <v>2.0121964718355518</v>
      </c>
      <c r="L14">
        <f>(1+K12)^K10</f>
        <v>1.6010322185676817</v>
      </c>
      <c r="M14" s="27">
        <f>(1+K11-K12)^K10</f>
        <v>1.2682417945625453</v>
      </c>
    </row>
    <row r="16" spans="1:13" x14ac:dyDescent="0.2">
      <c r="D16" t="s">
        <v>443</v>
      </c>
      <c r="I16" s="1">
        <v>10000</v>
      </c>
      <c r="K16" s="1">
        <f>K14*$I16</f>
        <v>20121.964718355517</v>
      </c>
      <c r="L16" s="1">
        <f>L14*$I16</f>
        <v>16010.322185676818</v>
      </c>
      <c r="M16" s="1">
        <f>M14*I16</f>
        <v>12682.417945625453</v>
      </c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X21"/>
  <sheetViews>
    <sheetView zoomScale="130" zoomScaleNormal="130" workbookViewId="0">
      <selection activeCell="J14" sqref="J14"/>
    </sheetView>
  </sheetViews>
  <sheetFormatPr baseColWidth="10" defaultColWidth="8.83203125" defaultRowHeight="15" x14ac:dyDescent="0.2"/>
  <cols>
    <col min="2" max="2" width="17.6640625" bestFit="1" customWidth="1"/>
    <col min="3" max="3" width="9.83203125" bestFit="1" customWidth="1"/>
    <col min="4" max="4" width="10.6640625" bestFit="1" customWidth="1"/>
    <col min="5" max="5" width="10.83203125" bestFit="1" customWidth="1"/>
    <col min="8" max="8" width="10.5" bestFit="1" customWidth="1"/>
    <col min="9" max="9" width="10.6640625" bestFit="1" customWidth="1"/>
    <col min="10" max="10" width="10.83203125" bestFit="1" customWidth="1"/>
    <col min="17" max="17" width="10" customWidth="1"/>
    <col min="18" max="18" width="11.33203125" bestFit="1" customWidth="1"/>
    <col min="19" max="19" width="3" customWidth="1"/>
    <col min="21" max="21" width="11.33203125" bestFit="1" customWidth="1"/>
    <col min="22" max="22" width="2.83203125" customWidth="1"/>
    <col min="24" max="24" width="11.33203125" bestFit="1" customWidth="1"/>
  </cols>
  <sheetData>
    <row r="1" spans="1:24" x14ac:dyDescent="0.2">
      <c r="A1" s="249" t="s">
        <v>469</v>
      </c>
    </row>
    <row r="2" spans="1:24" x14ac:dyDescent="0.2">
      <c r="A2" s="248"/>
      <c r="G2" s="84" t="s">
        <v>468</v>
      </c>
      <c r="P2" s="84" t="s">
        <v>467</v>
      </c>
    </row>
    <row r="3" spans="1:24" x14ac:dyDescent="0.2">
      <c r="C3" t="s">
        <v>466</v>
      </c>
      <c r="D3" t="s">
        <v>465</v>
      </c>
      <c r="E3" t="s">
        <v>464</v>
      </c>
      <c r="H3" t="s">
        <v>466</v>
      </c>
      <c r="I3" t="s">
        <v>465</v>
      </c>
      <c r="J3" t="s">
        <v>464</v>
      </c>
      <c r="Q3" t="s">
        <v>466</v>
      </c>
      <c r="T3" t="s">
        <v>465</v>
      </c>
      <c r="W3" t="s">
        <v>464</v>
      </c>
    </row>
    <row r="4" spans="1:24" x14ac:dyDescent="0.2">
      <c r="B4" t="s">
        <v>463</v>
      </c>
      <c r="C4" s="92">
        <v>950</v>
      </c>
      <c r="D4" s="92">
        <v>1000</v>
      </c>
      <c r="E4" s="92">
        <v>1150</v>
      </c>
      <c r="G4" t="s">
        <v>462</v>
      </c>
      <c r="H4" s="247">
        <f>((1+$C$9)^C$6-1)/($C$9*(1+$C$9)^C$6)</f>
        <v>6.8136918228964332</v>
      </c>
      <c r="I4" s="247">
        <f>((1+$C$9)^D$6-1)/($C$9*(1+$C$9)^D$6)</f>
        <v>6.1445671057046853</v>
      </c>
      <c r="J4" s="247">
        <f>((1+$C$9)^E$6-1)/($C$9*(1+$C$9)^E$6)</f>
        <v>5.3349261979026679</v>
      </c>
      <c r="P4" s="84" t="s">
        <v>404</v>
      </c>
      <c r="Q4" s="84" t="s">
        <v>461</v>
      </c>
      <c r="R4" s="84" t="s">
        <v>460</v>
      </c>
      <c r="T4" s="84" t="s">
        <v>461</v>
      </c>
      <c r="U4" s="84" t="s">
        <v>460</v>
      </c>
      <c r="W4" s="84" t="s">
        <v>461</v>
      </c>
      <c r="X4" s="84" t="s">
        <v>460</v>
      </c>
    </row>
    <row r="5" spans="1:24" x14ac:dyDescent="0.2">
      <c r="B5" t="s">
        <v>459</v>
      </c>
      <c r="C5" s="92">
        <v>210</v>
      </c>
      <c r="D5" s="92">
        <v>200</v>
      </c>
      <c r="E5" s="92">
        <v>170</v>
      </c>
      <c r="G5" t="s">
        <v>78</v>
      </c>
      <c r="H5" s="1">
        <f>C5*H4</f>
        <v>1430.8752828082509</v>
      </c>
      <c r="I5" s="1">
        <f>D5*I4</f>
        <v>1228.9134211409371</v>
      </c>
      <c r="J5" s="1">
        <f>E5*J4</f>
        <v>906.93745364345352</v>
      </c>
    </row>
    <row r="6" spans="1:24" x14ac:dyDescent="0.2">
      <c r="B6" t="s">
        <v>458</v>
      </c>
      <c r="C6" s="147">
        <v>12</v>
      </c>
      <c r="D6" s="147">
        <v>10</v>
      </c>
      <c r="E6" s="147">
        <v>8</v>
      </c>
      <c r="H6" s="4"/>
      <c r="P6">
        <v>0</v>
      </c>
      <c r="Q6" s="245">
        <f>-C4</f>
        <v>-950</v>
      </c>
      <c r="R6" s="235">
        <f>Q6/(1+$C$9)^$P6</f>
        <v>-950</v>
      </c>
      <c r="T6" s="8">
        <f>-D4</f>
        <v>-1000</v>
      </c>
      <c r="U6" s="235">
        <f t="shared" ref="U6:U16" si="0">T6/(1+$C$9)^$P6</f>
        <v>-1000</v>
      </c>
      <c r="W6" s="8">
        <f>-E4</f>
        <v>-1150</v>
      </c>
      <c r="X6" s="235">
        <f t="shared" ref="X6:X14" si="1">W6/(1+$C$9)^$P6</f>
        <v>-1150</v>
      </c>
    </row>
    <row r="7" spans="1:24" x14ac:dyDescent="0.2">
      <c r="B7" t="s">
        <v>457</v>
      </c>
      <c r="C7" s="92">
        <v>100</v>
      </c>
      <c r="D7" s="246">
        <v>0</v>
      </c>
      <c r="E7" s="246">
        <v>0</v>
      </c>
      <c r="G7" t="s">
        <v>90</v>
      </c>
      <c r="H7" s="27">
        <f>1/(1+$C$9)^C$6</f>
        <v>0.31863081771035656</v>
      </c>
      <c r="I7" s="27">
        <f>1/(1+$C$9)^D$6</f>
        <v>0.38554328942953148</v>
      </c>
      <c r="J7" s="27">
        <f>1/(1+$C$9)^E$6</f>
        <v>0.46650738020973315</v>
      </c>
      <c r="P7">
        <v>1</v>
      </c>
      <c r="Q7" s="245">
        <f>C5</f>
        <v>210</v>
      </c>
      <c r="R7" s="235">
        <f>Q7/(1+$C$9)^$P7</f>
        <v>190.90909090909091</v>
      </c>
      <c r="T7" s="8">
        <f>D5</f>
        <v>200</v>
      </c>
      <c r="U7" s="235">
        <f t="shared" si="0"/>
        <v>181.81818181818181</v>
      </c>
      <c r="W7" s="8">
        <f>E5</f>
        <v>170</v>
      </c>
      <c r="X7" s="235">
        <f t="shared" si="1"/>
        <v>154.54545454545453</v>
      </c>
    </row>
    <row r="8" spans="1:24" x14ac:dyDescent="0.2">
      <c r="G8" t="s">
        <v>456</v>
      </c>
      <c r="H8" s="8">
        <f>C7*(H7)</f>
        <v>31.863081771035656</v>
      </c>
      <c r="I8" s="8">
        <f>D7*(I7)</f>
        <v>0</v>
      </c>
      <c r="J8" s="8">
        <f>E7*(J7)</f>
        <v>0</v>
      </c>
      <c r="P8">
        <v>2</v>
      </c>
      <c r="Q8" s="245">
        <f t="shared" ref="Q8:Q17" si="2">Q7</f>
        <v>210</v>
      </c>
      <c r="R8" s="235">
        <f t="shared" ref="R8:R18" si="3">Q8/(1+$C$9)^$P8</f>
        <v>173.55371900826444</v>
      </c>
      <c r="T8" s="8">
        <f t="shared" ref="T8:T16" si="4">T7</f>
        <v>200</v>
      </c>
      <c r="U8" s="235">
        <f t="shared" si="0"/>
        <v>165.28925619834709</v>
      </c>
      <c r="W8" s="8">
        <f t="shared" ref="W8:W14" si="5">W7</f>
        <v>170</v>
      </c>
      <c r="X8" s="235">
        <f t="shared" si="1"/>
        <v>140.49586776859502</v>
      </c>
    </row>
    <row r="9" spans="1:24" x14ac:dyDescent="0.2">
      <c r="B9" t="s">
        <v>304</v>
      </c>
      <c r="C9" s="93">
        <v>0.1</v>
      </c>
      <c r="P9">
        <v>3</v>
      </c>
      <c r="Q9" s="245">
        <f t="shared" si="2"/>
        <v>210</v>
      </c>
      <c r="R9" s="235">
        <f t="shared" si="3"/>
        <v>157.77610818933127</v>
      </c>
      <c r="T9" s="8">
        <f t="shared" si="4"/>
        <v>200</v>
      </c>
      <c r="U9" s="235">
        <f t="shared" si="0"/>
        <v>150.2629601803155</v>
      </c>
      <c r="W9" s="8">
        <f t="shared" si="5"/>
        <v>170</v>
      </c>
      <c r="X9" s="235">
        <f t="shared" si="1"/>
        <v>127.72351615326818</v>
      </c>
    </row>
    <row r="10" spans="1:24" x14ac:dyDescent="0.2">
      <c r="G10" t="s">
        <v>39</v>
      </c>
      <c r="H10" s="8">
        <f>-C4+H5+H8</f>
        <v>512.73836457928655</v>
      </c>
      <c r="I10" s="8">
        <f>-D4+I5+I8</f>
        <v>228.91342114093709</v>
      </c>
      <c r="J10" s="8">
        <f>-E4+J5+J8</f>
        <v>-243.06254635654648</v>
      </c>
      <c r="P10">
        <v>4</v>
      </c>
      <c r="Q10" s="245">
        <f t="shared" si="2"/>
        <v>210</v>
      </c>
      <c r="R10" s="235">
        <f t="shared" si="3"/>
        <v>143.43282562666479</v>
      </c>
      <c r="T10" s="8">
        <f t="shared" si="4"/>
        <v>200</v>
      </c>
      <c r="U10" s="235">
        <f t="shared" si="0"/>
        <v>136.60269107301411</v>
      </c>
      <c r="W10" s="8">
        <f t="shared" si="5"/>
        <v>170</v>
      </c>
      <c r="X10" s="235">
        <f t="shared" si="1"/>
        <v>116.11228741206199</v>
      </c>
    </row>
    <row r="11" spans="1:24" x14ac:dyDescent="0.2">
      <c r="P11">
        <v>5</v>
      </c>
      <c r="Q11" s="245">
        <f t="shared" si="2"/>
        <v>210</v>
      </c>
      <c r="R11" s="235">
        <f t="shared" si="3"/>
        <v>130.39347784242256</v>
      </c>
      <c r="T11" s="8">
        <f t="shared" si="4"/>
        <v>200</v>
      </c>
      <c r="U11" s="235">
        <f t="shared" si="0"/>
        <v>124.184264611831</v>
      </c>
      <c r="W11" s="8">
        <f t="shared" si="5"/>
        <v>170</v>
      </c>
      <c r="X11" s="235">
        <f t="shared" si="1"/>
        <v>105.55662492005635</v>
      </c>
    </row>
    <row r="12" spans="1:24" x14ac:dyDescent="0.2">
      <c r="G12" t="s">
        <v>455</v>
      </c>
      <c r="P12">
        <v>6</v>
      </c>
      <c r="Q12" s="245">
        <f t="shared" si="2"/>
        <v>210</v>
      </c>
      <c r="R12" s="235">
        <f t="shared" si="3"/>
        <v>118.5395253112932</v>
      </c>
      <c r="T12" s="8">
        <f t="shared" si="4"/>
        <v>200</v>
      </c>
      <c r="U12" s="235">
        <f t="shared" si="0"/>
        <v>112.89478601075544</v>
      </c>
      <c r="W12" s="8">
        <f t="shared" si="5"/>
        <v>170</v>
      </c>
      <c r="X12" s="235">
        <f t="shared" si="1"/>
        <v>95.960568109142116</v>
      </c>
    </row>
    <row r="13" spans="1:24" x14ac:dyDescent="0.2">
      <c r="G13" t="s">
        <v>454</v>
      </c>
      <c r="P13">
        <v>7</v>
      </c>
      <c r="Q13" s="245">
        <f t="shared" si="2"/>
        <v>210</v>
      </c>
      <c r="R13" s="235">
        <f t="shared" si="3"/>
        <v>107.76320482844835</v>
      </c>
      <c r="T13" s="8">
        <f t="shared" si="4"/>
        <v>200</v>
      </c>
      <c r="U13" s="235">
        <f t="shared" si="0"/>
        <v>102.63162364614129</v>
      </c>
      <c r="W13" s="8">
        <f t="shared" si="5"/>
        <v>170</v>
      </c>
      <c r="X13" s="235">
        <f t="shared" si="1"/>
        <v>87.236880099220102</v>
      </c>
    </row>
    <row r="14" spans="1:24" x14ac:dyDescent="0.2">
      <c r="P14">
        <v>8</v>
      </c>
      <c r="Q14" s="245">
        <f t="shared" si="2"/>
        <v>210</v>
      </c>
      <c r="R14" s="235">
        <f t="shared" si="3"/>
        <v>97.966549844043968</v>
      </c>
      <c r="T14" s="8">
        <f t="shared" si="4"/>
        <v>200</v>
      </c>
      <c r="U14" s="235">
        <f t="shared" si="0"/>
        <v>93.301476041946628</v>
      </c>
      <c r="W14" s="8">
        <f t="shared" si="5"/>
        <v>170</v>
      </c>
      <c r="X14" s="235">
        <f t="shared" si="1"/>
        <v>79.306254635654639</v>
      </c>
    </row>
    <row r="15" spans="1:24" x14ac:dyDescent="0.2">
      <c r="P15">
        <v>9</v>
      </c>
      <c r="Q15" s="245">
        <f t="shared" si="2"/>
        <v>210</v>
      </c>
      <c r="R15" s="235">
        <f t="shared" si="3"/>
        <v>89.060499858221775</v>
      </c>
      <c r="T15" s="8">
        <f t="shared" si="4"/>
        <v>200</v>
      </c>
      <c r="U15" s="235">
        <f t="shared" si="0"/>
        <v>84.819523674496935</v>
      </c>
    </row>
    <row r="16" spans="1:24" x14ac:dyDescent="0.2">
      <c r="P16">
        <v>10</v>
      </c>
      <c r="Q16" s="245">
        <f t="shared" si="2"/>
        <v>210</v>
      </c>
      <c r="R16" s="235">
        <f t="shared" si="3"/>
        <v>80.964090780201602</v>
      </c>
      <c r="T16" s="8">
        <f t="shared" si="4"/>
        <v>200</v>
      </c>
      <c r="U16" s="235">
        <f t="shared" si="0"/>
        <v>77.108657885906297</v>
      </c>
    </row>
    <row r="17" spans="16:24" x14ac:dyDescent="0.2">
      <c r="P17">
        <v>11</v>
      </c>
      <c r="Q17" s="245">
        <f t="shared" si="2"/>
        <v>210</v>
      </c>
      <c r="R17" s="235">
        <f t="shared" si="3"/>
        <v>73.603718891092356</v>
      </c>
    </row>
    <row r="18" spans="16:24" x14ac:dyDescent="0.2">
      <c r="P18">
        <v>12</v>
      </c>
      <c r="Q18" s="245">
        <f>Q17+C7</f>
        <v>310</v>
      </c>
      <c r="R18" s="235">
        <f t="shared" si="3"/>
        <v>98.775553490210527</v>
      </c>
    </row>
    <row r="20" spans="16:24" x14ac:dyDescent="0.2">
      <c r="P20" t="s">
        <v>47</v>
      </c>
      <c r="Q20" s="244">
        <f>IRR(Q6:Q18)</f>
        <v>0.1981893747099468</v>
      </c>
      <c r="T20" s="244">
        <f>IRR(T6:T18)</f>
        <v>0.15098414477083444</v>
      </c>
      <c r="W20" s="244">
        <f>IRR(W6:W18)</f>
        <v>3.8854495901150754E-2</v>
      </c>
    </row>
    <row r="21" spans="16:24" x14ac:dyDescent="0.2">
      <c r="P21" t="s">
        <v>39</v>
      </c>
      <c r="R21" s="150">
        <f>SUM(R6:R18)</f>
        <v>512.73836457928564</v>
      </c>
      <c r="U21" s="150">
        <f>SUM(U6:U18)</f>
        <v>228.91342114093604</v>
      </c>
      <c r="X21" s="150">
        <f>SUM(X6:X18)</f>
        <v>-243.06254635654716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36</vt:i4>
      </vt:variant>
    </vt:vector>
  </HeadingPairs>
  <TitlesOfParts>
    <vt:vector size="36" baseType="lpstr">
      <vt:lpstr>Ch14 ppt ex 1</vt:lpstr>
      <vt:lpstr>Ex 14-1</vt:lpstr>
      <vt:lpstr>Ex 14-7</vt:lpstr>
      <vt:lpstr>Ex 14-8</vt:lpstr>
      <vt:lpstr>Ch14 new example 1</vt:lpstr>
      <vt:lpstr>Ch14 new example 2</vt:lpstr>
      <vt:lpstr>Ex 14-5</vt:lpstr>
      <vt:lpstr>Ch14 ppt ex 2</vt:lpstr>
      <vt:lpstr>Ex10-3</vt:lpstr>
      <vt:lpstr>Ex10-5</vt:lpstr>
      <vt:lpstr>Ex10-7 and 8</vt:lpstr>
      <vt:lpstr>CH10 ex1</vt:lpstr>
      <vt:lpstr>Ex10-13</vt:lpstr>
      <vt:lpstr>CH10 ex2</vt:lpstr>
      <vt:lpstr>another ppt ex</vt:lpstr>
      <vt:lpstr>Ch11</vt:lpstr>
      <vt:lpstr>11-5</vt:lpstr>
      <vt:lpstr>CCA example</vt:lpstr>
      <vt:lpstr>12-1</vt:lpstr>
      <vt:lpstr>12-3</vt:lpstr>
      <vt:lpstr>12-6</vt:lpstr>
      <vt:lpstr>12-12 (outdated)</vt:lpstr>
      <vt:lpstr>12-8</vt:lpstr>
      <vt:lpstr>12-11</vt:lpstr>
      <vt:lpstr>12-12</vt:lpstr>
      <vt:lpstr>practice Q Ch 12</vt:lpstr>
      <vt:lpstr>13-1</vt:lpstr>
      <vt:lpstr>13-3</vt:lpstr>
      <vt:lpstr>13-4</vt:lpstr>
      <vt:lpstr>13-5</vt:lpstr>
      <vt:lpstr>13-8</vt:lpstr>
      <vt:lpstr>13 Prob 1</vt:lpstr>
      <vt:lpstr>13 Prob 2</vt:lpstr>
      <vt:lpstr>13-9</vt:lpstr>
      <vt:lpstr>Ch 15 linear prog</vt:lpstr>
      <vt:lpstr>formulas</vt:lpstr>
    </vt:vector>
  </TitlesOfParts>
  <Company>Metro Vancouver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Carmichael</dc:creator>
  <cp:lastModifiedBy>chanp1@student.ubc.ca</cp:lastModifiedBy>
  <dcterms:created xsi:type="dcterms:W3CDTF">2020-03-01T01:12:03Z</dcterms:created>
  <dcterms:modified xsi:type="dcterms:W3CDTF">2023-04-18T17:41:11Z</dcterms:modified>
</cp:coreProperties>
</file>