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9110" yWindow="-90" windowWidth="19380" windowHeight="10380" tabRatio="1000" firstSheet="1" activeTab="5"/>
  </bookViews>
  <sheets>
    <sheet name="GROUP-16 DETAIL" sheetId="21" r:id="rId1"/>
    <sheet name="Corporate Finance Modeling&gt;&gt;" sheetId="17" r:id="rId2"/>
    <sheet name="HistoricalFS" sheetId="3" r:id="rId3"/>
    <sheet name="Ratio Analysis" sheetId="6" r:id="rId4"/>
    <sheet name="Data Sheet" sheetId="2" r:id="rId5"/>
    <sheet name="Relative Valuation" sheetId="12" r:id="rId6"/>
    <sheet name="Raw Data fior Relative Valuatio" sheetId="15" r:id="rId7"/>
    <sheet name="NOTE" sheetId="22" r:id="rId8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"01/26/2023 09:21:20"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UPDATE">'Data Sheet'!$E$1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12" l="1"/>
  <c r="P37" i="12"/>
  <c r="O37" i="12"/>
  <c r="Q35" i="12" l="1"/>
  <c r="P35" i="12"/>
  <c r="O35" i="12"/>
  <c r="Q33" i="12"/>
  <c r="Q32" i="12"/>
  <c r="Q31" i="12"/>
  <c r="P33" i="12"/>
  <c r="P31" i="12"/>
  <c r="P30" i="12"/>
  <c r="O33" i="12"/>
  <c r="O32" i="12"/>
  <c r="O31" i="12"/>
  <c r="O30" i="12"/>
  <c r="C3" i="6" l="1"/>
  <c r="C5" i="6"/>
  <c r="C6" i="6"/>
  <c r="C7" i="6"/>
  <c r="C8" i="6"/>
  <c r="C9" i="6"/>
  <c r="C11" i="6"/>
  <c r="C12" i="6"/>
  <c r="C13" i="6"/>
  <c r="C14" i="6"/>
  <c r="C15" i="6"/>
  <c r="C17" i="6"/>
  <c r="C18" i="6"/>
  <c r="C19" i="6"/>
  <c r="C21" i="6"/>
  <c r="C22" i="6"/>
  <c r="C23" i="6"/>
  <c r="C24" i="6" s="1"/>
  <c r="C25" i="6"/>
  <c r="C28" i="6"/>
  <c r="C29" i="6"/>
  <c r="C30" i="6"/>
  <c r="C31" i="6"/>
  <c r="C33" i="6"/>
  <c r="C36" i="6" s="1"/>
  <c r="C34" i="6"/>
  <c r="C35" i="6"/>
  <c r="C38" i="6"/>
  <c r="C39" i="6"/>
  <c r="C40" i="6"/>
  <c r="D7" i="3" l="1"/>
  <c r="L12" i="12"/>
  <c r="L13" i="12"/>
  <c r="L14" i="12"/>
  <c r="L15" i="12"/>
  <c r="L16" i="12"/>
  <c r="L17" i="12"/>
  <c r="L18" i="12"/>
  <c r="L19" i="12"/>
  <c r="L11" i="12"/>
  <c r="K12" i="12"/>
  <c r="K13" i="12"/>
  <c r="K14" i="12"/>
  <c r="K15" i="12"/>
  <c r="K16" i="12"/>
  <c r="K17" i="12"/>
  <c r="K18" i="12"/>
  <c r="K19" i="12"/>
  <c r="K11" i="12"/>
  <c r="J12" i="12"/>
  <c r="J13" i="12"/>
  <c r="J14" i="12"/>
  <c r="J15" i="12"/>
  <c r="J16" i="12"/>
  <c r="J17" i="12"/>
  <c r="J18" i="12"/>
  <c r="J19" i="12"/>
  <c r="J11" i="12"/>
  <c r="G19" i="12"/>
  <c r="G18" i="12"/>
  <c r="E19" i="12"/>
  <c r="E18" i="12"/>
  <c r="D19" i="12"/>
  <c r="D18" i="12"/>
  <c r="B19" i="12"/>
  <c r="B18" i="12"/>
  <c r="I12" i="15"/>
  <c r="H12" i="15"/>
  <c r="E12" i="15"/>
  <c r="E10" i="15"/>
  <c r="I10" i="15" s="1"/>
  <c r="E11" i="15"/>
  <c r="I11" i="15" s="1"/>
  <c r="H11" i="15"/>
  <c r="A12" i="15"/>
  <c r="A8" i="15"/>
  <c r="A9" i="15" s="1"/>
  <c r="A10" i="15" s="1"/>
  <c r="A11" i="15" s="1"/>
  <c r="A5" i="15"/>
  <c r="A6" i="15" s="1"/>
  <c r="A7" i="15" s="1"/>
  <c r="A4" i="15"/>
  <c r="H10" i="15"/>
  <c r="H5" i="15"/>
  <c r="H6" i="15"/>
  <c r="H7" i="15"/>
  <c r="H3" i="15"/>
  <c r="H8" i="15"/>
  <c r="H9" i="15"/>
  <c r="H4" i="15"/>
  <c r="E4" i="15" l="1"/>
  <c r="I4" i="15" s="1"/>
  <c r="E12" i="12" l="1"/>
  <c r="E13" i="12"/>
  <c r="E14" i="12"/>
  <c r="E15" i="12"/>
  <c r="E16" i="12"/>
  <c r="E17" i="12"/>
  <c r="D12" i="12"/>
  <c r="D13" i="12"/>
  <c r="F13" i="12" s="1"/>
  <c r="D14" i="12"/>
  <c r="D15" i="12"/>
  <c r="D16" i="12"/>
  <c r="F16" i="12" s="1"/>
  <c r="D17" i="12"/>
  <c r="F17" i="12" s="1"/>
  <c r="F18" i="12"/>
  <c r="F19" i="12"/>
  <c r="E6" i="15"/>
  <c r="I6" i="15" s="1"/>
  <c r="E5" i="15"/>
  <c r="I5" i="15" s="1"/>
  <c r="E7" i="15"/>
  <c r="I7" i="15" s="1"/>
  <c r="E3" i="15"/>
  <c r="I3" i="15" s="1"/>
  <c r="E8" i="15"/>
  <c r="I8" i="15" s="1"/>
  <c r="E9" i="15"/>
  <c r="I9" i="15" s="1"/>
  <c r="G12" i="12"/>
  <c r="G13" i="12"/>
  <c r="G14" i="12"/>
  <c r="G15" i="12"/>
  <c r="G16" i="12"/>
  <c r="G17" i="12"/>
  <c r="G11" i="12"/>
  <c r="E11" i="12"/>
  <c r="D11" i="12"/>
  <c r="B12" i="12"/>
  <c r="B13" i="12"/>
  <c r="B14" i="12"/>
  <c r="B15" i="12"/>
  <c r="B16" i="12"/>
  <c r="B17" i="12"/>
  <c r="B11" i="12"/>
  <c r="F12" i="12" l="1"/>
  <c r="F15" i="12"/>
  <c r="F14" i="12"/>
  <c r="Q14" i="12" s="1"/>
  <c r="F11" i="12"/>
  <c r="Q19" i="12"/>
  <c r="H13" i="12"/>
  <c r="Q15" i="12"/>
  <c r="H17" i="12"/>
  <c r="H12" i="12"/>
  <c r="H16" i="12"/>
  <c r="H18" i="12"/>
  <c r="H19" i="12"/>
  <c r="Q12" i="12"/>
  <c r="H11" i="12" l="1"/>
  <c r="Q11" i="12"/>
  <c r="Q17" i="12"/>
  <c r="Q18" i="12"/>
  <c r="Q13" i="12"/>
  <c r="H14" i="12"/>
  <c r="P14" i="12" s="1"/>
  <c r="H15" i="12"/>
  <c r="O15" i="12" s="1"/>
  <c r="Q16" i="12"/>
  <c r="P17" i="12"/>
  <c r="O17" i="12"/>
  <c r="P13" i="12"/>
  <c r="O13" i="12"/>
  <c r="P18" i="12"/>
  <c r="O18" i="12"/>
  <c r="P19" i="12"/>
  <c r="O19" i="12"/>
  <c r="P12" i="12"/>
  <c r="O12" i="12"/>
  <c r="P16" i="12"/>
  <c r="O16" i="12"/>
  <c r="O11" i="12" l="1"/>
  <c r="P11" i="12"/>
  <c r="Q25" i="12"/>
  <c r="Q26" i="12"/>
  <c r="Q21" i="12"/>
  <c r="P15" i="12"/>
  <c r="P22" i="12" s="1"/>
  <c r="Q23" i="12"/>
  <c r="Q22" i="12"/>
  <c r="Q24" i="12"/>
  <c r="O14" i="12"/>
  <c r="O23" i="12" l="1"/>
  <c r="P21" i="12"/>
  <c r="O25" i="12"/>
  <c r="Q30" i="12"/>
  <c r="O21" i="12"/>
  <c r="P24" i="12"/>
  <c r="P32" i="12" s="1"/>
  <c r="P23" i="12"/>
  <c r="P25" i="12"/>
  <c r="P26" i="12"/>
  <c r="O22" i="12"/>
  <c r="O24" i="12"/>
  <c r="O26" i="12"/>
  <c r="J3" i="6" l="1"/>
  <c r="I3" i="6"/>
  <c r="H3" i="6"/>
  <c r="G3" i="6"/>
  <c r="F3" i="6"/>
  <c r="E3" i="6"/>
  <c r="D3" i="6"/>
  <c r="B2" i="6"/>
  <c r="I79" i="3" l="1"/>
  <c r="H79" i="3"/>
  <c r="G79" i="3"/>
  <c r="F79" i="3"/>
  <c r="E79" i="3"/>
  <c r="D79" i="3"/>
  <c r="C79" i="3"/>
  <c r="I77" i="3"/>
  <c r="H77" i="3"/>
  <c r="G77" i="3"/>
  <c r="F77" i="3"/>
  <c r="E77" i="3"/>
  <c r="D77" i="3"/>
  <c r="C77" i="3"/>
  <c r="I75" i="3"/>
  <c r="H75" i="3"/>
  <c r="G75" i="3"/>
  <c r="F75" i="3"/>
  <c r="E75" i="3"/>
  <c r="D75" i="3"/>
  <c r="C75" i="3"/>
  <c r="I61" i="3"/>
  <c r="H61" i="3"/>
  <c r="G61" i="3"/>
  <c r="F61" i="3"/>
  <c r="E61" i="3"/>
  <c r="D61" i="3"/>
  <c r="C61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36" i="3"/>
  <c r="J36" i="3" s="1"/>
  <c r="J41" i="3" s="1"/>
  <c r="H36" i="3"/>
  <c r="H41" i="3" s="1"/>
  <c r="G36" i="3"/>
  <c r="G41" i="3" s="1"/>
  <c r="F36" i="3"/>
  <c r="F41" i="3" s="1"/>
  <c r="E36" i="3"/>
  <c r="E41" i="3" s="1"/>
  <c r="D36" i="3"/>
  <c r="D41" i="3" s="1"/>
  <c r="C36" i="3"/>
  <c r="C41" i="3" s="1"/>
  <c r="J30" i="3"/>
  <c r="I30" i="3"/>
  <c r="H30" i="3"/>
  <c r="G30" i="3"/>
  <c r="F30" i="3"/>
  <c r="E30" i="3"/>
  <c r="D30" i="3"/>
  <c r="C30" i="3"/>
  <c r="I24" i="3"/>
  <c r="H24" i="3"/>
  <c r="G24" i="3"/>
  <c r="F24" i="3"/>
  <c r="E24" i="3"/>
  <c r="D24" i="3"/>
  <c r="C24" i="3"/>
  <c r="J24" i="3"/>
  <c r="J21" i="3"/>
  <c r="I21" i="3"/>
  <c r="H21" i="3"/>
  <c r="G21" i="3"/>
  <c r="F21" i="3"/>
  <c r="E21" i="3"/>
  <c r="D21" i="3"/>
  <c r="C21" i="3"/>
  <c r="I15" i="3"/>
  <c r="H15" i="3"/>
  <c r="G15" i="3"/>
  <c r="F15" i="3"/>
  <c r="E15" i="3"/>
  <c r="D15" i="3"/>
  <c r="C15" i="3"/>
  <c r="J9" i="3"/>
  <c r="I9" i="3"/>
  <c r="H9" i="3"/>
  <c r="G9" i="3"/>
  <c r="F9" i="3"/>
  <c r="E9" i="3"/>
  <c r="D9" i="3"/>
  <c r="C9" i="3"/>
  <c r="J6" i="3"/>
  <c r="J16" i="3" s="1"/>
  <c r="I6" i="3"/>
  <c r="H6" i="3"/>
  <c r="G6" i="3"/>
  <c r="F6" i="3"/>
  <c r="E6" i="3"/>
  <c r="D6" i="3"/>
  <c r="C6" i="3"/>
  <c r="I3" i="3"/>
  <c r="C3" i="3"/>
  <c r="D3" i="3"/>
  <c r="E3" i="3"/>
  <c r="F3" i="3"/>
  <c r="G3" i="3"/>
  <c r="H3" i="3"/>
  <c r="B2" i="3"/>
  <c r="K73" i="2"/>
  <c r="J73" i="2"/>
  <c r="I73" i="2"/>
  <c r="H73" i="2"/>
  <c r="K51" i="2"/>
  <c r="J51" i="2"/>
  <c r="I51" i="2"/>
  <c r="H51" i="2"/>
  <c r="G51" i="2"/>
  <c r="F51" i="2"/>
  <c r="E51" i="2"/>
  <c r="D51" i="2"/>
  <c r="C51" i="2"/>
  <c r="B51" i="2"/>
  <c r="K34" i="2"/>
  <c r="J34" i="2"/>
  <c r="I34" i="2"/>
  <c r="H34" i="2"/>
  <c r="G34" i="2"/>
  <c r="F34" i="2"/>
  <c r="E34" i="2"/>
  <c r="D34" i="2"/>
  <c r="C34" i="2"/>
  <c r="B34" i="2"/>
  <c r="K32" i="2"/>
  <c r="J32" i="2"/>
  <c r="I32" i="2"/>
  <c r="H32" i="2"/>
  <c r="G32" i="2"/>
  <c r="F32" i="2"/>
  <c r="E32" i="2"/>
  <c r="K15" i="2"/>
  <c r="B6" i="2"/>
  <c r="E1" i="2"/>
  <c r="C10" i="3" l="1"/>
  <c r="J18" i="3"/>
  <c r="B15" i="2"/>
  <c r="E9" i="6"/>
  <c r="I9" i="6"/>
  <c r="J30" i="6"/>
  <c r="J28" i="6"/>
  <c r="J34" i="6" s="1"/>
  <c r="J29" i="6"/>
  <c r="J35" i="6" s="1"/>
  <c r="J31" i="6"/>
  <c r="J33" i="6"/>
  <c r="G31" i="6"/>
  <c r="G29" i="6"/>
  <c r="G35" i="6" s="1"/>
  <c r="G33" i="6"/>
  <c r="G28" i="6"/>
  <c r="G34" i="6" s="1"/>
  <c r="G30" i="6"/>
  <c r="D38" i="6"/>
  <c r="D40" i="6"/>
  <c r="D31" i="6"/>
  <c r="D29" i="6"/>
  <c r="D35" i="6" s="1"/>
  <c r="D33" i="6"/>
  <c r="D28" i="6"/>
  <c r="D34" i="6" s="1"/>
  <c r="D30" i="6"/>
  <c r="H31" i="6"/>
  <c r="H29" i="6"/>
  <c r="H35" i="6" s="1"/>
  <c r="H33" i="6"/>
  <c r="H30" i="6"/>
  <c r="H28" i="6"/>
  <c r="H34" i="6" s="1"/>
  <c r="G9" i="6"/>
  <c r="E40" i="6"/>
  <c r="E38" i="6"/>
  <c r="I38" i="6"/>
  <c r="I40" i="6"/>
  <c r="F30" i="6"/>
  <c r="F28" i="6"/>
  <c r="F34" i="6" s="1"/>
  <c r="F31" i="6"/>
  <c r="F33" i="6"/>
  <c r="F29" i="6"/>
  <c r="F35" i="6" s="1"/>
  <c r="G40" i="6"/>
  <c r="G38" i="6"/>
  <c r="F9" i="6"/>
  <c r="H40" i="6"/>
  <c r="H38" i="6"/>
  <c r="E30" i="6"/>
  <c r="E28" i="6"/>
  <c r="E34" i="6" s="1"/>
  <c r="E31" i="6"/>
  <c r="E33" i="6"/>
  <c r="E29" i="6"/>
  <c r="E35" i="6" s="1"/>
  <c r="I30" i="6"/>
  <c r="I28" i="6"/>
  <c r="I34" i="6" s="1"/>
  <c r="I29" i="6"/>
  <c r="I35" i="6" s="1"/>
  <c r="I31" i="6"/>
  <c r="I33" i="6"/>
  <c r="D9" i="6"/>
  <c r="H9" i="6"/>
  <c r="F40" i="6"/>
  <c r="F38" i="6"/>
  <c r="J40" i="6"/>
  <c r="J38" i="6"/>
  <c r="E67" i="3"/>
  <c r="F62" i="3"/>
  <c r="D67" i="3"/>
  <c r="C67" i="3"/>
  <c r="F67" i="3"/>
  <c r="G62" i="3"/>
  <c r="E62" i="3"/>
  <c r="G67" i="3"/>
  <c r="H62" i="3"/>
  <c r="H67" i="3"/>
  <c r="C81" i="3"/>
  <c r="C62" i="3"/>
  <c r="I62" i="3"/>
  <c r="F81" i="3"/>
  <c r="I67" i="3"/>
  <c r="D62" i="3"/>
  <c r="G81" i="3"/>
  <c r="I41" i="3"/>
  <c r="J9" i="6" s="1"/>
  <c r="H12" i="3"/>
  <c r="H13" i="3" s="1"/>
  <c r="I11" i="6" s="1"/>
  <c r="J25" i="3"/>
  <c r="G12" i="3"/>
  <c r="G13" i="3" s="1"/>
  <c r="H11" i="6" s="1"/>
  <c r="H22" i="3"/>
  <c r="J27" i="3"/>
  <c r="H7" i="3"/>
  <c r="I5" i="6" s="1"/>
  <c r="D16" i="3"/>
  <c r="E17" i="6" s="1"/>
  <c r="J22" i="3"/>
  <c r="C25" i="3"/>
  <c r="D18" i="6" s="1"/>
  <c r="E5" i="6"/>
  <c r="I10" i="3"/>
  <c r="E16" i="3"/>
  <c r="F17" i="6" s="1"/>
  <c r="D25" i="3"/>
  <c r="E18" i="6" s="1"/>
  <c r="F7" i="3"/>
  <c r="G5" i="6" s="1"/>
  <c r="D12" i="3"/>
  <c r="D22" i="3"/>
  <c r="E22" i="3"/>
  <c r="C22" i="3"/>
  <c r="C16" i="3"/>
  <c r="D17" i="6" s="1"/>
  <c r="I25" i="3"/>
  <c r="J18" i="6" s="1"/>
  <c r="F10" i="3"/>
  <c r="G16" i="3"/>
  <c r="H17" i="6" s="1"/>
  <c r="F16" i="3"/>
  <c r="G17" i="6" s="1"/>
  <c r="F22" i="3"/>
  <c r="C12" i="3"/>
  <c r="E10" i="3"/>
  <c r="G10" i="3"/>
  <c r="H16" i="3"/>
  <c r="I17" i="6" s="1"/>
  <c r="G22" i="3"/>
  <c r="G7" i="3"/>
  <c r="H5" i="6" s="1"/>
  <c r="G25" i="3"/>
  <c r="H18" i="6" s="1"/>
  <c r="E25" i="3"/>
  <c r="F18" i="6" s="1"/>
  <c r="I16" i="3"/>
  <c r="J17" i="6" s="1"/>
  <c r="H25" i="3"/>
  <c r="I18" i="6" s="1"/>
  <c r="I12" i="3"/>
  <c r="I22" i="3"/>
  <c r="I7" i="3"/>
  <c r="J5" i="6" s="1"/>
  <c r="D10" i="3"/>
  <c r="J10" i="3"/>
  <c r="J7" i="3"/>
  <c r="D5" i="6"/>
  <c r="E12" i="3"/>
  <c r="F25" i="3"/>
  <c r="G18" i="6" s="1"/>
  <c r="E7" i="3"/>
  <c r="F5" i="6" s="1"/>
  <c r="H10" i="3"/>
  <c r="F12" i="3"/>
  <c r="J12" i="3"/>
  <c r="J13" i="3" s="1"/>
  <c r="J19" i="3" l="1"/>
  <c r="M5" i="6"/>
  <c r="L5" i="6"/>
  <c r="M18" i="6"/>
  <c r="M27" i="6"/>
  <c r="M38" i="6"/>
  <c r="L38" i="6"/>
  <c r="L18" i="6"/>
  <c r="L17" i="6"/>
  <c r="I36" i="6"/>
  <c r="M31" i="6"/>
  <c r="L31" i="6"/>
  <c r="F36" i="6"/>
  <c r="M40" i="6"/>
  <c r="L40" i="6"/>
  <c r="L29" i="6"/>
  <c r="M17" i="6"/>
  <c r="F69" i="3"/>
  <c r="M28" i="6"/>
  <c r="H36" i="6"/>
  <c r="L30" i="6"/>
  <c r="J36" i="6"/>
  <c r="L9" i="6"/>
  <c r="L27" i="6"/>
  <c r="E36" i="6"/>
  <c r="M29" i="6"/>
  <c r="M30" i="6"/>
  <c r="M9" i="6"/>
  <c r="D36" i="6"/>
  <c r="G36" i="6"/>
  <c r="L28" i="6"/>
  <c r="H69" i="3"/>
  <c r="D81" i="3"/>
  <c r="G69" i="3"/>
  <c r="E69" i="3"/>
  <c r="H81" i="3"/>
  <c r="E81" i="3"/>
  <c r="I81" i="3"/>
  <c r="D69" i="3"/>
  <c r="C69" i="3"/>
  <c r="I69" i="3"/>
  <c r="G18" i="3"/>
  <c r="H18" i="3"/>
  <c r="D18" i="3"/>
  <c r="D13" i="3"/>
  <c r="E11" i="6" s="1"/>
  <c r="C18" i="3"/>
  <c r="C13" i="3"/>
  <c r="D11" i="6" s="1"/>
  <c r="I18" i="3"/>
  <c r="I13" i="3"/>
  <c r="J11" i="6" s="1"/>
  <c r="E18" i="3"/>
  <c r="E13" i="3"/>
  <c r="F11" i="6" s="1"/>
  <c r="J31" i="3"/>
  <c r="J33" i="3"/>
  <c r="J28" i="3"/>
  <c r="F18" i="3"/>
  <c r="F13" i="3"/>
  <c r="G11" i="6" s="1"/>
  <c r="F25" i="6" l="1"/>
  <c r="F13" i="6"/>
  <c r="F19" i="6" s="1"/>
  <c r="F21" i="6"/>
  <c r="F6" i="6"/>
  <c r="D21" i="6"/>
  <c r="D6" i="6"/>
  <c r="D13" i="6"/>
  <c r="D19" i="6" s="1"/>
  <c r="D25" i="6"/>
  <c r="G19" i="3"/>
  <c r="H12" i="6" s="1"/>
  <c r="H21" i="6"/>
  <c r="H6" i="6"/>
  <c r="H25" i="6"/>
  <c r="H13" i="6"/>
  <c r="H19" i="6" s="1"/>
  <c r="M33" i="6"/>
  <c r="L33" i="6"/>
  <c r="H19" i="3"/>
  <c r="I12" i="6" s="1"/>
  <c r="I25" i="6"/>
  <c r="I21" i="6"/>
  <c r="I13" i="6"/>
  <c r="I19" i="6" s="1"/>
  <c r="I6" i="6"/>
  <c r="C71" i="3"/>
  <c r="D39" i="6"/>
  <c r="E71" i="3"/>
  <c r="F39" i="6"/>
  <c r="J25" i="6"/>
  <c r="J13" i="6"/>
  <c r="J19" i="6" s="1"/>
  <c r="J6" i="6"/>
  <c r="J21" i="6"/>
  <c r="E25" i="6"/>
  <c r="E13" i="6"/>
  <c r="E19" i="6" s="1"/>
  <c r="E6" i="6"/>
  <c r="E21" i="6"/>
  <c r="D71" i="3"/>
  <c r="E39" i="6"/>
  <c r="G71" i="3"/>
  <c r="H39" i="6"/>
  <c r="H71" i="3"/>
  <c r="I39" i="6"/>
  <c r="M35" i="6"/>
  <c r="L35" i="6"/>
  <c r="F71" i="3"/>
  <c r="G39" i="6"/>
  <c r="G6" i="6"/>
  <c r="G13" i="6"/>
  <c r="G19" i="6" s="1"/>
  <c r="G25" i="6"/>
  <c r="G21" i="6"/>
  <c r="M11" i="6"/>
  <c r="L11" i="6"/>
  <c r="I71" i="3"/>
  <c r="J39" i="6"/>
  <c r="M34" i="6"/>
  <c r="L34" i="6"/>
  <c r="G27" i="3"/>
  <c r="H27" i="3"/>
  <c r="D19" i="3"/>
  <c r="E12" i="6" s="1"/>
  <c r="D27" i="3"/>
  <c r="C19" i="3"/>
  <c r="D12" i="6" s="1"/>
  <c r="C27" i="3"/>
  <c r="F19" i="3"/>
  <c r="G12" i="6" s="1"/>
  <c r="F27" i="3"/>
  <c r="E19" i="3"/>
  <c r="F12" i="6" s="1"/>
  <c r="E27" i="3"/>
  <c r="I19" i="3"/>
  <c r="J12" i="6" s="1"/>
  <c r="I27" i="3"/>
  <c r="J34" i="3"/>
  <c r="J38" i="3"/>
  <c r="G7" i="6" l="1"/>
  <c r="E7" i="6"/>
  <c r="M21" i="6"/>
  <c r="M12" i="6"/>
  <c r="L13" i="6"/>
  <c r="M25" i="6"/>
  <c r="G28" i="3"/>
  <c r="H14" i="6" s="1"/>
  <c r="H7" i="6"/>
  <c r="M39" i="6"/>
  <c r="L39" i="6"/>
  <c r="M19" i="6"/>
  <c r="L19" i="6"/>
  <c r="L6" i="6"/>
  <c r="M36" i="6"/>
  <c r="L36" i="6"/>
  <c r="L25" i="6"/>
  <c r="L12" i="6"/>
  <c r="D7" i="6"/>
  <c r="H28" i="3"/>
  <c r="I14" i="6" s="1"/>
  <c r="I7" i="6"/>
  <c r="M13" i="6"/>
  <c r="M6" i="6"/>
  <c r="J7" i="6"/>
  <c r="F7" i="6"/>
  <c r="L21" i="6"/>
  <c r="G33" i="3"/>
  <c r="G31" i="3"/>
  <c r="H33" i="3"/>
  <c r="H38" i="3" s="1"/>
  <c r="H31" i="3"/>
  <c r="J42" i="3"/>
  <c r="J44" i="3" s="1"/>
  <c r="I31" i="3"/>
  <c r="I33" i="3"/>
  <c r="I28" i="3"/>
  <c r="J14" i="6" s="1"/>
  <c r="C28" i="3"/>
  <c r="D14" i="6" s="1"/>
  <c r="C33" i="3"/>
  <c r="C31" i="3"/>
  <c r="E28" i="3"/>
  <c r="F14" i="6" s="1"/>
  <c r="E31" i="3"/>
  <c r="E33" i="3"/>
  <c r="D33" i="3"/>
  <c r="D28" i="3"/>
  <c r="E14" i="6" s="1"/>
  <c r="D31" i="3"/>
  <c r="F33" i="3"/>
  <c r="F28" i="3"/>
  <c r="G14" i="6" s="1"/>
  <c r="F31" i="3"/>
  <c r="M14" i="6" l="1"/>
  <c r="M7" i="6"/>
  <c r="G38" i="3"/>
  <c r="G42" i="3" s="1"/>
  <c r="H23" i="6"/>
  <c r="H8" i="6"/>
  <c r="E8" i="6"/>
  <c r="E23" i="6"/>
  <c r="L7" i="6"/>
  <c r="J8" i="6"/>
  <c r="J23" i="6"/>
  <c r="F8" i="6"/>
  <c r="F23" i="6"/>
  <c r="D23" i="6"/>
  <c r="D8" i="6"/>
  <c r="H34" i="3"/>
  <c r="I15" i="6" s="1"/>
  <c r="I23" i="6"/>
  <c r="I8" i="6"/>
  <c r="G23" i="6"/>
  <c r="G8" i="6"/>
  <c r="L14" i="6"/>
  <c r="G34" i="3"/>
  <c r="H15" i="6" s="1"/>
  <c r="G44" i="3"/>
  <c r="H22" i="6" s="1"/>
  <c r="H42" i="3"/>
  <c r="H44" i="3" s="1"/>
  <c r="I22" i="6" s="1"/>
  <c r="C34" i="3"/>
  <c r="D15" i="6" s="1"/>
  <c r="C38" i="3"/>
  <c r="F38" i="3"/>
  <c r="F34" i="3"/>
  <c r="G15" i="6" s="1"/>
  <c r="E34" i="3"/>
  <c r="F15" i="6" s="1"/>
  <c r="E38" i="3"/>
  <c r="D34" i="3"/>
  <c r="E15" i="6" s="1"/>
  <c r="D38" i="3"/>
  <c r="I38" i="3"/>
  <c r="I34" i="3"/>
  <c r="J15" i="6" s="1"/>
  <c r="H39" i="3" l="1"/>
  <c r="H24" i="6"/>
  <c r="G39" i="3"/>
  <c r="M23" i="6"/>
  <c r="M15" i="6"/>
  <c r="I24" i="6"/>
  <c r="L15" i="6"/>
  <c r="L23" i="6"/>
  <c r="L8" i="6"/>
  <c r="M8" i="6"/>
  <c r="E39" i="3"/>
  <c r="E42" i="3"/>
  <c r="E44" i="3" s="1"/>
  <c r="F22" i="6" s="1"/>
  <c r="F24" i="6" s="1"/>
  <c r="D39" i="3"/>
  <c r="D42" i="3"/>
  <c r="D44" i="3" s="1"/>
  <c r="E22" i="6" s="1"/>
  <c r="E24" i="6" s="1"/>
  <c r="F39" i="3"/>
  <c r="F42" i="3"/>
  <c r="F44" i="3" s="1"/>
  <c r="G22" i="6" s="1"/>
  <c r="G24" i="6" s="1"/>
  <c r="C39" i="3"/>
  <c r="C42" i="3"/>
  <c r="C44" i="3" s="1"/>
  <c r="D22" i="6" s="1"/>
  <c r="D24" i="6" s="1"/>
  <c r="I39" i="3"/>
  <c r="I42" i="3"/>
  <c r="I44" i="3" s="1"/>
  <c r="J22" i="6" s="1"/>
  <c r="J24" i="6" s="1"/>
  <c r="J39" i="3"/>
  <c r="L22" i="6" l="1"/>
  <c r="M22" i="6"/>
  <c r="M24" i="6" l="1"/>
  <c r="L24" i="6"/>
</calcChain>
</file>

<file path=xl/sharedStrings.xml><?xml version="1.0" encoding="utf-8"?>
<sst xmlns="http://schemas.openxmlformats.org/spreadsheetml/2006/main" count="230" uniqueCount="185">
  <si>
    <t>COMPANY NAME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</si>
  <si>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</si>
  <si>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</si>
  <si>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</si>
  <si>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</si>
  <si>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</si>
  <si>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</si>
  <si>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</si>
  <si>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</si>
  <si>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</si>
  <si>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</si>
  <si>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</si>
  <si>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</si>
  <si>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</si>
  <si>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</si>
  <si>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</si>
  <si>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</si>
  <si>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</si>
  <si>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</si>
  <si>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</si>
  <si>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</si>
  <si>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</si>
  <si>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</si>
  <si>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</si>
  <si>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</si>
  <si>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</si>
  <si>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Effective Tax Rate</t>
  </si>
  <si>
    <t>EBITDA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</si>
  <si>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</si>
  <si>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</si>
  <si>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</si>
  <si>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</si>
  <si>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</si>
  <si>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</si>
  <si>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</si>
  <si>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</si>
  <si>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</si>
  <si>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</si>
  <si>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</si>
  <si>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</si>
  <si>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</si>
  <si>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</si>
  <si>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</si>
  <si>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</si>
  <si>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</si>
  <si>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</si>
  <si>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</si>
  <si>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</si>
  <si>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</si>
  <si>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</si>
  <si>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</si>
  <si>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</si>
  <si>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</si>
  <si>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</si>
  <si>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</si>
  <si>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Years</t>
  </si>
  <si>
    <t>LTM</t>
  </si>
  <si>
    <t>Income Statement</t>
  </si>
  <si>
    <t>#</t>
  </si>
  <si>
    <t>Sales Growth</t>
  </si>
  <si>
    <t>-</t>
  </si>
  <si>
    <t>COGS</t>
  </si>
  <si>
    <t>COGS % Sales</t>
  </si>
  <si>
    <t>Gross Profit</t>
  </si>
  <si>
    <t>Selling &amp; General Expenses</t>
  </si>
  <si>
    <t>S&amp;G Exp % Sales</t>
  </si>
  <si>
    <t>EBITDA Margins</t>
  </si>
  <si>
    <t>Interest % Sales</t>
  </si>
  <si>
    <t>Depreciation%Sales</t>
  </si>
  <si>
    <t>Gross Margins</t>
  </si>
  <si>
    <t>Earnings Before Tax</t>
  </si>
  <si>
    <t>EBT % Sales</t>
  </si>
  <si>
    <t>Net Profit</t>
  </si>
  <si>
    <t>Net Margins</t>
  </si>
  <si>
    <t>No of Equity Shares</t>
  </si>
  <si>
    <t>Dividend per Share</t>
  </si>
  <si>
    <t>Earnings per Share</t>
  </si>
  <si>
    <t>EPS Growth %</t>
  </si>
  <si>
    <t>Dividend payout ratio</t>
  </si>
  <si>
    <t>Retained Earnings</t>
  </si>
  <si>
    <t>Balance Sheet</t>
  </si>
  <si>
    <t>Total Liabilities</t>
  </si>
  <si>
    <t>Fixed Assets Net Block</t>
  </si>
  <si>
    <t>Total Non Current Assets</t>
  </si>
  <si>
    <t>Total Current Assets</t>
  </si>
  <si>
    <t>Total Assets</t>
  </si>
  <si>
    <t>Check</t>
  </si>
  <si>
    <t>Cash Flow Statements</t>
  </si>
  <si>
    <t>Cash from Operating Activities</t>
  </si>
  <si>
    <t>Cash from Investing Activities</t>
  </si>
  <si>
    <t>Cash from Financing Activities</t>
  </si>
  <si>
    <t>Gross Margin</t>
  </si>
  <si>
    <t>EBITDA Margin</t>
  </si>
  <si>
    <t>OperatingIncome%Sales</t>
  </si>
  <si>
    <t>SalesExpenses%Sales</t>
  </si>
  <si>
    <t>SalesGrowth</t>
  </si>
  <si>
    <t>EBIT Growth</t>
  </si>
  <si>
    <t>Self Sustained Growth Rate</t>
  </si>
  <si>
    <t>Retained Earnings%</t>
  </si>
  <si>
    <t>Dividend Growth</t>
  </si>
  <si>
    <t>Net Profit Growth</t>
  </si>
  <si>
    <t>EBITDA Growth</t>
  </si>
  <si>
    <t>EBIT Margin</t>
  </si>
  <si>
    <t>EBT Margin</t>
  </si>
  <si>
    <t>Net Profit Margin</t>
  </si>
  <si>
    <t>Interest Coverage Ratio</t>
  </si>
  <si>
    <t>Debtor Turnover Ratio</t>
  </si>
  <si>
    <t>Inventory Turnover</t>
  </si>
  <si>
    <t>Fixed Asset Turnover</t>
  </si>
  <si>
    <t>Debtor Days</t>
  </si>
  <si>
    <t>Creditor Turnover Ratio</t>
  </si>
  <si>
    <t>Payable Days</t>
  </si>
  <si>
    <t>Capital Turnover Ratio</t>
  </si>
  <si>
    <t>Inventory Days</t>
  </si>
  <si>
    <t>Return on Equity%</t>
  </si>
  <si>
    <t>Return on Capital Employed</t>
  </si>
  <si>
    <t>CFO/Sales</t>
  </si>
  <si>
    <t>CFO/Total Assets</t>
  </si>
  <si>
    <t>CFO/Total Debt</t>
  </si>
  <si>
    <t>Trend</t>
  </si>
  <si>
    <t>Mean</t>
  </si>
  <si>
    <t>Median</t>
  </si>
  <si>
    <t>Cash Conversion Cycle (in days)</t>
  </si>
  <si>
    <t>HAPPY FORGINGS LTD</t>
  </si>
  <si>
    <t>Average</t>
  </si>
  <si>
    <t>Net debt</t>
  </si>
  <si>
    <t>S.No.</t>
  </si>
  <si>
    <t>Name</t>
  </si>
  <si>
    <t>Amount In crore</t>
  </si>
  <si>
    <t xml:space="preserve">Comparable Company Analysis </t>
  </si>
  <si>
    <t>MARKET DATA</t>
  </si>
  <si>
    <t>FINANCIALS</t>
  </si>
  <si>
    <t>Valuation</t>
  </si>
  <si>
    <t>Company</t>
  </si>
  <si>
    <t>Share Price</t>
  </si>
  <si>
    <t>Share O/S</t>
  </si>
  <si>
    <t>Equity Value</t>
  </si>
  <si>
    <t>Enterprise Value</t>
  </si>
  <si>
    <t>Revenue</t>
  </si>
  <si>
    <t>Net Income</t>
  </si>
  <si>
    <t>EV/Revenue</t>
  </si>
  <si>
    <t>EV/EBITDA</t>
  </si>
  <si>
    <t>P/E</t>
  </si>
  <si>
    <t>High</t>
  </si>
  <si>
    <t>75th Percentile</t>
  </si>
  <si>
    <t>25th Percentile</t>
  </si>
  <si>
    <t>Low</t>
  </si>
  <si>
    <t>EV*Revenue</t>
  </si>
  <si>
    <t>EV*EBITDA</t>
  </si>
  <si>
    <t>Implied Enterprise Value</t>
  </si>
  <si>
    <t>Net Debt</t>
  </si>
  <si>
    <t>Implied Market Value(Median &amp; Net Income)</t>
  </si>
  <si>
    <t>Share Outstanding</t>
  </si>
  <si>
    <t>Implied Value Per Share</t>
  </si>
  <si>
    <t>Under or Over VALUED</t>
  </si>
  <si>
    <t>EV(Enterprise Value)</t>
  </si>
  <si>
    <t>NAME</t>
  </si>
  <si>
    <t>PRN</t>
  </si>
  <si>
    <t>SPECIALIZATION</t>
  </si>
  <si>
    <t>YEAR</t>
  </si>
  <si>
    <t>SUBJECTS</t>
  </si>
  <si>
    <t>PANKAJ RAY</t>
  </si>
  <si>
    <t>FINANCE</t>
  </si>
  <si>
    <t>CORPORATE VALUATION</t>
  </si>
  <si>
    <t>Electrost.Cast.</t>
  </si>
  <si>
    <t>Happy Forgings</t>
  </si>
  <si>
    <t>EV / EBITDA</t>
  </si>
  <si>
    <t>M.Cap / Sales</t>
  </si>
  <si>
    <t>CMP Rs.</t>
  </si>
  <si>
    <t>No. Eq. Shares Cr.</t>
  </si>
  <si>
    <t>Debt Rs.Cr.</t>
  </si>
  <si>
    <t>Cash End Rs.Cr.</t>
  </si>
  <si>
    <t>EV Rs.Cr.</t>
  </si>
  <si>
    <t>Sales Rs.Cr.</t>
  </si>
  <si>
    <t>NP Ann Rs.Cr.</t>
  </si>
  <si>
    <t>Kalyani Forge</t>
  </si>
  <si>
    <t>Kalyani Cast-Tec</t>
  </si>
  <si>
    <t>Inv.&amp; Prec.Cast.</t>
  </si>
  <si>
    <t>Hilton Met.Forg.</t>
  </si>
  <si>
    <t>Gujarat Intrux</t>
  </si>
  <si>
    <t>GTV Engineering</t>
  </si>
  <si>
    <t>Ganga Forging</t>
  </si>
  <si>
    <t>Galaxy Agrico</t>
  </si>
  <si>
    <t>Happy Forgings Comparable Valuation</t>
  </si>
  <si>
    <t>ALL THE DATA HAS BEEN COLLECTED FROM SCREENER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</si>
</sst>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[$-409]mmm\-yy;@"/>
    <numFmt numFmtId="165" formatCode="_(* #,##0.00_);_(* \(#,##0.00\);_(* &quot;-&quot;??_);_(@_)"/>
    <numFmt numFmtId="166" formatCode="&quot;₹&quot;\ #,##0.0;\(&quot;₹&quot;\ #,##0.0\);\-"/>
    <numFmt numFmtId="167" formatCode="&quot;₹&quot;\ #,##0.00"/>
    <numFmt numFmtId="168" formatCode="#,##0.0"/>
    <numFmt numFmtId="169" formatCode="0.00&quot;x&quot;"/>
    <numFmt numFmtId="170" formatCode="0.0\x"/>
  </numFmts>
  <fonts count="22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Arial Narrow"/>
      <family val="2"/>
    </font>
    <font>
      <i/>
      <sz val="11"/>
      <color theme="1"/>
      <name val="calibri"/>
      <family val="2"/>
    </font>
    <font>
      <i/>
      <sz val="11"/>
      <color theme="0" tint="-0.499984740745262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2222F"/>
      <name val="Arial"/>
      <family val="2"/>
    </font>
    <font>
      <b/>
      <sz val="15"/>
      <color theme="1" tint="4.9989318521683403E-2"/>
      <name val="Times New Roman"/>
      <family val="1"/>
    </font>
    <font>
      <i/>
      <sz val="14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b/>
      <i/>
      <u/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/>
      <right/>
      <top style="hair">
        <color rgb="FF002060"/>
      </top>
      <bottom/>
      <diagonal/>
    </border>
    <border>
      <left/>
      <right/>
      <top/>
      <bottom style="hair">
        <color rgb="FF00206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/>
      <top style="hair">
        <color theme="3"/>
      </top>
      <bottom style="hair">
        <color theme="3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hair">
        <color theme="2"/>
      </top>
      <bottom style="hair">
        <color theme="2"/>
      </bottom>
      <diagonal/>
    </border>
    <border>
      <left/>
      <right/>
      <top style="hair">
        <color theme="1"/>
      </top>
      <bottom style="hair">
        <color theme="0" tint="-4.9989318521683403E-2"/>
      </bottom>
      <diagonal/>
    </border>
    <border>
      <left/>
      <right/>
      <top/>
      <bottom style="hair">
        <color theme="0" tint="-4.9989318521683403E-2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/>
      <top style="thin">
        <color theme="1" tint="4.9989318521683403E-2"/>
      </top>
      <bottom style="thin">
        <color theme="1" tint="4.9989318521683403E-2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9" fillId="2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2" fillId="0" borderId="0"/>
    <xf numFmtId="0" fontId="4" fillId="0" borderId="0" applyNumberFormat="0" applyFill="0" applyBorder="0" applyAlignment="0" applyProtection="0"/>
  </cellStyleXfs>
  <cellXfs count="140">
    <xf numFmtId="0" fontId="0" fillId="0" borderId="0" xfId="0"/>
    <xf numFmtId="43" fontId="6" fillId="0" borderId="0" xfId="2" applyFont="1" applyBorder="1"/>
    <xf numFmtId="43" fontId="8" fillId="0" borderId="0" xfId="2" applyFont="1" applyBorder="1"/>
    <xf numFmtId="0" fontId="8" fillId="0" borderId="0" xfId="5" applyFont="1"/>
    <xf numFmtId="164" fontId="10" fillId="3" borderId="0" xfId="2" applyNumberFormat="1" applyFont="1" applyFill="1" applyBorder="1"/>
    <xf numFmtId="164" fontId="10" fillId="3" borderId="0" xfId="5" applyNumberFormat="1" applyFont="1" applyFill="1" applyAlignment="1">
      <alignment horizontal="center"/>
    </xf>
    <xf numFmtId="164" fontId="11" fillId="0" borderId="0" xfId="2" applyNumberFormat="1" applyFont="1" applyFill="1" applyBorder="1"/>
    <xf numFmtId="0" fontId="5" fillId="0" borderId="0" xfId="5"/>
    <xf numFmtId="9" fontId="8" fillId="0" borderId="0" xfId="6" applyFont="1" applyBorder="1"/>
    <xf numFmtId="0" fontId="12" fillId="0" borderId="0" xfId="7"/>
    <xf numFmtId="165" fontId="8" fillId="0" borderId="0" xfId="2" applyNumberFormat="1" applyFont="1" applyBorder="1"/>
    <xf numFmtId="0" fontId="3" fillId="0" borderId="0" xfId="0" applyFont="1"/>
    <xf numFmtId="166" fontId="0" fillId="0" borderId="0" xfId="0" applyNumberFormat="1"/>
    <xf numFmtId="10" fontId="0" fillId="0" borderId="0" xfId="1" applyNumberFormat="1" applyFont="1"/>
    <xf numFmtId="0" fontId="13" fillId="0" borderId="0" xfId="0" applyFont="1"/>
    <xf numFmtId="0" fontId="14" fillId="0" borderId="0" xfId="0" applyFont="1"/>
    <xf numFmtId="10" fontId="14" fillId="0" borderId="0" xfId="1" applyNumberFormat="1" applyFont="1"/>
    <xf numFmtId="167" fontId="0" fillId="0" borderId="0" xfId="0" applyNumberFormat="1"/>
    <xf numFmtId="0" fontId="2" fillId="0" borderId="0" xfId="0" applyFont="1"/>
    <xf numFmtId="17" fontId="2" fillId="0" borderId="0" xfId="0" applyNumberFormat="1" applyFont="1"/>
    <xf numFmtId="17" fontId="2" fillId="0" borderId="0" xfId="0" applyNumberFormat="1" applyFont="1" applyAlignment="1">
      <alignment horizontal="right"/>
    </xf>
    <xf numFmtId="0" fontId="3" fillId="4" borderId="0" xfId="0" applyFont="1" applyFill="1"/>
    <xf numFmtId="0" fontId="0" fillId="4" borderId="0" xfId="0" applyFill="1"/>
    <xf numFmtId="166" fontId="3" fillId="0" borderId="0" xfId="0" applyNumberFormat="1" applyFont="1"/>
    <xf numFmtId="0" fontId="0" fillId="0" borderId="1" xfId="0" applyBorder="1"/>
    <xf numFmtId="10" fontId="0" fillId="0" borderId="1" xfId="1" applyNumberFormat="1" applyFont="1" applyBorder="1"/>
    <xf numFmtId="0" fontId="0" fillId="0" borderId="0" xfId="0" applyBorder="1"/>
    <xf numFmtId="10" fontId="0" fillId="0" borderId="0" xfId="1" applyNumberFormat="1" applyFont="1" applyBorder="1"/>
    <xf numFmtId="0" fontId="0" fillId="0" borderId="2" xfId="0" applyBorder="1"/>
    <xf numFmtId="10" fontId="0" fillId="0" borderId="2" xfId="1" applyNumberFormat="1" applyFont="1" applyBorder="1"/>
    <xf numFmtId="10" fontId="0" fillId="0" borderId="2" xfId="0" applyNumberFormat="1" applyBorder="1"/>
    <xf numFmtId="169" fontId="0" fillId="0" borderId="2" xfId="0" applyNumberFormat="1" applyBorder="1"/>
    <xf numFmtId="169" fontId="0" fillId="0" borderId="1" xfId="0" applyNumberFormat="1" applyBorder="1"/>
    <xf numFmtId="169" fontId="0" fillId="0" borderId="0" xfId="0" applyNumberFormat="1" applyBorder="1"/>
    <xf numFmtId="1" fontId="0" fillId="0" borderId="1" xfId="0" applyNumberFormat="1" applyBorder="1"/>
    <xf numFmtId="1" fontId="0" fillId="0" borderId="0" xfId="0" applyNumberFormat="1" applyBorder="1"/>
    <xf numFmtId="1" fontId="0" fillId="0" borderId="2" xfId="0" applyNumberFormat="1" applyBorder="1"/>
    <xf numFmtId="0" fontId="15" fillId="5" borderId="1" xfId="0" applyFont="1" applyFill="1" applyBorder="1"/>
    <xf numFmtId="0" fontId="15" fillId="6" borderId="0" xfId="0" applyFont="1" applyFill="1" applyBorder="1"/>
    <xf numFmtId="0" fontId="15" fillId="5" borderId="2" xfId="0" applyFont="1" applyFill="1" applyBorder="1"/>
    <xf numFmtId="0" fontId="0" fillId="7" borderId="1" xfId="0" applyFill="1" applyBorder="1"/>
    <xf numFmtId="0" fontId="0" fillId="7" borderId="0" xfId="0" applyFill="1" applyBorder="1"/>
    <xf numFmtId="0" fontId="0" fillId="6" borderId="2" xfId="0" applyFill="1" applyBorder="1"/>
    <xf numFmtId="0" fontId="0" fillId="7" borderId="2" xfId="0" applyFill="1" applyBorder="1"/>
    <xf numFmtId="0" fontId="0" fillId="6" borderId="0" xfId="0" applyFill="1" applyBorder="1"/>
    <xf numFmtId="0" fontId="0" fillId="6" borderId="1" xfId="0" applyFill="1" applyBorder="1"/>
    <xf numFmtId="0" fontId="2" fillId="8" borderId="0" xfId="0" applyFont="1" applyFill="1"/>
    <xf numFmtId="17" fontId="2" fillId="8" borderId="0" xfId="0" applyNumberFormat="1" applyFont="1" applyFill="1"/>
    <xf numFmtId="17" fontId="2" fillId="8" borderId="0" xfId="0" applyNumberFormat="1" applyFont="1" applyFill="1" applyAlignment="1">
      <alignment horizontal="right"/>
    </xf>
    <xf numFmtId="0" fontId="2" fillId="8" borderId="6" xfId="0" applyFont="1" applyFill="1" applyBorder="1"/>
    <xf numFmtId="17" fontId="2" fillId="8" borderId="7" xfId="0" applyNumberFormat="1" applyFont="1" applyFill="1" applyBorder="1"/>
    <xf numFmtId="17" fontId="2" fillId="8" borderId="7" xfId="0" applyNumberFormat="1" applyFont="1" applyFill="1" applyBorder="1" applyAlignment="1">
      <alignment horizontal="center"/>
    </xf>
    <xf numFmtId="17" fontId="2" fillId="8" borderId="7" xfId="0" applyNumberFormat="1" applyFont="1" applyFill="1" applyBorder="1" applyAlignment="1">
      <alignment horizontal="right"/>
    </xf>
    <xf numFmtId="17" fontId="2" fillId="8" borderId="8" xfId="0" applyNumberFormat="1" applyFont="1" applyFill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3" fontId="0" fillId="0" borderId="0" xfId="0" applyNumberFormat="1"/>
    <xf numFmtId="0" fontId="0" fillId="9" borderId="0" xfId="0" applyFill="1"/>
    <xf numFmtId="0" fontId="16" fillId="0" borderId="0" xfId="0" applyFont="1"/>
    <xf numFmtId="0" fontId="0" fillId="0" borderId="9" xfId="0" applyBorder="1"/>
    <xf numFmtId="0" fontId="0" fillId="0" borderId="3" xfId="0" applyBorder="1"/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0" fillId="5" borderId="0" xfId="0" applyFill="1"/>
    <xf numFmtId="0" fontId="0" fillId="0" borderId="0" xfId="0" applyAlignment="1">
      <alignment vertical="center" wrapText="1"/>
    </xf>
    <xf numFmtId="0" fontId="19" fillId="0" borderId="9" xfId="0" applyFont="1" applyBorder="1"/>
    <xf numFmtId="0" fontId="0" fillId="13" borderId="0" xfId="0" applyFill="1"/>
    <xf numFmtId="0" fontId="9" fillId="14" borderId="7" xfId="0" applyFont="1" applyFill="1" applyBorder="1" applyAlignment="1"/>
    <xf numFmtId="0" fontId="9" fillId="14" borderId="12" xfId="0" applyFont="1" applyFill="1" applyBorder="1" applyAlignment="1"/>
    <xf numFmtId="0" fontId="0" fillId="14" borderId="16" xfId="0" applyFill="1" applyBorder="1"/>
    <xf numFmtId="0" fontId="9" fillId="14" borderId="16" xfId="0" applyFont="1" applyFill="1" applyBorder="1"/>
    <xf numFmtId="0" fontId="9" fillId="14" borderId="20" xfId="0" applyFont="1" applyFill="1" applyBorder="1"/>
    <xf numFmtId="0" fontId="0" fillId="14" borderId="0" xfId="0" applyFill="1" applyBorder="1"/>
    <xf numFmtId="0" fontId="0" fillId="14" borderId="20" xfId="0" applyFill="1" applyBorder="1"/>
    <xf numFmtId="0" fontId="9" fillId="14" borderId="20" xfId="0" applyFont="1" applyFill="1" applyBorder="1" applyAlignment="1">
      <alignment horizontal="right"/>
    </xf>
    <xf numFmtId="0" fontId="0" fillId="12" borderId="9" xfId="0" applyFont="1" applyFill="1" applyBorder="1"/>
    <xf numFmtId="3" fontId="0" fillId="12" borderId="9" xfId="0" applyNumberFormat="1" applyFont="1" applyFill="1" applyBorder="1"/>
    <xf numFmtId="0" fontId="0" fillId="12" borderId="9" xfId="0" applyFont="1" applyFill="1" applyBorder="1" applyAlignment="1">
      <alignment wrapText="1"/>
    </xf>
    <xf numFmtId="170" fontId="0" fillId="12" borderId="9" xfId="0" applyNumberFormat="1" applyFont="1" applyFill="1" applyBorder="1"/>
    <xf numFmtId="3" fontId="0" fillId="0" borderId="9" xfId="0" applyNumberFormat="1" applyBorder="1"/>
    <xf numFmtId="0" fontId="0" fillId="0" borderId="9" xfId="0" applyBorder="1" applyAlignment="1">
      <alignment wrapText="1"/>
    </xf>
    <xf numFmtId="170" fontId="0" fillId="0" borderId="9" xfId="0" applyNumberFormat="1" applyBorder="1"/>
    <xf numFmtId="0" fontId="0" fillId="10" borderId="14" xfId="0" applyFill="1" applyBorder="1"/>
    <xf numFmtId="170" fontId="0" fillId="10" borderId="14" xfId="0" applyNumberFormat="1" applyFill="1" applyBorder="1"/>
    <xf numFmtId="0" fontId="9" fillId="11" borderId="21" xfId="0" applyFont="1" applyFill="1" applyBorder="1"/>
    <xf numFmtId="0" fontId="9" fillId="14" borderId="21" xfId="0" applyFont="1" applyFill="1" applyBorder="1" applyAlignment="1">
      <alignment horizontal="right"/>
    </xf>
    <xf numFmtId="0" fontId="0" fillId="12" borderId="22" xfId="0" applyFill="1" applyBorder="1"/>
    <xf numFmtId="3" fontId="0" fillId="12" borderId="22" xfId="0" applyNumberFormat="1" applyFill="1" applyBorder="1"/>
    <xf numFmtId="0" fontId="16" fillId="12" borderId="0" xfId="0" applyFont="1" applyFill="1"/>
    <xf numFmtId="0" fontId="0" fillId="0" borderId="23" xfId="0" applyBorder="1"/>
    <xf numFmtId="0" fontId="20" fillId="15" borderId="12" xfId="0" applyFont="1" applyFill="1" applyBorder="1" applyAlignment="1"/>
    <xf numFmtId="3" fontId="0" fillId="5" borderId="9" xfId="0" applyNumberFormat="1" applyFont="1" applyFill="1" applyBorder="1"/>
    <xf numFmtId="0" fontId="0" fillId="5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16" fillId="0" borderId="23" xfId="0" applyFont="1" applyBorder="1"/>
    <xf numFmtId="0" fontId="0" fillId="0" borderId="24" xfId="0" applyBorder="1"/>
    <xf numFmtId="0" fontId="0" fillId="0" borderId="15" xfId="0" applyBorder="1"/>
    <xf numFmtId="0" fontId="0" fillId="0" borderId="15" xfId="0" applyBorder="1" applyAlignment="1">
      <alignment horizontal="right"/>
    </xf>
    <xf numFmtId="1" fontId="0" fillId="0" borderId="24" xfId="0" applyNumberFormat="1" applyBorder="1"/>
    <xf numFmtId="0" fontId="0" fillId="0" borderId="4" xfId="0" applyBorder="1"/>
    <xf numFmtId="0" fontId="4" fillId="16" borderId="0" xfId="8" applyFill="1" applyAlignment="1">
      <alignment horizontal="left" vertical="center" indent="1"/>
    </xf>
    <xf numFmtId="0" fontId="17" fillId="16" borderId="0" xfId="0" applyFont="1" applyFill="1" applyAlignment="1">
      <alignment horizontal="right" vertical="center" wrapText="1" indent="1"/>
    </xf>
    <xf numFmtId="10" fontId="17" fillId="16" borderId="0" xfId="0" applyNumberFormat="1" applyFont="1" applyFill="1" applyAlignment="1">
      <alignment horizontal="right" vertical="center" wrapText="1" indent="1"/>
    </xf>
    <xf numFmtId="0" fontId="0" fillId="9" borderId="0" xfId="0" applyFill="1" applyAlignment="1">
      <alignment vertical="center" wrapText="1"/>
    </xf>
    <xf numFmtId="0" fontId="4" fillId="0" borderId="0" xfId="8" applyFill="1" applyAlignment="1">
      <alignment horizontal="left" vertical="center" indent="1"/>
    </xf>
    <xf numFmtId="0" fontId="0" fillId="0" borderId="0" xfId="0" applyFill="1"/>
    <xf numFmtId="0" fontId="17" fillId="0" borderId="0" xfId="0" applyFont="1" applyFill="1" applyAlignment="1">
      <alignment horizontal="left" vertical="center" indent="1"/>
    </xf>
    <xf numFmtId="0" fontId="17" fillId="0" borderId="0" xfId="0" applyFont="1" applyFill="1" applyAlignment="1">
      <alignment horizontal="right" vertical="center" wrapText="1" inden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4" fillId="0" borderId="6" xfId="8" applyFill="1" applyBorder="1" applyAlignment="1">
      <alignment horizontal="left" vertical="center" wrapText="1"/>
    </xf>
    <xf numFmtId="0" fontId="4" fillId="0" borderId="7" xfId="8" applyFill="1" applyBorder="1" applyAlignment="1">
      <alignment horizontal="left" vertical="center" wrapText="1"/>
    </xf>
    <xf numFmtId="0" fontId="4" fillId="0" borderId="7" xfId="8" applyFill="1" applyBorder="1" applyAlignment="1">
      <alignment horizontal="right" vertical="center" wrapText="1"/>
    </xf>
    <xf numFmtId="0" fontId="4" fillId="0" borderId="8" xfId="8" applyFill="1" applyBorder="1" applyAlignment="1">
      <alignment horizontal="right" vertical="center" wrapText="1"/>
    </xf>
    <xf numFmtId="0" fontId="3" fillId="0" borderId="7" xfId="0" applyFont="1" applyFill="1" applyBorder="1" applyAlignment="1">
      <alignment vertical="center" wrapText="1"/>
    </xf>
    <xf numFmtId="168" fontId="0" fillId="12" borderId="9" xfId="0" applyNumberFormat="1" applyFont="1" applyFill="1" applyBorder="1"/>
    <xf numFmtId="0" fontId="3" fillId="12" borderId="9" xfId="0" applyFont="1" applyFill="1" applyBorder="1"/>
    <xf numFmtId="0" fontId="3" fillId="0" borderId="9" xfId="0" applyFont="1" applyBorder="1"/>
    <xf numFmtId="3" fontId="3" fillId="12" borderId="9" xfId="0" applyNumberFormat="1" applyFont="1" applyFill="1" applyBorder="1"/>
    <xf numFmtId="3" fontId="3" fillId="5" borderId="9" xfId="0" applyNumberFormat="1" applyFont="1" applyFill="1" applyBorder="1"/>
    <xf numFmtId="3" fontId="3" fillId="0" borderId="9" xfId="0" applyNumberFormat="1" applyFont="1" applyBorder="1"/>
    <xf numFmtId="0" fontId="3" fillId="0" borderId="9" xfId="0" applyFont="1" applyBorder="1" applyAlignment="1">
      <alignment wrapText="1"/>
    </xf>
    <xf numFmtId="170" fontId="3" fillId="0" borderId="9" xfId="0" applyNumberFormat="1" applyFont="1" applyBorder="1"/>
    <xf numFmtId="0" fontId="0" fillId="0" borderId="5" xfId="0" applyBorder="1"/>
    <xf numFmtId="0" fontId="0" fillId="0" borderId="11" xfId="0" applyBorder="1"/>
    <xf numFmtId="0" fontId="21" fillId="0" borderId="0" xfId="0" applyFont="1" applyBorder="1"/>
    <xf numFmtId="0" fontId="18" fillId="1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3" fontId="7" fillId="0" borderId="0" xfId="3" applyNumberFormat="1" applyFont="1" applyBorder="1" applyAlignment="1" applyProtection="1">
      <alignment horizontal="center"/>
    </xf>
    <xf numFmtId="43" fontId="10" fillId="2" borderId="0" xfId="4" applyNumberFormat="1" applyFont="1" applyBorder="1" applyAlignment="1">
      <alignment horizontal="center"/>
    </xf>
    <xf numFmtId="0" fontId="9" fillId="14" borderId="17" xfId="0" applyFont="1" applyFill="1" applyBorder="1" applyAlignment="1">
      <alignment horizontal="center"/>
    </xf>
    <xf numFmtId="0" fontId="9" fillId="14" borderId="18" xfId="0" applyFont="1" applyFill="1" applyBorder="1" applyAlignment="1">
      <alignment horizontal="center"/>
    </xf>
    <xf numFmtId="0" fontId="9" fillId="14" borderId="19" xfId="0" applyFont="1" applyFill="1" applyBorder="1" applyAlignment="1">
      <alignment horizontal="center"/>
    </xf>
  </cellXfs>
  <cellStyles count="9">
    <cellStyle name="Accent6 2" xfId="4"/>
    <cellStyle name="Comma 2" xfId="2"/>
    <cellStyle name="Hyperlink" xfId="8" builtinId="8"/>
    <cellStyle name="Hyperlink 2" xfId="3"/>
    <cellStyle name="Normal" xfId="0" builtinId="0"/>
    <cellStyle name="Normal 2" xfId="7"/>
    <cellStyle name="Normal 3" xfId="5"/>
    <cellStyle name="Percent" xfId="1" builtinId="5"/>
    <cellStyle name="Percent 3" xfId="6"/>
  </cellStyles>
  <dxfs count="8">
    <dxf>
      <font>
        <b/>
        <i val="0"/>
        <color theme="0"/>
      </font>
      <fill>
        <patternFill>
          <bgColor theme="5"/>
        </patternFill>
      </fill>
    </dxf>
    <dxf>
      <alignment horizontal="right" vertical="bottom" textRotation="0" wrapText="0" indent="0" justifyLastLine="0" shrinkToFit="0" readingOrder="0"/>
      <border diagonalUp="0" diagonalDown="0">
        <left style="hair">
          <color auto="1"/>
        </left>
        <right/>
        <top/>
        <bottom/>
        <vertical/>
        <horizontal/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border diagonalUp="0" diagonalDown="0">
        <left/>
        <right style="hair">
          <color auto="1"/>
        </right>
        <top/>
        <bottom/>
        <vertical style="hair">
          <color auto="1"/>
        </vertical>
        <horizontal/>
      </border>
    </dxf>
    <dxf>
      <border diagonalUp="0" diagonalDown="0">
        <left/>
        <right/>
        <top/>
        <bottom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</dxfs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0</xdr:row>
      <xdr:rowOff>114300</xdr:rowOff>
    </xdr:from>
    <xdr:to>
      <xdr:col>9</xdr:col>
      <xdr:colOff>762001</xdr:colOff>
      <xdr:row>18</xdr:row>
      <xdr:rowOff>152400</xdr:rowOff>
    </xdr:to>
    <xdr:sp macro="" textlink="">
      <xdr:nvSpPr>
        <xdr:cNvPr id="2" name="TextBox 1"/>
        <xdr:cNvSpPr txBox="1"/>
      </xdr:nvSpPr>
      <xdr:spPr>
        <a:xfrm>
          <a:off x="942975" y="114300"/>
          <a:ext cx="8562976" cy="34671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                                      </a:t>
          </a:r>
          <a:endParaRPr lang="en-US" sz="1100" baseline="0"/>
        </a:p>
        <a:p>
          <a:pPr algn="ctr"/>
          <a:endParaRPr lang="en-US" sz="1100" baseline="0"/>
        </a:p>
        <a:p>
          <a:pPr algn="ctr"/>
          <a:endParaRPr lang="en-US" sz="1100" baseline="0"/>
        </a:p>
        <a:p>
          <a:pPr algn="ctr"/>
          <a:endParaRPr lang="en-US" sz="1100" baseline="0"/>
        </a:p>
      </xdr:txBody>
    </xdr:sp>
    <xdr:clientData/>
  </xdr:twoCellAnchor>
  <xdr:twoCellAnchor>
    <xdr:from>
      <xdr:col>1</xdr:col>
      <xdr:colOff>542925</xdr:colOff>
      <xdr:row>6</xdr:row>
      <xdr:rowOff>38100</xdr:rowOff>
    </xdr:from>
    <xdr:to>
      <xdr:col>2</xdr:col>
      <xdr:colOff>1504950</xdr:colOff>
      <xdr:row>8</xdr:row>
      <xdr:rowOff>66675</xdr:rowOff>
    </xdr:to>
    <xdr:sp macro="" textlink="">
      <xdr:nvSpPr>
        <xdr:cNvPr id="3" name="TextBox 2"/>
        <xdr:cNvSpPr txBox="1"/>
      </xdr:nvSpPr>
      <xdr:spPr>
        <a:xfrm>
          <a:off x="1152525" y="1181100"/>
          <a:ext cx="1571625" cy="40957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SUBMITTED BY                                                                                        </a:t>
          </a:r>
          <a:endParaRPr lang="en-US" sz="1100"/>
        </a:p>
      </xdr:txBody>
    </xdr:sp>
    <xdr:clientData/>
  </xdr:twoCellAnchor>
  <xdr:twoCellAnchor editAs="oneCell">
    <xdr:from>
      <xdr:col>4</xdr:col>
      <xdr:colOff>19051</xdr:colOff>
      <xdr:row>6</xdr:row>
      <xdr:rowOff>133350</xdr:rowOff>
    </xdr:from>
    <xdr:to>
      <xdr:col>6</xdr:col>
      <xdr:colOff>752476</xdr:colOff>
      <xdr:row>14</xdr:row>
      <xdr:rowOff>17311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9526" y="1276350"/>
          <a:ext cx="2438400" cy="1407961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</xdr:pic>
    <xdr:clientData/>
  </xdr:twoCellAnchor>
  <xdr:twoCellAnchor>
    <xdr:from>
      <xdr:col>7</xdr:col>
      <xdr:colOff>581025</xdr:colOff>
      <xdr:row>6</xdr:row>
      <xdr:rowOff>28575</xdr:rowOff>
    </xdr:from>
    <xdr:to>
      <xdr:col>9</xdr:col>
      <xdr:colOff>419100</xdr:colOff>
      <xdr:row>8</xdr:row>
      <xdr:rowOff>76200</xdr:rowOff>
    </xdr:to>
    <xdr:sp macro="" textlink="">
      <xdr:nvSpPr>
        <xdr:cNvPr id="5" name="TextBox 4"/>
        <xdr:cNvSpPr txBox="1"/>
      </xdr:nvSpPr>
      <xdr:spPr>
        <a:xfrm>
          <a:off x="7620000" y="1171575"/>
          <a:ext cx="1543050" cy="42862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SUBMITRTED TO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619125</xdr:colOff>
      <xdr:row>1</xdr:row>
      <xdr:rowOff>47625</xdr:rowOff>
    </xdr:from>
    <xdr:to>
      <xdr:col>8</xdr:col>
      <xdr:colOff>352425</xdr:colOff>
      <xdr:row>4</xdr:row>
      <xdr:rowOff>57150</xdr:rowOff>
    </xdr:to>
    <xdr:sp macro="" textlink="">
      <xdr:nvSpPr>
        <xdr:cNvPr id="13" name="TextBox 12"/>
        <xdr:cNvSpPr txBox="1"/>
      </xdr:nvSpPr>
      <xdr:spPr>
        <a:xfrm>
          <a:off x="1838325" y="238125"/>
          <a:ext cx="6734175" cy="58102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rgbClr val="C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ASSIGNMENT</a:t>
          </a:r>
          <a:r>
            <a:rPr lang="en-US" sz="1600" b="1" baseline="0">
              <a:solidFill>
                <a:srgbClr val="C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OF CORPORATE VALUATION</a:t>
          </a:r>
          <a:endParaRPr lang="en-US" sz="1600" b="1">
            <a:solidFill>
              <a:srgbClr val="C0000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600"/>
        </a:p>
      </xdr:txBody>
    </xdr:sp>
    <xdr:clientData/>
  </xdr:twoCellAnchor>
  <xdr:twoCellAnchor>
    <xdr:from>
      <xdr:col>7</xdr:col>
      <xdr:colOff>590551</xdr:colOff>
      <xdr:row>10</xdr:row>
      <xdr:rowOff>161926</xdr:rowOff>
    </xdr:from>
    <xdr:to>
      <xdr:col>9</xdr:col>
      <xdr:colOff>438150</xdr:colOff>
      <xdr:row>12</xdr:row>
      <xdr:rowOff>133350</xdr:rowOff>
    </xdr:to>
    <xdr:sp macro="" textlink="">
      <xdr:nvSpPr>
        <xdr:cNvPr id="14" name="TextBox 13"/>
        <xdr:cNvSpPr txBox="1"/>
      </xdr:nvSpPr>
      <xdr:spPr>
        <a:xfrm>
          <a:off x="7629526" y="2066926"/>
          <a:ext cx="1552574" cy="3524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DR.RV.Naveenan</a:t>
          </a:r>
        </a:p>
      </xdr:txBody>
    </xdr:sp>
    <xdr:clientData/>
  </xdr:twoCellAnchor>
  <xdr:twoCellAnchor>
    <xdr:from>
      <xdr:col>1</xdr:col>
      <xdr:colOff>533400</xdr:colOff>
      <xdr:row>10</xdr:row>
      <xdr:rowOff>161925</xdr:rowOff>
    </xdr:from>
    <xdr:to>
      <xdr:col>2</xdr:col>
      <xdr:colOff>1533525</xdr:colOff>
      <xdr:row>12</xdr:row>
      <xdr:rowOff>123824</xdr:rowOff>
    </xdr:to>
    <xdr:sp macro="" textlink="">
      <xdr:nvSpPr>
        <xdr:cNvPr id="15" name="TextBox 14"/>
        <xdr:cNvSpPr txBox="1"/>
      </xdr:nvSpPr>
      <xdr:spPr>
        <a:xfrm>
          <a:off x="1143000" y="2066925"/>
          <a:ext cx="1609725" cy="342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Pankaj Ray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966107</xdr:colOff>
      <xdr:row>1</xdr:row>
      <xdr:rowOff>0</xdr:rowOff>
    </xdr:from>
    <xdr:to>
      <xdr:col>10</xdr:col>
      <xdr:colOff>530679</xdr:colOff>
      <xdr:row>3</xdr:row>
      <xdr:rowOff>54429</xdr:rowOff>
    </xdr:to>
    <xdr:sp macro="" textlink="">
      <xdr:nvSpPr>
        <xdr:cNvPr id="2" name="TextBox 1"/>
        <xdr:cNvSpPr txBox="1"/>
      </xdr:nvSpPr>
      <xdr:spPr>
        <a:xfrm>
          <a:off x="4966607" y="0"/>
          <a:ext cx="5225143" cy="544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1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HAPPY FORGINGS RELATIVE VALUATION</a:t>
          </a:r>
          <a:r>
            <a:rPr lang="en-US" sz="2100" b="1" u="sng"/>
            <a:t> </a:t>
          </a:r>
          <a:r>
            <a:rPr lang="en-US" sz="21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2100" b="1" u="sng"/>
            <a:t>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C24:G25" totalsRowShown="0" headerRowDxfId="7" tableBorderDxfId="6">
  <autoFilter ref="C24:G25"/>
  <tableColumns count="5">
    <tableColumn id="1" name="NAME" dataDxfId="5"/>
    <tableColumn id="2" name="PRN" dataDxfId="4"/>
    <tableColumn id="3" name="SPECIALIZATION" dataDxfId="3"/>
    <tableColumn id="4" name="YEAR" dataDxfId="2"/>
    <tableColumn id="5" name="SUBJECT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reener.in/company/compare/00000010/00000017/?sort=evebitda&amp;order=desc" TargetMode="External"/><Relationship Id="rId13" Type="http://schemas.openxmlformats.org/officeDocument/2006/relationships/hyperlink" Target="https://www.screener.in/company/544023/" TargetMode="External"/><Relationship Id="rId18" Type="http://schemas.openxmlformats.org/officeDocument/2006/relationships/hyperlink" Target="https://www.screener.in/company/539479/" TargetMode="External"/><Relationship Id="rId3" Type="http://schemas.openxmlformats.org/officeDocument/2006/relationships/hyperlink" Target="https://www.screener.in/company/compare/00000010/00000017/?sort=number+of+equity+shares&amp;order=desc" TargetMode="External"/><Relationship Id="rId21" Type="http://schemas.openxmlformats.org/officeDocument/2006/relationships/hyperlink" Target="https://www.screener.in/company/ELECTCAST/consolidated/" TargetMode="External"/><Relationship Id="rId7" Type="http://schemas.openxmlformats.org/officeDocument/2006/relationships/hyperlink" Target="https://www.screener.in/company/compare/00000010/00000017/?sort=sales&amp;order=desc" TargetMode="External"/><Relationship Id="rId12" Type="http://schemas.openxmlformats.org/officeDocument/2006/relationships/hyperlink" Target="https://www.screener.in/company/KALYANIFRG/" TargetMode="External"/><Relationship Id="rId17" Type="http://schemas.openxmlformats.org/officeDocument/2006/relationships/hyperlink" Target="https://www.screener.in/company/517372/" TargetMode="External"/><Relationship Id="rId2" Type="http://schemas.openxmlformats.org/officeDocument/2006/relationships/hyperlink" Target="https://www.screener.in/company/compare/00000010/00000017/?sort=current+price&amp;order=desc" TargetMode="External"/><Relationship Id="rId16" Type="http://schemas.openxmlformats.org/officeDocument/2006/relationships/hyperlink" Target="https://www.screener.in/company/HAPPYFORGE/" TargetMode="External"/><Relationship Id="rId20" Type="http://schemas.openxmlformats.org/officeDocument/2006/relationships/hyperlink" Target="https://www.screener.in/company/531911/" TargetMode="External"/><Relationship Id="rId1" Type="http://schemas.openxmlformats.org/officeDocument/2006/relationships/hyperlink" Target="https://www.screener.in/company/compare/00000010/00000017/?order=asc" TargetMode="External"/><Relationship Id="rId6" Type="http://schemas.openxmlformats.org/officeDocument/2006/relationships/hyperlink" Target="https://www.screener.in/company/compare/00000010/00000017/?sort=enterprise+value&amp;order=desc" TargetMode="External"/><Relationship Id="rId11" Type="http://schemas.openxmlformats.org/officeDocument/2006/relationships/hyperlink" Target="https://www.screener.in/company/compare/00000010/00000017/?sort=name&amp;order=asc" TargetMode="External"/><Relationship Id="rId5" Type="http://schemas.openxmlformats.org/officeDocument/2006/relationships/hyperlink" Target="https://www.screener.in/company/compare/00000010/00000017/?sort=cash+end+of+last+year&amp;order=desc" TargetMode="External"/><Relationship Id="rId15" Type="http://schemas.openxmlformats.org/officeDocument/2006/relationships/hyperlink" Target="https://www.screener.in/company/HILTON/" TargetMode="External"/><Relationship Id="rId10" Type="http://schemas.openxmlformats.org/officeDocument/2006/relationships/hyperlink" Target="https://www.screener.in/company/compare/00000010/00000017/?sort=market+cap+to+sales&amp;order=desc" TargetMode="External"/><Relationship Id="rId19" Type="http://schemas.openxmlformats.org/officeDocument/2006/relationships/hyperlink" Target="https://www.screener.in/company/GANGAFORGE/" TargetMode="External"/><Relationship Id="rId4" Type="http://schemas.openxmlformats.org/officeDocument/2006/relationships/hyperlink" Target="https://www.screener.in/company/compare/00000010/00000017/?sort=debt&amp;order=desc" TargetMode="External"/><Relationship Id="rId9" Type="http://schemas.openxmlformats.org/officeDocument/2006/relationships/hyperlink" Target="https://www.screener.in/company/compare/00000010/00000017/?sort=net+profit+last+year&amp;order=desc" TargetMode="External"/><Relationship Id="rId14" Type="http://schemas.openxmlformats.org/officeDocument/2006/relationships/hyperlink" Target="https://www.screener.in/company/504786/consolidat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5"/>
  <sheetViews>
    <sheetView showGridLines="0" zoomScale="85" zoomScaleNormal="85" workbookViewId="0">
      <selection activeCell="C25" sqref="C25:G25"/>
    </sheetView>
  </sheetViews>
  <sheetFormatPr defaultRowHeight="15" x14ac:dyDescent="0.25"/>
  <cols>
    <col min="3" max="3" width="26.7109375" bestFit="1" customWidth="1"/>
    <col min="4" max="4" width="12" bestFit="1" customWidth="1"/>
    <col min="5" max="5" width="17.7109375" bestFit="1" customWidth="1"/>
    <col min="6" max="6" width="7.85546875" customWidth="1"/>
    <col min="7" max="7" width="23" customWidth="1"/>
    <col min="8" max="8" width="17.7109375" customWidth="1"/>
    <col min="9" max="9" width="7.85546875" customWidth="1"/>
    <col min="10" max="10" width="11.7109375" customWidth="1"/>
    <col min="11" max="11" width="11" customWidth="1"/>
    <col min="12" max="12" width="11.7109375" customWidth="1"/>
  </cols>
  <sheetData>
    <row r="2" spans="7:11" x14ac:dyDescent="0.25">
      <c r="G2" s="130"/>
      <c r="H2" s="130"/>
      <c r="I2" s="130"/>
      <c r="J2" s="130"/>
      <c r="K2" s="130"/>
    </row>
    <row r="3" spans="7:11" x14ac:dyDescent="0.25">
      <c r="G3" s="130"/>
      <c r="H3" s="130"/>
      <c r="I3" s="130"/>
      <c r="J3" s="130"/>
      <c r="K3" s="130"/>
    </row>
    <row r="24" spans="3:7" x14ac:dyDescent="0.25">
      <c r="C24" s="64" t="s">
        <v>156</v>
      </c>
      <c r="D24" s="97" t="s">
        <v>157</v>
      </c>
      <c r="E24" s="97" t="s">
        <v>158</v>
      </c>
      <c r="F24" s="97" t="s">
        <v>159</v>
      </c>
      <c r="G24" s="98" t="s">
        <v>160</v>
      </c>
    </row>
    <row r="25" spans="3:7" x14ac:dyDescent="0.25">
      <c r="C25" s="64" t="s">
        <v>161</v>
      </c>
      <c r="D25" s="100">
        <v>23020841221</v>
      </c>
      <c r="E25" s="97" t="s">
        <v>162</v>
      </c>
      <c r="F25" s="97">
        <v>2024</v>
      </c>
      <c r="G25" s="99" t="s">
        <v>163</v>
      </c>
    </row>
  </sheetData>
  <mergeCells count="1">
    <mergeCell ref="G2:K3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zoomScaleNormal="100" workbookViewId="0">
      <selection activeCell="I15" sqref="I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81"/>
  <sheetViews>
    <sheetView showGridLines="0" topLeftCell="B1" zoomScale="85" zoomScaleNormal="85" workbookViewId="0">
      <pane ySplit="3" topLeftCell="A4" activePane="bottomLeft" state="frozen"/>
      <selection pane="bottomLeft" activeCell="D9" sqref="D9"/>
    </sheetView>
  </sheetViews>
  <sheetFormatPr defaultRowHeight="15" x14ac:dyDescent="0.25"/>
  <cols>
    <col min="1" max="1" width="1.85546875" customWidth="1"/>
    <col min="2" max="2" width="28.42578125" bestFit="1" customWidth="1"/>
    <col min="3" max="10" width="13" customWidth="1"/>
  </cols>
  <sheetData>
    <row r="2" spans="1:10" x14ac:dyDescent="0.25">
      <c r="B2" s="131" t="str">
        <f>"Historical Financial Statement - "&amp;'Data Sheet'!B1</f>
        <v>Historical Financial Statement - HAPPY FORGINGS LTD</v>
      </c>
      <c r="C2" s="131"/>
      <c r="D2" s="131"/>
      <c r="E2" s="131"/>
      <c r="F2" s="131"/>
      <c r="G2" s="131"/>
      <c r="H2" s="131"/>
      <c r="I2" s="131"/>
      <c r="J2" s="131"/>
    </row>
    <row r="3" spans="1:10" x14ac:dyDescent="0.25">
      <c r="B3" s="46" t="s">
        <v>55</v>
      </c>
      <c r="C3" s="47">
        <f>'Data Sheet'!E16</f>
        <v>43190</v>
      </c>
      <c r="D3" s="47">
        <f>'Data Sheet'!F16</f>
        <v>43555</v>
      </c>
      <c r="E3" s="47">
        <f>'Data Sheet'!G16</f>
        <v>43921</v>
      </c>
      <c r="F3" s="47">
        <f>'Data Sheet'!H16</f>
        <v>44286</v>
      </c>
      <c r="G3" s="47">
        <f>'Data Sheet'!I16</f>
        <v>44651</v>
      </c>
      <c r="H3" s="47">
        <f>'Data Sheet'!J16</f>
        <v>45016</v>
      </c>
      <c r="I3" s="47">
        <f>'Data Sheet'!K16</f>
        <v>45382</v>
      </c>
      <c r="J3" s="48" t="s">
        <v>56</v>
      </c>
    </row>
    <row r="4" spans="1:10" x14ac:dyDescent="0.25">
      <c r="B4" s="18"/>
      <c r="C4" s="19"/>
      <c r="D4" s="19"/>
      <c r="E4" s="19"/>
      <c r="F4" s="19"/>
      <c r="G4" s="19"/>
      <c r="H4" s="19"/>
      <c r="I4" s="19"/>
      <c r="J4" s="20"/>
    </row>
    <row r="5" spans="1:10" x14ac:dyDescent="0.25">
      <c r="A5" t="s">
        <v>58</v>
      </c>
      <c r="B5" s="21" t="s">
        <v>57</v>
      </c>
      <c r="C5" s="22"/>
      <c r="D5" s="22"/>
      <c r="E5" s="22"/>
      <c r="F5" s="22"/>
      <c r="G5" s="22"/>
      <c r="H5" s="22"/>
      <c r="I5" s="22"/>
      <c r="J5" s="22"/>
    </row>
    <row r="6" spans="1:10" x14ac:dyDescent="0.25">
      <c r="B6" t="s">
        <v>11</v>
      </c>
      <c r="C6" s="12">
        <f>IFERROR('Data Sheet'!E17,0)</f>
        <v>550.5</v>
      </c>
      <c r="D6" s="12">
        <f>IFERROR('Data Sheet'!F17,0)</f>
        <v>750.25</v>
      </c>
      <c r="E6" s="12">
        <f>IFERROR('Data Sheet'!G17,0)</f>
        <v>558.09</v>
      </c>
      <c r="F6" s="12">
        <f>IFERROR('Data Sheet'!H17,0)</f>
        <v>584.96</v>
      </c>
      <c r="G6" s="12">
        <f>IFERROR('Data Sheet'!I17,0)</f>
        <v>860.05</v>
      </c>
      <c r="H6" s="12">
        <f>IFERROR('Data Sheet'!J17,0)</f>
        <v>1196.53</v>
      </c>
      <c r="I6" s="12">
        <f>IFERROR('Data Sheet'!K17,0)</f>
        <v>1358.24</v>
      </c>
      <c r="J6" s="12">
        <f>IFERROR(SUM('Data Sheet'!H42:K42),0)</f>
        <v>1369.8799999999999</v>
      </c>
    </row>
    <row r="7" spans="1:10" x14ac:dyDescent="0.25">
      <c r="B7" s="15" t="s">
        <v>59</v>
      </c>
      <c r="D7" s="16">
        <f>D6/C6-1</f>
        <v>0.36285195277020899</v>
      </c>
      <c r="E7" s="16">
        <f t="shared" ref="E7:J7" si="0">E6/D6-1</f>
        <v>-0.25612795734755078</v>
      </c>
      <c r="F7" s="16">
        <f t="shared" si="0"/>
        <v>4.8146356322456896E-2</v>
      </c>
      <c r="G7" s="16">
        <f t="shared" si="0"/>
        <v>0.47027147155361027</v>
      </c>
      <c r="H7" s="16">
        <f t="shared" si="0"/>
        <v>0.39123306784489276</v>
      </c>
      <c r="I7" s="16">
        <f t="shared" si="0"/>
        <v>0.13514913959532993</v>
      </c>
      <c r="J7" s="16">
        <f t="shared" si="0"/>
        <v>8.5699140063610901E-3</v>
      </c>
    </row>
    <row r="9" spans="1:10" x14ac:dyDescent="0.25">
      <c r="B9" t="s">
        <v>61</v>
      </c>
      <c r="C9" s="12">
        <f>IFERROR(SUM('Data Sheet'!E18,'Data Sheet'!E20:E22)-1*'Data Sheet'!E19,0)</f>
        <v>381.37000000000006</v>
      </c>
      <c r="D9" s="12">
        <f>IFERROR(SUM('Data Sheet'!F18,'Data Sheet'!F20:F22)-1*'Data Sheet'!F19,0)</f>
        <v>518.1</v>
      </c>
      <c r="E9" s="12">
        <f>IFERROR(SUM('Data Sheet'!G18,'Data Sheet'!G20:G22)-1*'Data Sheet'!G19,0)</f>
        <v>400.71000000000004</v>
      </c>
      <c r="F9" s="12">
        <f>IFERROR(SUM('Data Sheet'!H18,'Data Sheet'!H20:H22)-1*'Data Sheet'!H19,0)</f>
        <v>403.82</v>
      </c>
      <c r="G9" s="12">
        <f>IFERROR(SUM('Data Sheet'!I18,'Data Sheet'!I20:I22)-1*'Data Sheet'!I19,0)</f>
        <v>599.66999999999996</v>
      </c>
      <c r="H9" s="12">
        <f>IFERROR(SUM('Data Sheet'!J18,'Data Sheet'!J20:J22)-1*'Data Sheet'!J19,0)</f>
        <v>811.8900000000001</v>
      </c>
      <c r="I9" s="12">
        <f>IFERROR(SUM('Data Sheet'!K18,'Data Sheet'!K20:K22)-1*'Data Sheet'!K19,0)</f>
        <v>921.96</v>
      </c>
      <c r="J9" s="12">
        <f>IFERROR(SUM('Data Sheet'!H43:K43),0)</f>
        <v>986.19999999999993</v>
      </c>
    </row>
    <row r="10" spans="1:10" x14ac:dyDescent="0.25">
      <c r="B10" s="15" t="s">
        <v>62</v>
      </c>
      <c r="C10" s="16">
        <f t="shared" ref="C10:J10" si="1">C9/C6</f>
        <v>0.69277020890099916</v>
      </c>
      <c r="D10" s="16">
        <f t="shared" si="1"/>
        <v>0.69056981006331231</v>
      </c>
      <c r="E10" s="16">
        <f t="shared" si="1"/>
        <v>0.71800247271945383</v>
      </c>
      <c r="F10" s="16">
        <f t="shared" si="1"/>
        <v>0.69033780087527352</v>
      </c>
      <c r="G10" s="16">
        <f t="shared" si="1"/>
        <v>0.69725015987442585</v>
      </c>
      <c r="H10" s="16">
        <f t="shared" si="1"/>
        <v>0.67853710312319804</v>
      </c>
      <c r="I10" s="16">
        <f t="shared" si="1"/>
        <v>0.67879019908116389</v>
      </c>
      <c r="J10" s="16">
        <f t="shared" si="1"/>
        <v>0.71991707302829444</v>
      </c>
    </row>
    <row r="12" spans="1:10" x14ac:dyDescent="0.25">
      <c r="B12" t="s">
        <v>63</v>
      </c>
      <c r="C12" s="17">
        <f t="shared" ref="C12:J12" si="2">C6-C9</f>
        <v>169.12999999999994</v>
      </c>
      <c r="D12" s="17">
        <f t="shared" si="2"/>
        <v>232.14999999999998</v>
      </c>
      <c r="E12" s="17">
        <f t="shared" si="2"/>
        <v>157.38</v>
      </c>
      <c r="F12" s="17">
        <f t="shared" si="2"/>
        <v>181.14000000000004</v>
      </c>
      <c r="G12" s="17">
        <f t="shared" si="2"/>
        <v>260.38</v>
      </c>
      <c r="H12" s="17">
        <f t="shared" si="2"/>
        <v>384.63999999999987</v>
      </c>
      <c r="I12" s="17">
        <f t="shared" si="2"/>
        <v>436.28</v>
      </c>
      <c r="J12" s="17">
        <f t="shared" si="2"/>
        <v>383.67999999999995</v>
      </c>
    </row>
    <row r="13" spans="1:10" x14ac:dyDescent="0.25">
      <c r="B13" s="15" t="s">
        <v>69</v>
      </c>
      <c r="C13" s="16">
        <f t="shared" ref="C13:J13" si="3">C12/C6</f>
        <v>0.30722979109900078</v>
      </c>
      <c r="D13" s="16">
        <f t="shared" si="3"/>
        <v>0.30943018993668775</v>
      </c>
      <c r="E13" s="16">
        <f t="shared" si="3"/>
        <v>0.28199752728054611</v>
      </c>
      <c r="F13" s="16">
        <f t="shared" si="3"/>
        <v>0.30966219912472653</v>
      </c>
      <c r="G13" s="16">
        <f t="shared" si="3"/>
        <v>0.3027498401255741</v>
      </c>
      <c r="H13" s="16">
        <f t="shared" si="3"/>
        <v>0.32146289687680196</v>
      </c>
      <c r="I13" s="16">
        <f t="shared" si="3"/>
        <v>0.32120980091883611</v>
      </c>
      <c r="J13" s="16">
        <f t="shared" si="3"/>
        <v>0.28008292697170556</v>
      </c>
    </row>
    <row r="15" spans="1:10" x14ac:dyDescent="0.25">
      <c r="B15" t="s">
        <v>64</v>
      </c>
      <c r="C15" s="17">
        <f>IFERROR(SUM('Data Sheet'!E23:E24),0)</f>
        <v>32.1</v>
      </c>
      <c r="D15" s="17">
        <f>IFERROR(SUM('Data Sheet'!F23:F24),0)</f>
        <v>26.79</v>
      </c>
      <c r="E15" s="17">
        <f>IFERROR(SUM('Data Sheet'!G23:G24),0)</f>
        <v>14.940000000000001</v>
      </c>
      <c r="F15" s="17">
        <f>IFERROR(SUM('Data Sheet'!H23:H24),0)</f>
        <v>22.400000000000002</v>
      </c>
      <c r="G15" s="17">
        <f>IFERROR(SUM('Data Sheet'!I23:I24),0)</f>
        <v>29.49</v>
      </c>
      <c r="H15" s="17">
        <f>IFERROR(SUM('Data Sheet'!J23:J24),0)</f>
        <v>43.7</v>
      </c>
      <c r="I15" s="17">
        <f>IFERROR(SUM('Data Sheet'!K23:K24),0)</f>
        <v>48.74</v>
      </c>
      <c r="J15" s="17"/>
    </row>
    <row r="16" spans="1:10" x14ac:dyDescent="0.25">
      <c r="B16" s="15" t="s">
        <v>65</v>
      </c>
      <c r="C16" s="16">
        <f t="shared" ref="C16:J16" si="4">C15/C6</f>
        <v>5.8310626702997276E-2</v>
      </c>
      <c r="D16" s="16">
        <f t="shared" si="4"/>
        <v>3.5708097300899702E-2</v>
      </c>
      <c r="E16" s="16">
        <f t="shared" si="4"/>
        <v>2.6769875826479602E-2</v>
      </c>
      <c r="F16" s="16">
        <f t="shared" si="4"/>
        <v>3.8293216630196941E-2</v>
      </c>
      <c r="G16" s="16">
        <f t="shared" si="4"/>
        <v>3.4288704145107846E-2</v>
      </c>
      <c r="H16" s="16">
        <f t="shared" si="4"/>
        <v>3.6522276917419542E-2</v>
      </c>
      <c r="I16" s="16">
        <f t="shared" si="4"/>
        <v>3.5884674284368007E-2</v>
      </c>
      <c r="J16" s="16">
        <f t="shared" si="4"/>
        <v>0</v>
      </c>
    </row>
    <row r="18" spans="2:10" x14ac:dyDescent="0.25">
      <c r="B18" t="s">
        <v>27</v>
      </c>
      <c r="C18" s="17">
        <f t="shared" ref="C18:I18" si="5">C12-C15</f>
        <v>137.02999999999994</v>
      </c>
      <c r="D18" s="17">
        <f t="shared" si="5"/>
        <v>205.35999999999999</v>
      </c>
      <c r="E18" s="17">
        <f t="shared" si="5"/>
        <v>142.44</v>
      </c>
      <c r="F18" s="17">
        <f t="shared" si="5"/>
        <v>158.74000000000004</v>
      </c>
      <c r="G18" s="17">
        <f t="shared" si="5"/>
        <v>230.89</v>
      </c>
      <c r="H18" s="17">
        <f t="shared" si="5"/>
        <v>340.93999999999988</v>
      </c>
      <c r="I18" s="17">
        <f t="shared" si="5"/>
        <v>387.53999999999996</v>
      </c>
      <c r="J18" s="17">
        <f>IFERROR(SUM('Data Sheet'!H51:K51),0)</f>
        <v>402.53</v>
      </c>
    </row>
    <row r="19" spans="2:10" x14ac:dyDescent="0.25">
      <c r="B19" s="15" t="s">
        <v>66</v>
      </c>
      <c r="C19" s="16">
        <f t="shared" ref="C19:J19" si="6">C18/C6</f>
        <v>0.24891916439600353</v>
      </c>
      <c r="D19" s="16">
        <f t="shared" si="6"/>
        <v>0.27372209263578806</v>
      </c>
      <c r="E19" s="16">
        <f t="shared" si="6"/>
        <v>0.25522765145406651</v>
      </c>
      <c r="F19" s="16">
        <f t="shared" si="6"/>
        <v>0.27136898249452956</v>
      </c>
      <c r="G19" s="16">
        <f t="shared" si="6"/>
        <v>0.26846113598046623</v>
      </c>
      <c r="H19" s="16">
        <f t="shared" si="6"/>
        <v>0.28494061995938247</v>
      </c>
      <c r="I19" s="16">
        <f t="shared" si="6"/>
        <v>0.28532512663446813</v>
      </c>
      <c r="J19" s="16">
        <f t="shared" si="6"/>
        <v>0.29384325634362135</v>
      </c>
    </row>
    <row r="21" spans="2:10" x14ac:dyDescent="0.25">
      <c r="B21" t="s">
        <v>21</v>
      </c>
      <c r="C21" s="17">
        <f>IFERROR('Data Sheet'!E27,0)</f>
        <v>21.69</v>
      </c>
      <c r="D21" s="17">
        <f>IFERROR('Data Sheet'!F27,0)</f>
        <v>22.94</v>
      </c>
      <c r="E21" s="17">
        <f>IFERROR('Data Sheet'!G27,0)</f>
        <v>25.06</v>
      </c>
      <c r="F21" s="17">
        <f>IFERROR('Data Sheet'!H27,0)</f>
        <v>11.78</v>
      </c>
      <c r="G21" s="17">
        <f>IFERROR('Data Sheet'!I27,0)</f>
        <v>7.16</v>
      </c>
      <c r="H21" s="17">
        <f>IFERROR('Data Sheet'!J27,0)</f>
        <v>12.48</v>
      </c>
      <c r="I21" s="17">
        <f>IFERROR('Data Sheet'!K27,0)</f>
        <v>11.78</v>
      </c>
      <c r="J21" s="17">
        <f>IFERROR(SUM('Data Sheet'!H46:K46),0)</f>
        <v>10.45</v>
      </c>
    </row>
    <row r="22" spans="2:10" x14ac:dyDescent="0.25">
      <c r="B22" s="15" t="s">
        <v>67</v>
      </c>
      <c r="C22" s="16">
        <f t="shared" ref="C22:J22" si="7">C21/C6</f>
        <v>3.9400544959128064E-2</v>
      </c>
      <c r="D22" s="16">
        <f t="shared" si="7"/>
        <v>3.0576474508497171E-2</v>
      </c>
      <c r="E22" s="16">
        <f t="shared" si="7"/>
        <v>4.4903151821390812E-2</v>
      </c>
      <c r="F22" s="16">
        <f t="shared" si="7"/>
        <v>2.0138129102844637E-2</v>
      </c>
      <c r="G22" s="16">
        <f t="shared" si="7"/>
        <v>8.3250973780594154E-3</v>
      </c>
      <c r="H22" s="16">
        <f t="shared" si="7"/>
        <v>1.0430160547583429E-2</v>
      </c>
      <c r="I22" s="16">
        <f t="shared" si="7"/>
        <v>8.6729885734479917E-3</v>
      </c>
      <c r="J22" s="16">
        <f t="shared" si="7"/>
        <v>7.6284054077729434E-3</v>
      </c>
    </row>
    <row r="24" spans="2:10" x14ac:dyDescent="0.25">
      <c r="B24" t="s">
        <v>20</v>
      </c>
      <c r="C24" s="17">
        <f>IFERROR('Data Sheet'!E26,0)</f>
        <v>22.98</v>
      </c>
      <c r="D24" s="17">
        <f>IFERROR('Data Sheet'!F26,0)</f>
        <v>29.01</v>
      </c>
      <c r="E24" s="17">
        <f>IFERROR('Data Sheet'!G26,0)</f>
        <v>28.4</v>
      </c>
      <c r="F24" s="17">
        <f>IFERROR('Data Sheet'!H26,0)</f>
        <v>35.76</v>
      </c>
      <c r="G24" s="17">
        <f>IFERROR('Data Sheet'!I26,0)</f>
        <v>37.74</v>
      </c>
      <c r="H24" s="17">
        <f>IFERROR('Data Sheet'!J26,0)</f>
        <v>54.18</v>
      </c>
      <c r="I24" s="17">
        <f>IFERROR('Data Sheet'!K26,0)</f>
        <v>64.73</v>
      </c>
      <c r="J24" s="17">
        <f>IFERROR(SUM('Data Sheet'!H45:K45),0)</f>
        <v>67.28</v>
      </c>
    </row>
    <row r="25" spans="2:10" x14ac:dyDescent="0.25">
      <c r="B25" s="15" t="s">
        <v>68</v>
      </c>
      <c r="C25" s="16">
        <f t="shared" ref="C25:J25" si="8">C24/C6</f>
        <v>4.1743869209809263E-2</v>
      </c>
      <c r="D25" s="16">
        <f t="shared" si="8"/>
        <v>3.8667110963012334E-2</v>
      </c>
      <c r="E25" s="16">
        <f t="shared" si="8"/>
        <v>5.0887849629987991E-2</v>
      </c>
      <c r="F25" s="16">
        <f t="shared" si="8"/>
        <v>6.1132385120350102E-2</v>
      </c>
      <c r="G25" s="16">
        <f t="shared" si="8"/>
        <v>4.3881169699436083E-2</v>
      </c>
      <c r="H25" s="16">
        <f t="shared" si="8"/>
        <v>4.5280937377249211E-2</v>
      </c>
      <c r="I25" s="16">
        <f t="shared" si="8"/>
        <v>4.7657262339498178E-2</v>
      </c>
      <c r="J25" s="16">
        <f t="shared" si="8"/>
        <v>4.911379098899174E-2</v>
      </c>
    </row>
    <row r="27" spans="2:10" x14ac:dyDescent="0.25">
      <c r="B27" t="s">
        <v>70</v>
      </c>
      <c r="C27" s="17">
        <f t="shared" ref="C27:J27" si="9">IFERROR(C18-SUM(C24,C21),0)</f>
        <v>92.359999999999943</v>
      </c>
      <c r="D27" s="17">
        <f t="shared" si="9"/>
        <v>153.40999999999997</v>
      </c>
      <c r="E27" s="17">
        <f t="shared" si="9"/>
        <v>88.98</v>
      </c>
      <c r="F27" s="12">
        <f t="shared" si="9"/>
        <v>111.20000000000005</v>
      </c>
      <c r="G27" s="12">
        <f t="shared" si="9"/>
        <v>185.98999999999998</v>
      </c>
      <c r="H27" s="12">
        <f t="shared" si="9"/>
        <v>274.27999999999986</v>
      </c>
      <c r="I27" s="12">
        <f t="shared" si="9"/>
        <v>311.02999999999997</v>
      </c>
      <c r="J27" s="12">
        <f t="shared" si="9"/>
        <v>324.79999999999995</v>
      </c>
    </row>
    <row r="28" spans="2:10" x14ac:dyDescent="0.25">
      <c r="B28" s="15" t="s">
        <v>71</v>
      </c>
      <c r="C28" s="16">
        <f t="shared" ref="C28:J28" si="10">C27/C6</f>
        <v>0.1677747502270662</v>
      </c>
      <c r="D28" s="16">
        <f t="shared" si="10"/>
        <v>0.20447850716427854</v>
      </c>
      <c r="E28" s="16">
        <f t="shared" si="10"/>
        <v>0.15943665000268772</v>
      </c>
      <c r="F28" s="16">
        <f t="shared" si="10"/>
        <v>0.19009846827133486</v>
      </c>
      <c r="G28" s="16">
        <f t="shared" si="10"/>
        <v>0.21625486890297074</v>
      </c>
      <c r="H28" s="16">
        <f t="shared" si="10"/>
        <v>0.2292295220345498</v>
      </c>
      <c r="I28" s="16">
        <f t="shared" si="10"/>
        <v>0.22899487572152194</v>
      </c>
      <c r="J28" s="16">
        <f t="shared" si="10"/>
        <v>0.23710105994685665</v>
      </c>
    </row>
    <row r="30" spans="2:10" x14ac:dyDescent="0.25">
      <c r="B30" t="s">
        <v>23</v>
      </c>
      <c r="C30" s="12">
        <f>IFERROR('Data Sheet'!E29,0)</f>
        <v>37.869999999999997</v>
      </c>
      <c r="D30" s="12">
        <f>IFERROR('Data Sheet'!F29,0)</f>
        <v>59.3</v>
      </c>
      <c r="E30" s="12">
        <f>IFERROR('Data Sheet'!G29,0)</f>
        <v>15.86</v>
      </c>
      <c r="F30" s="12">
        <f>IFERROR('Data Sheet'!H29,0)</f>
        <v>30.61</v>
      </c>
      <c r="G30" s="12">
        <f>IFERROR('Data Sheet'!I29,0)</f>
        <v>49.76</v>
      </c>
      <c r="H30" s="12">
        <f>IFERROR('Data Sheet'!J29,0)</f>
        <v>71.33</v>
      </c>
      <c r="I30" s="12">
        <f>IFERROR('Data Sheet'!K29,0)</f>
        <v>81.41</v>
      </c>
      <c r="J30" s="12">
        <f>IFERROR(SUM('Data Sheet'!H48:K48),0)</f>
        <v>81.99</v>
      </c>
    </row>
    <row r="31" spans="2:10" x14ac:dyDescent="0.25">
      <c r="B31" s="15" t="s">
        <v>26</v>
      </c>
      <c r="C31" s="16">
        <f t="shared" ref="C31:J31" si="11">C30/C27</f>
        <v>0.41002598527501105</v>
      </c>
      <c r="D31" s="16">
        <f t="shared" si="11"/>
        <v>0.38654585750602966</v>
      </c>
      <c r="E31" s="16">
        <f t="shared" si="11"/>
        <v>0.17824230164081814</v>
      </c>
      <c r="F31" s="16">
        <f t="shared" si="11"/>
        <v>0.27526978417266174</v>
      </c>
      <c r="G31" s="16">
        <f t="shared" si="11"/>
        <v>0.26754126565944408</v>
      </c>
      <c r="H31" s="16">
        <f t="shared" si="11"/>
        <v>0.26006270963978428</v>
      </c>
      <c r="I31" s="16">
        <f t="shared" si="11"/>
        <v>0.26174324020190981</v>
      </c>
      <c r="J31" s="16">
        <f t="shared" si="11"/>
        <v>0.25243226600985225</v>
      </c>
    </row>
    <row r="33" spans="2:10" x14ac:dyDescent="0.25">
      <c r="B33" t="s">
        <v>72</v>
      </c>
      <c r="C33" s="12">
        <f t="shared" ref="C33:J33" si="12">IFERROR(C27-C30,0)</f>
        <v>54.489999999999945</v>
      </c>
      <c r="D33" s="12">
        <f t="shared" si="12"/>
        <v>94.109999999999971</v>
      </c>
      <c r="E33" s="12">
        <f t="shared" si="12"/>
        <v>73.12</v>
      </c>
      <c r="F33" s="12">
        <f t="shared" si="12"/>
        <v>80.590000000000046</v>
      </c>
      <c r="G33" s="12">
        <f t="shared" si="12"/>
        <v>136.22999999999999</v>
      </c>
      <c r="H33" s="12">
        <f t="shared" si="12"/>
        <v>202.94999999999987</v>
      </c>
      <c r="I33" s="12">
        <f t="shared" si="12"/>
        <v>229.61999999999998</v>
      </c>
      <c r="J33" s="12">
        <f t="shared" si="12"/>
        <v>242.80999999999995</v>
      </c>
    </row>
    <row r="34" spans="2:10" x14ac:dyDescent="0.25">
      <c r="B34" s="15" t="s">
        <v>73</v>
      </c>
      <c r="C34" s="16">
        <f t="shared" ref="C34:J34" si="13">C33/C6</f>
        <v>9.8982742960944503E-2</v>
      </c>
      <c r="D34" s="16">
        <f t="shared" si="13"/>
        <v>0.12543818727090966</v>
      </c>
      <c r="E34" s="16">
        <f t="shared" si="13"/>
        <v>0.13101829454030711</v>
      </c>
      <c r="F34" s="16">
        <f t="shared" si="13"/>
        <v>0.13777010393873093</v>
      </c>
      <c r="G34" s="16">
        <f t="shared" si="13"/>
        <v>0.1583977675716528</v>
      </c>
      <c r="H34" s="16">
        <f t="shared" si="13"/>
        <v>0.16961547140481215</v>
      </c>
      <c r="I34" s="16">
        <f t="shared" si="13"/>
        <v>0.16905701496053716</v>
      </c>
      <c r="J34" s="16">
        <f t="shared" si="13"/>
        <v>0.17724910211113379</v>
      </c>
    </row>
    <row r="36" spans="2:10" x14ac:dyDescent="0.25">
      <c r="B36" t="s">
        <v>74</v>
      </c>
      <c r="C36">
        <f>IFERROR('Data Sheet'!E93,0)</f>
        <v>0.08</v>
      </c>
      <c r="D36">
        <f>IFERROR('Data Sheet'!F93,0)</f>
        <v>0.09</v>
      </c>
      <c r="E36">
        <f>IFERROR('Data Sheet'!G93,0)</f>
        <v>0.09</v>
      </c>
      <c r="F36">
        <f>IFERROR('Data Sheet'!H93,0)</f>
        <v>0.09</v>
      </c>
      <c r="G36">
        <f>IFERROR('Data Sheet'!I93,0)</f>
        <v>8.9499999999999993</v>
      </c>
      <c r="H36">
        <f>IFERROR('Data Sheet'!J93,0)</f>
        <v>8.9499999999999993</v>
      </c>
      <c r="I36">
        <f>IFERROR('Data Sheet'!K93,0)</f>
        <v>9.42</v>
      </c>
      <c r="J36">
        <f>I36</f>
        <v>9.42</v>
      </c>
    </row>
    <row r="37" spans="2:10" x14ac:dyDescent="0.25">
      <c r="C37" s="17"/>
      <c r="D37" s="17"/>
      <c r="E37" s="17"/>
      <c r="F37" s="17"/>
      <c r="G37" s="17"/>
      <c r="H37" s="17"/>
      <c r="I37" s="17"/>
      <c r="J37" s="17"/>
    </row>
    <row r="38" spans="2:10" x14ac:dyDescent="0.25">
      <c r="B38" t="s">
        <v>76</v>
      </c>
      <c r="C38" s="17">
        <f t="shared" ref="C38:J38" si="14">IFERROR(C33/C36,0)</f>
        <v>681.12499999999932</v>
      </c>
      <c r="D38" s="17">
        <f t="shared" si="14"/>
        <v>1045.6666666666663</v>
      </c>
      <c r="E38" s="17">
        <f t="shared" si="14"/>
        <v>812.44444444444457</v>
      </c>
      <c r="F38" s="17">
        <f t="shared" si="14"/>
        <v>895.44444444444503</v>
      </c>
      <c r="G38" s="17">
        <f t="shared" si="14"/>
        <v>15.22122905027933</v>
      </c>
      <c r="H38" s="17">
        <f t="shared" si="14"/>
        <v>22.675977653631271</v>
      </c>
      <c r="I38" s="17">
        <f t="shared" si="14"/>
        <v>24.375796178343947</v>
      </c>
      <c r="J38" s="17">
        <f t="shared" si="14"/>
        <v>25.776008492568998</v>
      </c>
    </row>
    <row r="39" spans="2:10" x14ac:dyDescent="0.25">
      <c r="B39" s="15" t="s">
        <v>77</v>
      </c>
      <c r="C39" s="16">
        <f>IFERROR(C38/#REF!-1,0)</f>
        <v>0</v>
      </c>
      <c r="D39" s="16">
        <f t="shared" ref="D39:J39" si="15">IFERROR(D38/C38-1,0)</f>
        <v>0.53520523643482076</v>
      </c>
      <c r="E39" s="16">
        <f t="shared" si="15"/>
        <v>-0.22303687174582898</v>
      </c>
      <c r="F39" s="16">
        <f t="shared" si="15"/>
        <v>0.10216083150984745</v>
      </c>
      <c r="G39" s="16">
        <f t="shared" si="15"/>
        <v>-0.98300148139316124</v>
      </c>
      <c r="H39" s="16">
        <f t="shared" si="15"/>
        <v>0.48975996476546912</v>
      </c>
      <c r="I39" s="16">
        <f t="shared" si="15"/>
        <v>7.4961201262273791E-2</v>
      </c>
      <c r="J39" s="16">
        <f t="shared" si="15"/>
        <v>5.7442731469384167E-2</v>
      </c>
    </row>
    <row r="41" spans="2:10" x14ac:dyDescent="0.25">
      <c r="B41" t="s">
        <v>75</v>
      </c>
      <c r="C41" s="12">
        <f>IFERROR('Data Sheet'!E31/HistoricalFS!C36,0)</f>
        <v>0</v>
      </c>
      <c r="D41" s="12">
        <f>IFERROR('Data Sheet'!F31/HistoricalFS!D36,0)</f>
        <v>0</v>
      </c>
      <c r="E41" s="12">
        <f>IFERROR('Data Sheet'!G31/HistoricalFS!E36,0)</f>
        <v>0</v>
      </c>
      <c r="F41" s="12">
        <f>IFERROR('Data Sheet'!H31/HistoricalFS!F36,0)</f>
        <v>0</v>
      </c>
      <c r="G41" s="12">
        <f>IFERROR('Data Sheet'!I31/HistoricalFS!G36,0)</f>
        <v>0</v>
      </c>
      <c r="H41" s="12">
        <f>IFERROR('Data Sheet'!J31/HistoricalFS!H36,0)</f>
        <v>1.3005586592178773</v>
      </c>
      <c r="I41" s="12">
        <f>IFERROR('Data Sheet'!K31/HistoricalFS!I36,0)</f>
        <v>1.3004246284501062</v>
      </c>
      <c r="J41" s="12">
        <f>IFERROR('Data Sheet'!L31/HistoricalFS!J36,0)</f>
        <v>0</v>
      </c>
    </row>
    <row r="42" spans="2:10" x14ac:dyDescent="0.25">
      <c r="B42" s="15" t="s">
        <v>78</v>
      </c>
      <c r="C42" s="16">
        <f t="shared" ref="C42:J42" si="16">IFERROR(C41/C38,0)</f>
        <v>0</v>
      </c>
      <c r="D42" s="16">
        <f t="shared" si="16"/>
        <v>0</v>
      </c>
      <c r="E42" s="16">
        <f t="shared" si="16"/>
        <v>0</v>
      </c>
      <c r="F42" s="16">
        <f t="shared" si="16"/>
        <v>0</v>
      </c>
      <c r="G42" s="16">
        <f t="shared" si="16"/>
        <v>0</v>
      </c>
      <c r="H42" s="16">
        <f t="shared" si="16"/>
        <v>5.7354028085735448E-2</v>
      </c>
      <c r="I42" s="16">
        <f t="shared" si="16"/>
        <v>5.3349011410155918E-2</v>
      </c>
      <c r="J42" s="16">
        <f t="shared" si="16"/>
        <v>0</v>
      </c>
    </row>
    <row r="44" spans="2:10" x14ac:dyDescent="0.25">
      <c r="B44" t="s">
        <v>79</v>
      </c>
      <c r="C44" s="13">
        <f t="shared" ref="C44:J44" si="17">IFERROR(IF(C38&gt;C41,1-C42,0),0)</f>
        <v>1</v>
      </c>
      <c r="D44" s="13">
        <f t="shared" si="17"/>
        <v>1</v>
      </c>
      <c r="E44" s="13">
        <f t="shared" si="17"/>
        <v>1</v>
      </c>
      <c r="F44" s="13">
        <f t="shared" si="17"/>
        <v>1</v>
      </c>
      <c r="G44" s="13">
        <f t="shared" si="17"/>
        <v>1</v>
      </c>
      <c r="H44" s="13">
        <f t="shared" si="17"/>
        <v>0.94264597191426458</v>
      </c>
      <c r="I44" s="13">
        <f t="shared" si="17"/>
        <v>0.94665098858984409</v>
      </c>
      <c r="J44" s="13">
        <f t="shared" si="17"/>
        <v>1</v>
      </c>
    </row>
    <row r="45" spans="2:10" x14ac:dyDescent="0.25">
      <c r="C45" s="13"/>
      <c r="D45" s="13"/>
      <c r="E45" s="13"/>
      <c r="F45" s="13"/>
      <c r="G45" s="13"/>
      <c r="H45" s="13"/>
      <c r="I45" s="13"/>
      <c r="J45" s="13"/>
    </row>
    <row r="46" spans="2:10" x14ac:dyDescent="0.25">
      <c r="C46" s="13"/>
      <c r="D46" s="13"/>
      <c r="E46" s="13"/>
      <c r="F46" s="13"/>
      <c r="G46" s="13"/>
      <c r="H46" s="13"/>
      <c r="I46" s="13"/>
      <c r="J46" s="13"/>
    </row>
    <row r="47" spans="2:10" x14ac:dyDescent="0.25">
      <c r="C47" s="13"/>
      <c r="D47" s="13"/>
      <c r="E47" s="13"/>
      <c r="F47" s="13"/>
      <c r="G47" s="13"/>
      <c r="H47" s="13"/>
      <c r="I47" s="13"/>
      <c r="J47" s="13"/>
    </row>
    <row r="48" spans="2:10" x14ac:dyDescent="0.25">
      <c r="C48" s="13"/>
      <c r="D48" s="13"/>
      <c r="E48" s="13"/>
      <c r="F48" s="13"/>
      <c r="G48" s="13"/>
      <c r="H48" s="13"/>
      <c r="I48" s="13"/>
      <c r="J48" s="13"/>
    </row>
    <row r="49" spans="1:10" x14ac:dyDescent="0.25">
      <c r="C49" s="13"/>
      <c r="D49" s="13"/>
      <c r="E49" s="13"/>
      <c r="F49" s="13"/>
      <c r="G49" s="13"/>
      <c r="H49" s="13"/>
      <c r="I49" s="13"/>
      <c r="J49" s="13"/>
    </row>
    <row r="51" spans="1:10" x14ac:dyDescent="0.25">
      <c r="A51" t="s">
        <v>58</v>
      </c>
      <c r="B51" s="21" t="s">
        <v>80</v>
      </c>
      <c r="C51" s="22"/>
      <c r="D51" s="22"/>
      <c r="E51" s="22"/>
      <c r="F51" s="22"/>
      <c r="G51" s="22"/>
      <c r="H51" s="22"/>
      <c r="I51" s="22"/>
      <c r="J51" s="22"/>
    </row>
    <row r="52" spans="1:10" x14ac:dyDescent="0.25">
      <c r="B52" t="s">
        <v>32</v>
      </c>
      <c r="C52" s="12">
        <f>IFERROR('Data Sheet'!E57,0)</f>
        <v>7.9</v>
      </c>
      <c r="D52" s="12">
        <f>IFERROR('Data Sheet'!F57,0)</f>
        <v>8.9499999999999993</v>
      </c>
      <c r="E52" s="12">
        <f>IFERROR('Data Sheet'!G57,0)</f>
        <v>8.9499999999999993</v>
      </c>
      <c r="F52" s="12">
        <f>IFERROR('Data Sheet'!H57,0)</f>
        <v>8.9499999999999993</v>
      </c>
      <c r="G52" s="12">
        <f>IFERROR('Data Sheet'!I57,0)</f>
        <v>17.899999999999999</v>
      </c>
      <c r="H52" s="12">
        <f>IFERROR('Data Sheet'!J57,0)</f>
        <v>17.899999999999999</v>
      </c>
      <c r="I52" s="12">
        <f>IFERROR('Data Sheet'!K57,0)</f>
        <v>18.84</v>
      </c>
    </row>
    <row r="53" spans="1:10" x14ac:dyDescent="0.25">
      <c r="B53" t="s">
        <v>33</v>
      </c>
      <c r="C53" s="12">
        <f>IFERROR('Data Sheet'!E58,0)</f>
        <v>175.86</v>
      </c>
      <c r="D53" s="12">
        <f>IFERROR('Data Sheet'!F58,0)</f>
        <v>469.56</v>
      </c>
      <c r="E53" s="12">
        <f>IFERROR('Data Sheet'!G58,0)</f>
        <v>549.53</v>
      </c>
      <c r="F53" s="12">
        <f>IFERROR('Data Sheet'!H58,0)</f>
        <v>636.21</v>
      </c>
      <c r="G53" s="12">
        <f>IFERROR('Data Sheet'!I58,0)</f>
        <v>769.71</v>
      </c>
      <c r="H53" s="12">
        <f>IFERROR('Data Sheet'!J58,0)</f>
        <v>970.4</v>
      </c>
      <c r="I53" s="12">
        <f>IFERROR('Data Sheet'!K58,0)</f>
        <v>1593.65</v>
      </c>
    </row>
    <row r="54" spans="1:10" x14ac:dyDescent="0.25">
      <c r="B54" t="s">
        <v>34</v>
      </c>
      <c r="C54" s="12">
        <f>IFERROR('Data Sheet'!E59,0)</f>
        <v>300.54000000000002</v>
      </c>
      <c r="D54" s="12">
        <f>IFERROR('Data Sheet'!F59,0)</f>
        <v>155.72</v>
      </c>
      <c r="E54" s="12">
        <f>IFERROR('Data Sheet'!G59,0)</f>
        <v>104.93</v>
      </c>
      <c r="F54" s="12">
        <f>IFERROR('Data Sheet'!H59,0)</f>
        <v>149.81</v>
      </c>
      <c r="G54" s="12">
        <f>IFERROR('Data Sheet'!I59,0)</f>
        <v>240.35</v>
      </c>
      <c r="H54" s="12">
        <f>IFERROR('Data Sheet'!J59,0)</f>
        <v>218.51</v>
      </c>
      <c r="I54" s="12">
        <f>IFERROR('Data Sheet'!K59,0)</f>
        <v>143</v>
      </c>
    </row>
    <row r="55" spans="1:10" x14ac:dyDescent="0.25">
      <c r="B55" t="s">
        <v>35</v>
      </c>
      <c r="C55" s="12">
        <f>IFERROR('Data Sheet'!E60,0)</f>
        <v>91.82</v>
      </c>
      <c r="D55" s="12">
        <f>IFERROR('Data Sheet'!F60,0)</f>
        <v>84.65</v>
      </c>
      <c r="E55" s="12">
        <f>IFERROR('Data Sheet'!G60,0)</f>
        <v>99.6</v>
      </c>
      <c r="F55" s="12">
        <f>IFERROR('Data Sheet'!H60,0)</f>
        <v>79.209999999999994</v>
      </c>
      <c r="G55" s="12">
        <f>IFERROR('Data Sheet'!I60,0)</f>
        <v>101.91</v>
      </c>
      <c r="H55" s="12">
        <f>IFERROR('Data Sheet'!J60,0)</f>
        <v>119.35</v>
      </c>
      <c r="I55" s="12">
        <f>IFERROR('Data Sheet'!K60,0)</f>
        <v>130.46</v>
      </c>
    </row>
    <row r="56" spans="1:10" x14ac:dyDescent="0.25">
      <c r="B56" s="11" t="s">
        <v>81</v>
      </c>
      <c r="C56" s="23">
        <f>IFERROR('Data Sheet'!E61,0)</f>
        <v>576.12</v>
      </c>
      <c r="D56" s="23">
        <f>IFERROR('Data Sheet'!F61,0)</f>
        <v>718.88</v>
      </c>
      <c r="E56" s="23">
        <f>IFERROR('Data Sheet'!G61,0)</f>
        <v>763.01</v>
      </c>
      <c r="F56" s="23">
        <f>IFERROR('Data Sheet'!H61,0)</f>
        <v>874.18</v>
      </c>
      <c r="G56" s="23">
        <f>IFERROR('Data Sheet'!I61,0)</f>
        <v>1129.8699999999999</v>
      </c>
      <c r="H56" s="23">
        <f>IFERROR('Data Sheet'!J61,0)</f>
        <v>1326.16</v>
      </c>
      <c r="I56" s="23">
        <f>IFERROR('Data Sheet'!K61,0)</f>
        <v>1885.95</v>
      </c>
      <c r="J56" s="11"/>
    </row>
    <row r="58" spans="1:10" x14ac:dyDescent="0.25">
      <c r="B58" t="s">
        <v>82</v>
      </c>
      <c r="C58" s="12">
        <f>IFERROR('Data Sheet'!E62,0)</f>
        <v>284.99</v>
      </c>
      <c r="D58" s="12">
        <f>IFERROR('Data Sheet'!F62,0)</f>
        <v>290.82</v>
      </c>
      <c r="E58" s="12">
        <f>IFERROR('Data Sheet'!G62,0)</f>
        <v>275.45</v>
      </c>
      <c r="F58" s="12">
        <f>IFERROR('Data Sheet'!H62,0)</f>
        <v>414.65</v>
      </c>
      <c r="G58" s="12">
        <f>IFERROR('Data Sheet'!I62,0)</f>
        <v>456.19</v>
      </c>
      <c r="H58" s="12">
        <f>IFERROR('Data Sheet'!J62,0)</f>
        <v>678.44</v>
      </c>
      <c r="I58" s="12">
        <f>IFERROR('Data Sheet'!K62,0)</f>
        <v>743.67</v>
      </c>
    </row>
    <row r="59" spans="1:10" x14ac:dyDescent="0.25">
      <c r="B59" t="s">
        <v>38</v>
      </c>
      <c r="C59" s="12">
        <f>IFERROR('Data Sheet'!E63,0)</f>
        <v>8.9</v>
      </c>
      <c r="D59" s="12">
        <f>IFERROR('Data Sheet'!F63,0)</f>
        <v>46.14</v>
      </c>
      <c r="E59" s="12">
        <f>IFERROR('Data Sheet'!G63,0)</f>
        <v>109.14</v>
      </c>
      <c r="F59" s="12">
        <f>IFERROR('Data Sheet'!H63,0)</f>
        <v>40.369999999999997</v>
      </c>
      <c r="G59" s="12">
        <f>IFERROR('Data Sheet'!I63,0)</f>
        <v>212.26</v>
      </c>
      <c r="H59" s="12">
        <f>IFERROR('Data Sheet'!J63,0)</f>
        <v>74.75</v>
      </c>
      <c r="I59" s="12">
        <f>IFERROR('Data Sheet'!K63,0)</f>
        <v>126.69</v>
      </c>
    </row>
    <row r="60" spans="1:10" x14ac:dyDescent="0.25">
      <c r="B60" t="s">
        <v>39</v>
      </c>
      <c r="C60" s="12">
        <f>IFERROR('Data Sheet'!E64,0)</f>
        <v>0</v>
      </c>
      <c r="D60" s="12">
        <f>IFERROR('Data Sheet'!F64,0)</f>
        <v>30.27</v>
      </c>
      <c r="E60" s="12">
        <f>IFERROR('Data Sheet'!G64,0)</f>
        <v>0</v>
      </c>
      <c r="F60" s="12">
        <f>IFERROR('Data Sheet'!H64,0)</f>
        <v>0</v>
      </c>
      <c r="G60" s="12">
        <f>IFERROR('Data Sheet'!I64,0)</f>
        <v>0.41</v>
      </c>
      <c r="H60" s="12">
        <f>IFERROR('Data Sheet'!J64,0)</f>
        <v>0</v>
      </c>
      <c r="I60" s="12">
        <f>IFERROR('Data Sheet'!K64,0)</f>
        <v>0.1</v>
      </c>
    </row>
    <row r="61" spans="1:10" x14ac:dyDescent="0.25">
      <c r="B61" t="s">
        <v>40</v>
      </c>
      <c r="C61" s="12">
        <f>IFERROR('Data Sheet'!E65-SUM('Data Sheet'!E67:E69),0)</f>
        <v>26.670000000000016</v>
      </c>
      <c r="D61" s="12">
        <f>IFERROR('Data Sheet'!F65-SUM('Data Sheet'!F67:F69),0)</f>
        <v>79.70999999999998</v>
      </c>
      <c r="E61" s="12">
        <f>IFERROR('Data Sheet'!G65-SUM('Data Sheet'!G67:G69),0)</f>
        <v>109.16000000000003</v>
      </c>
      <c r="F61" s="12">
        <f>IFERROR('Data Sheet'!H65-SUM('Data Sheet'!H67:H69),0)</f>
        <v>104.24000000000007</v>
      </c>
      <c r="G61" s="12">
        <f>IFERROR('Data Sheet'!I65-SUM('Data Sheet'!I67:I69),0)</f>
        <v>53.53000000000003</v>
      </c>
      <c r="H61" s="12">
        <f>IFERROR('Data Sheet'!J65-SUM('Data Sheet'!J67:J69),0)</f>
        <v>94.970000000000084</v>
      </c>
      <c r="I61" s="12">
        <f>IFERROR('Data Sheet'!K65-SUM('Data Sheet'!K67:K69),0)</f>
        <v>317.03999999999996</v>
      </c>
    </row>
    <row r="62" spans="1:10" x14ac:dyDescent="0.25">
      <c r="B62" s="11" t="s">
        <v>83</v>
      </c>
      <c r="C62" s="23">
        <f t="shared" ref="C62:I62" si="18">SUM(C58:C61)</f>
        <v>320.56</v>
      </c>
      <c r="D62" s="23">
        <f t="shared" si="18"/>
        <v>446.93999999999994</v>
      </c>
      <c r="E62" s="23">
        <f t="shared" si="18"/>
        <v>493.75</v>
      </c>
      <c r="F62" s="23">
        <f t="shared" si="18"/>
        <v>559.26</v>
      </c>
      <c r="G62" s="23">
        <f t="shared" si="18"/>
        <v>722.3900000000001</v>
      </c>
      <c r="H62" s="23">
        <f t="shared" si="18"/>
        <v>848.16000000000008</v>
      </c>
      <c r="I62" s="23">
        <f t="shared" si="18"/>
        <v>1187.5</v>
      </c>
    </row>
    <row r="63" spans="1:10" x14ac:dyDescent="0.25">
      <c r="B63" s="11"/>
    </row>
    <row r="64" spans="1:10" x14ac:dyDescent="0.25">
      <c r="B64" t="s">
        <v>41</v>
      </c>
      <c r="C64" s="12">
        <f>IFERROR('Data Sheet'!E67,0)</f>
        <v>172.41</v>
      </c>
      <c r="D64" s="12">
        <f>IFERROR('Data Sheet'!F67,0)</f>
        <v>169.13</v>
      </c>
      <c r="E64" s="12">
        <f>IFERROR('Data Sheet'!G67,0)</f>
        <v>137.85</v>
      </c>
      <c r="F64" s="12">
        <f>IFERROR('Data Sheet'!H67,0)</f>
        <v>165.57</v>
      </c>
      <c r="G64" s="12">
        <f>IFERROR('Data Sheet'!I67,0)</f>
        <v>222.04</v>
      </c>
      <c r="H64" s="12">
        <f>IFERROR('Data Sheet'!J67,0)</f>
        <v>308.06</v>
      </c>
      <c r="I64" s="12">
        <f>IFERROR('Data Sheet'!K67,0)</f>
        <v>356.92</v>
      </c>
    </row>
    <row r="65" spans="1:10" x14ac:dyDescent="0.25">
      <c r="B65" t="s">
        <v>42</v>
      </c>
      <c r="C65" s="12">
        <f>IFERROR('Data Sheet'!E68,0)</f>
        <v>76.09</v>
      </c>
      <c r="D65" s="12">
        <f>IFERROR('Data Sheet'!F68,0)</f>
        <v>97.73</v>
      </c>
      <c r="E65" s="12">
        <f>IFERROR('Data Sheet'!G68,0)</f>
        <v>75.650000000000006</v>
      </c>
      <c r="F65" s="12">
        <f>IFERROR('Data Sheet'!H68,0)</f>
        <v>121.57</v>
      </c>
      <c r="G65" s="12">
        <f>IFERROR('Data Sheet'!I68,0)</f>
        <v>183.98</v>
      </c>
      <c r="H65" s="12">
        <f>IFERROR('Data Sheet'!J68,0)</f>
        <v>169.6</v>
      </c>
      <c r="I65" s="12">
        <f>IFERROR('Data Sheet'!K68,0)</f>
        <v>224.17</v>
      </c>
    </row>
    <row r="66" spans="1:10" x14ac:dyDescent="0.25">
      <c r="B66" t="s">
        <v>43</v>
      </c>
      <c r="C66" s="12">
        <f>IFERROR('Data Sheet'!E69,0)</f>
        <v>7.06</v>
      </c>
      <c r="D66" s="12">
        <f>IFERROR('Data Sheet'!F69,0)</f>
        <v>5.08</v>
      </c>
      <c r="E66" s="12">
        <f>IFERROR('Data Sheet'!G69,0)</f>
        <v>55.76</v>
      </c>
      <c r="F66" s="12">
        <f>IFERROR('Data Sheet'!H69,0)</f>
        <v>27.78</v>
      </c>
      <c r="G66" s="12">
        <f>IFERROR('Data Sheet'!I69,0)</f>
        <v>1.46</v>
      </c>
      <c r="H66" s="12">
        <f>IFERROR('Data Sheet'!J69,0)</f>
        <v>0.34</v>
      </c>
      <c r="I66" s="12">
        <f>IFERROR('Data Sheet'!K69,0)</f>
        <v>117.36</v>
      </c>
    </row>
    <row r="67" spans="1:10" x14ac:dyDescent="0.25">
      <c r="B67" s="11" t="s">
        <v>84</v>
      </c>
      <c r="C67" s="23">
        <f t="shared" ref="C67:I67" si="19">IFERROR(SUM(C64:C66),0)</f>
        <v>255.56</v>
      </c>
      <c r="D67" s="23">
        <f t="shared" si="19"/>
        <v>271.94</v>
      </c>
      <c r="E67" s="23">
        <f t="shared" si="19"/>
        <v>269.26</v>
      </c>
      <c r="F67" s="23">
        <f t="shared" si="19"/>
        <v>314.91999999999996</v>
      </c>
      <c r="G67" s="23">
        <f t="shared" si="19"/>
        <v>407.47999999999996</v>
      </c>
      <c r="H67" s="23">
        <f t="shared" si="19"/>
        <v>477.99999999999994</v>
      </c>
      <c r="I67" s="23">
        <f t="shared" si="19"/>
        <v>698.45</v>
      </c>
    </row>
    <row r="69" spans="1:10" x14ac:dyDescent="0.25">
      <c r="B69" s="11" t="s">
        <v>85</v>
      </c>
      <c r="C69" s="23">
        <f t="shared" ref="C69:I69" si="20">IFERROR(C67+C62,0)</f>
        <v>576.12</v>
      </c>
      <c r="D69" s="23">
        <f t="shared" si="20"/>
        <v>718.87999999999988</v>
      </c>
      <c r="E69" s="23">
        <f t="shared" si="20"/>
        <v>763.01</v>
      </c>
      <c r="F69" s="23">
        <f t="shared" si="20"/>
        <v>874.18</v>
      </c>
      <c r="G69" s="23">
        <f t="shared" si="20"/>
        <v>1129.8700000000001</v>
      </c>
      <c r="H69" s="23">
        <f t="shared" si="20"/>
        <v>1326.16</v>
      </c>
      <c r="I69" s="23">
        <f t="shared" si="20"/>
        <v>1885.95</v>
      </c>
    </row>
    <row r="71" spans="1:10" x14ac:dyDescent="0.25">
      <c r="B71" s="14" t="s">
        <v>86</v>
      </c>
      <c r="C71" s="14" t="b">
        <f t="shared" ref="C71:I71" si="21">C69=C56</f>
        <v>1</v>
      </c>
      <c r="D71" s="14" t="b">
        <f t="shared" si="21"/>
        <v>1</v>
      </c>
      <c r="E71" s="14" t="b">
        <f t="shared" si="21"/>
        <v>1</v>
      </c>
      <c r="F71" s="14" t="b">
        <f t="shared" si="21"/>
        <v>1</v>
      </c>
      <c r="G71" s="14" t="b">
        <f t="shared" si="21"/>
        <v>1</v>
      </c>
      <c r="H71" s="14" t="b">
        <f t="shared" si="21"/>
        <v>1</v>
      </c>
      <c r="I71" s="14" t="b">
        <f t="shared" si="21"/>
        <v>1</v>
      </c>
    </row>
    <row r="73" spans="1:10" x14ac:dyDescent="0.25">
      <c r="A73" t="s">
        <v>58</v>
      </c>
      <c r="B73" s="21" t="s">
        <v>87</v>
      </c>
      <c r="C73" s="22"/>
      <c r="D73" s="22"/>
      <c r="E73" s="22"/>
      <c r="F73" s="22"/>
      <c r="G73" s="22"/>
      <c r="H73" s="22"/>
      <c r="I73" s="22"/>
      <c r="J73" s="22"/>
    </row>
    <row r="74" spans="1:10" x14ac:dyDescent="0.25">
      <c r="B74" s="11"/>
    </row>
    <row r="75" spans="1:10" x14ac:dyDescent="0.25">
      <c r="B75" t="s">
        <v>88</v>
      </c>
      <c r="C75" s="12">
        <f>'Data Sheet'!E82</f>
        <v>0</v>
      </c>
      <c r="D75" s="12">
        <f>'Data Sheet'!F82</f>
        <v>136.4</v>
      </c>
      <c r="E75" s="12">
        <f>'Data Sheet'!G82</f>
        <v>168.71</v>
      </c>
      <c r="F75" s="12">
        <f>'Data Sheet'!H82</f>
        <v>49.85</v>
      </c>
      <c r="G75" s="12">
        <f>'Data Sheet'!I82</f>
        <v>80.28</v>
      </c>
      <c r="H75" s="12">
        <f>'Data Sheet'!J82</f>
        <v>209.46</v>
      </c>
      <c r="I75" s="12">
        <f>'Data Sheet'!K82</f>
        <v>189.02</v>
      </c>
    </row>
    <row r="77" spans="1:10" x14ac:dyDescent="0.25">
      <c r="B77" t="s">
        <v>89</v>
      </c>
      <c r="C77" s="12">
        <f>'Data Sheet'!E83</f>
        <v>0</v>
      </c>
      <c r="D77" s="12">
        <f>'Data Sheet'!F83</f>
        <v>-162.1</v>
      </c>
      <c r="E77" s="12">
        <f>'Data Sheet'!G83</f>
        <v>-118.92</v>
      </c>
      <c r="F77" s="12">
        <f>'Data Sheet'!H83</f>
        <v>-58.69</v>
      </c>
      <c r="G77" s="12">
        <f>'Data Sheet'!I83</f>
        <v>-165.66</v>
      </c>
      <c r="H77" s="12">
        <f>'Data Sheet'!J83</f>
        <v>-172.45</v>
      </c>
      <c r="I77" s="12">
        <f>'Data Sheet'!K83</f>
        <v>-469.41</v>
      </c>
    </row>
    <row r="79" spans="1:10" x14ac:dyDescent="0.25">
      <c r="B79" t="s">
        <v>90</v>
      </c>
      <c r="C79" s="12">
        <f>'Data Sheet'!E84</f>
        <v>0</v>
      </c>
      <c r="D79" s="12">
        <f>'Data Sheet'!F84</f>
        <v>26.63</v>
      </c>
      <c r="E79" s="12">
        <f>'Data Sheet'!G84</f>
        <v>-49.99</v>
      </c>
      <c r="F79" s="12">
        <f>'Data Sheet'!H84</f>
        <v>9.67</v>
      </c>
      <c r="G79" s="12">
        <f>'Data Sheet'!I84</f>
        <v>82.52</v>
      </c>
      <c r="H79" s="12">
        <f>'Data Sheet'!J84</f>
        <v>-37.01</v>
      </c>
      <c r="I79" s="12">
        <f>'Data Sheet'!K84</f>
        <v>280.92</v>
      </c>
    </row>
    <row r="81" spans="2:9" x14ac:dyDescent="0.25">
      <c r="B81" s="11" t="s">
        <v>51</v>
      </c>
      <c r="C81" s="23">
        <f t="shared" ref="C81:I81" si="22">IFERROR(C75+C77+C79,0)</f>
        <v>0</v>
      </c>
      <c r="D81" s="23">
        <f t="shared" si="22"/>
        <v>0.93000000000001037</v>
      </c>
      <c r="E81" s="23">
        <f t="shared" si="22"/>
        <v>-0.19999999999999574</v>
      </c>
      <c r="F81" s="23">
        <f t="shared" si="22"/>
        <v>0.83000000000000362</v>
      </c>
      <c r="G81" s="23">
        <f t="shared" si="22"/>
        <v>-2.8599999999999994</v>
      </c>
      <c r="H81" s="23">
        <f t="shared" si="22"/>
        <v>2.1316282072803006E-14</v>
      </c>
      <c r="I81" s="23">
        <f t="shared" si="22"/>
        <v>0.53000000000002956</v>
      </c>
    </row>
  </sheetData>
  <mergeCells count="1">
    <mergeCell ref="B2:J2"/>
  </mergeCells>
  <printOptions horizontalCentered="1" verticalCentered="1"/>
  <pageMargins left="0" right="0" top="0.74803149606299213" bottom="0.74803149606299213" header="0.31496062992125984" footer="0.31496062992125984"/>
  <pageSetup paperSize="8" fitToWidth="15" fitToHeight="15" orientation="landscape" r:id="rId1"/>
  <ignoredErrors>
    <ignoredError sqref="J6 J9 C15:I15 J21 J24 J3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40"/>
  <sheetViews>
    <sheetView showGridLines="0" zoomScale="85" zoomScaleNormal="85" workbookViewId="0">
      <selection activeCell="P18" sqref="P18"/>
    </sheetView>
  </sheetViews>
  <sheetFormatPr defaultRowHeight="15" x14ac:dyDescent="0.25"/>
  <cols>
    <col min="1" max="1" width="1.85546875" customWidth="1"/>
    <col min="2" max="2" width="29.28515625" bestFit="1" customWidth="1"/>
    <col min="8" max="8" width="12" customWidth="1"/>
    <col min="9" max="10" width="10" bestFit="1" customWidth="1"/>
    <col min="11" max="11" width="25.28515625" customWidth="1"/>
    <col min="12" max="12" width="8.85546875" bestFit="1" customWidth="1"/>
    <col min="13" max="13" width="7.85546875" bestFit="1" customWidth="1"/>
  </cols>
  <sheetData>
    <row r="2" spans="2:13" x14ac:dyDescent="0.25">
      <c r="B2" s="132" t="str">
        <f>"Ratio Analysis of - "&amp;'Data Sheet'!B1</f>
        <v>Ratio Analysis of - HAPPY FORGINGS LTD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4"/>
    </row>
    <row r="3" spans="2:13" x14ac:dyDescent="0.25">
      <c r="B3" s="49" t="s">
        <v>55</v>
      </c>
      <c r="C3" s="50">
        <f>'Data Sheet'!D16</f>
        <v>42825</v>
      </c>
      <c r="D3" s="50">
        <f>'Data Sheet'!E16</f>
        <v>43190</v>
      </c>
      <c r="E3" s="50">
        <f>'Data Sheet'!F16</f>
        <v>43555</v>
      </c>
      <c r="F3" s="50">
        <f>'Data Sheet'!G16</f>
        <v>43921</v>
      </c>
      <c r="G3" s="50">
        <f>'Data Sheet'!H16</f>
        <v>44286</v>
      </c>
      <c r="H3" s="50">
        <f>'Data Sheet'!I16</f>
        <v>44651</v>
      </c>
      <c r="I3" s="50">
        <f>'Data Sheet'!J16</f>
        <v>45016</v>
      </c>
      <c r="J3" s="50">
        <f>'Data Sheet'!K16</f>
        <v>45382</v>
      </c>
      <c r="K3" s="51" t="s">
        <v>119</v>
      </c>
      <c r="L3" s="52" t="s">
        <v>120</v>
      </c>
      <c r="M3" s="53" t="s">
        <v>121</v>
      </c>
    </row>
    <row r="5" spans="2:13" x14ac:dyDescent="0.25">
      <c r="B5" s="24" t="s">
        <v>95</v>
      </c>
      <c r="C5" s="25">
        <f>IFERROR(HistoricalFS!#REF!,0)</f>
        <v>0</v>
      </c>
      <c r="D5" s="25">
        <f>IFERROR(HistoricalFS!C7,0)</f>
        <v>0</v>
      </c>
      <c r="E5" s="25">
        <f>IFERROR(HistoricalFS!D7,0)</f>
        <v>0.36285195277020899</v>
      </c>
      <c r="F5" s="25">
        <f>IFERROR(HistoricalFS!E7,0)</f>
        <v>-0.25612795734755078</v>
      </c>
      <c r="G5" s="25">
        <f>IFERROR(HistoricalFS!F7,0)</f>
        <v>4.8146356322456896E-2</v>
      </c>
      <c r="H5" s="25">
        <f>IFERROR(HistoricalFS!G7,0)</f>
        <v>0.47027147155361027</v>
      </c>
      <c r="I5" s="25">
        <f>IFERROR(HistoricalFS!H7,0)</f>
        <v>0.39123306784489276</v>
      </c>
      <c r="J5" s="25">
        <f>IFERROR(HistoricalFS!I7,0)</f>
        <v>0.13514913959532993</v>
      </c>
      <c r="K5" s="37"/>
      <c r="L5" s="25">
        <f>IFERROR(AVERAGE(C5:J5),0)</f>
        <v>0.14394050384236851</v>
      </c>
      <c r="M5" s="25">
        <f>IFERROR(MEDIAN(C5:J5),0)</f>
        <v>9.1647747958893411E-2</v>
      </c>
    </row>
    <row r="6" spans="2:13" x14ac:dyDescent="0.25">
      <c r="B6" s="26" t="s">
        <v>101</v>
      </c>
      <c r="C6" s="27">
        <f>IFERROR(HistoricalFS!#REF!/HistoricalFS!#REF!-1,0)</f>
        <v>0</v>
      </c>
      <c r="D6" s="27">
        <f>IFERROR(HistoricalFS!C18/HistoricalFS!#REF!-1,0)</f>
        <v>0</v>
      </c>
      <c r="E6" s="27">
        <f>IFERROR(HistoricalFS!D18/HistoricalFS!C18-1,0)</f>
        <v>0.49864993067211616</v>
      </c>
      <c r="F6" s="27">
        <f>IFERROR(HistoricalFS!E18/HistoricalFS!D18-1,0)</f>
        <v>-0.30638878067783404</v>
      </c>
      <c r="G6" s="27">
        <f>IFERROR(HistoricalFS!F18/HistoricalFS!E18-1,0)</f>
        <v>0.11443414771131732</v>
      </c>
      <c r="H6" s="27">
        <f>IFERROR(HistoricalFS!G18/HistoricalFS!F18-1,0)</f>
        <v>0.45451681995716231</v>
      </c>
      <c r="I6" s="27">
        <f>IFERROR(HistoricalFS!H18/HistoricalFS!G18-1,0)</f>
        <v>0.47663389492832042</v>
      </c>
      <c r="J6" s="27">
        <f>IFERROR(HistoricalFS!I18/HistoricalFS!H18-1,0)</f>
        <v>0.13668094092802274</v>
      </c>
      <c r="K6" s="38"/>
      <c r="L6" s="27">
        <f>IFERROR(AVERAGE(C6:J6),0)</f>
        <v>0.17181586918988812</v>
      </c>
      <c r="M6" s="27">
        <f>IFERROR(MEDIAN(C6:J6),0)</f>
        <v>0.12555754431967003</v>
      </c>
    </row>
    <row r="7" spans="2:13" x14ac:dyDescent="0.25">
      <c r="B7" s="26" t="s">
        <v>96</v>
      </c>
      <c r="C7" s="27">
        <f>IFERROR(HistoricalFS!#REF!/HistoricalFS!#REF!-1,0)</f>
        <v>0</v>
      </c>
      <c r="D7" s="27">
        <f>IFERROR(HistoricalFS!C27/HistoricalFS!#REF!-1,0)</f>
        <v>0</v>
      </c>
      <c r="E7" s="27">
        <f>IFERROR(HistoricalFS!D27/HistoricalFS!C27-1,0)</f>
        <v>0.66100043308791756</v>
      </c>
      <c r="F7" s="27">
        <f>IFERROR(HistoricalFS!E27/HistoricalFS!D27-1,0)</f>
        <v>-0.41998565934424081</v>
      </c>
      <c r="G7" s="27">
        <f>IFERROR(HistoricalFS!F27/HistoricalFS!E27-1,0)</f>
        <v>0.24971903798606476</v>
      </c>
      <c r="H7" s="27">
        <f>IFERROR(HistoricalFS!G27/HistoricalFS!F27-1,0)</f>
        <v>0.67257194244604235</v>
      </c>
      <c r="I7" s="27">
        <f>IFERROR(HistoricalFS!H27/HistoricalFS!G27-1,0)</f>
        <v>0.47470294101833366</v>
      </c>
      <c r="J7" s="27">
        <f>IFERROR(HistoricalFS!I27/HistoricalFS!H27-1,0)</f>
        <v>0.13398716639930042</v>
      </c>
      <c r="K7" s="38"/>
      <c r="L7" s="27">
        <f>IFERROR(AVERAGE(C7:J7),0)</f>
        <v>0.22149948269917724</v>
      </c>
      <c r="M7" s="27">
        <f>IFERROR(MEDIAN(C7:J7),0)</f>
        <v>0.19185310219268259</v>
      </c>
    </row>
    <row r="8" spans="2:13" x14ac:dyDescent="0.25">
      <c r="B8" s="26" t="s">
        <v>100</v>
      </c>
      <c r="C8" s="27">
        <f>IFERROR(HistoricalFS!#REF!/HistoricalFS!#REF!-1,0)</f>
        <v>0</v>
      </c>
      <c r="D8" s="27">
        <f>IFERROR(HistoricalFS!C33/HistoricalFS!#REF!-1,0)</f>
        <v>0</v>
      </c>
      <c r="E8" s="27">
        <f>IFERROR(HistoricalFS!D33/HistoricalFS!C33-1,0)</f>
        <v>0.72710589098917344</v>
      </c>
      <c r="F8" s="27">
        <f>IFERROR(HistoricalFS!E33/HistoricalFS!D33-1,0)</f>
        <v>-0.22303687174582909</v>
      </c>
      <c r="G8" s="27">
        <f>IFERROR(HistoricalFS!F33/HistoricalFS!E33-1,0)</f>
        <v>0.10216083150984745</v>
      </c>
      <c r="H8" s="27">
        <f>IFERROR(HistoricalFS!G33/HistoricalFS!F33-1,0)</f>
        <v>0.6904082392356361</v>
      </c>
      <c r="I8" s="27">
        <f>IFERROR(HistoricalFS!H33/HistoricalFS!G33-1,0)</f>
        <v>0.48975996476546935</v>
      </c>
      <c r="J8" s="27">
        <f>IFERROR(HistoricalFS!I33/HistoricalFS!H33-1,0)</f>
        <v>0.13141167775314178</v>
      </c>
      <c r="K8" s="38"/>
      <c r="L8" s="27">
        <f>IFERROR(AVERAGE(C8:J8),0)</f>
        <v>0.23972621656342988</v>
      </c>
      <c r="M8" s="27">
        <f>IFERROR(MEDIAN(C8:J8),0)</f>
        <v>0.11678625463149461</v>
      </c>
    </row>
    <row r="9" spans="2:13" x14ac:dyDescent="0.25">
      <c r="B9" s="28" t="s">
        <v>99</v>
      </c>
      <c r="C9" s="29">
        <f>IFERROR(HistoricalFS!#REF!/HistoricalFS!#REF!-1,0)</f>
        <v>0</v>
      </c>
      <c r="D9" s="29">
        <f>IFERROR(HistoricalFS!C41/HistoricalFS!#REF!-1,0)</f>
        <v>0</v>
      </c>
      <c r="E9" s="29">
        <f>IFERROR(HistoricalFS!D41/HistoricalFS!C41-1,0)</f>
        <v>0</v>
      </c>
      <c r="F9" s="29">
        <f>IFERROR(HistoricalFS!E41/HistoricalFS!D41-1,0)</f>
        <v>0</v>
      </c>
      <c r="G9" s="29">
        <f>IFERROR(HistoricalFS!F41/HistoricalFS!E41-1,0)</f>
        <v>0</v>
      </c>
      <c r="H9" s="29">
        <f>IFERROR(HistoricalFS!G41/HistoricalFS!F41-1,0)</f>
        <v>0</v>
      </c>
      <c r="I9" s="29">
        <f>IFERROR(HistoricalFS!H41/HistoricalFS!G41-1,0)</f>
        <v>0</v>
      </c>
      <c r="J9" s="29">
        <f>IFERROR(HistoricalFS!I41/HistoricalFS!H41-1,0)</f>
        <v>-1.0305630339790817E-4</v>
      </c>
      <c r="K9" s="39"/>
      <c r="L9" s="29">
        <f>IFERROR(AVERAGE(C9:J9),0)</f>
        <v>-1.2882037924738521E-5</v>
      </c>
      <c r="M9" s="29">
        <f>IFERROR(MEDIAN(C9:J9),0)</f>
        <v>0</v>
      </c>
    </row>
    <row r="11" spans="2:13" x14ac:dyDescent="0.25">
      <c r="B11" s="24" t="s">
        <v>91</v>
      </c>
      <c r="C11" s="25">
        <f>IFERROR(HistoricalFS!#REF!,0)</f>
        <v>0</v>
      </c>
      <c r="D11" s="25">
        <f>IFERROR(HistoricalFS!C13,0)</f>
        <v>0.30722979109900078</v>
      </c>
      <c r="E11" s="25">
        <f>IFERROR(HistoricalFS!D13,0)</f>
        <v>0.30943018993668775</v>
      </c>
      <c r="F11" s="25">
        <f>IFERROR(HistoricalFS!E13,0)</f>
        <v>0.28199752728054611</v>
      </c>
      <c r="G11" s="25">
        <f>IFERROR(HistoricalFS!F13,0)</f>
        <v>0.30966219912472653</v>
      </c>
      <c r="H11" s="25">
        <f>IFERROR(HistoricalFS!G13,0)</f>
        <v>0.3027498401255741</v>
      </c>
      <c r="I11" s="25">
        <f>IFERROR(HistoricalFS!H13,0)</f>
        <v>0.32146289687680196</v>
      </c>
      <c r="J11" s="25">
        <f>IFERROR(HistoricalFS!I13,0)</f>
        <v>0.32120980091883611</v>
      </c>
      <c r="K11" s="40"/>
      <c r="L11" s="25">
        <f>IFERROR(AVERAGE(C11:J11),0)</f>
        <v>0.26921778067027169</v>
      </c>
      <c r="M11" s="25">
        <f>IFERROR(MEDIAN(C11:J11),0)</f>
        <v>0.30832999051784427</v>
      </c>
    </row>
    <row r="12" spans="2:13" x14ac:dyDescent="0.25">
      <c r="B12" s="26" t="s">
        <v>92</v>
      </c>
      <c r="C12" s="27">
        <f>IFERROR(HistoricalFS!#REF!,0)</f>
        <v>0</v>
      </c>
      <c r="D12" s="27">
        <f>IFERROR(HistoricalFS!C19,0)</f>
        <v>0.24891916439600353</v>
      </c>
      <c r="E12" s="27">
        <f>IFERROR(HistoricalFS!D19,0)</f>
        <v>0.27372209263578806</v>
      </c>
      <c r="F12" s="27">
        <f>IFERROR(HistoricalFS!E19,0)</f>
        <v>0.25522765145406651</v>
      </c>
      <c r="G12" s="27">
        <f>IFERROR(HistoricalFS!F19,0)</f>
        <v>0.27136898249452956</v>
      </c>
      <c r="H12" s="27">
        <f>IFERROR(HistoricalFS!G19,0)</f>
        <v>0.26846113598046623</v>
      </c>
      <c r="I12" s="27">
        <f>IFERROR(HistoricalFS!H19,0)</f>
        <v>0.28494061995938247</v>
      </c>
      <c r="J12" s="27">
        <f>IFERROR(HistoricalFS!I19,0)</f>
        <v>0.28532512663446813</v>
      </c>
      <c r="K12" s="41"/>
      <c r="L12" s="27">
        <f>IFERROR(AVERAGE(C12:J12),0)</f>
        <v>0.23599559669433806</v>
      </c>
      <c r="M12" s="27">
        <f>IFERROR(MEDIAN(C12:J12),0)</f>
        <v>0.26991505923749792</v>
      </c>
    </row>
    <row r="13" spans="2:13" x14ac:dyDescent="0.25">
      <c r="B13" s="26" t="s">
        <v>102</v>
      </c>
      <c r="C13" s="27">
        <f>IFERROR((HistoricalFS!#REF!-HistoricalFS!#REF!)/HistoricalFS!#REF!,0)</f>
        <v>0</v>
      </c>
      <c r="D13" s="27">
        <f>IFERROR((HistoricalFS!C18-HistoricalFS!C24)/HistoricalFS!C6,0)</f>
        <v>0.20717529518619426</v>
      </c>
      <c r="E13" s="27">
        <f>IFERROR((HistoricalFS!D18-HistoricalFS!D24)/HistoricalFS!D6,0)</f>
        <v>0.23505498167277572</v>
      </c>
      <c r="F13" s="27">
        <f>IFERROR((HistoricalFS!E18-HistoricalFS!E24)/HistoricalFS!E6,0)</f>
        <v>0.20433980182407852</v>
      </c>
      <c r="G13" s="27">
        <f>IFERROR((HistoricalFS!F18-HistoricalFS!F24)/HistoricalFS!F6,0)</f>
        <v>0.21023659737417949</v>
      </c>
      <c r="H13" s="27">
        <f>IFERROR((HistoricalFS!G18-HistoricalFS!G24)/HistoricalFS!G6,0)</f>
        <v>0.22457996628103016</v>
      </c>
      <c r="I13" s="27">
        <f>IFERROR((HistoricalFS!H18-HistoricalFS!H24)/HistoricalFS!H6,0)</f>
        <v>0.23965968258213324</v>
      </c>
      <c r="J13" s="27">
        <f>IFERROR((HistoricalFS!I18-HistoricalFS!I24)/HistoricalFS!I6,0)</f>
        <v>0.23766786429496992</v>
      </c>
      <c r="K13" s="41"/>
      <c r="L13" s="27">
        <f>IFERROR(AVERAGE(C13:J13),0)</f>
        <v>0.19483927365192016</v>
      </c>
      <c r="M13" s="27">
        <f>IFERROR(MEDIAN(C13:J13),0)</f>
        <v>0.21740828182760483</v>
      </c>
    </row>
    <row r="14" spans="2:13" x14ac:dyDescent="0.25">
      <c r="B14" s="26" t="s">
        <v>103</v>
      </c>
      <c r="C14" s="27">
        <f>IFERROR(HistoricalFS!#REF!,0)</f>
        <v>0</v>
      </c>
      <c r="D14" s="27">
        <f>IFERROR(HistoricalFS!C28,0)</f>
        <v>0.1677747502270662</v>
      </c>
      <c r="E14" s="27">
        <f>IFERROR(HistoricalFS!D28,0)</f>
        <v>0.20447850716427854</v>
      </c>
      <c r="F14" s="27">
        <f>IFERROR(HistoricalFS!E28,0)</f>
        <v>0.15943665000268772</v>
      </c>
      <c r="G14" s="27">
        <f>IFERROR(HistoricalFS!F28,0)</f>
        <v>0.19009846827133486</v>
      </c>
      <c r="H14" s="27">
        <f>IFERROR(HistoricalFS!G28,0)</f>
        <v>0.21625486890297074</v>
      </c>
      <c r="I14" s="27">
        <f>IFERROR(HistoricalFS!H28,0)</f>
        <v>0.2292295220345498</v>
      </c>
      <c r="J14" s="27">
        <f>IFERROR(HistoricalFS!I28,0)</f>
        <v>0.22899487572152194</v>
      </c>
      <c r="K14" s="41"/>
      <c r="L14" s="27">
        <f>IFERROR(AVERAGE(C14:J14),0)</f>
        <v>0.17453345529055123</v>
      </c>
      <c r="M14" s="27">
        <f>IFERROR(MEDIAN(C14:J14),0)</f>
        <v>0.19728848771780672</v>
      </c>
    </row>
    <row r="15" spans="2:13" x14ac:dyDescent="0.25">
      <c r="B15" s="28" t="s">
        <v>104</v>
      </c>
      <c r="C15" s="29">
        <f>IFERROR(HistoricalFS!#REF!,0)</f>
        <v>0</v>
      </c>
      <c r="D15" s="29">
        <f>IFERROR(HistoricalFS!C34,0)</f>
        <v>9.8982742960944503E-2</v>
      </c>
      <c r="E15" s="29">
        <f>IFERROR(HistoricalFS!D34,0)</f>
        <v>0.12543818727090966</v>
      </c>
      <c r="F15" s="29">
        <f>IFERROR(HistoricalFS!E34,0)</f>
        <v>0.13101829454030711</v>
      </c>
      <c r="G15" s="29">
        <f>IFERROR(HistoricalFS!F34,0)</f>
        <v>0.13777010393873093</v>
      </c>
      <c r="H15" s="29">
        <f>IFERROR(HistoricalFS!G34,0)</f>
        <v>0.1583977675716528</v>
      </c>
      <c r="I15" s="29">
        <f>IFERROR(HistoricalFS!H34,0)</f>
        <v>0.16961547140481215</v>
      </c>
      <c r="J15" s="29">
        <f>IFERROR(HistoricalFS!I34,0)</f>
        <v>0.16905701496053716</v>
      </c>
      <c r="K15" s="42"/>
      <c r="L15" s="29">
        <f>IFERROR(AVERAGE(C15:J15),0)</f>
        <v>0.12378494783098679</v>
      </c>
      <c r="M15" s="29">
        <f>IFERROR(MEDIAN(C15:J15),0)</f>
        <v>0.13439419923951901</v>
      </c>
    </row>
    <row r="17" spans="2:13" x14ac:dyDescent="0.25">
      <c r="B17" s="24" t="s">
        <v>94</v>
      </c>
      <c r="C17" s="25">
        <f>IFERROR(HistoricalFS!#REF!,0)</f>
        <v>0</v>
      </c>
      <c r="D17" s="25">
        <f>IFERROR(HistoricalFS!C16,0)</f>
        <v>5.8310626702997276E-2</v>
      </c>
      <c r="E17" s="25">
        <f>IFERROR(HistoricalFS!D16,0)</f>
        <v>3.5708097300899702E-2</v>
      </c>
      <c r="F17" s="25">
        <f>IFERROR(HistoricalFS!E16,0)</f>
        <v>2.6769875826479602E-2</v>
      </c>
      <c r="G17" s="25">
        <f>IFERROR(HistoricalFS!F16,0)</f>
        <v>3.8293216630196941E-2</v>
      </c>
      <c r="H17" s="25">
        <f>IFERROR(HistoricalFS!G16,0)</f>
        <v>3.4288704145107846E-2</v>
      </c>
      <c r="I17" s="25">
        <f>IFERROR(HistoricalFS!H16,0)</f>
        <v>3.6522276917419542E-2</v>
      </c>
      <c r="J17" s="25">
        <f>IFERROR(HistoricalFS!I16,0)</f>
        <v>3.5884674284368007E-2</v>
      </c>
      <c r="K17" s="40"/>
      <c r="L17" s="25">
        <f>IFERROR(AVERAGE(C17:J17),0)</f>
        <v>3.3222183975933614E-2</v>
      </c>
      <c r="M17" s="25">
        <f>IFERROR(MEDIAN(C17:J17),0)</f>
        <v>3.5796385792633854E-2</v>
      </c>
    </row>
    <row r="18" spans="2:13" x14ac:dyDescent="0.25">
      <c r="B18" s="26" t="s">
        <v>68</v>
      </c>
      <c r="C18" s="27">
        <f>IFERROR(HistoricalFS!#REF!,0)</f>
        <v>0</v>
      </c>
      <c r="D18" s="27">
        <f>IFERROR(HistoricalFS!C25,0)</f>
        <v>4.1743869209809263E-2</v>
      </c>
      <c r="E18" s="27">
        <f>IFERROR(HistoricalFS!D25,0)</f>
        <v>3.8667110963012334E-2</v>
      </c>
      <c r="F18" s="27">
        <f>IFERROR(HistoricalFS!E25,0)</f>
        <v>5.0887849629987991E-2</v>
      </c>
      <c r="G18" s="27">
        <f>IFERROR(HistoricalFS!F25,0)</f>
        <v>6.1132385120350102E-2</v>
      </c>
      <c r="H18" s="27">
        <f>IFERROR(HistoricalFS!G25,0)</f>
        <v>4.3881169699436083E-2</v>
      </c>
      <c r="I18" s="27">
        <f>IFERROR(HistoricalFS!H25,0)</f>
        <v>4.5280937377249211E-2</v>
      </c>
      <c r="J18" s="27">
        <f>IFERROR(HistoricalFS!I25,0)</f>
        <v>4.7657262339498178E-2</v>
      </c>
      <c r="K18" s="41"/>
      <c r="L18" s="27">
        <f>IFERROR(AVERAGE(C18:J18),0)</f>
        <v>4.1156323042417897E-2</v>
      </c>
      <c r="M18" s="27">
        <f>IFERROR(MEDIAN(C18:J18),0)</f>
        <v>4.4581053538342644E-2</v>
      </c>
    </row>
    <row r="19" spans="2:13" x14ac:dyDescent="0.25">
      <c r="B19" s="28" t="s">
        <v>93</v>
      </c>
      <c r="C19" s="30">
        <f t="shared" ref="C19:J19" si="0">C13</f>
        <v>0</v>
      </c>
      <c r="D19" s="30">
        <f t="shared" si="0"/>
        <v>0.20717529518619426</v>
      </c>
      <c r="E19" s="30">
        <f t="shared" si="0"/>
        <v>0.23505498167277572</v>
      </c>
      <c r="F19" s="30">
        <f t="shared" si="0"/>
        <v>0.20433980182407852</v>
      </c>
      <c r="G19" s="30">
        <f t="shared" si="0"/>
        <v>0.21023659737417949</v>
      </c>
      <c r="H19" s="30">
        <f t="shared" si="0"/>
        <v>0.22457996628103016</v>
      </c>
      <c r="I19" s="30">
        <f t="shared" si="0"/>
        <v>0.23965968258213324</v>
      </c>
      <c r="J19" s="30">
        <f t="shared" si="0"/>
        <v>0.23766786429496992</v>
      </c>
      <c r="K19" s="43"/>
      <c r="L19" s="29">
        <f>IFERROR(AVERAGE(C19:J19),0)</f>
        <v>0.19483927365192016</v>
      </c>
      <c r="M19" s="29">
        <f>IFERROR(MEDIAN(C19:J19),0)</f>
        <v>0.21740828182760483</v>
      </c>
    </row>
    <row r="21" spans="2:13" x14ac:dyDescent="0.25">
      <c r="B21" s="24" t="s">
        <v>115</v>
      </c>
      <c r="C21" s="25">
        <f>IFERROR((HistoricalFS!#REF!-HistoricalFS!#REF!)/(SUM(HistoricalFS!#REF!)),0)</f>
        <v>0</v>
      </c>
      <c r="D21" s="25">
        <f>IFERROR((HistoricalFS!C18-HistoricalFS!C24)/(SUM(HistoricalFS!C52:C54)),0)</f>
        <v>0.23549452818500913</v>
      </c>
      <c r="E21" s="25">
        <f>IFERROR((HistoricalFS!D18-HistoricalFS!D24)/(SUM(HistoricalFS!D52:D54)),0)</f>
        <v>0.27805370291534615</v>
      </c>
      <c r="F21" s="25">
        <f>IFERROR((HistoricalFS!E18-HistoricalFS!E24)/(SUM(HistoricalFS!E52:E54)),0)</f>
        <v>0.17189973018193874</v>
      </c>
      <c r="G21" s="25">
        <f>IFERROR((HistoricalFS!F18-HistoricalFS!F24)/(SUM(HistoricalFS!F52:F54)),0)</f>
        <v>0.15469766154697667</v>
      </c>
      <c r="H21" s="25">
        <f>IFERROR((HistoricalFS!G18-HistoricalFS!G24)/(SUM(HistoricalFS!G52:G54)),0)</f>
        <v>0.18789641620296507</v>
      </c>
      <c r="I21" s="25">
        <f>IFERROR((HistoricalFS!H18-HistoricalFS!H24)/(SUM(HistoricalFS!H52:H54)),0)</f>
        <v>0.23761818347544345</v>
      </c>
      <c r="J21" s="25">
        <f>IFERROR((HistoricalFS!I18-HistoricalFS!I24)/(SUM(HistoricalFS!I52:I54)),0)</f>
        <v>0.18388598055243832</v>
      </c>
      <c r="K21" s="40"/>
      <c r="L21" s="25">
        <f>IFERROR(AVERAGE(C21:J21),0)</f>
        <v>0.18119327538251467</v>
      </c>
      <c r="M21" s="25">
        <f>IFERROR(MEDIAN(C21:J21),0)</f>
        <v>0.18589119837770168</v>
      </c>
    </row>
    <row r="22" spans="2:13" x14ac:dyDescent="0.25">
      <c r="B22" s="26" t="s">
        <v>98</v>
      </c>
      <c r="C22" s="27">
        <f>IFERROR(HistoricalFS!#REF!,0)</f>
        <v>0</v>
      </c>
      <c r="D22" s="27">
        <f>IFERROR(HistoricalFS!C44,0)</f>
        <v>1</v>
      </c>
      <c r="E22" s="27">
        <f>IFERROR(HistoricalFS!D44,0)</f>
        <v>1</v>
      </c>
      <c r="F22" s="27">
        <f>IFERROR(HistoricalFS!E44,0)</f>
        <v>1</v>
      </c>
      <c r="G22" s="27">
        <f>IFERROR(HistoricalFS!F44,0)</f>
        <v>1</v>
      </c>
      <c r="H22" s="27">
        <f>IFERROR(HistoricalFS!G44,0)</f>
        <v>1</v>
      </c>
      <c r="I22" s="27">
        <f>IFERROR(HistoricalFS!H44,0)</f>
        <v>0.94264597191426458</v>
      </c>
      <c r="J22" s="27">
        <f>IFERROR(HistoricalFS!I44,0)</f>
        <v>0.94665098858984409</v>
      </c>
      <c r="K22" s="41"/>
      <c r="L22" s="27">
        <f>IFERROR(AVERAGE(C22:J22),0)</f>
        <v>0.86116212006301351</v>
      </c>
      <c r="M22" s="27">
        <f>IFERROR(MEDIAN(C22:J22),0)</f>
        <v>1</v>
      </c>
    </row>
    <row r="23" spans="2:13" x14ac:dyDescent="0.25">
      <c r="B23" s="26" t="s">
        <v>114</v>
      </c>
      <c r="C23" s="27">
        <f>IFERROR(HistoricalFS!#REF!/SUM(HistoricalFS!#REF!),0)</f>
        <v>0</v>
      </c>
      <c r="D23" s="27">
        <f>IFERROR(HistoricalFS!C33/SUM(HistoricalFS!C52:C53),0)</f>
        <v>0.29652808010448378</v>
      </c>
      <c r="E23" s="27">
        <f>IFERROR(HistoricalFS!D33/SUM(HistoricalFS!D52:D53),0)</f>
        <v>0.19667300578880267</v>
      </c>
      <c r="F23" s="27">
        <f>IFERROR(HistoricalFS!E33/SUM(HistoricalFS!E52:E53),0)</f>
        <v>0.13092680131786277</v>
      </c>
      <c r="G23" s="27">
        <f>IFERROR(HistoricalFS!F33/SUM(HistoricalFS!F52:F53),0)</f>
        <v>0.12491474982949971</v>
      </c>
      <c r="H23" s="27">
        <f>IFERROR(HistoricalFS!G33/SUM(HistoricalFS!G52:G53),0)</f>
        <v>0.17296631581620345</v>
      </c>
      <c r="I23" s="27">
        <f>IFERROR(HistoricalFS!H33/SUM(HistoricalFS!H52:H53),0)</f>
        <v>0.20535262572093482</v>
      </c>
      <c r="J23" s="27">
        <f>IFERROR(HistoricalFS!I33/SUM(HistoricalFS!I52:I53),0)</f>
        <v>0.14240088310625182</v>
      </c>
      <c r="K23" s="44"/>
      <c r="L23" s="27">
        <f>IFERROR(AVERAGE(C23:J23),0)</f>
        <v>0.15872030771050488</v>
      </c>
      <c r="M23" s="27">
        <f>IFERROR(MEDIAN(C23:J23),0)</f>
        <v>0.15768359946122762</v>
      </c>
    </row>
    <row r="24" spans="2:13" x14ac:dyDescent="0.25">
      <c r="B24" s="26" t="s">
        <v>97</v>
      </c>
      <c r="C24" s="27">
        <f t="shared" ref="C24:J24" si="1">IFERROR(C22*C23,0)</f>
        <v>0</v>
      </c>
      <c r="D24" s="27">
        <f t="shared" si="1"/>
        <v>0.29652808010448378</v>
      </c>
      <c r="E24" s="27">
        <f t="shared" si="1"/>
        <v>0.19667300578880267</v>
      </c>
      <c r="F24" s="27">
        <f t="shared" si="1"/>
        <v>0.13092680131786277</v>
      </c>
      <c r="G24" s="27">
        <f>IFERROR(G22*G23,0)</f>
        <v>0.12491474982949971</v>
      </c>
      <c r="H24" s="27">
        <f t="shared" si="1"/>
        <v>0.17296631581620345</v>
      </c>
      <c r="I24" s="27">
        <f t="shared" si="1"/>
        <v>0.19357482545785681</v>
      </c>
      <c r="J24" s="27">
        <f t="shared" si="1"/>
        <v>0.13480393676860011</v>
      </c>
      <c r="K24" s="41"/>
      <c r="L24" s="27">
        <f>IFERROR(AVERAGE(C24:J24),0)</f>
        <v>0.15629846438541367</v>
      </c>
      <c r="M24" s="27">
        <f>IFERROR(MEDIAN(C24:J24),0)</f>
        <v>0.15388512629240178</v>
      </c>
    </row>
    <row r="25" spans="2:13" x14ac:dyDescent="0.25">
      <c r="B25" s="28" t="s">
        <v>105</v>
      </c>
      <c r="C25" s="31" t="e">
        <f>((HistoricalFS!#REF!-HistoricalFS!#REF!)/HistoricalFS!#REF!)</f>
        <v>#REF!</v>
      </c>
      <c r="D25" s="31">
        <f>((HistoricalFS!C18-HistoricalFS!C24)/HistoricalFS!C21)</f>
        <v>5.2581834946980148</v>
      </c>
      <c r="E25" s="31">
        <f>((HistoricalFS!D18-HistoricalFS!D24)/HistoricalFS!D21)</f>
        <v>7.6874455100261549</v>
      </c>
      <c r="F25" s="31">
        <f>((HistoricalFS!E18-HistoricalFS!E24)/HistoricalFS!E21)</f>
        <v>4.5506783719074217</v>
      </c>
      <c r="G25" s="31">
        <f>((HistoricalFS!F18-HistoricalFS!F24)/HistoricalFS!F21)</f>
        <v>10.439728353140922</v>
      </c>
      <c r="H25" s="31">
        <f>((HistoricalFS!G18-HistoricalFS!G24)/HistoricalFS!G21)</f>
        <v>26.976256983240219</v>
      </c>
      <c r="I25" s="31">
        <f>((HistoricalFS!H18-HistoricalFS!H24)/HistoricalFS!H21)</f>
        <v>22.977564102564092</v>
      </c>
      <c r="J25" s="31">
        <f>((HistoricalFS!I18-HistoricalFS!I24)/HistoricalFS!I21)</f>
        <v>27.403225806451609</v>
      </c>
      <c r="K25" s="43"/>
      <c r="L25" s="31">
        <f>IFERROR(AVERAGE(C25:J25),0)</f>
        <v>0</v>
      </c>
      <c r="M25" s="31">
        <f>IFERROR(MEDIAN(C25:J25),0)</f>
        <v>0</v>
      </c>
    </row>
    <row r="27" spans="2:13" x14ac:dyDescent="0.25">
      <c r="B27" s="24" t="s">
        <v>106</v>
      </c>
      <c r="C27" s="54" t="s">
        <v>60</v>
      </c>
      <c r="D27" s="54" t="s">
        <v>60</v>
      </c>
      <c r="E27" s="54" t="s">
        <v>60</v>
      </c>
      <c r="F27" s="54" t="s">
        <v>60</v>
      </c>
      <c r="G27" s="54" t="s">
        <v>60</v>
      </c>
      <c r="H27" s="54" t="s">
        <v>60</v>
      </c>
      <c r="I27" s="54" t="s">
        <v>60</v>
      </c>
      <c r="J27" s="54" t="s">
        <v>60</v>
      </c>
      <c r="K27" s="40"/>
      <c r="L27" s="32">
        <f>IFERROR(AVERAGE(C27:J27),0)</f>
        <v>0</v>
      </c>
      <c r="M27" s="32">
        <f>IFERROR(MEDIAN(C27:J27),0)</f>
        <v>0</v>
      </c>
    </row>
    <row r="28" spans="2:13" x14ac:dyDescent="0.25">
      <c r="B28" s="26" t="s">
        <v>110</v>
      </c>
      <c r="C28" s="33">
        <f>IFERROR(HistoricalFS!#REF!/HistoricalFS!#REF!,0)</f>
        <v>0</v>
      </c>
      <c r="D28" s="33">
        <f>IFERROR(HistoricalFS!C6/HistoricalFS!C55,0)</f>
        <v>5.9954258331518195</v>
      </c>
      <c r="E28" s="33">
        <f>IFERROR(HistoricalFS!D6/HistoricalFS!D55,0)</f>
        <v>8.8629651506201999</v>
      </c>
      <c r="F28" s="33">
        <f>IFERROR(HistoricalFS!E6/HistoricalFS!E55,0)</f>
        <v>5.6033132530120486</v>
      </c>
      <c r="G28" s="33">
        <f>IFERROR(HistoricalFS!F6/HistoricalFS!F55,0)</f>
        <v>7.3849261456886763</v>
      </c>
      <c r="H28" s="33">
        <f>IFERROR(HistoricalFS!G6/HistoricalFS!G55,0)</f>
        <v>8.4393091943872047</v>
      </c>
      <c r="I28" s="33">
        <f>IFERROR(HistoricalFS!H6/HistoricalFS!H55,0)</f>
        <v>10.025387515710097</v>
      </c>
      <c r="J28" s="33">
        <f>IFERROR(HistoricalFS!I6/HistoricalFS!I55,0)</f>
        <v>10.411160508968266</v>
      </c>
      <c r="K28" s="41"/>
      <c r="L28" s="33">
        <f>IFERROR(AVERAGE(C28:J28),0)</f>
        <v>7.0903109501922881</v>
      </c>
      <c r="M28" s="33">
        <f>IFERROR(MEDIAN(C28:J28),0)</f>
        <v>7.9121176700379401</v>
      </c>
    </row>
    <row r="29" spans="2:13" x14ac:dyDescent="0.25">
      <c r="B29" s="26" t="s">
        <v>107</v>
      </c>
      <c r="C29" s="33">
        <f>IFERROR(HistoricalFS!#REF!/HistoricalFS!#REF!,0)</f>
        <v>0</v>
      </c>
      <c r="D29" s="33">
        <f>IFERROR(HistoricalFS!C6/HistoricalFS!C65,0)</f>
        <v>7.2348534630043364</v>
      </c>
      <c r="E29" s="33">
        <f>IFERROR(HistoricalFS!D6/HistoricalFS!D65,0)</f>
        <v>7.6767625089532379</v>
      </c>
      <c r="F29" s="33">
        <f>IFERROR(HistoricalFS!E6/HistoricalFS!E65,0)</f>
        <v>7.3772637144745534</v>
      </c>
      <c r="G29" s="33">
        <f>IFERROR(HistoricalFS!F6/HistoricalFS!F65,0)</f>
        <v>4.8117134161388506</v>
      </c>
      <c r="H29" s="33">
        <f>IFERROR(HistoricalFS!G6/HistoricalFS!G65,0)</f>
        <v>4.6746929014023264</v>
      </c>
      <c r="I29" s="33">
        <f>IFERROR(HistoricalFS!H6/HistoricalFS!H65,0)</f>
        <v>7.0550117924528299</v>
      </c>
      <c r="J29" s="33">
        <f>IFERROR(HistoricalFS!I6/HistoricalFS!I65,0)</f>
        <v>6.0589731007717358</v>
      </c>
      <c r="K29" s="41"/>
      <c r="L29" s="33">
        <f>IFERROR(AVERAGE(C29:J29),0)</f>
        <v>5.6111588621497335</v>
      </c>
      <c r="M29" s="33">
        <f>IFERROR(MEDIAN(C29:J29),0)</f>
        <v>6.5569924466122824</v>
      </c>
    </row>
    <row r="30" spans="2:13" x14ac:dyDescent="0.25">
      <c r="B30" s="26" t="s">
        <v>108</v>
      </c>
      <c r="C30" s="33">
        <f>IFERROR(HistoricalFS!#REF!/HistoricalFS!#REF!,0)</f>
        <v>0</v>
      </c>
      <c r="D30" s="33">
        <f>IFERROR(HistoricalFS!C6/HistoricalFS!C58,0)</f>
        <v>1.9316467244464717</v>
      </c>
      <c r="E30" s="33">
        <f>IFERROR(HistoricalFS!D6/HistoricalFS!D58,0)</f>
        <v>2.579774430919469</v>
      </c>
      <c r="F30" s="33">
        <f>IFERROR(HistoricalFS!E6/HistoricalFS!E58,0)</f>
        <v>2.0261027409693231</v>
      </c>
      <c r="G30" s="33">
        <f>IFERROR(HistoricalFS!F6/HistoricalFS!F58,0)</f>
        <v>1.4107319426021947</v>
      </c>
      <c r="H30" s="33">
        <f>IFERROR(HistoricalFS!G6/HistoricalFS!G58,0)</f>
        <v>1.8852890243100462</v>
      </c>
      <c r="I30" s="33">
        <f>IFERROR(HistoricalFS!H6/HistoricalFS!H58,0)</f>
        <v>1.763648959377395</v>
      </c>
      <c r="J30" s="33">
        <f>IFERROR(HistoricalFS!I6/HistoricalFS!I58,0)</f>
        <v>1.8264014952868881</v>
      </c>
      <c r="K30" s="41"/>
      <c r="L30" s="33">
        <f>IFERROR(AVERAGE(C30:J30),0)</f>
        <v>1.6779494147389735</v>
      </c>
      <c r="M30" s="33">
        <f>IFERROR(MEDIAN(C30:J30),0)</f>
        <v>1.8558452597984672</v>
      </c>
    </row>
    <row r="31" spans="2:13" x14ac:dyDescent="0.25">
      <c r="B31" s="28" t="s">
        <v>112</v>
      </c>
      <c r="C31" s="31">
        <f>IFERROR(HistoricalFS!#REF!/SUM(HistoricalFS!#REF!),0)</f>
        <v>0</v>
      </c>
      <c r="D31" s="31">
        <f>IFERROR(HistoricalFS!C6/SUM(HistoricalFS!C52:C53),0)</f>
        <v>2.9957553330430993</v>
      </c>
      <c r="E31" s="31">
        <f>IFERROR(HistoricalFS!D6/SUM(HistoricalFS!D52:D53),0)</f>
        <v>1.5678878184363962</v>
      </c>
      <c r="F31" s="31">
        <f>IFERROR(HistoricalFS!E6/SUM(HistoricalFS!E52:E53),0)</f>
        <v>0.99930167597765363</v>
      </c>
      <c r="G31" s="31">
        <f>IFERROR(HistoricalFS!F6/SUM(HistoricalFS!F52:F53),0)</f>
        <v>0.90668981337962673</v>
      </c>
      <c r="H31" s="31">
        <f>IFERROR(HistoricalFS!G6/SUM(HistoricalFS!G52:G53),0)</f>
        <v>1.0919744543619303</v>
      </c>
      <c r="I31" s="31">
        <f>IFERROR(HistoricalFS!H6/SUM(HistoricalFS!H52:H53),0)</f>
        <v>1.2106951330567641</v>
      </c>
      <c r="J31" s="31">
        <f>IFERROR(HistoricalFS!I6/SUM(HistoricalFS!I52:I53),0)</f>
        <v>0.84232460356343297</v>
      </c>
      <c r="K31" s="43"/>
      <c r="L31" s="31">
        <f>IFERROR(AVERAGE(C31:J31),0)</f>
        <v>1.2018286039773631</v>
      </c>
      <c r="M31" s="31">
        <f>IFERROR(MEDIAN(C31:J31),0)</f>
        <v>1.0456380651697921</v>
      </c>
    </row>
    <row r="33" spans="2:13" x14ac:dyDescent="0.25">
      <c r="B33" s="24" t="s">
        <v>109</v>
      </c>
      <c r="C33" s="34">
        <f t="shared" ref="C33:J35" si="2">IFERROR(365/C27,0)</f>
        <v>0</v>
      </c>
      <c r="D33" s="34">
        <f t="shared" si="2"/>
        <v>0</v>
      </c>
      <c r="E33" s="34">
        <f t="shared" si="2"/>
        <v>0</v>
      </c>
      <c r="F33" s="34">
        <f t="shared" si="2"/>
        <v>0</v>
      </c>
      <c r="G33" s="34">
        <f t="shared" si="2"/>
        <v>0</v>
      </c>
      <c r="H33" s="34">
        <f t="shared" si="2"/>
        <v>0</v>
      </c>
      <c r="I33" s="34">
        <f t="shared" si="2"/>
        <v>0</v>
      </c>
      <c r="J33" s="34">
        <f t="shared" si="2"/>
        <v>0</v>
      </c>
      <c r="K33" s="40"/>
      <c r="L33" s="34">
        <f>IFERROR(AVERAGE(C33:J33),0)</f>
        <v>0</v>
      </c>
      <c r="M33" s="34">
        <f>IFERROR(MEDIAN(C33:J33),0)</f>
        <v>0</v>
      </c>
    </row>
    <row r="34" spans="2:13" x14ac:dyDescent="0.25">
      <c r="B34" s="26" t="s">
        <v>111</v>
      </c>
      <c r="C34" s="35">
        <f t="shared" si="2"/>
        <v>0</v>
      </c>
      <c r="D34" s="35">
        <f t="shared" si="2"/>
        <v>60.879745685740225</v>
      </c>
      <c r="E34" s="35">
        <f t="shared" si="2"/>
        <v>41.182605798067314</v>
      </c>
      <c r="F34" s="35">
        <f t="shared" si="2"/>
        <v>65.140031177767028</v>
      </c>
      <c r="G34" s="35">
        <f t="shared" si="2"/>
        <v>49.425003419037196</v>
      </c>
      <c r="H34" s="35">
        <f t="shared" si="2"/>
        <v>43.249985465961281</v>
      </c>
      <c r="I34" s="35">
        <f t="shared" si="2"/>
        <v>36.407570223897437</v>
      </c>
      <c r="J34" s="35">
        <f t="shared" si="2"/>
        <v>35.058531629167163</v>
      </c>
      <c r="K34" s="41"/>
      <c r="L34" s="35">
        <f>IFERROR(AVERAGE(C34:J34),0)</f>
        <v>41.417934174954709</v>
      </c>
      <c r="M34" s="35">
        <f>IFERROR(MEDIAN(C34:J34),0)</f>
        <v>42.216295632014294</v>
      </c>
    </row>
    <row r="35" spans="2:13" x14ac:dyDescent="0.25">
      <c r="B35" s="26" t="s">
        <v>113</v>
      </c>
      <c r="C35" s="35">
        <f t="shared" si="2"/>
        <v>0</v>
      </c>
      <c r="D35" s="35">
        <f t="shared" si="2"/>
        <v>50.450227066303363</v>
      </c>
      <c r="E35" s="35">
        <f t="shared" si="2"/>
        <v>47.546084638453856</v>
      </c>
      <c r="F35" s="35">
        <f t="shared" si="2"/>
        <v>49.476338941747748</v>
      </c>
      <c r="G35" s="35">
        <f t="shared" si="2"/>
        <v>75.856554294310712</v>
      </c>
      <c r="H35" s="35">
        <f t="shared" si="2"/>
        <v>78.079995349107605</v>
      </c>
      <c r="I35" s="35">
        <f t="shared" si="2"/>
        <v>51.736270716154216</v>
      </c>
      <c r="J35" s="35">
        <f t="shared" si="2"/>
        <v>60.24123129932854</v>
      </c>
      <c r="K35" s="41"/>
      <c r="L35" s="35">
        <f>IFERROR(AVERAGE(C35:J35),0)</f>
        <v>51.673337788175758</v>
      </c>
      <c r="M35" s="35">
        <f>IFERROR(MEDIAN(C35:J35),0)</f>
        <v>51.093248891228789</v>
      </c>
    </row>
    <row r="36" spans="2:13" x14ac:dyDescent="0.25">
      <c r="B36" s="28" t="s">
        <v>122</v>
      </c>
      <c r="C36" s="36">
        <f t="shared" ref="C36:J36" si="3">SUM(C33,C35)-C34</f>
        <v>0</v>
      </c>
      <c r="D36" s="36">
        <f t="shared" si="3"/>
        <v>-10.429518619436863</v>
      </c>
      <c r="E36" s="36">
        <f t="shared" si="3"/>
        <v>6.3634788403865414</v>
      </c>
      <c r="F36" s="36">
        <f t="shared" si="3"/>
        <v>-15.66369223601928</v>
      </c>
      <c r="G36" s="36">
        <f t="shared" si="3"/>
        <v>26.431550875273516</v>
      </c>
      <c r="H36" s="36">
        <f t="shared" si="3"/>
        <v>34.830009883146325</v>
      </c>
      <c r="I36" s="36">
        <f t="shared" si="3"/>
        <v>15.328700492256779</v>
      </c>
      <c r="J36" s="36">
        <f t="shared" si="3"/>
        <v>25.182699670161377</v>
      </c>
      <c r="K36" s="43"/>
      <c r="L36" s="36">
        <f>IFERROR(AVERAGE(C36:J36),0)</f>
        <v>10.255403613221048</v>
      </c>
      <c r="M36" s="36">
        <f>IFERROR(MEDIAN(C36:J36),0)</f>
        <v>10.84608966632166</v>
      </c>
    </row>
    <row r="38" spans="2:13" x14ac:dyDescent="0.25">
      <c r="B38" s="24" t="s">
        <v>116</v>
      </c>
      <c r="C38" s="25">
        <f>IFERROR(HistoricalFS!#REF!/HistoricalFS!#REF!,0)</f>
        <v>0</v>
      </c>
      <c r="D38" s="25">
        <f>IFERROR(HistoricalFS!C75/HistoricalFS!C6,0)</f>
        <v>0</v>
      </c>
      <c r="E38" s="25">
        <f>IFERROR(HistoricalFS!D75/HistoricalFS!D6,0)</f>
        <v>0.18180606464511831</v>
      </c>
      <c r="F38" s="25">
        <f>IFERROR(HistoricalFS!E75/HistoricalFS!E6,0)</f>
        <v>0.30229891236180545</v>
      </c>
      <c r="G38" s="25">
        <f>IFERROR(HistoricalFS!F75/HistoricalFS!F6,0)</f>
        <v>8.5219502188183804E-2</v>
      </c>
      <c r="H38" s="25">
        <f>IFERROR(HistoricalFS!G75/HistoricalFS!G6,0)</f>
        <v>9.3343410266844951E-2</v>
      </c>
      <c r="I38" s="25">
        <f>IFERROR(HistoricalFS!H75/HistoricalFS!H6,0)</f>
        <v>0.17505620419045073</v>
      </c>
      <c r="J38" s="25">
        <f>IFERROR(HistoricalFS!I75/HistoricalFS!I6,0)</f>
        <v>0.13916539050535989</v>
      </c>
      <c r="K38" s="45"/>
      <c r="L38" s="25">
        <f>IFERROR(AVERAGE(C38:J38),0)</f>
        <v>0.12211118551972039</v>
      </c>
      <c r="M38" s="25">
        <f>IFERROR(MEDIAN(C38:J38),0)</f>
        <v>0.11625440038610242</v>
      </c>
    </row>
    <row r="39" spans="2:13" x14ac:dyDescent="0.25">
      <c r="B39" s="26" t="s">
        <v>117</v>
      </c>
      <c r="C39" s="27" t="e">
        <f>IFERROR(HistoricalFS!#REF!/HistoricalFS!#REF!,HistoricalFS!#REF!)</f>
        <v>#REF!</v>
      </c>
      <c r="D39" s="27">
        <f>IFERROR(HistoricalFS!C75/HistoricalFS!C69,HistoricalFS!#REF!)</f>
        <v>0</v>
      </c>
      <c r="E39" s="27">
        <f>IFERROR(HistoricalFS!D75/HistoricalFS!D69,HistoricalFS!C57)</f>
        <v>0.18973959492543963</v>
      </c>
      <c r="F39" s="27">
        <f>IFERROR(HistoricalFS!E75/HistoricalFS!E69,HistoricalFS!D57)</f>
        <v>0.22111112567332014</v>
      </c>
      <c r="G39" s="27">
        <f>IFERROR(HistoricalFS!F75/HistoricalFS!F69,HistoricalFS!E57)</f>
        <v>5.702486902011028E-2</v>
      </c>
      <c r="H39" s="27">
        <f>IFERROR(HistoricalFS!G75/HistoricalFS!G69,HistoricalFS!F57)</f>
        <v>7.105242196004849E-2</v>
      </c>
      <c r="I39" s="27">
        <f>IFERROR(HistoricalFS!H75/HistoricalFS!H69,HistoricalFS!G57)</f>
        <v>0.15794474271581105</v>
      </c>
      <c r="J39" s="27">
        <f>IFERROR(HistoricalFS!I75/HistoricalFS!I69,HistoricalFS!H57)</f>
        <v>0.10022535061905141</v>
      </c>
      <c r="K39" s="44"/>
      <c r="L39" s="27">
        <f>IFERROR(AVERAGE(C39:J39),0)</f>
        <v>0</v>
      </c>
      <c r="M39" s="27">
        <f>IFERROR(MEDIAN(C39:J39),0)</f>
        <v>0</v>
      </c>
    </row>
    <row r="40" spans="2:13" x14ac:dyDescent="0.25">
      <c r="B40" s="28" t="s">
        <v>118</v>
      </c>
      <c r="C40" s="29">
        <f>IFERROR(HistoricalFS!#REF!/HistoricalFS!#REF!,0)</f>
        <v>0</v>
      </c>
      <c r="D40" s="29">
        <f>IFERROR(HistoricalFS!C75/HistoricalFS!C54,0)</f>
        <v>0</v>
      </c>
      <c r="E40" s="29">
        <f>IFERROR(HistoricalFS!D75/HistoricalFS!D54,0)</f>
        <v>0.8759311584895968</v>
      </c>
      <c r="F40" s="29">
        <f>IFERROR(HistoricalFS!E75/HistoricalFS!E54,0)</f>
        <v>1.6078337939578766</v>
      </c>
      <c r="G40" s="29">
        <f>IFERROR(HistoricalFS!F75/HistoricalFS!F54,0)</f>
        <v>0.33275482277551566</v>
      </c>
      <c r="H40" s="29">
        <f>IFERROR(HistoricalFS!G75/HistoricalFS!G54,0)</f>
        <v>0.33401289785729144</v>
      </c>
      <c r="I40" s="29">
        <f>IFERROR(HistoricalFS!H75/HistoricalFS!H54,0)</f>
        <v>0.95858313120680982</v>
      </c>
      <c r="J40" s="29">
        <f>IFERROR(HistoricalFS!I75/HistoricalFS!I54,0)</f>
        <v>1.3218181818181818</v>
      </c>
      <c r="K40" s="42"/>
      <c r="L40" s="29">
        <f>IFERROR(AVERAGE(C40:J40),0)</f>
        <v>0.67886674826315918</v>
      </c>
      <c r="M40" s="29">
        <f>IFERROR(MEDIAN(C40:J40),0)</f>
        <v>0.60497202817344409</v>
      </c>
    </row>
  </sheetData>
  <mergeCells count="1">
    <mergeCell ref="B2:M2"/>
  </mergeCells>
  <printOptions horizontalCentered="1" verticalCentered="1"/>
  <pageMargins left="0" right="0" top="0.74803149606299213" bottom="0.74803149606299213" header="0.31496062992125984" footer="0.31496062992125984"/>
  <pageSetup paperSize="8" fitToWidth="15" fitToHeight="15" orientation="landscape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4" tint="0.59999389629810485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'Ratio Analysis'!C11:J11</xm:f>
              <xm:sqref>K11</xm:sqref>
            </x14:sparkline>
            <x14:sparkline>
              <xm:f>'Ratio Analysis'!C12:J12</xm:f>
              <xm:sqref>K12</xm:sqref>
            </x14:sparkline>
            <x14:sparkline>
              <xm:f>'Ratio Analysis'!C13:J13</xm:f>
              <xm:sqref>K13</xm:sqref>
            </x14:sparkline>
            <x14:sparkline>
              <xm:f>'Ratio Analysis'!C14:J14</xm:f>
              <xm:sqref>K14</xm:sqref>
            </x14:sparkline>
            <x14:sparkline>
              <xm:f>'Ratio Analysis'!C15:J15</xm:f>
              <xm:sqref>K15</xm:sqref>
            </x14:sparkline>
            <x14:sparkline>
              <xm:f>'Ratio Analysis'!C16:J16</xm:f>
              <xm:sqref>K16</xm:sqref>
            </x14:sparkline>
            <x14:sparkline>
              <xm:f>'Ratio Analysis'!C17:J17</xm:f>
              <xm:sqref>K17</xm:sqref>
            </x14:sparkline>
            <x14:sparkline>
              <xm:f>'Ratio Analysis'!C18:J18</xm:f>
              <xm:sqref>K18</xm:sqref>
            </x14:sparkline>
            <x14:sparkline>
              <xm:f>'Ratio Analysis'!C19:J19</xm:f>
              <xm:sqref>K19</xm:sqref>
            </x14:sparkline>
            <x14:sparkline>
              <xm:f>'Ratio Analysis'!C20:J20</xm:f>
              <xm:sqref>K20</xm:sqref>
            </x14:sparkline>
            <x14:sparkline>
              <xm:f>'Ratio Analysis'!C21:J21</xm:f>
              <xm:sqref>K21</xm:sqref>
            </x14:sparkline>
            <x14:sparkline>
              <xm:f>'Ratio Analysis'!C22:J22</xm:f>
              <xm:sqref>K22</xm:sqref>
            </x14:sparkline>
            <x14:sparkline>
              <xm:f>'Ratio Analysis'!C23:J23</xm:f>
              <xm:sqref>K23</xm:sqref>
            </x14:sparkline>
            <x14:sparkline>
              <xm:f>'Ratio Analysis'!C24:J24</xm:f>
              <xm:sqref>K24</xm:sqref>
            </x14:sparkline>
            <x14:sparkline>
              <xm:f>'Ratio Analysis'!C25:J25</xm:f>
              <xm:sqref>K25</xm:sqref>
            </x14:sparkline>
            <x14:sparkline>
              <xm:f>'Ratio Analysis'!C26:J26</xm:f>
              <xm:sqref>K26</xm:sqref>
            </x14:sparkline>
            <x14:sparkline>
              <xm:f>'Ratio Analysis'!C27:J27</xm:f>
              <xm:sqref>K27</xm:sqref>
            </x14:sparkline>
            <x14:sparkline>
              <xm:f>'Ratio Analysis'!C28:J28</xm:f>
              <xm:sqref>K28</xm:sqref>
            </x14:sparkline>
            <x14:sparkline>
              <xm:f>'Ratio Analysis'!C29:J29</xm:f>
              <xm:sqref>K29</xm:sqref>
            </x14:sparkline>
            <x14:sparkline>
              <xm:f>'Ratio Analysis'!C30:J30</xm:f>
              <xm:sqref>K30</xm:sqref>
            </x14:sparkline>
            <x14:sparkline>
              <xm:f>'Ratio Analysis'!C31:J31</xm:f>
              <xm:sqref>K31</xm:sqref>
            </x14:sparkline>
            <x14:sparkline>
              <xm:f>'Ratio Analysis'!C32:J32</xm:f>
              <xm:sqref>K32</xm:sqref>
            </x14:sparkline>
            <x14:sparkline>
              <xm:f>'Ratio Analysis'!C33:J33</xm:f>
              <xm:sqref>K33</xm:sqref>
            </x14:sparkline>
            <x14:sparkline>
              <xm:f>'Ratio Analysis'!C34:J34</xm:f>
              <xm:sqref>K34</xm:sqref>
            </x14:sparkline>
            <x14:sparkline>
              <xm:f>'Ratio Analysis'!C35:J35</xm:f>
              <xm:sqref>K35</xm:sqref>
            </x14:sparkline>
            <x14:sparkline>
              <xm:f>'Ratio Analysis'!C36:J36</xm:f>
              <xm:sqref>K36</xm:sqref>
            </x14:sparkline>
            <x14:sparkline>
              <xm:f>'Ratio Analysis'!C37:J37</xm:f>
              <xm:sqref>K37</xm:sqref>
            </x14:sparkline>
            <x14:sparkline>
              <xm:f>'Ratio Analysis'!C38:J38</xm:f>
              <xm:sqref>K38</xm:sqref>
            </x14:sparkline>
            <x14:sparkline>
              <xm:f>'Ratio Analysis'!C39:J39</xm:f>
              <xm:sqref>K39</xm:sqref>
            </x14:sparkline>
            <x14:sparkline>
              <xm:f>'Ratio Analysis'!C40:J40</xm:f>
              <xm:sqref>K40</xm:sqref>
            </x14:sparkline>
          </x14:sparklines>
        </x14:sparklineGroup>
        <x14:sparklineGroup displayEmptyCellsAs="gap" markers="1">
          <x14:colorSeries theme="4" tint="0.59999389629810485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'Ratio Analysis'!C5:J5</xm:f>
              <xm:sqref>K5</xm:sqref>
            </x14:sparkline>
            <x14:sparkline>
              <xm:f>'Ratio Analysis'!C6:J6</xm:f>
              <xm:sqref>K6</xm:sqref>
            </x14:sparkline>
            <x14:sparkline>
              <xm:f>'Ratio Analysis'!C7:J7</xm:f>
              <xm:sqref>K7</xm:sqref>
            </x14:sparkline>
            <x14:sparkline>
              <xm:f>'Ratio Analysis'!C8:J8</xm:f>
              <xm:sqref>K8</xm:sqref>
            </x14:sparkline>
            <x14:sparkline>
              <xm:f>'Ratio Analysis'!C9:J9</xm:f>
              <xm:sqref>K9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3"/>
  <sheetViews>
    <sheetView showGridLines="0" workbookViewId="0">
      <pane xSplit="1" ySplit="1" topLeftCell="B14" activePane="bottomRight" state="frozen"/>
      <selection activeCell="C4" sqref="C4"/>
      <selection pane="topRight" activeCell="C4" sqref="C4"/>
      <selection pane="bottomLeft" activeCell="C4" sqref="C4"/>
      <selection pane="bottomRight" activeCell="D28" sqref="D28"/>
    </sheetView>
  </sheetViews>
  <sheetFormatPr defaultColWidth="10.42578125" defaultRowHeight="12.75" x14ac:dyDescent="0.2"/>
  <cols>
    <col min="1" max="1" width="26.7109375" style="2" bestFit="1" customWidth="1"/>
    <col min="2" max="11" width="11.42578125" style="2" bestFit="1" customWidth="1"/>
    <col min="12" max="16384" width="10.42578125" style="2"/>
  </cols>
  <sheetData>
    <row r="1" spans="1:11" s="1" customFormat="1" x14ac:dyDescent="0.2">
      <c r="A1" s="1" t="s">
        <v>0</v>
      </c>
      <c r="B1" s="1" t="s">
        <v>123</v>
      </c>
      <c r="E1" s="135" t="str">
        <f>IF(B2&lt;&gt;B3, "A NEW VERSION OF THE WORKSHEET IS AVAILABLE", "")</f>
        <v/>
      </c>
      <c r="F1" s="135"/>
      <c r="G1" s="135"/>
      <c r="H1" s="135"/>
      <c r="I1" s="135"/>
      <c r="J1" s="135"/>
      <c r="K1" s="135"/>
    </row>
    <row r="2" spans="1:11" x14ac:dyDescent="0.2">
      <c r="A2" s="1" t="s">
        <v>1</v>
      </c>
      <c r="B2" s="2">
        <v>2.1</v>
      </c>
      <c r="E2" s="136" t="s">
        <v>2</v>
      </c>
      <c r="F2" s="136"/>
      <c r="G2" s="136"/>
      <c r="H2" s="136"/>
      <c r="I2" s="136"/>
      <c r="J2" s="136"/>
      <c r="K2" s="136"/>
    </row>
    <row r="3" spans="1:11" x14ac:dyDescent="0.2">
      <c r="A3" s="1" t="s">
        <v>3</v>
      </c>
      <c r="B3" s="2">
        <v>2.1</v>
      </c>
    </row>
    <row r="4" spans="1:11" x14ac:dyDescent="0.2">
      <c r="A4" s="1"/>
    </row>
    <row r="5" spans="1:11" x14ac:dyDescent="0.2">
      <c r="A5" s="1" t="s">
        <v>4</v>
      </c>
    </row>
    <row r="6" spans="1:11" x14ac:dyDescent="0.2">
      <c r="A6" s="2" t="s">
        <v>5</v>
      </c>
      <c r="B6" s="2">
        <f>IF(B9&gt;0, B9/B8, 0)</f>
        <v>9.4204800795986898</v>
      </c>
    </row>
    <row r="7" spans="1:11" x14ac:dyDescent="0.2">
      <c r="A7" s="2" t="s">
        <v>6</v>
      </c>
      <c r="B7" s="3">
        <v>2</v>
      </c>
    </row>
    <row r="8" spans="1:11" x14ac:dyDescent="0.2">
      <c r="A8" s="2" t="s">
        <v>7</v>
      </c>
      <c r="B8" s="3">
        <v>1206.05</v>
      </c>
    </row>
    <row r="9" spans="1:11" x14ac:dyDescent="0.2">
      <c r="A9" s="2" t="s">
        <v>8</v>
      </c>
      <c r="B9" s="3">
        <v>11361.57</v>
      </c>
    </row>
    <row r="15" spans="1:11" x14ac:dyDescent="0.2">
      <c r="A15" s="1" t="s">
        <v>9</v>
      </c>
      <c r="B15" s="2">
        <f>B26+B34</f>
        <v>0</v>
      </c>
      <c r="K15" s="2">
        <f>K17-K18-K20-K21-K22-K23-K19</f>
        <v>328.61000000000007</v>
      </c>
    </row>
    <row r="16" spans="1:11" s="6" customFormat="1" x14ac:dyDescent="0.2">
      <c r="A16" s="4" t="s">
        <v>10</v>
      </c>
      <c r="B16" s="5">
        <v>42094</v>
      </c>
      <c r="C16" s="5">
        <v>42460</v>
      </c>
      <c r="D16" s="5">
        <v>42825</v>
      </c>
      <c r="E16" s="5">
        <v>43190</v>
      </c>
      <c r="F16" s="5">
        <v>43555</v>
      </c>
      <c r="G16" s="5">
        <v>43921</v>
      </c>
      <c r="H16" s="5">
        <v>44286</v>
      </c>
      <c r="I16" s="5">
        <v>44651</v>
      </c>
      <c r="J16" s="5">
        <v>45016</v>
      </c>
      <c r="K16" s="5">
        <v>45382</v>
      </c>
    </row>
    <row r="17" spans="1:11" x14ac:dyDescent="0.2">
      <c r="A17" s="2" t="s">
        <v>11</v>
      </c>
      <c r="B17" s="3"/>
      <c r="C17" s="3"/>
      <c r="D17" s="3"/>
      <c r="E17" s="3">
        <v>550.5</v>
      </c>
      <c r="F17" s="3">
        <v>750.25</v>
      </c>
      <c r="G17" s="3">
        <v>558.09</v>
      </c>
      <c r="H17" s="3">
        <v>584.96</v>
      </c>
      <c r="I17" s="3">
        <v>860.05</v>
      </c>
      <c r="J17" s="3">
        <v>1196.53</v>
      </c>
      <c r="K17" s="3">
        <v>1358.24</v>
      </c>
    </row>
    <row r="18" spans="1:11" ht="15" x14ac:dyDescent="0.25">
      <c r="A18" s="2" t="s">
        <v>12</v>
      </c>
      <c r="B18" s="7"/>
      <c r="C18" s="7"/>
      <c r="D18" s="7"/>
      <c r="E18" s="7">
        <v>252.4</v>
      </c>
      <c r="F18" s="7">
        <v>368.62</v>
      </c>
      <c r="G18" s="7">
        <v>234.48</v>
      </c>
      <c r="H18" s="7">
        <v>257.26</v>
      </c>
      <c r="I18" s="7">
        <v>435.85</v>
      </c>
      <c r="J18" s="7">
        <v>547.72</v>
      </c>
      <c r="K18" s="7">
        <v>629.73</v>
      </c>
    </row>
    <row r="19" spans="1:11" ht="15" x14ac:dyDescent="0.25">
      <c r="A19" s="2" t="s">
        <v>13</v>
      </c>
      <c r="B19" s="7"/>
      <c r="C19" s="7"/>
      <c r="D19" s="7"/>
      <c r="E19" s="7">
        <v>2.34</v>
      </c>
      <c r="F19" s="7">
        <v>32.159999999999997</v>
      </c>
      <c r="G19" s="7">
        <v>-14.54</v>
      </c>
      <c r="H19" s="7">
        <v>5.65</v>
      </c>
      <c r="I19" s="7">
        <v>47.45</v>
      </c>
      <c r="J19" s="7">
        <v>-3.33</v>
      </c>
      <c r="K19" s="7">
        <v>33.14</v>
      </c>
    </row>
    <row r="20" spans="1:11" x14ac:dyDescent="0.2">
      <c r="A20" s="2" t="s">
        <v>14</v>
      </c>
      <c r="B20" s="3"/>
      <c r="C20" s="3"/>
      <c r="D20" s="3"/>
      <c r="E20" s="3">
        <v>48.72</v>
      </c>
      <c r="F20" s="3">
        <v>60.01</v>
      </c>
      <c r="G20" s="3">
        <v>49.64</v>
      </c>
      <c r="H20" s="3">
        <v>46.26</v>
      </c>
      <c r="I20" s="3">
        <v>67.650000000000006</v>
      </c>
      <c r="J20" s="3">
        <v>75.760000000000005</v>
      </c>
      <c r="K20" s="3">
        <v>92.36</v>
      </c>
    </row>
    <row r="21" spans="1:11" x14ac:dyDescent="0.2">
      <c r="A21" s="2" t="s">
        <v>15</v>
      </c>
      <c r="B21" s="3"/>
      <c r="C21" s="3"/>
      <c r="D21" s="3"/>
      <c r="E21" s="3">
        <v>40.74</v>
      </c>
      <c r="F21" s="3">
        <v>71.099999999999994</v>
      </c>
      <c r="G21" s="3">
        <v>52.97</v>
      </c>
      <c r="H21" s="3">
        <v>56.89</v>
      </c>
      <c r="I21" s="3">
        <v>74.88</v>
      </c>
      <c r="J21" s="3">
        <v>97.22</v>
      </c>
      <c r="K21" s="3">
        <v>118.18</v>
      </c>
    </row>
    <row r="22" spans="1:11" x14ac:dyDescent="0.2">
      <c r="A22" s="2" t="s">
        <v>16</v>
      </c>
      <c r="B22" s="3"/>
      <c r="C22" s="3"/>
      <c r="D22" s="3"/>
      <c r="E22" s="3">
        <v>41.85</v>
      </c>
      <c r="F22" s="3">
        <v>50.53</v>
      </c>
      <c r="G22" s="3">
        <v>49.08</v>
      </c>
      <c r="H22" s="3">
        <v>49.06</v>
      </c>
      <c r="I22" s="3">
        <v>68.739999999999995</v>
      </c>
      <c r="J22" s="3">
        <v>87.86</v>
      </c>
      <c r="K22" s="3">
        <v>114.83</v>
      </c>
    </row>
    <row r="23" spans="1:11" x14ac:dyDescent="0.2">
      <c r="A23" s="2" t="s">
        <v>17</v>
      </c>
      <c r="B23" s="3"/>
      <c r="C23" s="3"/>
      <c r="D23" s="3"/>
      <c r="E23" s="3">
        <v>13.48</v>
      </c>
      <c r="F23" s="3">
        <v>7.6</v>
      </c>
      <c r="G23" s="3">
        <v>4.05</v>
      </c>
      <c r="H23" s="3">
        <v>3.35</v>
      </c>
      <c r="I23" s="3">
        <v>25.08</v>
      </c>
      <c r="J23" s="3">
        <v>34.5</v>
      </c>
      <c r="K23" s="3">
        <v>41.39</v>
      </c>
    </row>
    <row r="24" spans="1:11" x14ac:dyDescent="0.2">
      <c r="A24" s="2" t="s">
        <v>18</v>
      </c>
      <c r="B24" s="3"/>
      <c r="C24" s="3"/>
      <c r="D24" s="3"/>
      <c r="E24" s="3">
        <v>18.62</v>
      </c>
      <c r="F24" s="3">
        <v>19.190000000000001</v>
      </c>
      <c r="G24" s="3">
        <v>10.89</v>
      </c>
      <c r="H24" s="3">
        <v>19.05</v>
      </c>
      <c r="I24" s="3">
        <v>4.41</v>
      </c>
      <c r="J24" s="3">
        <v>9.1999999999999993</v>
      </c>
      <c r="K24" s="3">
        <v>7.35</v>
      </c>
    </row>
    <row r="25" spans="1:11" x14ac:dyDescent="0.2">
      <c r="A25" s="2" t="s">
        <v>19</v>
      </c>
      <c r="B25" s="3"/>
      <c r="C25" s="3"/>
      <c r="D25" s="3"/>
      <c r="E25" s="3">
        <v>3.81</v>
      </c>
      <c r="F25" s="3">
        <v>1.33</v>
      </c>
      <c r="G25" s="3">
        <v>6.82</v>
      </c>
      <c r="H25" s="3">
        <v>5.86</v>
      </c>
      <c r="I25" s="3">
        <v>6.06</v>
      </c>
      <c r="J25" s="3">
        <v>5.75</v>
      </c>
      <c r="K25" s="3">
        <v>13.36</v>
      </c>
    </row>
    <row r="26" spans="1:11" x14ac:dyDescent="0.2">
      <c r="A26" s="2" t="s">
        <v>20</v>
      </c>
      <c r="B26" s="3"/>
      <c r="C26" s="3"/>
      <c r="D26" s="3"/>
      <c r="E26" s="3">
        <v>22.98</v>
      </c>
      <c r="F26" s="3">
        <v>29.01</v>
      </c>
      <c r="G26" s="3">
        <v>28.4</v>
      </c>
      <c r="H26" s="3">
        <v>35.76</v>
      </c>
      <c r="I26" s="3">
        <v>37.74</v>
      </c>
      <c r="J26" s="3">
        <v>54.18</v>
      </c>
      <c r="K26" s="3">
        <v>64.73</v>
      </c>
    </row>
    <row r="27" spans="1:11" ht="15" x14ac:dyDescent="0.25">
      <c r="A27" s="2" t="s">
        <v>21</v>
      </c>
      <c r="B27" s="3"/>
      <c r="C27" s="3"/>
      <c r="D27" s="3"/>
      <c r="E27" s="3">
        <v>21.69</v>
      </c>
      <c r="F27" s="3">
        <v>22.94</v>
      </c>
      <c r="G27" s="3">
        <v>25.06</v>
      </c>
      <c r="H27" s="3">
        <v>11.78</v>
      </c>
      <c r="I27" s="3">
        <v>7.16</v>
      </c>
      <c r="J27" s="7">
        <v>12.48</v>
      </c>
      <c r="K27" s="7">
        <v>11.78</v>
      </c>
    </row>
    <row r="28" spans="1:11" x14ac:dyDescent="0.2">
      <c r="A28" s="2" t="s">
        <v>22</v>
      </c>
      <c r="B28" s="3"/>
      <c r="C28" s="3"/>
      <c r="D28" s="3"/>
      <c r="E28" s="3">
        <v>96.17</v>
      </c>
      <c r="F28" s="3">
        <v>154.74</v>
      </c>
      <c r="G28" s="3">
        <v>95.8</v>
      </c>
      <c r="H28" s="3">
        <v>117.06</v>
      </c>
      <c r="I28" s="3">
        <v>192.05</v>
      </c>
      <c r="J28" s="3">
        <v>280.02999999999997</v>
      </c>
      <c r="K28" s="3">
        <v>324.39</v>
      </c>
    </row>
    <row r="29" spans="1:11" x14ac:dyDescent="0.2">
      <c r="A29" s="2" t="s">
        <v>23</v>
      </c>
      <c r="B29" s="3"/>
      <c r="C29" s="3"/>
      <c r="D29" s="3"/>
      <c r="E29" s="3">
        <v>37.869999999999997</v>
      </c>
      <c r="F29" s="3">
        <v>59.3</v>
      </c>
      <c r="G29" s="3">
        <v>15.86</v>
      </c>
      <c r="H29" s="3">
        <v>30.61</v>
      </c>
      <c r="I29" s="3">
        <v>49.76</v>
      </c>
      <c r="J29" s="3">
        <v>71.33</v>
      </c>
      <c r="K29" s="3">
        <v>81.41</v>
      </c>
    </row>
    <row r="30" spans="1:11" x14ac:dyDescent="0.2">
      <c r="A30" s="2" t="s">
        <v>24</v>
      </c>
      <c r="B30" s="3"/>
      <c r="C30" s="3"/>
      <c r="D30" s="3"/>
      <c r="E30" s="3">
        <v>58.31</v>
      </c>
      <c r="F30" s="3">
        <v>95.43</v>
      </c>
      <c r="G30" s="3">
        <v>79.94</v>
      </c>
      <c r="H30" s="3">
        <v>86.45</v>
      </c>
      <c r="I30" s="3">
        <v>142.28</v>
      </c>
      <c r="J30" s="3">
        <v>208.7</v>
      </c>
      <c r="K30" s="3">
        <v>242.99</v>
      </c>
    </row>
    <row r="31" spans="1:11" x14ac:dyDescent="0.2">
      <c r="A31" s="2" t="s">
        <v>25</v>
      </c>
      <c r="B31" s="3"/>
      <c r="C31" s="3"/>
      <c r="D31" s="3"/>
      <c r="E31" s="3"/>
      <c r="F31" s="3"/>
      <c r="G31" s="3"/>
      <c r="H31" s="3"/>
      <c r="I31" s="3"/>
      <c r="J31" s="3">
        <v>11.64</v>
      </c>
      <c r="K31" s="3">
        <v>12.25</v>
      </c>
    </row>
    <row r="32" spans="1:11" ht="15" x14ac:dyDescent="0.25">
      <c r="A32" s="2" t="s">
        <v>26</v>
      </c>
      <c r="B32"/>
      <c r="C32"/>
      <c r="D32"/>
      <c r="E32" s="8">
        <f t="shared" ref="E32:K32" si="0">E29/E28</f>
        <v>0.39378184465009874</v>
      </c>
      <c r="F32" s="8">
        <f t="shared" si="0"/>
        <v>0.38322347162983067</v>
      </c>
      <c r="G32" s="8">
        <f t="shared" si="0"/>
        <v>0.16555323590814197</v>
      </c>
      <c r="H32" s="8">
        <f t="shared" si="0"/>
        <v>0.26148983427302236</v>
      </c>
      <c r="I32" s="8">
        <f t="shared" si="0"/>
        <v>0.2590991929185108</v>
      </c>
      <c r="J32" s="8">
        <f t="shared" si="0"/>
        <v>0.25472270828125559</v>
      </c>
      <c r="K32" s="8">
        <f t="shared" si="0"/>
        <v>0.25096334658898239</v>
      </c>
    </row>
    <row r="34" spans="1:11" x14ac:dyDescent="0.2">
      <c r="A34" s="2" t="s">
        <v>27</v>
      </c>
      <c r="B34" s="2">
        <f>+B30+B29+B27+B26</f>
        <v>0</v>
      </c>
      <c r="C34" s="2">
        <f t="shared" ref="C34:K34" si="1">+C30+C29+C27+C26</f>
        <v>0</v>
      </c>
      <c r="D34" s="2">
        <f t="shared" si="1"/>
        <v>0</v>
      </c>
      <c r="E34" s="2">
        <f t="shared" si="1"/>
        <v>140.85</v>
      </c>
      <c r="F34" s="2">
        <f t="shared" si="1"/>
        <v>206.68</v>
      </c>
      <c r="G34" s="2">
        <f t="shared" si="1"/>
        <v>149.26</v>
      </c>
      <c r="H34" s="2">
        <f t="shared" si="1"/>
        <v>164.6</v>
      </c>
      <c r="I34" s="2">
        <f t="shared" si="1"/>
        <v>236.94</v>
      </c>
      <c r="J34" s="2">
        <f t="shared" si="1"/>
        <v>346.69</v>
      </c>
      <c r="K34" s="2">
        <f t="shared" si="1"/>
        <v>400.90999999999997</v>
      </c>
    </row>
    <row r="40" spans="1:11" x14ac:dyDescent="0.2">
      <c r="A40" s="1" t="s">
        <v>28</v>
      </c>
    </row>
    <row r="41" spans="1:11" s="6" customFormat="1" x14ac:dyDescent="0.2">
      <c r="A41" s="4" t="s">
        <v>10</v>
      </c>
      <c r="B41" s="5">
        <v>44651</v>
      </c>
      <c r="C41" s="5">
        <v>44742</v>
      </c>
      <c r="D41" s="5">
        <v>44834</v>
      </c>
      <c r="E41" s="5">
        <v>44926</v>
      </c>
      <c r="F41" s="5">
        <v>45016</v>
      </c>
      <c r="G41" s="5">
        <v>45107</v>
      </c>
      <c r="H41" s="5">
        <v>45199</v>
      </c>
      <c r="I41" s="5">
        <v>45291</v>
      </c>
      <c r="J41" s="5">
        <v>45382</v>
      </c>
      <c r="K41" s="5">
        <v>45473</v>
      </c>
    </row>
    <row r="42" spans="1:11" x14ac:dyDescent="0.2">
      <c r="A42" s="2" t="s">
        <v>11</v>
      </c>
      <c r="B42" s="3"/>
      <c r="C42" s="3"/>
      <c r="D42" s="3"/>
      <c r="E42" s="3">
        <v>294.26</v>
      </c>
      <c r="F42" s="3">
        <v>302.47000000000003</v>
      </c>
      <c r="G42" s="3">
        <v>329.82</v>
      </c>
      <c r="H42" s="3">
        <v>343.08</v>
      </c>
      <c r="I42" s="3">
        <v>341.99</v>
      </c>
      <c r="J42" s="3">
        <v>343.34</v>
      </c>
      <c r="K42" s="3">
        <v>341.47</v>
      </c>
    </row>
    <row r="43" spans="1:11" x14ac:dyDescent="0.2">
      <c r="A43" s="2" t="s">
        <v>29</v>
      </c>
      <c r="B43" s="3"/>
      <c r="C43" s="3"/>
      <c r="D43" s="3"/>
      <c r="E43" s="3">
        <v>221.04</v>
      </c>
      <c r="F43" s="3">
        <v>216.61</v>
      </c>
      <c r="G43" s="3">
        <v>229.62</v>
      </c>
      <c r="H43" s="3">
        <v>249.33</v>
      </c>
      <c r="I43" s="3">
        <v>246.8</v>
      </c>
      <c r="J43" s="3">
        <v>246.2</v>
      </c>
      <c r="K43" s="3">
        <v>243.87</v>
      </c>
    </row>
    <row r="44" spans="1:11" x14ac:dyDescent="0.2">
      <c r="A44" s="2" t="s">
        <v>19</v>
      </c>
      <c r="B44" s="3"/>
      <c r="C44" s="3"/>
      <c r="D44" s="3"/>
      <c r="E44" s="3">
        <v>1.89</v>
      </c>
      <c r="F44" s="3">
        <v>1.67</v>
      </c>
      <c r="G44" s="3">
        <v>3.42</v>
      </c>
      <c r="H44" s="3">
        <v>0.68</v>
      </c>
      <c r="I44" s="3">
        <v>3.32</v>
      </c>
      <c r="J44" s="3">
        <v>7.2</v>
      </c>
      <c r="K44" s="3">
        <v>7.66</v>
      </c>
    </row>
    <row r="45" spans="1:11" x14ac:dyDescent="0.2">
      <c r="A45" s="2" t="s">
        <v>20</v>
      </c>
      <c r="B45" s="3"/>
      <c r="C45" s="3"/>
      <c r="D45" s="3"/>
      <c r="E45" s="3">
        <v>15.52</v>
      </c>
      <c r="F45" s="3">
        <v>14.35</v>
      </c>
      <c r="G45" s="3">
        <v>15.46</v>
      </c>
      <c r="H45" s="3">
        <v>16.190000000000001</v>
      </c>
      <c r="I45" s="3">
        <v>17.059999999999999</v>
      </c>
      <c r="J45" s="3">
        <v>16.02</v>
      </c>
      <c r="K45" s="3">
        <v>18.010000000000002</v>
      </c>
    </row>
    <row r="46" spans="1:11" ht="15" x14ac:dyDescent="0.25">
      <c r="A46" s="2" t="s">
        <v>21</v>
      </c>
      <c r="B46" s="7"/>
      <c r="C46" s="7"/>
      <c r="D46" s="7"/>
      <c r="E46" s="7">
        <v>3.45</v>
      </c>
      <c r="F46" s="7">
        <v>5.34</v>
      </c>
      <c r="G46" s="7">
        <v>2.69</v>
      </c>
      <c r="H46" s="7">
        <v>4.4400000000000004</v>
      </c>
      <c r="I46" s="7">
        <v>3.78</v>
      </c>
      <c r="J46" s="7">
        <v>0.86</v>
      </c>
      <c r="K46" s="7">
        <v>1.37</v>
      </c>
    </row>
    <row r="47" spans="1:11" x14ac:dyDescent="0.2">
      <c r="A47" s="2" t="s">
        <v>22</v>
      </c>
      <c r="B47" s="3"/>
      <c r="C47" s="3"/>
      <c r="D47" s="3"/>
      <c r="E47" s="3">
        <v>56.14</v>
      </c>
      <c r="F47" s="3">
        <v>67.84</v>
      </c>
      <c r="G47" s="3">
        <v>85.47</v>
      </c>
      <c r="H47" s="3">
        <v>73.8</v>
      </c>
      <c r="I47" s="3">
        <v>77.67</v>
      </c>
      <c r="J47" s="3">
        <v>87.46</v>
      </c>
      <c r="K47" s="3">
        <v>85.88</v>
      </c>
    </row>
    <row r="48" spans="1:11" x14ac:dyDescent="0.2">
      <c r="A48" s="2" t="s">
        <v>23</v>
      </c>
      <c r="B48" s="3"/>
      <c r="C48" s="3"/>
      <c r="D48" s="3"/>
      <c r="E48" s="3">
        <v>14.54</v>
      </c>
      <c r="F48" s="3">
        <v>17.13</v>
      </c>
      <c r="G48" s="3">
        <v>21.43</v>
      </c>
      <c r="H48" s="3">
        <v>18.53</v>
      </c>
      <c r="I48" s="3">
        <v>19.77</v>
      </c>
      <c r="J48" s="3">
        <v>21.67</v>
      </c>
      <c r="K48" s="3">
        <v>22.02</v>
      </c>
    </row>
    <row r="49" spans="1:11" x14ac:dyDescent="0.2">
      <c r="A49" s="2" t="s">
        <v>24</v>
      </c>
      <c r="B49" s="3"/>
      <c r="C49" s="3"/>
      <c r="D49" s="3"/>
      <c r="E49" s="3">
        <v>41.59</v>
      </c>
      <c r="F49" s="3">
        <v>50.71</v>
      </c>
      <c r="G49" s="3">
        <v>64.040000000000006</v>
      </c>
      <c r="H49" s="3">
        <v>55.26</v>
      </c>
      <c r="I49" s="3">
        <v>57.9</v>
      </c>
      <c r="J49" s="3">
        <v>65.790000000000006</v>
      </c>
      <c r="K49" s="3">
        <v>63.86</v>
      </c>
    </row>
    <row r="50" spans="1:11" x14ac:dyDescent="0.2">
      <c r="A50" s="2" t="s">
        <v>30</v>
      </c>
      <c r="B50" s="3"/>
      <c r="C50" s="3"/>
      <c r="D50" s="3"/>
      <c r="E50" s="3">
        <v>73.22</v>
      </c>
      <c r="F50" s="3">
        <v>85.86</v>
      </c>
      <c r="G50" s="3">
        <v>100.2</v>
      </c>
      <c r="H50" s="3">
        <v>93.75</v>
      </c>
      <c r="I50" s="3">
        <v>95.19</v>
      </c>
      <c r="J50" s="3">
        <v>97.14</v>
      </c>
      <c r="K50" s="3">
        <v>97.6</v>
      </c>
    </row>
    <row r="51" spans="1:11" x14ac:dyDescent="0.2">
      <c r="A51" s="2" t="s">
        <v>27</v>
      </c>
      <c r="B51" s="2">
        <f>B49+B48+B46+B45</f>
        <v>0</v>
      </c>
      <c r="C51" s="2">
        <f t="shared" ref="C51:K51" si="2">C49+C48+C46+C45</f>
        <v>0</v>
      </c>
      <c r="D51" s="2">
        <f t="shared" si="2"/>
        <v>0</v>
      </c>
      <c r="E51" s="2">
        <f t="shared" si="2"/>
        <v>75.100000000000009</v>
      </c>
      <c r="F51" s="2">
        <f t="shared" si="2"/>
        <v>87.53</v>
      </c>
      <c r="G51" s="2">
        <f t="shared" si="2"/>
        <v>103.62</v>
      </c>
      <c r="H51" s="2">
        <f t="shared" si="2"/>
        <v>94.419999999999987</v>
      </c>
      <c r="I51" s="2">
        <f t="shared" si="2"/>
        <v>98.51</v>
      </c>
      <c r="J51" s="2">
        <f t="shared" si="2"/>
        <v>104.34</v>
      </c>
      <c r="K51" s="2">
        <f t="shared" si="2"/>
        <v>105.26</v>
      </c>
    </row>
    <row r="55" spans="1:11" x14ac:dyDescent="0.2">
      <c r="A55" s="1" t="s">
        <v>31</v>
      </c>
    </row>
    <row r="56" spans="1:11" s="6" customFormat="1" x14ac:dyDescent="0.2">
      <c r="A56" s="4" t="s">
        <v>10</v>
      </c>
      <c r="B56" s="5">
        <v>42094</v>
      </c>
      <c r="C56" s="5">
        <v>42460</v>
      </c>
      <c r="D56" s="5">
        <v>42825</v>
      </c>
      <c r="E56" s="5">
        <v>43190</v>
      </c>
      <c r="F56" s="5">
        <v>43555</v>
      </c>
      <c r="G56" s="5">
        <v>43921</v>
      </c>
      <c r="H56" s="5">
        <v>44286</v>
      </c>
      <c r="I56" s="5">
        <v>44651</v>
      </c>
      <c r="J56" s="5">
        <v>45016</v>
      </c>
      <c r="K56" s="5">
        <v>45382</v>
      </c>
    </row>
    <row r="57" spans="1:11" x14ac:dyDescent="0.2">
      <c r="A57" s="2" t="s">
        <v>32</v>
      </c>
      <c r="B57" s="3"/>
      <c r="C57" s="3"/>
      <c r="D57" s="3"/>
      <c r="E57" s="3">
        <v>7.9</v>
      </c>
      <c r="F57" s="3">
        <v>8.9499999999999993</v>
      </c>
      <c r="G57" s="3">
        <v>8.9499999999999993</v>
      </c>
      <c r="H57" s="3">
        <v>8.9499999999999993</v>
      </c>
      <c r="I57" s="3">
        <v>17.899999999999999</v>
      </c>
      <c r="J57" s="3">
        <v>17.899999999999999</v>
      </c>
      <c r="K57" s="3">
        <v>18.84</v>
      </c>
    </row>
    <row r="58" spans="1:11" x14ac:dyDescent="0.2">
      <c r="A58" s="2" t="s">
        <v>33</v>
      </c>
      <c r="B58" s="3"/>
      <c r="C58" s="3"/>
      <c r="D58" s="3"/>
      <c r="E58" s="3">
        <v>175.86</v>
      </c>
      <c r="F58" s="3">
        <v>469.56</v>
      </c>
      <c r="G58" s="3">
        <v>549.53</v>
      </c>
      <c r="H58" s="3">
        <v>636.21</v>
      </c>
      <c r="I58" s="3">
        <v>769.71</v>
      </c>
      <c r="J58" s="3">
        <v>970.4</v>
      </c>
      <c r="K58" s="3">
        <v>1593.65</v>
      </c>
    </row>
    <row r="59" spans="1:11" ht="15" x14ac:dyDescent="0.25">
      <c r="A59" s="2" t="s">
        <v>34</v>
      </c>
      <c r="B59" s="7"/>
      <c r="C59" s="7"/>
      <c r="D59" s="7"/>
      <c r="E59" s="7">
        <v>300.54000000000002</v>
      </c>
      <c r="F59" s="7">
        <v>155.72</v>
      </c>
      <c r="G59" s="7">
        <v>104.93</v>
      </c>
      <c r="H59" s="7">
        <v>149.81</v>
      </c>
      <c r="I59" s="7">
        <v>240.35</v>
      </c>
      <c r="J59" s="7">
        <v>218.51</v>
      </c>
      <c r="K59" s="7">
        <v>143</v>
      </c>
    </row>
    <row r="60" spans="1:11" x14ac:dyDescent="0.2">
      <c r="A60" s="2" t="s">
        <v>35</v>
      </c>
      <c r="B60" s="3"/>
      <c r="C60" s="3"/>
      <c r="D60" s="3"/>
      <c r="E60" s="3">
        <v>91.82</v>
      </c>
      <c r="F60" s="3">
        <v>84.65</v>
      </c>
      <c r="G60" s="3">
        <v>99.6</v>
      </c>
      <c r="H60" s="3">
        <v>79.209999999999994</v>
      </c>
      <c r="I60" s="3">
        <v>101.91</v>
      </c>
      <c r="J60" s="3">
        <v>119.35</v>
      </c>
      <c r="K60" s="3">
        <v>130.46</v>
      </c>
    </row>
    <row r="61" spans="1:11" s="1" customFormat="1" x14ac:dyDescent="0.2">
      <c r="A61" s="1" t="s">
        <v>36</v>
      </c>
      <c r="B61" s="3"/>
      <c r="C61" s="3"/>
      <c r="D61" s="3"/>
      <c r="E61" s="3">
        <v>576.12</v>
      </c>
      <c r="F61" s="3">
        <v>718.88</v>
      </c>
      <c r="G61" s="3">
        <v>763.01</v>
      </c>
      <c r="H61" s="3">
        <v>874.18</v>
      </c>
      <c r="I61" s="3">
        <v>1129.8699999999999</v>
      </c>
      <c r="J61" s="3">
        <v>1326.16</v>
      </c>
      <c r="K61" s="3">
        <v>1885.95</v>
      </c>
    </row>
    <row r="62" spans="1:11" x14ac:dyDescent="0.2">
      <c r="A62" s="2" t="s">
        <v>37</v>
      </c>
      <c r="B62" s="3"/>
      <c r="C62" s="3"/>
      <c r="D62" s="3"/>
      <c r="E62" s="3">
        <v>284.99</v>
      </c>
      <c r="F62" s="3">
        <v>290.82</v>
      </c>
      <c r="G62" s="3">
        <v>275.45</v>
      </c>
      <c r="H62" s="3">
        <v>414.65</v>
      </c>
      <c r="I62" s="3">
        <v>456.19</v>
      </c>
      <c r="J62" s="3">
        <v>678.44</v>
      </c>
      <c r="K62" s="3">
        <v>743.67</v>
      </c>
    </row>
    <row r="63" spans="1:11" x14ac:dyDescent="0.2">
      <c r="A63" s="2" t="s">
        <v>38</v>
      </c>
      <c r="B63" s="3"/>
      <c r="C63" s="3"/>
      <c r="D63" s="3"/>
      <c r="E63" s="3">
        <v>8.9</v>
      </c>
      <c r="F63" s="3">
        <v>46.14</v>
      </c>
      <c r="G63" s="3">
        <v>109.14</v>
      </c>
      <c r="H63" s="3">
        <v>40.369999999999997</v>
      </c>
      <c r="I63" s="3">
        <v>212.26</v>
      </c>
      <c r="J63" s="3">
        <v>74.75</v>
      </c>
      <c r="K63" s="3">
        <v>126.69</v>
      </c>
    </row>
    <row r="64" spans="1:11" ht="15" x14ac:dyDescent="0.25">
      <c r="A64" s="2" t="s">
        <v>39</v>
      </c>
      <c r="B64" s="3"/>
      <c r="C64" s="7"/>
      <c r="D64" s="3"/>
      <c r="E64" s="3"/>
      <c r="F64" s="3">
        <v>30.27</v>
      </c>
      <c r="G64" s="3"/>
      <c r="H64" s="3"/>
      <c r="I64" s="3">
        <v>0.41</v>
      </c>
      <c r="J64" s="3"/>
      <c r="K64" s="3">
        <v>0.1</v>
      </c>
    </row>
    <row r="65" spans="1:11" x14ac:dyDescent="0.2">
      <c r="A65" s="2" t="s">
        <v>40</v>
      </c>
      <c r="B65" s="3"/>
      <c r="C65" s="3"/>
      <c r="D65" s="3"/>
      <c r="E65" s="3">
        <v>282.23</v>
      </c>
      <c r="F65" s="3">
        <v>351.65</v>
      </c>
      <c r="G65" s="3">
        <v>378.42</v>
      </c>
      <c r="H65" s="3">
        <v>419.16</v>
      </c>
      <c r="I65" s="3">
        <v>461.01</v>
      </c>
      <c r="J65" s="3">
        <v>572.97</v>
      </c>
      <c r="K65" s="3">
        <v>1015.49</v>
      </c>
    </row>
    <row r="66" spans="1:11" s="1" customFormat="1" x14ac:dyDescent="0.2">
      <c r="A66" s="1" t="s">
        <v>36</v>
      </c>
      <c r="B66" s="3"/>
      <c r="C66" s="3"/>
      <c r="D66" s="3"/>
      <c r="E66" s="3">
        <v>576.12</v>
      </c>
      <c r="F66" s="3">
        <v>718.88</v>
      </c>
      <c r="G66" s="3">
        <v>763.01</v>
      </c>
      <c r="H66" s="3">
        <v>874.18</v>
      </c>
      <c r="I66" s="3">
        <v>1129.8699999999999</v>
      </c>
      <c r="J66" s="3">
        <v>1326.16</v>
      </c>
      <c r="K66" s="3">
        <v>1885.95</v>
      </c>
    </row>
    <row r="67" spans="1:11" x14ac:dyDescent="0.2">
      <c r="A67" s="2" t="s">
        <v>41</v>
      </c>
      <c r="B67" s="3"/>
      <c r="C67" s="3"/>
      <c r="D67" s="3"/>
      <c r="E67" s="3">
        <v>172.41</v>
      </c>
      <c r="F67" s="3">
        <v>169.13</v>
      </c>
      <c r="G67" s="3">
        <v>137.85</v>
      </c>
      <c r="H67" s="3">
        <v>165.57</v>
      </c>
      <c r="I67" s="3">
        <v>222.04</v>
      </c>
      <c r="J67" s="3">
        <v>308.06</v>
      </c>
      <c r="K67" s="3">
        <v>356.92</v>
      </c>
    </row>
    <row r="68" spans="1:11" ht="15" x14ac:dyDescent="0.25">
      <c r="A68" s="2" t="s">
        <v>42</v>
      </c>
      <c r="B68" s="7"/>
      <c r="C68" s="7"/>
      <c r="D68" s="7"/>
      <c r="E68" s="7">
        <v>76.09</v>
      </c>
      <c r="F68" s="7">
        <v>97.73</v>
      </c>
      <c r="G68" s="7">
        <v>75.650000000000006</v>
      </c>
      <c r="H68" s="7">
        <v>121.57</v>
      </c>
      <c r="I68" s="7">
        <v>183.98</v>
      </c>
      <c r="J68" s="7">
        <v>169.6</v>
      </c>
      <c r="K68" s="7">
        <v>224.17</v>
      </c>
    </row>
    <row r="69" spans="1:11" x14ac:dyDescent="0.2">
      <c r="A69" s="2" t="s">
        <v>43</v>
      </c>
      <c r="B69" s="3"/>
      <c r="C69" s="3"/>
      <c r="D69" s="3"/>
      <c r="E69" s="3">
        <v>7.06</v>
      </c>
      <c r="F69" s="3">
        <v>5.08</v>
      </c>
      <c r="G69" s="3">
        <v>55.76</v>
      </c>
      <c r="H69" s="3">
        <v>27.78</v>
      </c>
      <c r="I69" s="3">
        <v>1.46</v>
      </c>
      <c r="J69" s="3">
        <v>0.34</v>
      </c>
      <c r="K69" s="3">
        <v>117.36</v>
      </c>
    </row>
    <row r="70" spans="1:11" x14ac:dyDescent="0.2">
      <c r="A70" s="2" t="s">
        <v>44</v>
      </c>
      <c r="B70" s="3"/>
      <c r="C70" s="3"/>
      <c r="D70" s="3"/>
      <c r="E70" s="3">
        <v>789700</v>
      </c>
      <c r="F70" s="3">
        <v>894990</v>
      </c>
      <c r="G70" s="3">
        <v>894990</v>
      </c>
      <c r="H70" s="3">
        <v>894990</v>
      </c>
      <c r="I70" s="3">
        <v>89499000</v>
      </c>
      <c r="J70" s="3">
        <v>89499000</v>
      </c>
      <c r="K70" s="3">
        <v>94204882</v>
      </c>
    </row>
    <row r="71" spans="1:11" ht="16.5" x14ac:dyDescent="0.3">
      <c r="A71" s="2" t="s">
        <v>45</v>
      </c>
      <c r="B71" s="9"/>
      <c r="C71" s="9"/>
      <c r="E71"/>
      <c r="G71" s="9"/>
      <c r="H71" s="9"/>
    </row>
    <row r="72" spans="1:11" x14ac:dyDescent="0.2">
      <c r="A72" s="2" t="s">
        <v>46</v>
      </c>
      <c r="B72" s="3"/>
      <c r="C72" s="3"/>
      <c r="D72" s="3"/>
      <c r="E72" s="3">
        <v>100</v>
      </c>
      <c r="F72" s="3">
        <v>100</v>
      </c>
      <c r="G72" s="3">
        <v>100</v>
      </c>
      <c r="H72" s="3">
        <v>100</v>
      </c>
      <c r="I72" s="3">
        <v>2</v>
      </c>
      <c r="J72" s="3">
        <v>2</v>
      </c>
      <c r="K72" s="3">
        <v>2</v>
      </c>
    </row>
    <row r="73" spans="1:11" x14ac:dyDescent="0.2">
      <c r="H73" s="2">
        <f>H62-G62+H45</f>
        <v>155.38999999999999</v>
      </c>
      <c r="I73" s="2">
        <f t="shared" ref="I73:K73" si="3">I62-H62+I45</f>
        <v>58.600000000000023</v>
      </c>
      <c r="J73" s="2">
        <f t="shared" si="3"/>
        <v>238.27000000000007</v>
      </c>
      <c r="K73" s="2">
        <f t="shared" si="3"/>
        <v>83.23999999999991</v>
      </c>
    </row>
    <row r="80" spans="1:11" x14ac:dyDescent="0.2">
      <c r="A80" s="1" t="s">
        <v>47</v>
      </c>
    </row>
    <row r="81" spans="1:12" s="6" customFormat="1" x14ac:dyDescent="0.2">
      <c r="A81" s="4" t="s">
        <v>10</v>
      </c>
      <c r="B81" s="5">
        <v>42094</v>
      </c>
      <c r="C81" s="5">
        <v>42460</v>
      </c>
      <c r="D81" s="5">
        <v>42825</v>
      </c>
      <c r="E81" s="5">
        <v>43190</v>
      </c>
      <c r="F81" s="5">
        <v>43555</v>
      </c>
      <c r="G81" s="5">
        <v>43921</v>
      </c>
      <c r="H81" s="5">
        <v>44286</v>
      </c>
      <c r="I81" s="5">
        <v>44651</v>
      </c>
      <c r="J81" s="5">
        <v>45016</v>
      </c>
      <c r="K81" s="5">
        <v>45382</v>
      </c>
      <c r="L81" s="5"/>
    </row>
    <row r="82" spans="1:12" s="1" customFormat="1" x14ac:dyDescent="0.2">
      <c r="A82" s="2" t="s">
        <v>48</v>
      </c>
      <c r="B82" s="3"/>
      <c r="C82" s="3"/>
      <c r="D82" s="3"/>
      <c r="E82" s="3"/>
      <c r="F82" s="3">
        <v>136.4</v>
      </c>
      <c r="G82" s="3">
        <v>168.71</v>
      </c>
      <c r="H82" s="3">
        <v>49.85</v>
      </c>
      <c r="I82" s="3">
        <v>80.28</v>
      </c>
      <c r="J82" s="3">
        <v>209.46</v>
      </c>
      <c r="K82" s="3">
        <v>189.02</v>
      </c>
    </row>
    <row r="83" spans="1:12" x14ac:dyDescent="0.2">
      <c r="A83" s="2" t="s">
        <v>49</v>
      </c>
      <c r="B83" s="3"/>
      <c r="C83" s="3"/>
      <c r="D83" s="3"/>
      <c r="E83" s="3"/>
      <c r="F83" s="3">
        <v>-162.1</v>
      </c>
      <c r="G83" s="3">
        <v>-118.92</v>
      </c>
      <c r="H83" s="3">
        <v>-58.69</v>
      </c>
      <c r="I83" s="3">
        <v>-165.66</v>
      </c>
      <c r="J83" s="3">
        <v>-172.45</v>
      </c>
      <c r="K83" s="3">
        <v>-469.41</v>
      </c>
    </row>
    <row r="84" spans="1:12" x14ac:dyDescent="0.2">
      <c r="A84" s="2" t="s">
        <v>50</v>
      </c>
      <c r="B84" s="3"/>
      <c r="C84" s="3"/>
      <c r="D84" s="3"/>
      <c r="E84" s="3"/>
      <c r="F84" s="3">
        <v>26.63</v>
      </c>
      <c r="G84" s="3">
        <v>-49.99</v>
      </c>
      <c r="H84" s="3">
        <v>9.67</v>
      </c>
      <c r="I84" s="3">
        <v>82.52</v>
      </c>
      <c r="J84" s="3">
        <v>-37.01</v>
      </c>
      <c r="K84" s="3">
        <v>280.92</v>
      </c>
    </row>
    <row r="85" spans="1:12" s="1" customFormat="1" x14ac:dyDescent="0.2">
      <c r="A85" s="2" t="s">
        <v>51</v>
      </c>
      <c r="B85" s="3"/>
      <c r="C85" s="3"/>
      <c r="D85" s="3"/>
      <c r="E85" s="3"/>
      <c r="F85" s="3">
        <v>0.94</v>
      </c>
      <c r="G85" s="3">
        <v>-0.19</v>
      </c>
      <c r="H85" s="3">
        <v>0.84</v>
      </c>
      <c r="I85" s="3">
        <v>-2.87</v>
      </c>
      <c r="J85" s="3">
        <v>-0.01</v>
      </c>
      <c r="K85" s="3">
        <v>0.52</v>
      </c>
    </row>
    <row r="90" spans="1:12" s="1" customFormat="1" x14ac:dyDescent="0.2">
      <c r="A90" s="1" t="s">
        <v>52</v>
      </c>
      <c r="B90" s="3"/>
      <c r="C90" s="3"/>
      <c r="D90" s="3"/>
      <c r="E90" s="3"/>
      <c r="F90" s="3"/>
      <c r="G90" s="3"/>
      <c r="H90" s="3"/>
      <c r="I90" s="3"/>
      <c r="J90" s="3"/>
      <c r="K90" s="3">
        <v>889.8</v>
      </c>
    </row>
    <row r="92" spans="1:12" s="1" customFormat="1" x14ac:dyDescent="0.2">
      <c r="A92" s="1" t="s">
        <v>53</v>
      </c>
    </row>
    <row r="93" spans="1:12" x14ac:dyDescent="0.2">
      <c r="A93" s="2" t="s">
        <v>54</v>
      </c>
      <c r="B93" s="10"/>
      <c r="C93" s="10"/>
      <c r="D93" s="10"/>
      <c r="E93" s="10">
        <v>0.08</v>
      </c>
      <c r="F93" s="10">
        <v>0.09</v>
      </c>
      <c r="G93" s="10">
        <v>0.09</v>
      </c>
      <c r="H93" s="10">
        <v>0.09</v>
      </c>
      <c r="I93" s="10">
        <v>8.9499999999999993</v>
      </c>
      <c r="J93" s="10">
        <v>8.9499999999999993</v>
      </c>
      <c r="K93" s="10">
        <v>9.42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rintOptions horizontalCentered="1" verticalCentered="1"/>
  <pageMargins left="0" right="0" top="0.74803149606299213" bottom="0.74803149606299213" header="0.31496062992125984" footer="0.31496062992125984"/>
  <pageSetup paperSize="8" fitToWidth="31" fitToHeight="3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7"/>
  <sheetViews>
    <sheetView showGridLines="0" tabSelected="1" topLeftCell="A5" zoomScale="80" zoomScaleNormal="80" workbookViewId="0">
      <selection activeCell="O37" sqref="O37"/>
    </sheetView>
  </sheetViews>
  <sheetFormatPr defaultRowHeight="15" x14ac:dyDescent="0.25"/>
  <cols>
    <col min="1" max="1" width="2.140625" customWidth="1"/>
    <col min="2" max="2" width="23.42578125" customWidth="1"/>
    <col min="3" max="3" width="17" bestFit="1" customWidth="1"/>
    <col min="4" max="4" width="17.28515625" customWidth="1"/>
    <col min="5" max="5" width="15.140625" customWidth="1"/>
    <col min="6" max="6" width="23.42578125" customWidth="1"/>
    <col min="7" max="7" width="10.7109375" bestFit="1" customWidth="1"/>
    <col min="8" max="8" width="14.42578125" customWidth="1"/>
    <col min="9" max="9" width="10" customWidth="1"/>
    <col min="10" max="10" width="11" bestFit="1" customWidth="1"/>
    <col min="11" max="11" width="11.28515625" bestFit="1" customWidth="1"/>
    <col min="12" max="12" width="13.28515625" bestFit="1" customWidth="1"/>
    <col min="13" max="13" width="14.140625" customWidth="1"/>
    <col min="15" max="17" width="12.7109375" customWidth="1"/>
    <col min="18" max="20" width="9.140625" customWidth="1"/>
  </cols>
  <sheetData>
    <row r="2" spans="1:17" ht="19.5" customHeight="1" x14ac:dyDescent="0.3">
      <c r="F2" s="129"/>
    </row>
    <row r="3" spans="1:17" ht="19.5" customHeight="1" x14ac:dyDescent="0.3">
      <c r="F3" s="129"/>
    </row>
    <row r="4" spans="1:17" ht="19.5" customHeight="1" x14ac:dyDescent="0.25"/>
    <row r="5" spans="1:17" ht="18.75" x14ac:dyDescent="0.3">
      <c r="B5" s="67" t="s">
        <v>128</v>
      </c>
    </row>
    <row r="6" spans="1:17" ht="22.5" x14ac:dyDescent="0.35">
      <c r="A6" s="68"/>
      <c r="B6" s="69"/>
      <c r="C6" s="70"/>
      <c r="D6" s="70"/>
      <c r="E6" s="70"/>
      <c r="F6" s="92" t="s">
        <v>129</v>
      </c>
      <c r="G6" s="92"/>
      <c r="H6" s="92"/>
      <c r="I6" s="92"/>
      <c r="J6" s="70"/>
      <c r="K6" s="70"/>
      <c r="L6" s="70"/>
      <c r="M6" s="70"/>
      <c r="N6" s="70"/>
      <c r="O6" s="70"/>
      <c r="P6" s="70"/>
      <c r="Q6" s="70"/>
    </row>
    <row r="7" spans="1:17" ht="5.0999999999999996" customHeight="1" x14ac:dyDescent="0.25">
      <c r="A7" s="68"/>
    </row>
    <row r="8" spans="1:17" x14ac:dyDescent="0.25">
      <c r="A8" s="68"/>
      <c r="B8" s="71"/>
      <c r="C8" s="137" t="s">
        <v>130</v>
      </c>
      <c r="D8" s="137"/>
      <c r="E8" s="137"/>
      <c r="F8" s="137"/>
      <c r="G8" s="137"/>
      <c r="H8" s="137"/>
      <c r="I8" s="71"/>
      <c r="J8" s="138" t="s">
        <v>131</v>
      </c>
      <c r="K8" s="138"/>
      <c r="L8" s="138"/>
      <c r="M8" s="138"/>
      <c r="N8" s="71"/>
      <c r="O8" s="139" t="s">
        <v>132</v>
      </c>
      <c r="P8" s="139"/>
      <c r="Q8" s="72"/>
    </row>
    <row r="9" spans="1:17" x14ac:dyDescent="0.25">
      <c r="B9" s="73" t="s">
        <v>133</v>
      </c>
      <c r="C9" s="74"/>
      <c r="D9" s="73" t="s">
        <v>134</v>
      </c>
      <c r="E9" s="73" t="s">
        <v>135</v>
      </c>
      <c r="F9" s="73" t="s">
        <v>136</v>
      </c>
      <c r="G9" s="73" t="s">
        <v>125</v>
      </c>
      <c r="H9" s="73" t="s">
        <v>137</v>
      </c>
      <c r="I9" s="73"/>
      <c r="J9" s="73" t="s">
        <v>138</v>
      </c>
      <c r="K9" s="73" t="s">
        <v>27</v>
      </c>
      <c r="L9" s="73" t="s">
        <v>139</v>
      </c>
      <c r="M9" s="73"/>
      <c r="N9" s="75"/>
      <c r="O9" s="73" t="s">
        <v>140</v>
      </c>
      <c r="P9" s="76" t="s">
        <v>141</v>
      </c>
      <c r="Q9" s="76" t="s">
        <v>142</v>
      </c>
    </row>
    <row r="10" spans="1:17" ht="6" customHeight="1" x14ac:dyDescent="0.25"/>
    <row r="11" spans="1:17" x14ac:dyDescent="0.25">
      <c r="B11" s="77" t="str">
        <f>'Raw Data fior Relative Valuatio'!B4</f>
        <v>Kalyani Forge</v>
      </c>
      <c r="C11" s="77"/>
      <c r="D11" s="78">
        <f>'Raw Data fior Relative Valuatio'!C4</f>
        <v>493</v>
      </c>
      <c r="E11" s="118">
        <f>'Raw Data fior Relative Valuatio'!D4</f>
        <v>0.36</v>
      </c>
      <c r="F11" s="93">
        <f>D11*E11</f>
        <v>177.48</v>
      </c>
      <c r="G11" s="78">
        <f>'Raw Data fior Relative Valuatio'!H4</f>
        <v>54.98</v>
      </c>
      <c r="H11" s="78">
        <f>F11+G11</f>
        <v>232.45999999999998</v>
      </c>
      <c r="I11" s="78"/>
      <c r="J11" s="78">
        <f>'Raw Data fior Relative Valuatio'!K3</f>
        <v>1369.88</v>
      </c>
      <c r="K11" s="78">
        <f>'Raw Data fior Relative Valuatio'!L3</f>
        <v>28.3</v>
      </c>
      <c r="L11" s="78">
        <f>'Raw Data fior Relative Valuatio'!M3</f>
        <v>242.99</v>
      </c>
      <c r="M11" s="79"/>
      <c r="N11" s="79"/>
      <c r="O11" s="80">
        <f>$H11/J11</f>
        <v>0.16969369579817206</v>
      </c>
      <c r="P11" s="80">
        <f>$H11/K11</f>
        <v>8.2141342756183739</v>
      </c>
      <c r="Q11" s="80">
        <f>F11/L11</f>
        <v>0.73040042800115224</v>
      </c>
    </row>
    <row r="12" spans="1:17" x14ac:dyDescent="0.25">
      <c r="B12" s="77" t="str">
        <f>'Raw Data fior Relative Valuatio'!B5</f>
        <v>Kalyani Cast-Tec</v>
      </c>
      <c r="C12" s="58"/>
      <c r="D12" s="78">
        <f>'Raw Data fior Relative Valuatio'!C5</f>
        <v>589</v>
      </c>
      <c r="E12" s="78">
        <f>'Raw Data fior Relative Valuatio'!D5</f>
        <v>0.72</v>
      </c>
      <c r="F12" s="93">
        <f>D12*E12</f>
        <v>424.08</v>
      </c>
      <c r="G12" s="78">
        <f>'Raw Data fior Relative Valuatio'!H5</f>
        <v>-1.9799999999999995</v>
      </c>
      <c r="H12" s="81">
        <f>F12+G12</f>
        <v>422.09999999999997</v>
      </c>
      <c r="I12" s="81"/>
      <c r="J12" s="78">
        <f>'Raw Data fior Relative Valuatio'!K4</f>
        <v>234.17</v>
      </c>
      <c r="K12" s="78">
        <f>'Raw Data fior Relative Valuatio'!L4</f>
        <v>13.35</v>
      </c>
      <c r="L12" s="78">
        <f>'Raw Data fior Relative Valuatio'!M4</f>
        <v>4.55</v>
      </c>
      <c r="M12" s="82"/>
      <c r="N12" s="82"/>
      <c r="O12" s="83">
        <f t="shared" ref="O12:O19" si="0">$H12/J12</f>
        <v>1.8025366186958192</v>
      </c>
      <c r="P12" s="83">
        <f>$H12/K12</f>
        <v>31.617977528089884</v>
      </c>
      <c r="Q12" s="83">
        <f t="shared" ref="Q12:Q19" si="1">F12/L12</f>
        <v>93.2043956043956</v>
      </c>
    </row>
    <row r="13" spans="1:17" x14ac:dyDescent="0.25">
      <c r="B13" s="77" t="str">
        <f>'Raw Data fior Relative Valuatio'!B6</f>
        <v>Inv.&amp; Prec.Cast.</v>
      </c>
      <c r="C13" s="58"/>
      <c r="D13" s="78">
        <f>'Raw Data fior Relative Valuatio'!C6</f>
        <v>985</v>
      </c>
      <c r="E13" s="78">
        <f>'Raw Data fior Relative Valuatio'!D6</f>
        <v>0.5</v>
      </c>
      <c r="F13" s="93">
        <f t="shared" ref="F13:F19" si="2">D13*E13</f>
        <v>492.5</v>
      </c>
      <c r="G13" s="78">
        <f>'Raw Data fior Relative Valuatio'!H6</f>
        <v>71.61</v>
      </c>
      <c r="H13" s="81">
        <f t="shared" ref="H13:H19" si="3">F13+G13</f>
        <v>564.11</v>
      </c>
      <c r="I13" s="81"/>
      <c r="J13" s="78">
        <f>'Raw Data fior Relative Valuatio'!K5</f>
        <v>94.48</v>
      </c>
      <c r="K13" s="78">
        <f>'Raw Data fior Relative Valuatio'!L5</f>
        <v>29.81</v>
      </c>
      <c r="L13" s="78">
        <f>'Raw Data fior Relative Valuatio'!M5</f>
        <v>9.6</v>
      </c>
      <c r="M13" s="82"/>
      <c r="N13" s="82"/>
      <c r="O13" s="83">
        <f t="shared" si="0"/>
        <v>5.9706816257408972</v>
      </c>
      <c r="P13" s="83">
        <f t="shared" ref="P13:P19" si="4">$H13/K13</f>
        <v>18.923515598792353</v>
      </c>
      <c r="Q13" s="83">
        <f t="shared" si="1"/>
        <v>51.302083333333336</v>
      </c>
    </row>
    <row r="14" spans="1:17" x14ac:dyDescent="0.25">
      <c r="B14" s="77" t="str">
        <f>'Raw Data fior Relative Valuatio'!B7</f>
        <v>Hilton Met.Forg.</v>
      </c>
      <c r="C14" s="58"/>
      <c r="D14" s="78">
        <f>'Raw Data fior Relative Valuatio'!C7</f>
        <v>85.14</v>
      </c>
      <c r="E14" s="78">
        <f>'Raw Data fior Relative Valuatio'!D7</f>
        <v>2.15</v>
      </c>
      <c r="F14" s="93">
        <f t="shared" si="2"/>
        <v>183.05099999999999</v>
      </c>
      <c r="G14" s="78">
        <f>'Raw Data fior Relative Valuatio'!H7</f>
        <v>52.91</v>
      </c>
      <c r="H14" s="81">
        <f t="shared" si="3"/>
        <v>235.96099999999998</v>
      </c>
      <c r="I14" s="81"/>
      <c r="J14" s="78">
        <f>'Raw Data fior Relative Valuatio'!K6</f>
        <v>165.79</v>
      </c>
      <c r="K14" s="78">
        <f>'Raw Data fior Relative Valuatio'!L6</f>
        <v>22.43</v>
      </c>
      <c r="L14" s="78">
        <f>'Raw Data fior Relative Valuatio'!M6</f>
        <v>7.79</v>
      </c>
      <c r="M14" s="82"/>
      <c r="N14" s="82"/>
      <c r="O14" s="83">
        <f t="shared" si="0"/>
        <v>1.423252307135533</v>
      </c>
      <c r="P14" s="83">
        <f t="shared" si="4"/>
        <v>10.519884083816317</v>
      </c>
      <c r="Q14" s="83">
        <f t="shared" si="1"/>
        <v>23.498202824133504</v>
      </c>
    </row>
    <row r="15" spans="1:17" x14ac:dyDescent="0.25">
      <c r="A15" s="68"/>
      <c r="B15" s="119" t="str">
        <f>'Raw Data fior Relative Valuatio'!B3</f>
        <v>Happy Forgings</v>
      </c>
      <c r="C15" s="120"/>
      <c r="D15" s="121">
        <f>'Raw Data fior Relative Valuatio'!C3</f>
        <v>1205.25</v>
      </c>
      <c r="E15" s="121">
        <f>'Raw Data fior Relative Valuatio'!D3</f>
        <v>9.42</v>
      </c>
      <c r="F15" s="122">
        <f t="shared" si="2"/>
        <v>11353.455</v>
      </c>
      <c r="G15" s="121">
        <f>'Raw Data fior Relative Valuatio'!H3</f>
        <v>25.64</v>
      </c>
      <c r="H15" s="123">
        <f t="shared" si="3"/>
        <v>11379.094999999999</v>
      </c>
      <c r="I15" s="123"/>
      <c r="J15" s="121">
        <f>'Raw Data fior Relative Valuatio'!K7</f>
        <v>144.41</v>
      </c>
      <c r="K15" s="121">
        <f>'Raw Data fior Relative Valuatio'!L7</f>
        <v>15.29</v>
      </c>
      <c r="L15" s="121">
        <f>'Raw Data fior Relative Valuatio'!M7</f>
        <v>6.69</v>
      </c>
      <c r="M15" s="124"/>
      <c r="N15" s="124"/>
      <c r="O15" s="125">
        <f t="shared" si="0"/>
        <v>78.797140087251577</v>
      </c>
      <c r="P15" s="125">
        <f t="shared" si="4"/>
        <v>744.21811641595809</v>
      </c>
      <c r="Q15" s="125">
        <f t="shared" si="1"/>
        <v>1697.0784753363228</v>
      </c>
    </row>
    <row r="16" spans="1:17" x14ac:dyDescent="0.25">
      <c r="A16" s="68"/>
      <c r="B16" s="77" t="str">
        <f>'Raw Data fior Relative Valuatio'!B8</f>
        <v>Gujarat Intrux</v>
      </c>
      <c r="C16" s="58"/>
      <c r="D16" s="78">
        <f>'Raw Data fior Relative Valuatio'!C8</f>
        <v>544.95000000000005</v>
      </c>
      <c r="E16" s="78">
        <f>'Raw Data fior Relative Valuatio'!D8</f>
        <v>0.34</v>
      </c>
      <c r="F16" s="93">
        <f>D16*E16</f>
        <v>185.28300000000002</v>
      </c>
      <c r="G16" s="78">
        <f>'Raw Data fior Relative Valuatio'!H8</f>
        <v>-27.9</v>
      </c>
      <c r="H16" s="81">
        <f t="shared" si="3"/>
        <v>157.38300000000001</v>
      </c>
      <c r="I16" s="81"/>
      <c r="J16" s="78">
        <f>'Raw Data fior Relative Valuatio'!K8</f>
        <v>59.9</v>
      </c>
      <c r="K16" s="78">
        <f>'Raw Data fior Relative Valuatio'!L8</f>
        <v>12.27</v>
      </c>
      <c r="L16" s="78">
        <f>'Raw Data fior Relative Valuatio'!M8</f>
        <v>7.41</v>
      </c>
      <c r="M16" s="82"/>
      <c r="N16" s="82"/>
      <c r="O16" s="83">
        <f t="shared" si="0"/>
        <v>2.6274290484140237</v>
      </c>
      <c r="P16" s="83">
        <f>$H16/K16</f>
        <v>12.826650366748167</v>
      </c>
      <c r="Q16" s="83">
        <f t="shared" si="1"/>
        <v>25.004453441295549</v>
      </c>
    </row>
    <row r="17" spans="1:17" x14ac:dyDescent="0.25">
      <c r="A17" s="68"/>
      <c r="B17" s="77" t="str">
        <f>'Raw Data fior Relative Valuatio'!B9</f>
        <v>GTV Engineering</v>
      </c>
      <c r="C17" s="58"/>
      <c r="D17" s="78">
        <f>'Raw Data fior Relative Valuatio'!C9</f>
        <v>446.9</v>
      </c>
      <c r="E17" s="78">
        <f>'Raw Data fior Relative Valuatio'!D9</f>
        <v>0.31</v>
      </c>
      <c r="F17" s="93">
        <f t="shared" si="2"/>
        <v>138.53899999999999</v>
      </c>
      <c r="G17" s="78">
        <f>'Raw Data fior Relative Valuatio'!H9</f>
        <v>5.0000000000000711E-2</v>
      </c>
      <c r="H17" s="81">
        <f t="shared" si="3"/>
        <v>138.589</v>
      </c>
      <c r="I17" s="81"/>
      <c r="J17" s="78">
        <f>'Raw Data fior Relative Valuatio'!K9</f>
        <v>134.44</v>
      </c>
      <c r="K17" s="78">
        <f>'Raw Data fior Relative Valuatio'!L9</f>
        <v>15.03</v>
      </c>
      <c r="L17" s="78">
        <f>'Raw Data fior Relative Valuatio'!M9</f>
        <v>5.41</v>
      </c>
      <c r="M17" s="82"/>
      <c r="N17" s="82"/>
      <c r="O17" s="83">
        <f t="shared" si="0"/>
        <v>1.0308613507884559</v>
      </c>
      <c r="P17" s="83">
        <f t="shared" si="4"/>
        <v>9.2208250166334</v>
      </c>
      <c r="Q17" s="83">
        <f t="shared" si="1"/>
        <v>25.607948243992602</v>
      </c>
    </row>
    <row r="18" spans="1:17" x14ac:dyDescent="0.25">
      <c r="B18" s="77" t="str">
        <f>'Raw Data fior Relative Valuatio'!B10</f>
        <v>Ganga Forging</v>
      </c>
      <c r="C18" s="58"/>
      <c r="D18" s="78">
        <f>'Raw Data fior Relative Valuatio'!C10</f>
        <v>8.26</v>
      </c>
      <c r="E18" s="78">
        <f>'Raw Data fior Relative Valuatio'!D10</f>
        <v>13.48</v>
      </c>
      <c r="F18" s="93">
        <f t="shared" si="2"/>
        <v>111.34480000000001</v>
      </c>
      <c r="G18" s="78">
        <f>'Raw Data fior Relative Valuatio'!H10</f>
        <v>9.120000000000001</v>
      </c>
      <c r="H18" s="81">
        <f t="shared" si="3"/>
        <v>120.46480000000001</v>
      </c>
      <c r="I18" s="81"/>
      <c r="J18" s="78">
        <f>'Raw Data fior Relative Valuatio'!K10</f>
        <v>35.869999999999997</v>
      </c>
      <c r="K18" s="78">
        <f>'Raw Data fior Relative Valuatio'!L10</f>
        <v>42.12</v>
      </c>
      <c r="L18" s="78">
        <f>'Raw Data fior Relative Valuatio'!M10</f>
        <v>0.44</v>
      </c>
      <c r="M18" s="82"/>
      <c r="N18" s="82"/>
      <c r="O18" s="83">
        <f t="shared" si="0"/>
        <v>3.3583718985224427</v>
      </c>
      <c r="P18" s="83">
        <f t="shared" si="4"/>
        <v>2.8600379867046537</v>
      </c>
      <c r="Q18" s="83">
        <f t="shared" si="1"/>
        <v>253.05636363636364</v>
      </c>
    </row>
    <row r="19" spans="1:17" x14ac:dyDescent="0.25">
      <c r="B19" s="77" t="str">
        <f>'Raw Data fior Relative Valuatio'!B11</f>
        <v>Galaxy Agrico</v>
      </c>
      <c r="C19" s="58"/>
      <c r="D19" s="78">
        <f>'Raw Data fior Relative Valuatio'!C11</f>
        <v>62.5</v>
      </c>
      <c r="E19" s="78">
        <f>'Raw Data fior Relative Valuatio'!D11</f>
        <v>0.27</v>
      </c>
      <c r="F19" s="93">
        <f t="shared" si="2"/>
        <v>16.875</v>
      </c>
      <c r="G19" s="78">
        <f>'Raw Data fior Relative Valuatio'!H11</f>
        <v>1.39</v>
      </c>
      <c r="H19" s="81">
        <f t="shared" si="3"/>
        <v>18.265000000000001</v>
      </c>
      <c r="I19" s="81"/>
      <c r="J19" s="78">
        <f>'Raw Data fior Relative Valuatio'!K11</f>
        <v>7</v>
      </c>
      <c r="K19" s="78">
        <f>'Raw Data fior Relative Valuatio'!L11</f>
        <v>205.11</v>
      </c>
      <c r="L19" s="78">
        <f>'Raw Data fior Relative Valuatio'!M11</f>
        <v>2.02</v>
      </c>
      <c r="M19" s="82"/>
      <c r="N19" s="82"/>
      <c r="O19" s="83">
        <f t="shared" si="0"/>
        <v>2.6092857142857144</v>
      </c>
      <c r="P19" s="83">
        <f t="shared" si="4"/>
        <v>8.9049778167812385E-2</v>
      </c>
      <c r="Q19" s="83">
        <f t="shared" si="1"/>
        <v>8.3539603960396036</v>
      </c>
    </row>
    <row r="20" spans="1:17" ht="6.75" customHeight="1" x14ac:dyDescent="0.25"/>
    <row r="21" spans="1:17" x14ac:dyDescent="0.25">
      <c r="B21" s="84" t="s">
        <v>143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5">
        <f>MAX(O11:O19)</f>
        <v>78.797140087251577</v>
      </c>
      <c r="P21" s="85">
        <f t="shared" ref="P21:Q21" si="5">MAX(P11:P19)</f>
        <v>744.21811641595809</v>
      </c>
      <c r="Q21" s="85">
        <f t="shared" si="5"/>
        <v>1697.0784753363228</v>
      </c>
    </row>
    <row r="22" spans="1:17" x14ac:dyDescent="0.25">
      <c r="B22" s="84" t="s">
        <v>144</v>
      </c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>
        <f>QUARTILE(O11:O19,3)</f>
        <v>3.3583718985224427</v>
      </c>
      <c r="P22" s="84">
        <f t="shared" ref="P22:Q22" si="6">QUARTILE(P11:P19,3)</f>
        <v>18.923515598792353</v>
      </c>
      <c r="Q22" s="84">
        <f t="shared" si="6"/>
        <v>93.2043956043956</v>
      </c>
    </row>
    <row r="23" spans="1:17" x14ac:dyDescent="0.25">
      <c r="B23" s="84" t="s">
        <v>124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5">
        <f>AVERAGE(O11:O19)</f>
        <v>10.865472482959184</v>
      </c>
      <c r="P23" s="85">
        <f t="shared" ref="P23:Q23" si="7">AVERAGE(P11:P19)</f>
        <v>93.165576783392112</v>
      </c>
      <c r="Q23" s="85">
        <f t="shared" si="7"/>
        <v>241.98180924931972</v>
      </c>
    </row>
    <row r="24" spans="1:17" x14ac:dyDescent="0.25">
      <c r="B24" s="84" t="s">
        <v>121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>
        <f>QUARTILE(O11:O19,2)</f>
        <v>2.6092857142857144</v>
      </c>
      <c r="P24" s="84">
        <f t="shared" ref="P24:Q24" si="8">QUARTILE(P11:P19,2)</f>
        <v>10.519884083816317</v>
      </c>
      <c r="Q24" s="84">
        <f t="shared" si="8"/>
        <v>25.607948243992602</v>
      </c>
    </row>
    <row r="25" spans="1:17" x14ac:dyDescent="0.25">
      <c r="B25" s="84" t="s">
        <v>145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>
        <f>QUARTILE(O11:O19,1)</f>
        <v>1.423252307135533</v>
      </c>
      <c r="P25" s="84">
        <f t="shared" ref="P25:Q25" si="9">QUARTILE(P11:P19,1)</f>
        <v>8.2141342756183739</v>
      </c>
      <c r="Q25" s="84">
        <f t="shared" si="9"/>
        <v>23.498202824133504</v>
      </c>
    </row>
    <row r="26" spans="1:17" x14ac:dyDescent="0.25">
      <c r="B26" s="84" t="s">
        <v>146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5">
        <f>MIN(O11:O19)</f>
        <v>0.16969369579817206</v>
      </c>
      <c r="P26" s="85">
        <f t="shared" ref="P26:Q26" si="10">MIN(P11:P19)</f>
        <v>8.9049778167812385E-2</v>
      </c>
      <c r="Q26" s="85">
        <f t="shared" si="10"/>
        <v>0.73040042800115224</v>
      </c>
    </row>
    <row r="28" spans="1:17" x14ac:dyDescent="0.25">
      <c r="B28" s="86" t="s">
        <v>183</v>
      </c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7" t="s">
        <v>147</v>
      </c>
      <c r="P28" s="87" t="s">
        <v>148</v>
      </c>
      <c r="Q28" s="87" t="s">
        <v>142</v>
      </c>
    </row>
    <row r="29" spans="1:17" ht="6" customHeight="1" x14ac:dyDescent="0.25"/>
    <row r="30" spans="1:17" x14ac:dyDescent="0.25">
      <c r="B30" s="88" t="s">
        <v>149</v>
      </c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>
        <f>O$24*J15</f>
        <v>376.80695000000003</v>
      </c>
      <c r="P30" s="88">
        <f>P$24*K15</f>
        <v>160.84902764155149</v>
      </c>
      <c r="Q30" s="89">
        <f>+Q31+Q32</f>
        <v>196.9571737523105</v>
      </c>
    </row>
    <row r="31" spans="1:17" x14ac:dyDescent="0.25">
      <c r="A31" s="68"/>
      <c r="B31" s="88" t="s">
        <v>150</v>
      </c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9">
        <f>$G$15</f>
        <v>25.64</v>
      </c>
      <c r="P31" s="89">
        <f>$G$15</f>
        <v>25.64</v>
      </c>
      <c r="Q31" s="89">
        <f>$G$15</f>
        <v>25.64</v>
      </c>
    </row>
    <row r="32" spans="1:17" x14ac:dyDescent="0.25">
      <c r="A32" s="68"/>
      <c r="B32" s="88" t="s">
        <v>151</v>
      </c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9">
        <f>O30-O31</f>
        <v>351.16695000000004</v>
      </c>
      <c r="P32" s="89">
        <f t="shared" ref="P32" si="11">P30-P31</f>
        <v>135.20902764155147</v>
      </c>
      <c r="Q32" s="89">
        <f>Q24*L15</f>
        <v>171.31717375231051</v>
      </c>
    </row>
    <row r="33" spans="2:17" x14ac:dyDescent="0.25">
      <c r="B33" s="88" t="s">
        <v>152</v>
      </c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9">
        <f>$E$15</f>
        <v>9.42</v>
      </c>
      <c r="P33" s="89">
        <f>$E$15</f>
        <v>9.42</v>
      </c>
      <c r="Q33" s="89">
        <f>$E$15</f>
        <v>9.42</v>
      </c>
    </row>
    <row r="34" spans="2:17" ht="8.25" customHeight="1" x14ac:dyDescent="0.25">
      <c r="O34" s="55"/>
      <c r="P34" s="55"/>
      <c r="Q34" s="55"/>
    </row>
    <row r="35" spans="2:17" s="57" customFormat="1" x14ac:dyDescent="0.25">
      <c r="B35" s="90" t="s">
        <v>153</v>
      </c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>
        <f>O32/O33</f>
        <v>37.278869426751598</v>
      </c>
      <c r="P35" s="90">
        <f>P32/P33</f>
        <v>14.35339996194814</v>
      </c>
      <c r="Q35" s="90">
        <f>Q32/Q33</f>
        <v>18.186536491752708</v>
      </c>
    </row>
    <row r="36" spans="2:17" ht="6" customHeight="1" x14ac:dyDescent="0.25"/>
    <row r="37" spans="2:17" x14ac:dyDescent="0.25">
      <c r="B37" s="96" t="s">
        <v>154</v>
      </c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 t="str">
        <f>IF(O35&gt;$D$15,"undervalued","overvalued")</f>
        <v>overvalued</v>
      </c>
      <c r="P37" s="91" t="str">
        <f>IF(P35&gt;$D$15,"undervalued","overvalued")</f>
        <v>overvalued</v>
      </c>
      <c r="Q37" s="91" t="str">
        <f>IF(Q35&gt;$D$15,"undervalued","overvalued")</f>
        <v>overvalued</v>
      </c>
    </row>
  </sheetData>
  <mergeCells count="3">
    <mergeCell ref="C8:H8"/>
    <mergeCell ref="J8:M8"/>
    <mergeCell ref="O8:P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pane xSplit="19770" topLeftCell="K1"/>
      <selection activeCell="N16" sqref="N16"/>
      <selection pane="topRight" activeCell="K1" sqref="K1"/>
    </sheetView>
  </sheetViews>
  <sheetFormatPr defaultRowHeight="15" x14ac:dyDescent="0.25"/>
  <cols>
    <col min="1" max="1" width="5.7109375" bestFit="1" customWidth="1"/>
    <col min="2" max="2" width="17.5703125" customWidth="1"/>
    <col min="3" max="3" width="17" customWidth="1"/>
    <col min="4" max="4" width="16.5703125" bestFit="1" customWidth="1"/>
    <col min="5" max="5" width="13.28515625" customWidth="1"/>
    <col min="6" max="6" width="10.7109375" bestFit="1" customWidth="1"/>
    <col min="7" max="7" width="14.42578125" bestFit="1" customWidth="1"/>
    <col min="8" max="8" width="9" customWidth="1"/>
    <col min="9" max="9" width="15.7109375" customWidth="1"/>
    <col min="10" max="10" width="13.28515625" customWidth="1"/>
    <col min="11" max="11" width="14.140625" customWidth="1"/>
    <col min="12" max="12" width="11.28515625" customWidth="1"/>
    <col min="13" max="13" width="13.140625" bestFit="1" customWidth="1"/>
    <col min="14" max="14" width="12.85546875" bestFit="1" customWidth="1"/>
    <col min="15" max="16" width="7.7109375" customWidth="1"/>
  </cols>
  <sheetData>
    <row r="1" spans="1:14" x14ac:dyDescent="0.25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2"/>
    </row>
    <row r="2" spans="1:14" ht="30" x14ac:dyDescent="0.25">
      <c r="A2" s="113" t="s">
        <v>126</v>
      </c>
      <c r="B2" s="114" t="s">
        <v>127</v>
      </c>
      <c r="C2" s="115" t="s">
        <v>168</v>
      </c>
      <c r="D2" s="115" t="s">
        <v>169</v>
      </c>
      <c r="E2" s="117" t="s">
        <v>8</v>
      </c>
      <c r="F2" s="115" t="s">
        <v>170</v>
      </c>
      <c r="G2" s="115" t="s">
        <v>171</v>
      </c>
      <c r="H2" s="117" t="s">
        <v>150</v>
      </c>
      <c r="I2" s="117" t="s">
        <v>155</v>
      </c>
      <c r="J2" s="115" t="s">
        <v>172</v>
      </c>
      <c r="K2" s="115" t="s">
        <v>173</v>
      </c>
      <c r="L2" s="115" t="s">
        <v>166</v>
      </c>
      <c r="M2" s="115" t="s">
        <v>174</v>
      </c>
      <c r="N2" s="116" t="s">
        <v>167</v>
      </c>
    </row>
    <row r="3" spans="1:14" x14ac:dyDescent="0.25">
      <c r="A3" s="66">
        <v>1</v>
      </c>
      <c r="B3" s="102" t="s">
        <v>165</v>
      </c>
      <c r="C3" s="109">
        <v>1205.25</v>
      </c>
      <c r="D3" s="109">
        <v>9.42</v>
      </c>
      <c r="E3" s="95">
        <f>C3*D3</f>
        <v>11353.455</v>
      </c>
      <c r="F3" s="103">
        <v>143</v>
      </c>
      <c r="G3" s="103">
        <v>117.36</v>
      </c>
      <c r="H3" s="105">
        <f>F3-G3</f>
        <v>25.64</v>
      </c>
      <c r="I3" s="56">
        <f>+E3+F3-G3</f>
        <v>11379.094999999999</v>
      </c>
      <c r="J3" s="103">
        <v>11390.94</v>
      </c>
      <c r="K3" s="103">
        <v>1369.88</v>
      </c>
      <c r="L3" s="104">
        <v>28.3</v>
      </c>
      <c r="M3" s="103">
        <v>242.99</v>
      </c>
      <c r="N3" s="103">
        <v>8.3000000000000007</v>
      </c>
    </row>
    <row r="4" spans="1:14" x14ac:dyDescent="0.25">
      <c r="A4">
        <f>A3+1</f>
        <v>2</v>
      </c>
      <c r="B4" s="102" t="s">
        <v>175</v>
      </c>
      <c r="C4" s="109">
        <v>493</v>
      </c>
      <c r="D4" s="109">
        <v>0.36</v>
      </c>
      <c r="E4" s="105">
        <f>C4*D4</f>
        <v>177.48</v>
      </c>
      <c r="F4" s="103">
        <v>60.91</v>
      </c>
      <c r="G4" s="103">
        <v>5.93</v>
      </c>
      <c r="H4" s="94">
        <f>F4-G4</f>
        <v>54.98</v>
      </c>
      <c r="I4" s="65">
        <f>+E4+F4-G4</f>
        <v>232.45999999999998</v>
      </c>
      <c r="J4" s="103">
        <v>233.31</v>
      </c>
      <c r="K4" s="103">
        <v>234.17</v>
      </c>
      <c r="L4" s="104">
        <v>13.35</v>
      </c>
      <c r="M4" s="103">
        <v>4.55</v>
      </c>
      <c r="N4" s="103">
        <v>0.76</v>
      </c>
    </row>
    <row r="5" spans="1:14" x14ac:dyDescent="0.25">
      <c r="A5">
        <f t="shared" ref="A5:A11" si="0">A4+1</f>
        <v>3</v>
      </c>
      <c r="B5" s="102" t="s">
        <v>176</v>
      </c>
      <c r="C5" s="109">
        <v>589</v>
      </c>
      <c r="D5" s="109">
        <v>0.72</v>
      </c>
      <c r="E5" s="95">
        <f t="shared" ref="E5:E7" si="1">C5*D5</f>
        <v>424.08</v>
      </c>
      <c r="F5" s="103">
        <v>7.7</v>
      </c>
      <c r="G5" s="103">
        <v>9.68</v>
      </c>
      <c r="H5" s="105">
        <f t="shared" ref="H5:H7" si="2">F5-G5</f>
        <v>-1.9799999999999995</v>
      </c>
      <c r="I5" s="56">
        <f t="shared" ref="I5:I7" si="3">+E5+F5-G5</f>
        <v>422.09999999999997</v>
      </c>
      <c r="J5" s="103">
        <v>420.95</v>
      </c>
      <c r="K5" s="103">
        <v>94.48</v>
      </c>
      <c r="L5" s="104">
        <v>29.81</v>
      </c>
      <c r="M5" s="103">
        <v>9.6</v>
      </c>
      <c r="N5" s="103">
        <v>4.4800000000000004</v>
      </c>
    </row>
    <row r="6" spans="1:14" x14ac:dyDescent="0.25">
      <c r="A6">
        <f t="shared" si="0"/>
        <v>4</v>
      </c>
      <c r="B6" s="102" t="s">
        <v>177</v>
      </c>
      <c r="C6" s="109">
        <v>985</v>
      </c>
      <c r="D6" s="109">
        <v>0.5</v>
      </c>
      <c r="E6" s="95">
        <f>C6*D6</f>
        <v>492.5</v>
      </c>
      <c r="F6" s="103">
        <v>74.239999999999995</v>
      </c>
      <c r="G6" s="103">
        <v>2.63</v>
      </c>
      <c r="H6" s="105">
        <f t="shared" si="2"/>
        <v>71.61</v>
      </c>
      <c r="I6" s="56">
        <f t="shared" si="3"/>
        <v>564.11</v>
      </c>
      <c r="J6" s="103">
        <v>564.11</v>
      </c>
      <c r="K6" s="103">
        <v>165.79</v>
      </c>
      <c r="L6" s="104">
        <v>22.43</v>
      </c>
      <c r="M6" s="103">
        <v>7.79</v>
      </c>
      <c r="N6" s="103">
        <v>2.97</v>
      </c>
    </row>
    <row r="7" spans="1:14" x14ac:dyDescent="0.25">
      <c r="A7">
        <f t="shared" si="0"/>
        <v>5</v>
      </c>
      <c r="B7" s="102" t="s">
        <v>178</v>
      </c>
      <c r="C7" s="109">
        <v>85.14</v>
      </c>
      <c r="D7" s="109">
        <v>2.15</v>
      </c>
      <c r="E7" s="95">
        <f t="shared" si="1"/>
        <v>183.05099999999999</v>
      </c>
      <c r="F7" s="103">
        <v>54.08</v>
      </c>
      <c r="G7" s="103">
        <v>1.17</v>
      </c>
      <c r="H7" s="105">
        <f t="shared" si="2"/>
        <v>52.91</v>
      </c>
      <c r="I7" s="56">
        <f t="shared" si="3"/>
        <v>235.96099999999998</v>
      </c>
      <c r="J7" s="103">
        <v>236.26</v>
      </c>
      <c r="K7" s="103">
        <v>144.41</v>
      </c>
      <c r="L7" s="104">
        <v>15.29</v>
      </c>
      <c r="M7" s="103">
        <v>6.69</v>
      </c>
      <c r="N7" s="103">
        <v>1.27</v>
      </c>
    </row>
    <row r="8" spans="1:14" x14ac:dyDescent="0.25">
      <c r="A8">
        <f t="shared" si="0"/>
        <v>6</v>
      </c>
      <c r="B8" s="102" t="s">
        <v>179</v>
      </c>
      <c r="C8" s="109">
        <v>544.95000000000005</v>
      </c>
      <c r="D8" s="109">
        <v>0.34</v>
      </c>
      <c r="E8" s="95">
        <f>C8*D8</f>
        <v>185.28300000000002</v>
      </c>
      <c r="F8" s="103">
        <v>0</v>
      </c>
      <c r="G8" s="103">
        <v>27.9</v>
      </c>
      <c r="H8" s="105">
        <f>F8-G8</f>
        <v>-27.9</v>
      </c>
      <c r="I8" s="56">
        <f>+E8+F8-G8</f>
        <v>157.38300000000001</v>
      </c>
      <c r="J8" s="103">
        <v>159.31</v>
      </c>
      <c r="K8" s="103">
        <v>59.9</v>
      </c>
      <c r="L8" s="104">
        <v>12.27</v>
      </c>
      <c r="M8" s="103">
        <v>7.41</v>
      </c>
      <c r="N8" s="103">
        <v>3.13</v>
      </c>
    </row>
    <row r="9" spans="1:14" x14ac:dyDescent="0.25">
      <c r="A9">
        <f t="shared" si="0"/>
        <v>7</v>
      </c>
      <c r="B9" s="102" t="s">
        <v>180</v>
      </c>
      <c r="C9" s="109">
        <v>446.9</v>
      </c>
      <c r="D9" s="109">
        <v>0.31</v>
      </c>
      <c r="E9" s="95">
        <f>C9*D9</f>
        <v>138.53899999999999</v>
      </c>
      <c r="F9" s="103">
        <v>17.54</v>
      </c>
      <c r="G9" s="103">
        <v>17.489999999999998</v>
      </c>
      <c r="H9" s="105">
        <f>F9-G9</f>
        <v>5.0000000000000711E-2</v>
      </c>
      <c r="I9" s="56">
        <f>+E9+F9-G9</f>
        <v>138.58899999999997</v>
      </c>
      <c r="J9" s="103">
        <v>139.66</v>
      </c>
      <c r="K9" s="103">
        <v>134.44</v>
      </c>
      <c r="L9" s="104">
        <v>15.03</v>
      </c>
      <c r="M9" s="103">
        <v>5.41</v>
      </c>
      <c r="N9" s="103">
        <v>1.04</v>
      </c>
    </row>
    <row r="10" spans="1:14" x14ac:dyDescent="0.25">
      <c r="A10">
        <f t="shared" si="0"/>
        <v>8</v>
      </c>
      <c r="B10" s="102" t="s">
        <v>181</v>
      </c>
      <c r="C10" s="109">
        <v>8.26</v>
      </c>
      <c r="D10" s="109">
        <v>13.48</v>
      </c>
      <c r="E10" s="95">
        <f t="shared" ref="E10:E12" si="4">C10*D10</f>
        <v>111.34480000000001</v>
      </c>
      <c r="F10" s="103">
        <v>9.98</v>
      </c>
      <c r="G10" s="103">
        <v>0.86</v>
      </c>
      <c r="H10" s="105">
        <f t="shared" ref="H10:H12" si="5">F10-G10</f>
        <v>9.120000000000001</v>
      </c>
      <c r="I10" s="56">
        <f t="shared" ref="I10:I12" si="6">+E10+F10-G10</f>
        <v>120.46480000000001</v>
      </c>
      <c r="J10" s="103">
        <v>120.47</v>
      </c>
      <c r="K10" s="103">
        <v>35.869999999999997</v>
      </c>
      <c r="L10" s="104">
        <v>42.12</v>
      </c>
      <c r="M10" s="103">
        <v>0.44</v>
      </c>
      <c r="N10" s="103">
        <v>3.1</v>
      </c>
    </row>
    <row r="11" spans="1:14" x14ac:dyDescent="0.25">
      <c r="A11">
        <f t="shared" si="0"/>
        <v>9</v>
      </c>
      <c r="B11" s="106" t="s">
        <v>182</v>
      </c>
      <c r="C11" s="109">
        <v>62.5</v>
      </c>
      <c r="D11" s="109">
        <v>0.27</v>
      </c>
      <c r="E11" s="95">
        <f t="shared" si="4"/>
        <v>16.875</v>
      </c>
      <c r="F11" s="109">
        <v>1.63</v>
      </c>
      <c r="G11" s="109">
        <v>0.24</v>
      </c>
      <c r="H11" s="105">
        <f t="shared" si="5"/>
        <v>1.39</v>
      </c>
      <c r="I11" s="56">
        <f t="shared" si="6"/>
        <v>18.265000000000001</v>
      </c>
      <c r="J11" s="109">
        <v>18.46</v>
      </c>
      <c r="K11" s="109">
        <v>7</v>
      </c>
      <c r="L11" s="109">
        <v>205.11</v>
      </c>
      <c r="M11" s="109">
        <v>2.02</v>
      </c>
      <c r="N11" s="109">
        <v>2.44</v>
      </c>
    </row>
    <row r="12" spans="1:14" x14ac:dyDescent="0.25">
      <c r="A12" s="66">
        <f>A11+1</f>
        <v>10</v>
      </c>
      <c r="B12" s="102" t="s">
        <v>164</v>
      </c>
      <c r="C12" s="103">
        <v>214.84</v>
      </c>
      <c r="D12" s="103">
        <v>61.82</v>
      </c>
      <c r="E12" s="95">
        <f t="shared" si="4"/>
        <v>13281.408800000001</v>
      </c>
      <c r="F12" s="103">
        <v>2332.14</v>
      </c>
      <c r="G12" s="103">
        <v>400.36</v>
      </c>
      <c r="H12" s="105">
        <f t="shared" si="5"/>
        <v>1931.7799999999997</v>
      </c>
      <c r="I12" s="56">
        <f t="shared" si="6"/>
        <v>15213.1888</v>
      </c>
      <c r="J12" s="103">
        <v>15191.38</v>
      </c>
      <c r="K12" s="103">
        <v>7804.88</v>
      </c>
      <c r="L12" s="103">
        <v>10.33</v>
      </c>
      <c r="M12" s="103">
        <v>740.15</v>
      </c>
      <c r="N12" s="103">
        <v>1.7</v>
      </c>
    </row>
    <row r="13" spans="1:14" x14ac:dyDescent="0.25">
      <c r="A13" s="66"/>
    </row>
    <row r="15" spans="1:14" x14ac:dyDescent="0.25">
      <c r="B15" s="108"/>
    </row>
    <row r="16" spans="1:14" x14ac:dyDescent="0.25">
      <c r="B16" s="108"/>
    </row>
    <row r="17" spans="2:12" x14ac:dyDescent="0.25"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</row>
    <row r="18" spans="2:12" x14ac:dyDescent="0.25"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</row>
  </sheetData>
  <hyperlinks>
    <hyperlink ref="A2" r:id="rId1" display="https://www.screener.in/company/compare/00000010/00000017/?order=asc"/>
    <hyperlink ref="C2" r:id="rId2" display="https://www.screener.in/company/compare/00000010/00000017/?sort=current+price&amp;order=desc"/>
    <hyperlink ref="D2" r:id="rId3" display="https://www.screener.in/company/compare/00000010/00000017/?sort=number+of+equity+shares&amp;order=desc"/>
    <hyperlink ref="F2" r:id="rId4" display="https://www.screener.in/company/compare/00000010/00000017/?sort=debt&amp;order=desc"/>
    <hyperlink ref="G2" r:id="rId5" display="https://www.screener.in/company/compare/00000010/00000017/?sort=cash+end+of+last+year&amp;order=desc"/>
    <hyperlink ref="J2" r:id="rId6" display="https://www.screener.in/company/compare/00000010/00000017/?sort=enterprise+value&amp;order=desc"/>
    <hyperlink ref="K2" r:id="rId7" display="https://www.screener.in/company/compare/00000010/00000017/?sort=sales&amp;order=desc"/>
    <hyperlink ref="L2" r:id="rId8" display="https://www.screener.in/company/compare/00000010/00000017/?sort=evebitda&amp;order=desc"/>
    <hyperlink ref="M2" r:id="rId9" display="https://www.screener.in/company/compare/00000010/00000017/?sort=net+profit+last+year&amp;order=desc"/>
    <hyperlink ref="N2" r:id="rId10" display="https://www.screener.in/company/compare/00000010/00000017/?sort=market+cap+to+sales&amp;order=desc"/>
    <hyperlink ref="B2" r:id="rId11" display="https://www.screener.in/company/compare/00000010/00000017/?sort=name&amp;order=asc"/>
    <hyperlink ref="B4" r:id="rId12" display="https://www.screener.in/company/KALYANIFRG/"/>
    <hyperlink ref="B5" r:id="rId13" display="https://www.screener.in/company/544023/"/>
    <hyperlink ref="B6" r:id="rId14" display="https://www.screener.in/company/504786/consolidated/"/>
    <hyperlink ref="B7" r:id="rId15" display="https://www.screener.in/company/HILTON/"/>
    <hyperlink ref="B3" r:id="rId16" display="https://www.screener.in/company/HAPPYFORGE/"/>
    <hyperlink ref="B8" r:id="rId17" display="https://www.screener.in/company/517372/"/>
    <hyperlink ref="B9" r:id="rId18" display="https://www.screener.in/company/539479/"/>
    <hyperlink ref="B10" r:id="rId19" display="https://www.screener.in/company/GANGAFORGE/"/>
    <hyperlink ref="B11" r:id="rId20" display="https://www.screener.in/company/531911/"/>
    <hyperlink ref="B12" r:id="rId21" display="https://www.screener.in/company/ELECTCAST/consolidated/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"/>
  <sheetViews>
    <sheetView showGridLines="0" workbookViewId="0">
      <selection activeCell="J13" sqref="J13"/>
    </sheetView>
  </sheetViews>
  <sheetFormatPr defaultRowHeight="15" x14ac:dyDescent="0.25"/>
  <sheetData>
    <row r="2" spans="2:16" x14ac:dyDescent="0.25">
      <c r="B2" s="59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26"/>
    </row>
    <row r="3" spans="2:16" x14ac:dyDescent="0.25">
      <c r="B3" s="60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127"/>
    </row>
    <row r="4" spans="2:16" x14ac:dyDescent="0.25">
      <c r="B4" s="60"/>
      <c r="C4" s="26"/>
      <c r="D4" s="128" t="s">
        <v>184</v>
      </c>
      <c r="E4" s="128"/>
      <c r="F4" s="128"/>
      <c r="G4" s="128"/>
      <c r="H4" s="128"/>
      <c r="I4" s="128"/>
      <c r="J4" s="128"/>
      <c r="K4" s="26"/>
      <c r="L4" s="26"/>
      <c r="M4" s="26"/>
      <c r="N4" s="26"/>
      <c r="O4" s="26"/>
      <c r="P4" s="127"/>
    </row>
    <row r="5" spans="2:16" x14ac:dyDescent="0.25">
      <c r="B5" s="60"/>
      <c r="C5" s="26"/>
      <c r="D5" s="128"/>
      <c r="E5" s="128"/>
      <c r="F5" s="128"/>
      <c r="G5" s="128"/>
      <c r="H5" s="128"/>
      <c r="I5" s="128"/>
      <c r="J5" s="128"/>
      <c r="K5" s="26"/>
      <c r="L5" s="26"/>
      <c r="M5" s="26"/>
      <c r="N5" s="26"/>
      <c r="O5" s="26"/>
      <c r="P5" s="127"/>
    </row>
    <row r="6" spans="2:16" x14ac:dyDescent="0.25">
      <c r="B6" s="60"/>
      <c r="C6" s="26"/>
      <c r="D6" s="128"/>
      <c r="E6" s="128"/>
      <c r="F6" s="128"/>
      <c r="G6" s="128"/>
      <c r="H6" s="128"/>
      <c r="I6" s="128"/>
      <c r="J6" s="128"/>
      <c r="K6" s="26"/>
      <c r="L6" s="26"/>
      <c r="M6" s="26"/>
      <c r="N6" s="26"/>
      <c r="O6" s="26"/>
      <c r="P6" s="127"/>
    </row>
    <row r="7" spans="2:16" x14ac:dyDescent="0.25">
      <c r="B7" s="60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127"/>
    </row>
    <row r="8" spans="2:16" x14ac:dyDescent="0.25">
      <c r="B8" s="61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GROUP-16 DETAIL</vt:lpstr>
      <vt:lpstr>Corporate Finance Modeling&gt;&gt;</vt:lpstr>
      <vt:lpstr>HistoricalFS</vt:lpstr>
      <vt:lpstr>Ratio Analysis</vt:lpstr>
      <vt:lpstr>Data Sheet</vt:lpstr>
      <vt:lpstr>Relative Valuation</vt:lpstr>
      <vt:lpstr>Raw Data fior Relative Valuatio</vt:lpstr>
      <vt:lpstr>NOTE</vt:lpstr>
      <vt:lpstr>UPDATE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ray</dc:creator>
  <cp:lastModifiedBy>NAMAHA SHIVAY</cp:lastModifiedBy>
  <cp:lastPrinted>2024-05-06T05:38:03Z</cp:lastPrinted>
  <dcterms:created xsi:type="dcterms:W3CDTF">2023-01-14T08:22:33Z</dcterms:created>
  <dcterms:modified xsi:type="dcterms:W3CDTF">2024-09-25T16:19:53Z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{9CFBFC8B-C35F-4354-95CF-4607CE1DA376}</vt:lpwstr>
  </property>
</Properties>
</file>