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00" windowHeight="8010"/>
  </bookViews>
  <sheets>
    <sheet name="Forecasting" sheetId="1" r:id="rId1"/>
    <sheet name="Scenario Summary" sheetId="4" r:id="rId2"/>
    <sheet name="Historical FS" sheetId="6" r:id="rId3"/>
    <sheet name="Data sheet" sheetId="8" r:id="rId4"/>
    <sheet name="Cash flow data" sheetId="9" r:id="rId5"/>
  </sheets>
  <externalReferences>
    <externalReference r:id="rId6"/>
  </externalReferences>
  <definedNames>
    <definedName name="Beta">#REF!</definedName>
    <definedName name="Cost_of_debt">#REF!</definedName>
    <definedName name="Cost_of_equity">#REF!</definedName>
    <definedName name="debt_funding">#REF!</definedName>
    <definedName name="Debt_Value">#REF!</definedName>
    <definedName name="equity_funding">#REF!</definedName>
    <definedName name="Equity_value">#REF!</definedName>
    <definedName name="Gross_profit">#REF!</definedName>
    <definedName name="Market_Returns">#REF!</definedName>
    <definedName name="Next_year_sales">#REF!</definedName>
    <definedName name="PCOD">#REF!</definedName>
    <definedName name="Risk_Free_Rate">#REF!</definedName>
    <definedName name="Tax_rate">#REF!</definedName>
    <definedName name="UPDATE">'[1]Data Sheet'!$E$1</definedName>
  </definedNames>
  <calcPr calcId="145621"/>
</workbook>
</file>

<file path=xl/calcChain.xml><?xml version="1.0" encoding="utf-8"?>
<calcChain xmlns="http://schemas.openxmlformats.org/spreadsheetml/2006/main">
  <c r="F25" i="1" l="1"/>
  <c r="E25" i="1"/>
  <c r="C76" i="1"/>
  <c r="F76" i="1"/>
  <c r="E76" i="1"/>
  <c r="D76" i="1"/>
  <c r="H76" i="1"/>
  <c r="E82" i="1"/>
  <c r="G76" i="1"/>
  <c r="E1" i="6"/>
  <c r="J46" i="1"/>
  <c r="J45" i="1"/>
  <c r="J44" i="1"/>
  <c r="J43" i="1"/>
  <c r="J42" i="1"/>
  <c r="J41" i="1"/>
  <c r="J40" i="1"/>
  <c r="J39" i="1"/>
  <c r="J38" i="1"/>
  <c r="J37" i="1"/>
  <c r="K29" i="1"/>
  <c r="J29" i="1"/>
  <c r="K33" i="1"/>
  <c r="K32" i="1"/>
  <c r="K31" i="1"/>
  <c r="K30" i="1"/>
  <c r="K28" i="1"/>
  <c r="K27" i="1"/>
  <c r="K26" i="1"/>
  <c r="K25" i="1"/>
  <c r="K24" i="1"/>
  <c r="K21" i="1"/>
  <c r="K20" i="1"/>
  <c r="K19" i="1"/>
  <c r="K9" i="1" s="1"/>
  <c r="K18" i="1"/>
  <c r="K17" i="1"/>
  <c r="K16" i="1"/>
  <c r="K10" i="1"/>
  <c r="K7" i="1"/>
  <c r="K5" i="1"/>
  <c r="K6" i="1" s="1"/>
  <c r="K4" i="1"/>
  <c r="A3" i="1"/>
  <c r="K2" i="1"/>
  <c r="K8" i="1" l="1"/>
  <c r="K11" i="1" s="1"/>
  <c r="K12" i="1" s="1"/>
  <c r="K13" i="1" s="1"/>
  <c r="J24" i="1"/>
  <c r="I24" i="1"/>
  <c r="I11" i="1"/>
  <c r="J10" i="1"/>
  <c r="J30" i="1" s="1"/>
  <c r="J9" i="1"/>
  <c r="J17" i="1"/>
  <c r="J16" i="1"/>
  <c r="J21" i="1"/>
  <c r="J20" i="1"/>
  <c r="J19" i="1"/>
  <c r="I19" i="1"/>
  <c r="J7" i="1"/>
  <c r="I7" i="1"/>
  <c r="J18" i="1"/>
  <c r="G18" i="1"/>
  <c r="I18" i="1"/>
  <c r="E16" i="1"/>
  <c r="F4" i="1"/>
  <c r="G4" i="1"/>
  <c r="H4" i="1" s="1"/>
  <c r="I4" i="1" s="1"/>
  <c r="J4" i="1" s="1"/>
  <c r="J5" i="1" l="1"/>
  <c r="J25" i="1" s="1"/>
  <c r="I9" i="1"/>
  <c r="I5" i="1"/>
  <c r="I6" i="1" s="1"/>
  <c r="I8" i="1" s="1"/>
  <c r="J6" i="1" l="1"/>
  <c r="C8" i="6"/>
  <c r="D8" i="6"/>
  <c r="E8" i="6"/>
  <c r="F8" i="6"/>
  <c r="G8" i="6"/>
  <c r="H8" i="6"/>
  <c r="I8" i="6"/>
  <c r="J8" i="6"/>
  <c r="K8" i="6"/>
  <c r="L8" i="6"/>
  <c r="M8" i="6"/>
  <c r="J8" i="1" l="1"/>
  <c r="J27" i="1"/>
  <c r="J26" i="1"/>
  <c r="K15" i="8"/>
  <c r="B15" i="8"/>
  <c r="C32" i="8"/>
  <c r="K32" i="8"/>
  <c r="J32" i="8"/>
  <c r="I32" i="8"/>
  <c r="H32" i="8"/>
  <c r="G32" i="8"/>
  <c r="F32" i="8"/>
  <c r="E32" i="8"/>
  <c r="D32" i="8"/>
  <c r="B32" i="8"/>
  <c r="J11" i="1" l="1"/>
  <c r="J28" i="1"/>
  <c r="M106" i="6"/>
  <c r="L106" i="6"/>
  <c r="K106" i="6"/>
  <c r="J106" i="6"/>
  <c r="I106" i="6"/>
  <c r="H106" i="6"/>
  <c r="G106" i="6"/>
  <c r="F106" i="6"/>
  <c r="E106" i="6"/>
  <c r="D106" i="6"/>
  <c r="C106" i="6"/>
  <c r="M105" i="6"/>
  <c r="L105" i="6"/>
  <c r="K105" i="6"/>
  <c r="J105" i="6"/>
  <c r="I105" i="6"/>
  <c r="H105" i="6"/>
  <c r="G105" i="6"/>
  <c r="F105" i="6"/>
  <c r="E105" i="6"/>
  <c r="D105" i="6"/>
  <c r="C105" i="6"/>
  <c r="M104" i="6"/>
  <c r="L104" i="6"/>
  <c r="K104" i="6"/>
  <c r="J104" i="6"/>
  <c r="I104" i="6"/>
  <c r="H104" i="6"/>
  <c r="G104" i="6"/>
  <c r="F104" i="6"/>
  <c r="E104" i="6"/>
  <c r="D104" i="6"/>
  <c r="C104" i="6"/>
  <c r="M103" i="6"/>
  <c r="L103" i="6"/>
  <c r="K103" i="6"/>
  <c r="J103" i="6"/>
  <c r="I103" i="6"/>
  <c r="H103" i="6"/>
  <c r="G103" i="6"/>
  <c r="F103" i="6"/>
  <c r="E103" i="6"/>
  <c r="D103" i="6"/>
  <c r="C103" i="6"/>
  <c r="M102" i="6"/>
  <c r="L102" i="6"/>
  <c r="K102" i="6"/>
  <c r="J102" i="6"/>
  <c r="I102" i="6"/>
  <c r="H102" i="6"/>
  <c r="G102" i="6"/>
  <c r="F102" i="6"/>
  <c r="E102" i="6"/>
  <c r="D102" i="6"/>
  <c r="C102" i="6"/>
  <c r="M101" i="6"/>
  <c r="L101" i="6"/>
  <c r="K101" i="6"/>
  <c r="J101" i="6"/>
  <c r="I101" i="6"/>
  <c r="H101" i="6"/>
  <c r="G101" i="6"/>
  <c r="F101" i="6"/>
  <c r="E101" i="6"/>
  <c r="D101" i="6"/>
  <c r="C101" i="6"/>
  <c r="M100" i="6"/>
  <c r="L100" i="6"/>
  <c r="K100" i="6"/>
  <c r="J100" i="6"/>
  <c r="I100" i="6"/>
  <c r="H100" i="6"/>
  <c r="G100" i="6"/>
  <c r="F100" i="6"/>
  <c r="E100" i="6"/>
  <c r="D100" i="6"/>
  <c r="C100" i="6"/>
  <c r="M99" i="6"/>
  <c r="M107" i="6" s="1"/>
  <c r="L99" i="6"/>
  <c r="L107" i="6" s="1"/>
  <c r="K99" i="6"/>
  <c r="K107" i="6" s="1"/>
  <c r="J99" i="6"/>
  <c r="I99" i="6"/>
  <c r="I107" i="6" s="1"/>
  <c r="H99" i="6"/>
  <c r="H107" i="6" s="1"/>
  <c r="G99" i="6"/>
  <c r="G107" i="6" s="1"/>
  <c r="F99" i="6"/>
  <c r="F107" i="6" s="1"/>
  <c r="E99" i="6"/>
  <c r="E107" i="6" s="1"/>
  <c r="D99" i="6"/>
  <c r="D107" i="6" s="1"/>
  <c r="C99" i="6"/>
  <c r="C107" i="6" s="1"/>
  <c r="M95" i="6"/>
  <c r="L95" i="6"/>
  <c r="K95" i="6"/>
  <c r="J95" i="6"/>
  <c r="I95" i="6"/>
  <c r="H95" i="6"/>
  <c r="G95" i="6"/>
  <c r="F95" i="6"/>
  <c r="E95" i="6"/>
  <c r="D95" i="6"/>
  <c r="C95" i="6"/>
  <c r="M94" i="6"/>
  <c r="L94" i="6"/>
  <c r="K94" i="6"/>
  <c r="J94" i="6"/>
  <c r="I94" i="6"/>
  <c r="H94" i="6"/>
  <c r="G94" i="6"/>
  <c r="F94" i="6"/>
  <c r="E94" i="6"/>
  <c r="D94" i="6"/>
  <c r="C94" i="6"/>
  <c r="M93" i="6"/>
  <c r="L93" i="6"/>
  <c r="K93" i="6"/>
  <c r="J93" i="6"/>
  <c r="I93" i="6"/>
  <c r="H93" i="6"/>
  <c r="G93" i="6"/>
  <c r="F93" i="6"/>
  <c r="E93" i="6"/>
  <c r="D93" i="6"/>
  <c r="C93" i="6"/>
  <c r="M92" i="6"/>
  <c r="L92" i="6"/>
  <c r="K92" i="6"/>
  <c r="J92" i="6"/>
  <c r="I92" i="6"/>
  <c r="H92" i="6"/>
  <c r="G92" i="6"/>
  <c r="F92" i="6"/>
  <c r="E92" i="6"/>
  <c r="D92" i="6"/>
  <c r="C92" i="6"/>
  <c r="M91" i="6"/>
  <c r="L91" i="6"/>
  <c r="K91" i="6"/>
  <c r="J91" i="6"/>
  <c r="I91" i="6"/>
  <c r="H91" i="6"/>
  <c r="G91" i="6"/>
  <c r="F91" i="6"/>
  <c r="E91" i="6"/>
  <c r="D91" i="6"/>
  <c r="C91" i="6"/>
  <c r="M90" i="6"/>
  <c r="L90" i="6"/>
  <c r="K90" i="6"/>
  <c r="J90" i="6"/>
  <c r="I90" i="6"/>
  <c r="H90" i="6"/>
  <c r="G90" i="6"/>
  <c r="F90" i="6"/>
  <c r="E90" i="6"/>
  <c r="D90" i="6"/>
  <c r="C90" i="6"/>
  <c r="M89" i="6"/>
  <c r="L89" i="6"/>
  <c r="K89" i="6"/>
  <c r="J89" i="6"/>
  <c r="I89" i="6"/>
  <c r="H89" i="6"/>
  <c r="G89" i="6"/>
  <c r="F89" i="6"/>
  <c r="E89" i="6"/>
  <c r="D89" i="6"/>
  <c r="C89" i="6"/>
  <c r="M88" i="6"/>
  <c r="L88" i="6"/>
  <c r="K88" i="6"/>
  <c r="J88" i="6"/>
  <c r="I88" i="6"/>
  <c r="H88" i="6"/>
  <c r="G88" i="6"/>
  <c r="F88" i="6"/>
  <c r="E88" i="6"/>
  <c r="D88" i="6"/>
  <c r="C88" i="6"/>
  <c r="M87" i="6"/>
  <c r="L87" i="6"/>
  <c r="K87" i="6"/>
  <c r="J87" i="6"/>
  <c r="I87" i="6"/>
  <c r="H87" i="6"/>
  <c r="G87" i="6"/>
  <c r="F87" i="6"/>
  <c r="E87" i="6"/>
  <c r="D87" i="6"/>
  <c r="C87" i="6"/>
  <c r="M86" i="6"/>
  <c r="L86" i="6"/>
  <c r="K86" i="6"/>
  <c r="J86" i="6"/>
  <c r="I86" i="6"/>
  <c r="H86" i="6"/>
  <c r="G86" i="6"/>
  <c r="F86" i="6"/>
  <c r="E86" i="6"/>
  <c r="D86" i="6"/>
  <c r="C86" i="6"/>
  <c r="M85" i="6"/>
  <c r="L85" i="6"/>
  <c r="K85" i="6"/>
  <c r="J85" i="6"/>
  <c r="I85" i="6"/>
  <c r="H85" i="6"/>
  <c r="G85" i="6"/>
  <c r="F85" i="6"/>
  <c r="E85" i="6"/>
  <c r="D85" i="6"/>
  <c r="C85" i="6"/>
  <c r="M84" i="6"/>
  <c r="M96" i="6" s="1"/>
  <c r="L84" i="6"/>
  <c r="L96" i="6" s="1"/>
  <c r="K84" i="6"/>
  <c r="J84" i="6"/>
  <c r="I84" i="6"/>
  <c r="I96" i="6" s="1"/>
  <c r="H84" i="6"/>
  <c r="H96" i="6" s="1"/>
  <c r="G84" i="6"/>
  <c r="F84" i="6"/>
  <c r="E84" i="6"/>
  <c r="E96" i="6" s="1"/>
  <c r="D84" i="6"/>
  <c r="D96" i="6" s="1"/>
  <c r="C84" i="6"/>
  <c r="M79" i="6"/>
  <c r="L79" i="6"/>
  <c r="K79" i="6"/>
  <c r="J79" i="6"/>
  <c r="I79" i="6"/>
  <c r="H79" i="6"/>
  <c r="G79" i="6"/>
  <c r="F79" i="6"/>
  <c r="E79" i="6"/>
  <c r="D79" i="6"/>
  <c r="C79" i="6"/>
  <c r="M78" i="6"/>
  <c r="L78" i="6"/>
  <c r="K78" i="6"/>
  <c r="J78" i="6"/>
  <c r="I78" i="6"/>
  <c r="H78" i="6"/>
  <c r="G78" i="6"/>
  <c r="F78" i="6"/>
  <c r="E78" i="6"/>
  <c r="D78" i="6"/>
  <c r="C78" i="6"/>
  <c r="M77" i="6"/>
  <c r="L77" i="6"/>
  <c r="K77" i="6"/>
  <c r="J77" i="6"/>
  <c r="I77" i="6"/>
  <c r="H77" i="6"/>
  <c r="G77" i="6"/>
  <c r="F77" i="6"/>
  <c r="E77" i="6"/>
  <c r="D77" i="6"/>
  <c r="C77" i="6"/>
  <c r="M76" i="6"/>
  <c r="L76" i="6"/>
  <c r="K76" i="6"/>
  <c r="J76" i="6"/>
  <c r="I76" i="6"/>
  <c r="H76" i="6"/>
  <c r="G76" i="6"/>
  <c r="F76" i="6"/>
  <c r="E76" i="6"/>
  <c r="D76" i="6"/>
  <c r="C76" i="6"/>
  <c r="M75" i="6"/>
  <c r="L75" i="6"/>
  <c r="K75" i="6"/>
  <c r="J75" i="6"/>
  <c r="I75" i="6"/>
  <c r="H75" i="6"/>
  <c r="G75" i="6"/>
  <c r="F75" i="6"/>
  <c r="E75" i="6"/>
  <c r="D75" i="6"/>
  <c r="C75" i="6"/>
  <c r="M74" i="6"/>
  <c r="L74" i="6"/>
  <c r="K74" i="6"/>
  <c r="J74" i="6"/>
  <c r="I74" i="6"/>
  <c r="H74" i="6"/>
  <c r="G74" i="6"/>
  <c r="F74" i="6"/>
  <c r="E74" i="6"/>
  <c r="D74" i="6"/>
  <c r="C74" i="6"/>
  <c r="M73" i="6"/>
  <c r="L73" i="6"/>
  <c r="K73" i="6"/>
  <c r="J73" i="6"/>
  <c r="I73" i="6"/>
  <c r="H73" i="6"/>
  <c r="G73" i="6"/>
  <c r="F73" i="6"/>
  <c r="E73" i="6"/>
  <c r="D73" i="6"/>
  <c r="C73" i="6"/>
  <c r="M72" i="6"/>
  <c r="L72" i="6"/>
  <c r="K72" i="6"/>
  <c r="J72" i="6"/>
  <c r="I72" i="6"/>
  <c r="H72" i="6"/>
  <c r="G72" i="6"/>
  <c r="F72" i="6"/>
  <c r="E72" i="6"/>
  <c r="D72" i="6"/>
  <c r="M70" i="6"/>
  <c r="L70" i="6"/>
  <c r="K70" i="6"/>
  <c r="J70" i="6"/>
  <c r="I70" i="6"/>
  <c r="H70" i="6"/>
  <c r="G70" i="6"/>
  <c r="F70" i="6"/>
  <c r="E70" i="6"/>
  <c r="D70" i="6"/>
  <c r="C70" i="6"/>
  <c r="C72" i="6"/>
  <c r="C81" i="6" s="1"/>
  <c r="C2" i="6"/>
  <c r="L2" i="6"/>
  <c r="K2" i="6"/>
  <c r="J2" i="6"/>
  <c r="I2" i="6"/>
  <c r="H2" i="6"/>
  <c r="G2" i="6"/>
  <c r="F2" i="6"/>
  <c r="E2" i="6"/>
  <c r="D2" i="6"/>
  <c r="J31" i="1" l="1"/>
  <c r="J12" i="1"/>
  <c r="I81" i="6"/>
  <c r="I109" i="6" s="1"/>
  <c r="C96" i="6"/>
  <c r="G96" i="6"/>
  <c r="K96" i="6"/>
  <c r="M81" i="6"/>
  <c r="M109" i="6" s="1"/>
  <c r="E81" i="6"/>
  <c r="E109" i="6" s="1"/>
  <c r="F81" i="6"/>
  <c r="J81" i="6"/>
  <c r="F96" i="6"/>
  <c r="J96" i="6"/>
  <c r="J107" i="6"/>
  <c r="K81" i="6"/>
  <c r="K109" i="6" s="1"/>
  <c r="C109" i="6"/>
  <c r="D81" i="6"/>
  <c r="D109" i="6" s="1"/>
  <c r="H81" i="6"/>
  <c r="H109" i="6" s="1"/>
  <c r="L81" i="6"/>
  <c r="L109" i="6" s="1"/>
  <c r="G81" i="6"/>
  <c r="G109" i="6" s="1"/>
  <c r="L51" i="6"/>
  <c r="K51" i="6"/>
  <c r="J51" i="6"/>
  <c r="I51" i="6"/>
  <c r="H51" i="6"/>
  <c r="G51" i="6"/>
  <c r="F51" i="6"/>
  <c r="E51" i="6"/>
  <c r="D51" i="6"/>
  <c r="M62" i="6"/>
  <c r="L56" i="6"/>
  <c r="K56" i="6"/>
  <c r="J56" i="6"/>
  <c r="I56" i="6"/>
  <c r="H56" i="6"/>
  <c r="G56" i="6"/>
  <c r="F56" i="6"/>
  <c r="E56" i="6"/>
  <c r="D56" i="6"/>
  <c r="C56" i="6"/>
  <c r="L61" i="6"/>
  <c r="K61" i="6"/>
  <c r="J61" i="6"/>
  <c r="I61" i="6"/>
  <c r="H61" i="6"/>
  <c r="G61" i="6"/>
  <c r="F61" i="6"/>
  <c r="E61" i="6"/>
  <c r="D61" i="6"/>
  <c r="C61" i="6"/>
  <c r="L60" i="6"/>
  <c r="K60" i="6"/>
  <c r="J60" i="6"/>
  <c r="I60" i="6"/>
  <c r="H60" i="6"/>
  <c r="G60" i="6"/>
  <c r="F60" i="6"/>
  <c r="E60" i="6"/>
  <c r="D60" i="6"/>
  <c r="C60" i="6"/>
  <c r="L59" i="6"/>
  <c r="K59" i="6"/>
  <c r="J59" i="6"/>
  <c r="J62" i="6" s="1"/>
  <c r="I59" i="6"/>
  <c r="I62" i="6" s="1"/>
  <c r="H59" i="6"/>
  <c r="G59" i="6"/>
  <c r="F59" i="6"/>
  <c r="F62" i="6" s="1"/>
  <c r="E59" i="6"/>
  <c r="E62" i="6" s="1"/>
  <c r="D59" i="6"/>
  <c r="C59" i="6"/>
  <c r="L55" i="6"/>
  <c r="K55" i="6"/>
  <c r="J55" i="6"/>
  <c r="I55" i="6"/>
  <c r="H55" i="6"/>
  <c r="G55" i="6"/>
  <c r="F55" i="6"/>
  <c r="E55" i="6"/>
  <c r="D55" i="6"/>
  <c r="C55" i="6"/>
  <c r="L54" i="6"/>
  <c r="K54" i="6"/>
  <c r="J54" i="6"/>
  <c r="I54" i="6"/>
  <c r="H54" i="6"/>
  <c r="G54" i="6"/>
  <c r="F54" i="6"/>
  <c r="E54" i="6"/>
  <c r="D54" i="6"/>
  <c r="C54" i="6"/>
  <c r="L53" i="6"/>
  <c r="L57" i="6" s="1"/>
  <c r="K53" i="6"/>
  <c r="K57" i="6" s="1"/>
  <c r="J53" i="6"/>
  <c r="I53" i="6"/>
  <c r="H53" i="6"/>
  <c r="H57" i="6" s="1"/>
  <c r="G53" i="6"/>
  <c r="G57" i="6" s="1"/>
  <c r="F53" i="6"/>
  <c r="E53" i="6"/>
  <c r="D53" i="6"/>
  <c r="D57" i="6" s="1"/>
  <c r="C53" i="6"/>
  <c r="C57" i="6" s="1"/>
  <c r="C51" i="6"/>
  <c r="L50" i="6"/>
  <c r="K50" i="6"/>
  <c r="J50" i="6"/>
  <c r="I50" i="6"/>
  <c r="H50" i="6"/>
  <c r="G50" i="6"/>
  <c r="F50" i="6"/>
  <c r="E50" i="6"/>
  <c r="D50" i="6"/>
  <c r="C50" i="6"/>
  <c r="L49" i="6"/>
  <c r="K49" i="6"/>
  <c r="J49" i="6"/>
  <c r="I49" i="6"/>
  <c r="H49" i="6"/>
  <c r="G49" i="6"/>
  <c r="F49" i="6"/>
  <c r="E49" i="6"/>
  <c r="D49" i="6"/>
  <c r="C49" i="6"/>
  <c r="L48" i="6"/>
  <c r="K48" i="6"/>
  <c r="J48" i="6"/>
  <c r="I48" i="6"/>
  <c r="H48" i="6"/>
  <c r="G48" i="6"/>
  <c r="F48" i="6"/>
  <c r="E48" i="6"/>
  <c r="D48" i="6"/>
  <c r="C48" i="6"/>
  <c r="L47" i="6"/>
  <c r="K47" i="6"/>
  <c r="J47" i="6"/>
  <c r="I47" i="6"/>
  <c r="H47" i="6"/>
  <c r="G47" i="6"/>
  <c r="F47" i="6"/>
  <c r="E47" i="6"/>
  <c r="D47" i="6"/>
  <c r="C47" i="6"/>
  <c r="M47" i="6"/>
  <c r="M35" i="6"/>
  <c r="M39" i="6" s="1"/>
  <c r="L35" i="6"/>
  <c r="L39" i="6" s="1"/>
  <c r="K35" i="6"/>
  <c r="K39" i="6" s="1"/>
  <c r="J35" i="6"/>
  <c r="J39" i="6" s="1"/>
  <c r="I35" i="6"/>
  <c r="I39" i="6" s="1"/>
  <c r="H35" i="6"/>
  <c r="H39" i="6" s="1"/>
  <c r="G35" i="6"/>
  <c r="G39" i="6" s="1"/>
  <c r="F35" i="6"/>
  <c r="F39" i="6" s="1"/>
  <c r="E35" i="6"/>
  <c r="E39" i="6" s="1"/>
  <c r="D35" i="6"/>
  <c r="D39" i="6" s="1"/>
  <c r="C35" i="6"/>
  <c r="C39" i="6" s="1"/>
  <c r="M29" i="6"/>
  <c r="L29" i="6"/>
  <c r="K29" i="6"/>
  <c r="J29" i="6"/>
  <c r="I29" i="6"/>
  <c r="H29" i="6"/>
  <c r="G29" i="6"/>
  <c r="F29" i="6"/>
  <c r="E29" i="6"/>
  <c r="D29" i="6"/>
  <c r="C23" i="6"/>
  <c r="C29" i="6"/>
  <c r="M23" i="6"/>
  <c r="L23" i="6"/>
  <c r="K23" i="6"/>
  <c r="J23" i="6"/>
  <c r="I23" i="6"/>
  <c r="H23" i="6"/>
  <c r="G23" i="6"/>
  <c r="F23" i="6"/>
  <c r="E23" i="6"/>
  <c r="D23" i="6"/>
  <c r="M20" i="6"/>
  <c r="M14" i="6"/>
  <c r="L14" i="6"/>
  <c r="K14" i="6"/>
  <c r="J14" i="6"/>
  <c r="I14" i="6"/>
  <c r="H14" i="6"/>
  <c r="G14" i="6"/>
  <c r="F14" i="6"/>
  <c r="E14" i="6"/>
  <c r="D14" i="6"/>
  <c r="M5" i="6"/>
  <c r="L5" i="6"/>
  <c r="K5" i="6"/>
  <c r="J5" i="6"/>
  <c r="I5" i="6"/>
  <c r="H5" i="6"/>
  <c r="G5" i="6"/>
  <c r="F5" i="6"/>
  <c r="E5" i="6"/>
  <c r="D5" i="6"/>
  <c r="D11" i="6" s="1"/>
  <c r="C5" i="6"/>
  <c r="L20" i="6"/>
  <c r="K20" i="6"/>
  <c r="J20" i="6"/>
  <c r="I20" i="6"/>
  <c r="H20" i="6"/>
  <c r="G20" i="6"/>
  <c r="F20" i="6"/>
  <c r="E20" i="6"/>
  <c r="D20" i="6"/>
  <c r="C20" i="6"/>
  <c r="J13" i="1" l="1"/>
  <c r="J33" i="1" s="1"/>
  <c r="J32" i="1"/>
  <c r="J109" i="6"/>
  <c r="F109" i="6"/>
  <c r="F21" i="6"/>
  <c r="J21" i="6"/>
  <c r="K21" i="6"/>
  <c r="I57" i="6"/>
  <c r="I64" i="6" s="1"/>
  <c r="I67" i="6" s="1"/>
  <c r="C21" i="6"/>
  <c r="G21" i="6"/>
  <c r="E57" i="6"/>
  <c r="E64" i="6" s="1"/>
  <c r="E67" i="6" s="1"/>
  <c r="C62" i="6"/>
  <c r="C64" i="6" s="1"/>
  <c r="C67" i="6" s="1"/>
  <c r="G62" i="6"/>
  <c r="G64" i="6" s="1"/>
  <c r="G67" i="6" s="1"/>
  <c r="K62" i="6"/>
  <c r="K64" i="6" s="1"/>
  <c r="K67" i="6" s="1"/>
  <c r="F57" i="6"/>
  <c r="F64" i="6" s="1"/>
  <c r="F67" i="6" s="1"/>
  <c r="J57" i="6"/>
  <c r="J64" i="6" s="1"/>
  <c r="J67" i="6" s="1"/>
  <c r="D62" i="6"/>
  <c r="D64" i="6" s="1"/>
  <c r="D67" i="6" s="1"/>
  <c r="H62" i="6"/>
  <c r="H64" i="6" s="1"/>
  <c r="H67" i="6" s="1"/>
  <c r="L62" i="6"/>
  <c r="L64" i="6" s="1"/>
  <c r="L67" i="6" s="1"/>
  <c r="C24" i="6"/>
  <c r="D21" i="6"/>
  <c r="H21" i="6"/>
  <c r="L21" i="6"/>
  <c r="E21" i="6"/>
  <c r="I21" i="6"/>
  <c r="E24" i="6"/>
  <c r="I24" i="6"/>
  <c r="M24" i="6"/>
  <c r="M21" i="6"/>
  <c r="F24" i="6"/>
  <c r="J24" i="6"/>
  <c r="G24" i="6"/>
  <c r="K24" i="6"/>
  <c r="D24" i="6"/>
  <c r="H24" i="6"/>
  <c r="L24" i="6"/>
  <c r="M15" i="6"/>
  <c r="L15" i="6"/>
  <c r="K15" i="6"/>
  <c r="J15" i="6"/>
  <c r="I15" i="6"/>
  <c r="H15" i="6"/>
  <c r="G15" i="6"/>
  <c r="F15" i="6"/>
  <c r="E15" i="6"/>
  <c r="D15" i="6"/>
  <c r="C14" i="6" l="1"/>
  <c r="C15" i="6" s="1"/>
  <c r="I9" i="6"/>
  <c r="E9" i="6"/>
  <c r="J11" i="6"/>
  <c r="F11" i="6"/>
  <c r="F17" i="6" l="1"/>
  <c r="F12" i="6"/>
  <c r="J17" i="6"/>
  <c r="J12" i="6"/>
  <c r="G11" i="6"/>
  <c r="K11" i="6"/>
  <c r="H11" i="6"/>
  <c r="M9" i="6"/>
  <c r="C11" i="6"/>
  <c r="L11" i="6"/>
  <c r="E6" i="6"/>
  <c r="I6" i="6"/>
  <c r="M6" i="6"/>
  <c r="F9" i="6"/>
  <c r="J9" i="6"/>
  <c r="C9" i="6"/>
  <c r="G9" i="6"/>
  <c r="K9" i="6"/>
  <c r="D9" i="6"/>
  <c r="H9" i="6"/>
  <c r="L9" i="6"/>
  <c r="F6" i="6"/>
  <c r="J6" i="6"/>
  <c r="E11" i="6"/>
  <c r="I11" i="6"/>
  <c r="M11" i="6"/>
  <c r="G6" i="6"/>
  <c r="K6" i="6"/>
  <c r="D6" i="6"/>
  <c r="H6" i="6"/>
  <c r="L6" i="6"/>
  <c r="B6" i="8"/>
  <c r="E1" i="8"/>
  <c r="H17" i="6" l="1"/>
  <c r="H12" i="6"/>
  <c r="M17" i="6"/>
  <c r="M12" i="6"/>
  <c r="L17" i="6"/>
  <c r="L12" i="6"/>
  <c r="D17" i="6"/>
  <c r="D12" i="6"/>
  <c r="J18" i="6"/>
  <c r="J26" i="6"/>
  <c r="I17" i="6"/>
  <c r="I12" i="6"/>
  <c r="C17" i="6"/>
  <c r="C12" i="6"/>
  <c r="K17" i="6"/>
  <c r="K12" i="6"/>
  <c r="E17" i="6"/>
  <c r="E12" i="6"/>
  <c r="G17" i="6"/>
  <c r="G12" i="6"/>
  <c r="F18" i="6"/>
  <c r="F26" i="6"/>
  <c r="G18" i="6" l="1"/>
  <c r="G26" i="6"/>
  <c r="I18" i="6"/>
  <c r="I26" i="6"/>
  <c r="D18" i="6"/>
  <c r="D26" i="6"/>
  <c r="E18" i="6"/>
  <c r="E26" i="6"/>
  <c r="C18" i="6"/>
  <c r="C26" i="6"/>
  <c r="L18" i="6"/>
  <c r="L26" i="6"/>
  <c r="H18" i="6"/>
  <c r="H26" i="6"/>
  <c r="K18" i="6"/>
  <c r="K26" i="6"/>
  <c r="M18" i="6"/>
  <c r="M26" i="6"/>
  <c r="F32" i="6"/>
  <c r="F27" i="6"/>
  <c r="F30" i="6"/>
  <c r="J32" i="6"/>
  <c r="J27" i="6"/>
  <c r="J30" i="6"/>
  <c r="C50" i="1"/>
  <c r="A87" i="1"/>
  <c r="B88" i="1"/>
  <c r="B82" i="1"/>
  <c r="B83" i="1" s="1"/>
  <c r="K27" i="6" l="1"/>
  <c r="K30" i="6"/>
  <c r="K32" i="6"/>
  <c r="L30" i="6"/>
  <c r="L27" i="6"/>
  <c r="L32" i="6"/>
  <c r="E27" i="6"/>
  <c r="E32" i="6"/>
  <c r="E30" i="6"/>
  <c r="I27" i="6"/>
  <c r="I32" i="6"/>
  <c r="I30" i="6"/>
  <c r="F36" i="6"/>
  <c r="F33" i="6"/>
  <c r="J36" i="6"/>
  <c r="J33" i="6"/>
  <c r="M27" i="6"/>
  <c r="M32" i="6"/>
  <c r="M30" i="6"/>
  <c r="H30" i="6"/>
  <c r="H27" i="6"/>
  <c r="H32" i="6"/>
  <c r="C27" i="6"/>
  <c r="C32" i="6"/>
  <c r="C30" i="6"/>
  <c r="D30" i="6"/>
  <c r="D27" i="6"/>
  <c r="D32" i="6"/>
  <c r="G27" i="6"/>
  <c r="G32" i="6"/>
  <c r="G30" i="6"/>
  <c r="A88" i="1"/>
  <c r="C49" i="1"/>
  <c r="C52" i="1" s="1"/>
  <c r="B62" i="1"/>
  <c r="C53" i="1"/>
  <c r="C54" i="1" s="1"/>
  <c r="D61" i="1"/>
  <c r="D60" i="1"/>
  <c r="D59" i="1"/>
  <c r="D58" i="1"/>
  <c r="D57" i="1"/>
  <c r="C61" i="1"/>
  <c r="C60" i="1"/>
  <c r="C59" i="1"/>
  <c r="C58" i="1"/>
  <c r="C57" i="1"/>
  <c r="F53" i="1"/>
  <c r="F54" i="1" s="1"/>
  <c r="H50" i="1"/>
  <c r="H53" i="1" s="1"/>
  <c r="H54" i="1" s="1"/>
  <c r="G50" i="1"/>
  <c r="G53" i="1" s="1"/>
  <c r="G54" i="1" s="1"/>
  <c r="F50" i="1"/>
  <c r="E50" i="1"/>
  <c r="E53" i="1" s="1"/>
  <c r="E54" i="1" s="1"/>
  <c r="D50" i="1"/>
  <c r="D53" i="1" s="1"/>
  <c r="D54" i="1" s="1"/>
  <c r="H49" i="1"/>
  <c r="H52" i="1" s="1"/>
  <c r="G49" i="1"/>
  <c r="G52" i="1" s="1"/>
  <c r="F49" i="1"/>
  <c r="F52" i="1" s="1"/>
  <c r="E49" i="1"/>
  <c r="E52" i="1" s="1"/>
  <c r="D49" i="1"/>
  <c r="D52" i="1" s="1"/>
  <c r="D24" i="1"/>
  <c r="D71" i="1" l="1"/>
  <c r="D82" i="1" s="1"/>
  <c r="J42" i="6"/>
  <c r="J40" i="6"/>
  <c r="F40" i="6"/>
  <c r="F42" i="6" s="1"/>
  <c r="D36" i="6"/>
  <c r="D33" i="6"/>
  <c r="C36" i="6"/>
  <c r="C33" i="6"/>
  <c r="E36" i="6"/>
  <c r="E33" i="6"/>
  <c r="I36" i="6"/>
  <c r="J37" i="6" s="1"/>
  <c r="I33" i="6"/>
  <c r="K36" i="6"/>
  <c r="K33" i="6"/>
  <c r="G36" i="6"/>
  <c r="G33" i="6"/>
  <c r="H36" i="6"/>
  <c r="H33" i="6"/>
  <c r="M36" i="6"/>
  <c r="M33" i="6"/>
  <c r="L36" i="6"/>
  <c r="L33" i="6"/>
  <c r="D88" i="1"/>
  <c r="C65" i="1"/>
  <c r="C69" i="1"/>
  <c r="C70" i="1"/>
  <c r="H65" i="1"/>
  <c r="D69" i="1"/>
  <c r="D70" i="1"/>
  <c r="C62" i="1"/>
  <c r="C64" i="1"/>
  <c r="C66" i="1"/>
  <c r="C68" i="1"/>
  <c r="C71" i="1"/>
  <c r="D62" i="1"/>
  <c r="D64" i="1"/>
  <c r="D66" i="1"/>
  <c r="D68" i="1"/>
  <c r="A35" i="1"/>
  <c r="A23" i="1"/>
  <c r="A15" i="1"/>
  <c r="E45" i="1"/>
  <c r="D45" i="1"/>
  <c r="E43" i="1"/>
  <c r="D43" i="1"/>
  <c r="E42" i="1"/>
  <c r="D42" i="1"/>
  <c r="E40" i="1"/>
  <c r="D40" i="1"/>
  <c r="E38" i="1"/>
  <c r="D38" i="1"/>
  <c r="E37" i="1"/>
  <c r="D37" i="1"/>
  <c r="E32" i="1"/>
  <c r="D32" i="1"/>
  <c r="E30" i="1"/>
  <c r="D30" i="1"/>
  <c r="E24" i="1"/>
  <c r="D25" i="1"/>
  <c r="G17" i="1"/>
  <c r="H17" i="1" s="1"/>
  <c r="I17" i="1" s="1"/>
  <c r="G16" i="1"/>
  <c r="H16" i="1" s="1"/>
  <c r="I16" i="1" s="1"/>
  <c r="H18" i="1"/>
  <c r="G19" i="1"/>
  <c r="H19" i="1" s="1"/>
  <c r="G20" i="1"/>
  <c r="H20" i="1" s="1"/>
  <c r="I20" i="1" s="1"/>
  <c r="G21" i="1"/>
  <c r="H21" i="1" s="1"/>
  <c r="I21" i="1" s="1"/>
  <c r="F10" i="1"/>
  <c r="F7" i="1"/>
  <c r="E58" i="1" s="1"/>
  <c r="E6" i="1"/>
  <c r="E8" i="1" s="1"/>
  <c r="E11" i="1" s="1"/>
  <c r="E13" i="1" s="1"/>
  <c r="E33" i="1" s="1"/>
  <c r="F9" i="1"/>
  <c r="E59" i="1" s="1"/>
  <c r="E19" i="1"/>
  <c r="D19" i="1"/>
  <c r="E17" i="1"/>
  <c r="D17" i="1"/>
  <c r="D6" i="1"/>
  <c r="D8" i="1" s="1"/>
  <c r="D11" i="1" s="1"/>
  <c r="D13" i="1" s="1"/>
  <c r="D33" i="1" s="1"/>
  <c r="E2" i="1"/>
  <c r="F2" i="1" s="1"/>
  <c r="G2" i="1" s="1"/>
  <c r="H2" i="1" s="1"/>
  <c r="I2" i="1" s="1"/>
  <c r="J2" i="1" s="1"/>
  <c r="D81" i="1" l="1"/>
  <c r="D83" i="1" s="1"/>
  <c r="D94" i="1" s="1"/>
  <c r="D75" i="1"/>
  <c r="D87" i="1"/>
  <c r="L37" i="6"/>
  <c r="L40" i="6"/>
  <c r="L42" i="6" s="1"/>
  <c r="H37" i="6"/>
  <c r="H40" i="6"/>
  <c r="H42" i="6" s="1"/>
  <c r="K37" i="6"/>
  <c r="K40" i="6"/>
  <c r="K42" i="6" s="1"/>
  <c r="E37" i="6"/>
  <c r="E40" i="6"/>
  <c r="E42" i="6" s="1"/>
  <c r="D37" i="6"/>
  <c r="D40" i="6"/>
  <c r="D42" i="6" s="1"/>
  <c r="M42" i="6"/>
  <c r="M37" i="6"/>
  <c r="M40" i="6"/>
  <c r="G37" i="6"/>
  <c r="G40" i="6"/>
  <c r="G42" i="6" s="1"/>
  <c r="I42" i="6"/>
  <c r="I37" i="6"/>
  <c r="I40" i="6"/>
  <c r="C40" i="6"/>
  <c r="C42" i="6" s="1"/>
  <c r="F37" i="6"/>
  <c r="F30" i="1"/>
  <c r="E60" i="1"/>
  <c r="D39" i="1"/>
  <c r="F40" i="1" s="1"/>
  <c r="D41" i="1"/>
  <c r="C87" i="1"/>
  <c r="C81" i="1"/>
  <c r="C75" i="1"/>
  <c r="C88" i="1"/>
  <c r="C82" i="1"/>
  <c r="E41" i="1"/>
  <c r="E39" i="1"/>
  <c r="D44" i="1"/>
  <c r="D46" i="1"/>
  <c r="E44" i="1"/>
  <c r="E46" i="1"/>
  <c r="F43" i="1"/>
  <c r="F37" i="1"/>
  <c r="F42" i="1"/>
  <c r="E26" i="1"/>
  <c r="D29" i="1"/>
  <c r="D28" i="1"/>
  <c r="E29" i="1"/>
  <c r="D27" i="1"/>
  <c r="E28" i="1"/>
  <c r="D31" i="1"/>
  <c r="F24" i="1"/>
  <c r="D26" i="1"/>
  <c r="E27" i="1"/>
  <c r="E31" i="1"/>
  <c r="G10" i="1"/>
  <c r="G37" i="1"/>
  <c r="H58" i="1"/>
  <c r="H7" i="1"/>
  <c r="G58" i="1" s="1"/>
  <c r="G7" i="1"/>
  <c r="F5" i="1"/>
  <c r="G40" i="1" l="1"/>
  <c r="F58" i="1"/>
  <c r="G30" i="1"/>
  <c r="F60" i="1"/>
  <c r="F38" i="1"/>
  <c r="E57" i="1"/>
  <c r="C83" i="1"/>
  <c r="H93" i="1" s="1"/>
  <c r="G43" i="1"/>
  <c r="F6" i="1"/>
  <c r="F39" i="1" s="1"/>
  <c r="H40" i="1" s="1"/>
  <c r="G24" i="1"/>
  <c r="G5" i="1"/>
  <c r="G9" i="1"/>
  <c r="I10" i="1"/>
  <c r="H10" i="1"/>
  <c r="H30" i="1" l="1"/>
  <c r="G60" i="1"/>
  <c r="I30" i="1"/>
  <c r="H60" i="1"/>
  <c r="G38" i="1"/>
  <c r="F57" i="1"/>
  <c r="C94" i="1"/>
  <c r="F93" i="1"/>
  <c r="C93" i="1"/>
  <c r="G93" i="1"/>
  <c r="D93" i="1"/>
  <c r="G42" i="1"/>
  <c r="I43" i="1" s="1"/>
  <c r="F59" i="1"/>
  <c r="E93" i="1"/>
  <c r="H5" i="1"/>
  <c r="H37" i="1"/>
  <c r="H43" i="1"/>
  <c r="G6" i="1"/>
  <c r="G39" i="1" s="1"/>
  <c r="I40" i="1" s="1"/>
  <c r="G25" i="1"/>
  <c r="H9" i="1"/>
  <c r="G59" i="1" s="1"/>
  <c r="H24" i="1"/>
  <c r="F8" i="1"/>
  <c r="F41" i="1" s="1"/>
  <c r="F26" i="1"/>
  <c r="F27" i="1"/>
  <c r="H42" i="1" l="1"/>
  <c r="H38" i="1"/>
  <c r="G57" i="1"/>
  <c r="H25" i="1"/>
  <c r="H6" i="1"/>
  <c r="H39" i="1" s="1"/>
  <c r="H59" i="1"/>
  <c r="I37" i="1"/>
  <c r="H57" i="1"/>
  <c r="G8" i="1"/>
  <c r="G41" i="1" s="1"/>
  <c r="G26" i="1"/>
  <c r="G27" i="1"/>
  <c r="F11" i="1"/>
  <c r="F44" i="1" s="1"/>
  <c r="F28" i="1"/>
  <c r="F29" i="1"/>
  <c r="H8" i="1" l="1"/>
  <c r="H41" i="1" s="1"/>
  <c r="H27" i="1"/>
  <c r="I39" i="1"/>
  <c r="I38" i="1"/>
  <c r="I42" i="1"/>
  <c r="H26" i="1"/>
  <c r="I25" i="1"/>
  <c r="G28" i="1"/>
  <c r="G11" i="1"/>
  <c r="G44" i="1" s="1"/>
  <c r="G29" i="1"/>
  <c r="H11" i="1"/>
  <c r="H44" i="1" s="1"/>
  <c r="F12" i="1"/>
  <c r="F31" i="1"/>
  <c r="H29" i="1" l="1"/>
  <c r="H28" i="1"/>
  <c r="I26" i="1"/>
  <c r="F45" i="1"/>
  <c r="E61" i="1"/>
  <c r="I41" i="1"/>
  <c r="I27" i="1"/>
  <c r="G12" i="1"/>
  <c r="G31" i="1"/>
  <c r="H12" i="1"/>
  <c r="H31" i="1"/>
  <c r="F13" i="1"/>
  <c r="F32" i="1"/>
  <c r="I44" i="1" l="1"/>
  <c r="G45" i="1"/>
  <c r="F61" i="1"/>
  <c r="H45" i="1"/>
  <c r="G61" i="1"/>
  <c r="E68" i="1"/>
  <c r="D65" i="1"/>
  <c r="E64" i="1"/>
  <c r="E70" i="1"/>
  <c r="E66" i="1"/>
  <c r="E69" i="1"/>
  <c r="E71" i="1"/>
  <c r="E62" i="1"/>
  <c r="I28" i="1"/>
  <c r="I29" i="1"/>
  <c r="F33" i="1"/>
  <c r="F46" i="1"/>
  <c r="H13" i="1"/>
  <c r="H32" i="1"/>
  <c r="G13" i="1"/>
  <c r="G32" i="1"/>
  <c r="I31" i="1" l="1"/>
  <c r="I12" i="1"/>
  <c r="H61" i="1" s="1"/>
  <c r="G71" i="1"/>
  <c r="G62" i="1"/>
  <c r="G68" i="1"/>
  <c r="G70" i="1"/>
  <c r="G66" i="1"/>
  <c r="G69" i="1"/>
  <c r="G64" i="1"/>
  <c r="F65" i="1"/>
  <c r="E87" i="1"/>
  <c r="E81" i="1"/>
  <c r="E75" i="1"/>
  <c r="E88" i="1"/>
  <c r="F70" i="1"/>
  <c r="F69" i="1"/>
  <c r="F64" i="1"/>
  <c r="F62" i="1"/>
  <c r="F71" i="1"/>
  <c r="F68" i="1"/>
  <c r="E65" i="1"/>
  <c r="F66" i="1"/>
  <c r="H33" i="1"/>
  <c r="H46" i="1"/>
  <c r="G33" i="1"/>
  <c r="G46" i="1"/>
  <c r="I32" i="1" l="1"/>
  <c r="I45" i="1"/>
  <c r="I13" i="1"/>
  <c r="G87" i="1"/>
  <c r="G81" i="1"/>
  <c r="G75" i="1"/>
  <c r="G88" i="1"/>
  <c r="G82" i="1"/>
  <c r="H71" i="1"/>
  <c r="H62" i="1"/>
  <c r="H68" i="1"/>
  <c r="H70" i="1"/>
  <c r="H66" i="1"/>
  <c r="H69" i="1"/>
  <c r="H64" i="1"/>
  <c r="G65" i="1"/>
  <c r="F87" i="1"/>
  <c r="F81" i="1"/>
  <c r="F82" i="1"/>
  <c r="F75" i="1"/>
  <c r="F88" i="1"/>
  <c r="E83" i="1"/>
  <c r="E94" i="1" s="1"/>
  <c r="I33" i="1"/>
  <c r="I46" i="1"/>
  <c r="F83" i="1" l="1"/>
  <c r="F94" i="1" s="1"/>
  <c r="H87" i="1"/>
  <c r="H81" i="1"/>
  <c r="H82" i="1"/>
  <c r="H88" i="1"/>
  <c r="H75" i="1"/>
  <c r="G83" i="1"/>
  <c r="G94" i="1" s="1"/>
  <c r="H83" i="1" l="1"/>
  <c r="H94" i="1" s="1"/>
</calcChain>
</file>

<file path=xl/sharedStrings.xml><?xml version="1.0" encoding="utf-8"?>
<sst xmlns="http://schemas.openxmlformats.org/spreadsheetml/2006/main" count="273" uniqueCount="185">
  <si>
    <t>INR CRORES</t>
  </si>
  <si>
    <t>revenue</t>
  </si>
  <si>
    <t>cogs</t>
  </si>
  <si>
    <t>selling and admin exp</t>
  </si>
  <si>
    <t>ebitda</t>
  </si>
  <si>
    <t>depn</t>
  </si>
  <si>
    <t>interest</t>
  </si>
  <si>
    <t>ebt</t>
  </si>
  <si>
    <t>tax</t>
  </si>
  <si>
    <t>net profit</t>
  </si>
  <si>
    <t>REVENUE GROWTH</t>
  </si>
  <si>
    <t>cogs %of revenue</t>
  </si>
  <si>
    <t>s&amp;a expenses</t>
  </si>
  <si>
    <t>depreciation % on sales</t>
  </si>
  <si>
    <t>na</t>
  </si>
  <si>
    <t xml:space="preserve">taxes </t>
  </si>
  <si>
    <t>gross  profit</t>
  </si>
  <si>
    <t>Time period</t>
  </si>
  <si>
    <t>Monthly Data</t>
  </si>
  <si>
    <t>Annual Data</t>
  </si>
  <si>
    <t>Monthly periodic</t>
  </si>
  <si>
    <t>Annula periodic</t>
  </si>
  <si>
    <t>COGS</t>
  </si>
  <si>
    <t>S&amp;G expenses</t>
  </si>
  <si>
    <t>Depn</t>
  </si>
  <si>
    <t>Interest</t>
  </si>
  <si>
    <t>Taxes</t>
  </si>
  <si>
    <t>selling and goodexp</t>
  </si>
  <si>
    <t>Total</t>
  </si>
  <si>
    <t>Average</t>
  </si>
  <si>
    <t>weighted average</t>
  </si>
  <si>
    <t>Median</t>
  </si>
  <si>
    <t xml:space="preserve">Min </t>
  </si>
  <si>
    <t>Max</t>
  </si>
  <si>
    <t>small</t>
  </si>
  <si>
    <t>large</t>
  </si>
  <si>
    <t>Stub or fulll year</t>
  </si>
  <si>
    <t>Total expenses</t>
  </si>
  <si>
    <t>if&lt;17500</t>
  </si>
  <si>
    <t>if&gt;=17500</t>
  </si>
  <si>
    <t>Hard code or constant</t>
  </si>
  <si>
    <t>using formula logically</t>
  </si>
  <si>
    <t>USED IF for ERROR CHECKING</t>
  </si>
  <si>
    <t>Use if for error checking</t>
  </si>
  <si>
    <t>Use = function to find true or false</t>
  </si>
  <si>
    <t>Gross profit</t>
  </si>
  <si>
    <t>$B$62</t>
  </si>
  <si>
    <t>$B$63</t>
  </si>
  <si>
    <t>$B$64</t>
  </si>
  <si>
    <t>Next_year_sales</t>
  </si>
  <si>
    <t>$B$67</t>
  </si>
  <si>
    <t>Gross_profit</t>
  </si>
  <si>
    <t>Base Case</t>
  </si>
  <si>
    <t>Worst Case</t>
  </si>
  <si>
    <t>Best Case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</si>
  <si>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</si>
  <si>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</si>
  <si>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</si>
  <si>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</si>
  <si>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</si>
  <si>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</si>
  <si>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</si>
  <si>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COMPANY NAME</t>
  </si>
  <si>
    <t>TATA MOTORS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</si>
  <si>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</si>
  <si>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</si>
  <si>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</si>
  <si>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</si>
  <si>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</si>
  <si>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</si>
  <si>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</si>
  <si>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</si>
  <si>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</si>
  <si>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</si>
  <si>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</si>
  <si>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</si>
  <si>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</si>
  <si>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</si>
  <si>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</si>
  <si>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</si>
  <si>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</si>
  <si>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</si>
  <si>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</si>
  <si>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</si>
  <si>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Profit before tax</t>
  </si>
  <si>
    <t>Tax</t>
  </si>
  <si>
    <t>Net profit</t>
  </si>
  <si>
    <t>Dividend Amount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</si>
  <si>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</si>
  <si>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</si>
  <si>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</si>
  <si>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</si>
  <si>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</si>
  <si>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</si>
  <si>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</si>
  <si>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</si>
  <si>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</si>
  <si>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</si>
  <si>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</si>
  <si>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</si>
  <si>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</si>
  <si>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</si>
  <si>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</si>
  <si>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</si>
  <si>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</si>
  <si>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</si>
  <si>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</si>
  <si>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</si>
  <si>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</si>
  <si>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</si>
  <si>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</si>
  <si>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</si>
  <si>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</si>
  <si>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</si>
  <si>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LTM</t>
  </si>
  <si>
    <t>Sales Growth</t>
  </si>
  <si>
    <t>-</t>
  </si>
  <si>
    <t>cogs% sales</t>
  </si>
  <si>
    <t>Selling and general expenses</t>
  </si>
  <si>
    <t>s&amp; g exp % sales</t>
  </si>
  <si>
    <t>EBITDA</t>
  </si>
  <si>
    <t>Ebitda% sales</t>
  </si>
  <si>
    <t>interest% sales</t>
  </si>
  <si>
    <t>Depreciation% sales</t>
  </si>
  <si>
    <t>Gross margin % sales</t>
  </si>
  <si>
    <t>EBT</t>
  </si>
  <si>
    <t>ebt% sales</t>
  </si>
  <si>
    <t>Effectiv tax rate</t>
  </si>
  <si>
    <t>Net margin</t>
  </si>
  <si>
    <t>No of equity shares</t>
  </si>
  <si>
    <t>E.p.s</t>
  </si>
  <si>
    <t>Dividend Pershare</t>
  </si>
  <si>
    <t>E.P.S grow%</t>
  </si>
  <si>
    <t>Dividend payout ratio</t>
  </si>
  <si>
    <t>Retained earning</t>
  </si>
  <si>
    <t>Total Liabilities</t>
  </si>
  <si>
    <t>Fixed Assets Net blocked</t>
  </si>
  <si>
    <t>Total NoN current Assets</t>
  </si>
  <si>
    <t>Total Current Assets</t>
  </si>
  <si>
    <t>Total Assets</t>
  </si>
  <si>
    <t>Check</t>
  </si>
  <si>
    <t>Cash from Operating Activity 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</si>
  <si>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</si>
  <si>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</si>
  <si>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</si>
  <si>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</si>
  <si>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</si>
  <si>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</si>
  <si>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</si>
  <si>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</si>
  <si>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</si>
  <si>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</si>
  <si>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</si>
  <si>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</si>
  <si>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</si>
  <si>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</si>
  <si>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</si>
  <si>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</si>
  <si>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</si>
  <si>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</si>
  <si>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</si>
  <si>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 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</si>
  <si>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</si>
  <si>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</si>
  <si>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</si>
  <si>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</si>
  <si>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</si>
  <si>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</si>
  <si>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</si>
  <si>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</si>
  <si>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 from operating activities</t>
  </si>
  <si>
    <t>Years</t>
  </si>
  <si>
    <t>Year</t>
  </si>
  <si>
    <t>Cash from Investing activities</t>
  </si>
  <si>
    <t>Cash from Financing Activities</t>
  </si>
  <si>
    <t>Net Cash flow</t>
  </si>
  <si>
    <t>Operating activities</t>
  </si>
  <si>
    <t>Investing Activities</t>
  </si>
  <si>
    <t>Financing Activities</t>
  </si>
  <si>
    <t>Cash Flow statement</t>
  </si>
  <si>
    <t>#</t>
  </si>
  <si>
    <t xml:space="preserve">Income Statement </t>
  </si>
  <si>
    <t>COSTING ANALYSIS</t>
  </si>
  <si>
    <t>Balance sheet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</si>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</sst>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&quot;A&quot;"/>
    <numFmt numFmtId="165" formatCode="0&quot;E&quot;"/>
    <numFmt numFmtId="166" formatCode="[$-409]mmm\-yy;@"/>
    <numFmt numFmtId="167" formatCode="_(* #,##0.00_);_(* \(#,##0.00\);_(* &quot;-&quot;??_);_(@_)"/>
    <numFmt numFmtId="168" formatCode="&quot;₹&quot;\ #,##0;\(&quot;₹&quot;\ #,##0\);\-"/>
    <numFmt numFmtId="169" formatCode="&quot;₹&quot;\ #,##0.00"/>
  </numFmts>
  <fonts count="2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b/>
      <sz val="11"/>
      <color theme="0"/>
      <name val="Calibri"/>
      <family val="2"/>
    </font>
    <font>
      <b/>
      <sz val="12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8"/>
      <name val="Calibri"/>
      <family val="2"/>
    </font>
    <font>
      <sz val="10"/>
      <color indexed="9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</font>
    <font>
      <sz val="11"/>
      <color theme="1" tint="0.249977111117893"/>
      <name val="Calibri"/>
      <family val="2"/>
    </font>
    <font>
      <b/>
      <sz val="11"/>
      <color theme="1" tint="0.499984740745262"/>
      <name val="Calibri"/>
      <family val="2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hair">
        <color theme="3"/>
      </top>
      <bottom style="hair">
        <color theme="3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theme="1"/>
      </top>
      <bottom style="hair">
        <color theme="1"/>
      </bottom>
      <diagonal/>
    </border>
    <border>
      <left/>
      <right/>
      <top style="hair">
        <color theme="1"/>
      </top>
      <bottom style="thin">
        <color theme="1"/>
      </bottom>
      <diagonal/>
    </border>
    <border>
      <left/>
      <right/>
      <top style="thin">
        <color theme="3"/>
      </top>
      <bottom style="hair">
        <color theme="3"/>
      </bottom>
      <diagonal/>
    </border>
    <border>
      <left/>
      <right/>
      <top style="hair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theme="1"/>
      </bottom>
      <diagonal/>
    </border>
    <border>
      <left/>
      <right/>
      <top style="hair">
        <color theme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hair">
        <color theme="3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10" borderId="0" applyNumberFormat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4" fillId="2" borderId="0" xfId="0" applyFont="1" applyFill="1"/>
    <xf numFmtId="164" fontId="4" fillId="2" borderId="0" xfId="0" applyNumberFormat="1" applyFont="1" applyFill="1"/>
    <xf numFmtId="165" fontId="4" fillId="2" borderId="0" xfId="0" applyNumberFormat="1" applyFont="1" applyFill="1"/>
    <xf numFmtId="0" fontId="5" fillId="0" borderId="0" xfId="0" applyFont="1"/>
    <xf numFmtId="0" fontId="3" fillId="0" borderId="0" xfId="0" applyFont="1"/>
    <xf numFmtId="0" fontId="0" fillId="0" borderId="0" xfId="0" applyBorder="1"/>
    <xf numFmtId="0" fontId="0" fillId="4" borderId="1" xfId="0" applyFill="1" applyBorder="1"/>
    <xf numFmtId="0" fontId="0" fillId="4" borderId="2" xfId="0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0" xfId="0" applyFont="1" applyFill="1" applyBorder="1"/>
    <xf numFmtId="0" fontId="4" fillId="5" borderId="0" xfId="0" applyFont="1" applyFill="1" applyAlignment="1">
      <alignment horizontal="center"/>
    </xf>
    <xf numFmtId="0" fontId="0" fillId="4" borderId="0" xfId="0" applyFill="1"/>
    <xf numFmtId="0" fontId="3" fillId="4" borderId="0" xfId="0" applyFont="1" applyFill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3" fillId="0" borderId="0" xfId="0" applyFont="1" applyBorder="1"/>
    <xf numFmtId="3" fontId="0" fillId="0" borderId="0" xfId="0" applyNumberFormat="1"/>
    <xf numFmtId="0" fontId="0" fillId="0" borderId="0" xfId="0" applyFill="1" applyBorder="1" applyAlignment="1"/>
    <xf numFmtId="9" fontId="0" fillId="0" borderId="0" xfId="0" applyNumberFormat="1" applyFill="1" applyBorder="1" applyAlignment="1"/>
    <xf numFmtId="0" fontId="0" fillId="0" borderId="6" xfId="0" applyFill="1" applyBorder="1" applyAlignment="1"/>
    <xf numFmtId="0" fontId="7" fillId="7" borderId="3" xfId="0" applyFont="1" applyFill="1" applyBorder="1" applyAlignment="1">
      <alignment horizontal="left"/>
    </xf>
    <xf numFmtId="0" fontId="7" fillId="7" borderId="5" xfId="0" applyFont="1" applyFill="1" applyBorder="1" applyAlignment="1">
      <alignment horizontal="left"/>
    </xf>
    <xf numFmtId="0" fontId="0" fillId="0" borderId="2" xfId="0" applyFill="1" applyBorder="1" applyAlignment="1"/>
    <xf numFmtId="0" fontId="8" fillId="8" borderId="0" xfId="0" applyFont="1" applyFill="1" applyBorder="1" applyAlignment="1">
      <alignment horizontal="left"/>
    </xf>
    <xf numFmtId="0" fontId="9" fillId="8" borderId="2" xfId="0" applyFont="1" applyFill="1" applyBorder="1" applyAlignment="1">
      <alignment horizontal="left"/>
    </xf>
    <xf numFmtId="0" fontId="8" fillId="8" borderId="6" xfId="0" applyFont="1" applyFill="1" applyBorder="1" applyAlignment="1">
      <alignment horizontal="left"/>
    </xf>
    <xf numFmtId="0" fontId="10" fillId="7" borderId="5" xfId="0" applyFont="1" applyFill="1" applyBorder="1" applyAlignment="1">
      <alignment horizontal="right"/>
    </xf>
    <xf numFmtId="0" fontId="0" fillId="9" borderId="0" xfId="0" applyFill="1" applyBorder="1" applyAlignment="1"/>
    <xf numFmtId="9" fontId="0" fillId="9" borderId="0" xfId="0" applyNumberFormat="1" applyFill="1" applyBorder="1" applyAlignment="1"/>
    <xf numFmtId="0" fontId="11" fillId="0" borderId="0" xfId="0" applyFont="1" applyFill="1" applyBorder="1" applyAlignment="1">
      <alignment vertical="top" wrapText="1"/>
    </xf>
    <xf numFmtId="43" fontId="13" fillId="0" borderId="0" xfId="2" applyFont="1" applyBorder="1"/>
    <xf numFmtId="43" fontId="0" fillId="0" borderId="0" xfId="2" applyFont="1" applyBorder="1"/>
    <xf numFmtId="166" fontId="15" fillId="11" borderId="0" xfId="2" applyNumberFormat="1" applyFont="1" applyFill="1" applyBorder="1"/>
    <xf numFmtId="166" fontId="15" fillId="11" borderId="0" xfId="0" applyNumberFormat="1" applyFont="1" applyFill="1" applyBorder="1" applyAlignment="1">
      <alignment horizontal="center"/>
    </xf>
    <xf numFmtId="166" fontId="16" fillId="0" borderId="0" xfId="2" applyNumberFormat="1" applyFont="1" applyFill="1" applyBorder="1"/>
    <xf numFmtId="43" fontId="12" fillId="0" borderId="0" xfId="2" applyFont="1" applyBorder="1"/>
    <xf numFmtId="167" fontId="0" fillId="0" borderId="0" xfId="2" applyNumberFormat="1" applyFont="1" applyBorder="1"/>
    <xf numFmtId="17" fontId="0" fillId="0" borderId="0" xfId="0" applyNumberFormat="1"/>
    <xf numFmtId="169" fontId="0" fillId="0" borderId="0" xfId="0" applyNumberFormat="1"/>
    <xf numFmtId="0" fontId="17" fillId="0" borderId="0" xfId="0" applyFont="1"/>
    <xf numFmtId="0" fontId="18" fillId="0" borderId="0" xfId="0" applyFont="1"/>
    <xf numFmtId="0" fontId="3" fillId="6" borderId="0" xfId="0" applyFont="1" applyFill="1"/>
    <xf numFmtId="44" fontId="0" fillId="0" borderId="0" xfId="0" applyNumberFormat="1"/>
    <xf numFmtId="0" fontId="0" fillId="12" borderId="0" xfId="0" applyFill="1"/>
    <xf numFmtId="0" fontId="3" fillId="12" borderId="0" xfId="0" applyFont="1" applyFill="1" applyAlignment="1">
      <alignment wrapText="1"/>
    </xf>
    <xf numFmtId="17" fontId="3" fillId="12" borderId="0" xfId="0" applyNumberFormat="1" applyFont="1" applyFill="1" applyAlignment="1"/>
    <xf numFmtId="0" fontId="0" fillId="0" borderId="7" xfId="0" applyBorder="1"/>
    <xf numFmtId="0" fontId="0" fillId="0" borderId="8" xfId="0" applyBorder="1"/>
    <xf numFmtId="0" fontId="3" fillId="0" borderId="7" xfId="0" applyFont="1" applyBorder="1"/>
    <xf numFmtId="169" fontId="0" fillId="4" borderId="8" xfId="0" applyNumberFormat="1" applyFill="1" applyBorder="1"/>
    <xf numFmtId="0" fontId="3" fillId="0" borderId="8" xfId="0" applyFont="1" applyBorder="1"/>
    <xf numFmtId="169" fontId="3" fillId="0" borderId="0" xfId="0" applyNumberFormat="1" applyFont="1" applyBorder="1"/>
    <xf numFmtId="43" fontId="1" fillId="0" borderId="0" xfId="2" applyFont="1" applyBorder="1"/>
    <xf numFmtId="169" fontId="3" fillId="0" borderId="14" xfId="0" applyNumberFormat="1" applyFont="1" applyBorder="1"/>
    <xf numFmtId="0" fontId="3" fillId="0" borderId="15" xfId="0" applyFont="1" applyBorder="1"/>
    <xf numFmtId="43" fontId="13" fillId="0" borderId="13" xfId="2" applyFont="1" applyBorder="1"/>
    <xf numFmtId="169" fontId="13" fillId="0" borderId="14" xfId="2" applyNumberFormat="1" applyFont="1" applyBorder="1"/>
    <xf numFmtId="0" fontId="0" fillId="0" borderId="16" xfId="0" applyBorder="1"/>
    <xf numFmtId="0" fontId="5" fillId="0" borderId="16" xfId="0" applyFont="1" applyBorder="1"/>
    <xf numFmtId="0" fontId="0" fillId="0" borderId="16" xfId="0" applyNumberFormat="1" applyBorder="1"/>
    <xf numFmtId="0" fontId="3" fillId="13" borderId="0" xfId="0" applyFont="1" applyFill="1" applyAlignment="1"/>
    <xf numFmtId="43" fontId="14" fillId="0" borderId="0" xfId="4" applyNumberFormat="1" applyBorder="1" applyAlignment="1" applyProtection="1">
      <alignment horizontal="center"/>
    </xf>
    <xf numFmtId="43" fontId="15" fillId="10" borderId="0" xfId="3" applyNumberFormat="1" applyFont="1" applyBorder="1" applyAlignment="1">
      <alignment horizontal="center"/>
    </xf>
    <xf numFmtId="169" fontId="0" fillId="0" borderId="16" xfId="0" applyNumberFormat="1" applyBorder="1"/>
    <xf numFmtId="0" fontId="0" fillId="0" borderId="19" xfId="0" applyBorder="1"/>
    <xf numFmtId="169" fontId="0" fillId="0" borderId="19" xfId="0" applyNumberFormat="1" applyBorder="1"/>
    <xf numFmtId="0" fontId="17" fillId="0" borderId="8" xfId="0" applyFont="1" applyBorder="1"/>
    <xf numFmtId="169" fontId="0" fillId="0" borderId="8" xfId="0" applyNumberFormat="1" applyBorder="1"/>
    <xf numFmtId="10" fontId="17" fillId="0" borderId="8" xfId="0" applyNumberFormat="1" applyFont="1" applyBorder="1"/>
    <xf numFmtId="0" fontId="18" fillId="0" borderId="8" xfId="0" applyFont="1" applyBorder="1"/>
    <xf numFmtId="10" fontId="18" fillId="0" borderId="8" xfId="0" applyNumberFormat="1" applyFont="1" applyBorder="1"/>
    <xf numFmtId="168" fontId="0" fillId="0" borderId="8" xfId="0" applyNumberFormat="1" applyBorder="1"/>
    <xf numFmtId="0" fontId="0" fillId="0" borderId="20" xfId="0" applyBorder="1"/>
    <xf numFmtId="10" fontId="0" fillId="0" borderId="20" xfId="0" applyNumberFormat="1" applyBorder="1"/>
    <xf numFmtId="43" fontId="13" fillId="14" borderId="17" xfId="2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  <xf numFmtId="0" fontId="3" fillId="14" borderId="12" xfId="0" applyFont="1" applyFill="1" applyBorder="1" applyAlignment="1">
      <alignment horizontal="center"/>
    </xf>
    <xf numFmtId="169" fontId="0" fillId="0" borderId="21" xfId="0" applyNumberFormat="1" applyBorder="1"/>
    <xf numFmtId="169" fontId="3" fillId="0" borderId="16" xfId="0" applyNumberFormat="1" applyFont="1" applyBorder="1"/>
    <xf numFmtId="169" fontId="13" fillId="0" borderId="16" xfId="2" applyNumberFormat="1" applyFont="1" applyBorder="1"/>
    <xf numFmtId="169" fontId="3" fillId="0" borderId="22" xfId="0" applyNumberFormat="1" applyFont="1" applyBorder="1"/>
    <xf numFmtId="169" fontId="13" fillId="0" borderId="22" xfId="2" applyNumberFormat="1" applyFont="1" applyBorder="1"/>
    <xf numFmtId="43" fontId="12" fillId="0" borderId="8" xfId="2" applyFont="1" applyBorder="1"/>
    <xf numFmtId="43" fontId="3" fillId="0" borderId="8" xfId="2" applyFont="1" applyFill="1" applyBorder="1"/>
    <xf numFmtId="169" fontId="3" fillId="0" borderId="8" xfId="0" applyNumberFormat="1" applyFont="1" applyBorder="1"/>
    <xf numFmtId="43" fontId="12" fillId="0" borderId="21" xfId="2" applyFont="1" applyBorder="1"/>
    <xf numFmtId="43" fontId="12" fillId="0" borderId="16" xfId="2" applyFont="1" applyBorder="1"/>
    <xf numFmtId="43" fontId="13" fillId="0" borderId="22" xfId="2" applyFont="1" applyBorder="1"/>
    <xf numFmtId="0" fontId="3" fillId="0" borderId="22" xfId="0" applyFont="1" applyBorder="1"/>
    <xf numFmtId="43" fontId="13" fillId="0" borderId="16" xfId="2" applyFont="1" applyBorder="1"/>
    <xf numFmtId="0" fontId="3" fillId="0" borderId="16" xfId="0" applyFont="1" applyBorder="1"/>
    <xf numFmtId="0" fontId="19" fillId="0" borderId="0" xfId="0" applyFont="1"/>
    <xf numFmtId="0" fontId="19" fillId="0" borderId="8" xfId="0" applyFont="1" applyBorder="1"/>
    <xf numFmtId="0" fontId="19" fillId="0" borderId="8" xfId="0" applyFont="1" applyBorder="1" applyAlignment="1">
      <alignment horizontal="right"/>
    </xf>
    <xf numFmtId="9" fontId="19" fillId="0" borderId="8" xfId="1" applyFont="1" applyBorder="1"/>
    <xf numFmtId="10" fontId="19" fillId="0" borderId="8" xfId="0" applyNumberFormat="1" applyFont="1" applyBorder="1"/>
    <xf numFmtId="43" fontId="0" fillId="14" borderId="8" xfId="2" applyFont="1" applyFill="1" applyBorder="1"/>
    <xf numFmtId="44" fontId="0" fillId="0" borderId="8" xfId="0" applyNumberFormat="1" applyBorder="1"/>
    <xf numFmtId="0" fontId="0" fillId="0" borderId="25" xfId="0" applyBorder="1"/>
    <xf numFmtId="44" fontId="0" fillId="0" borderId="25" xfId="0" applyNumberFormat="1" applyBorder="1"/>
    <xf numFmtId="43" fontId="13" fillId="0" borderId="24" xfId="2" applyFont="1" applyBorder="1"/>
    <xf numFmtId="169" fontId="3" fillId="0" borderId="24" xfId="0" applyNumberFormat="1" applyFont="1" applyBorder="1"/>
    <xf numFmtId="169" fontId="13" fillId="0" borderId="24" xfId="2" applyNumberFormat="1" applyFont="1" applyBorder="1"/>
    <xf numFmtId="0" fontId="3" fillId="0" borderId="24" xfId="0" applyFont="1" applyBorder="1"/>
    <xf numFmtId="0" fontId="0" fillId="0" borderId="9" xfId="0" applyBorder="1"/>
    <xf numFmtId="0" fontId="0" fillId="0" borderId="9" xfId="0" applyBorder="1" applyAlignment="1">
      <alignment horizontal="right"/>
    </xf>
    <xf numFmtId="9" fontId="0" fillId="0" borderId="9" xfId="1" applyFont="1" applyBorder="1" applyAlignment="1">
      <alignment horizontal="right"/>
    </xf>
    <xf numFmtId="10" fontId="5" fillId="0" borderId="9" xfId="1" applyNumberFormat="1" applyFont="1" applyBorder="1" applyAlignment="1">
      <alignment horizontal="right"/>
    </xf>
    <xf numFmtId="10" fontId="2" fillId="0" borderId="9" xfId="1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0" fontId="0" fillId="0" borderId="9" xfId="1" applyNumberFormat="1" applyFont="1" applyBorder="1" applyAlignment="1">
      <alignment horizontal="right"/>
    </xf>
    <xf numFmtId="0" fontId="5" fillId="0" borderId="9" xfId="0" applyFont="1" applyBorder="1"/>
    <xf numFmtId="10" fontId="0" fillId="0" borderId="9" xfId="1" applyNumberFormat="1" applyFont="1" applyFill="1" applyBorder="1"/>
    <xf numFmtId="9" fontId="0" fillId="0" borderId="9" xfId="1" applyFont="1" applyBorder="1"/>
    <xf numFmtId="0" fontId="0" fillId="0" borderId="9" xfId="0" applyNumberFormat="1" applyBorder="1"/>
    <xf numFmtId="14" fontId="0" fillId="0" borderId="9" xfId="0" applyNumberFormat="1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5" fillId="0" borderId="29" xfId="0" applyFont="1" applyFill="1" applyBorder="1"/>
    <xf numFmtId="0" fontId="21" fillId="14" borderId="23" xfId="0" applyNumberFormat="1" applyFont="1" applyFill="1" applyBorder="1" applyAlignment="1">
      <alignment horizontal="center"/>
    </xf>
    <xf numFmtId="0" fontId="0" fillId="14" borderId="23" xfId="0" applyNumberFormat="1" applyFill="1" applyBorder="1"/>
    <xf numFmtId="0" fontId="0" fillId="0" borderId="18" xfId="0" applyBorder="1"/>
    <xf numFmtId="0" fontId="0" fillId="0" borderId="18" xfId="0" applyBorder="1" applyAlignment="1">
      <alignment horizontal="right"/>
    </xf>
    <xf numFmtId="9" fontId="0" fillId="0" borderId="18" xfId="1" applyFont="1" applyBorder="1" applyAlignment="1">
      <alignment horizontal="right"/>
    </xf>
    <xf numFmtId="10" fontId="5" fillId="0" borderId="18" xfId="1" applyNumberFormat="1" applyFont="1" applyBorder="1" applyAlignment="1">
      <alignment horizontal="right"/>
    </xf>
    <xf numFmtId="10" fontId="2" fillId="0" borderId="18" xfId="1" applyNumberFormat="1" applyFont="1" applyBorder="1" applyAlignment="1">
      <alignment horizontal="right"/>
    </xf>
    <xf numFmtId="0" fontId="3" fillId="3" borderId="2" xfId="0" applyFont="1" applyFill="1" applyBorder="1"/>
    <xf numFmtId="0" fontId="0" fillId="3" borderId="2" xfId="0" applyFill="1" applyBorder="1"/>
    <xf numFmtId="37" fontId="0" fillId="3" borderId="2" xfId="0" applyNumberFormat="1" applyFill="1" applyBorder="1"/>
    <xf numFmtId="10" fontId="0" fillId="0" borderId="18" xfId="1" applyNumberFormat="1" applyFont="1" applyFill="1" applyBorder="1"/>
    <xf numFmtId="9" fontId="0" fillId="0" borderId="18" xfId="0" applyNumberFormat="1" applyBorder="1"/>
    <xf numFmtId="0" fontId="22" fillId="15" borderId="0" xfId="0" applyFont="1" applyFill="1"/>
    <xf numFmtId="0" fontId="6" fillId="15" borderId="0" xfId="0" applyFont="1" applyFill="1"/>
    <xf numFmtId="0" fontId="0" fillId="15" borderId="0" xfId="0" applyFill="1"/>
    <xf numFmtId="0" fontId="3" fillId="15" borderId="0" xfId="0" applyFont="1" applyFill="1" applyAlignment="1">
      <alignment horizontal="center"/>
    </xf>
    <xf numFmtId="0" fontId="3" fillId="5" borderId="4" xfId="0" applyFont="1" applyFill="1" applyBorder="1"/>
    <xf numFmtId="0" fontId="3" fillId="6" borderId="2" xfId="0" applyFont="1" applyFill="1" applyBorder="1" applyAlignment="1">
      <alignment wrapText="1"/>
    </xf>
    <xf numFmtId="17" fontId="3" fillId="6" borderId="2" xfId="0" applyNumberFormat="1" applyFont="1" applyFill="1" applyBorder="1" applyAlignment="1"/>
    <xf numFmtId="0" fontId="20" fillId="6" borderId="0" xfId="0" applyFont="1" applyFill="1" applyAlignment="1">
      <alignment horizontal="center"/>
    </xf>
    <xf numFmtId="0" fontId="10" fillId="7" borderId="2" xfId="0" applyFont="1" applyFill="1" applyBorder="1" applyAlignment="1">
      <alignment horizontal="right"/>
    </xf>
  </cellXfs>
  <cellStyles count="5">
    <cellStyle name="Accent6" xfId="3" builtinId="49"/>
    <cellStyle name="Comma" xfId="2" builtinId="3"/>
    <cellStyle name="Hyperlink" xfId="4" builtinId="8"/>
    <cellStyle name="Normal" xfId="0" builtinId="0"/>
    <cellStyle name="Percent" xfId="1" builtinId="5"/>
  </cellStyles>
  <dxfs count="7">
    <dxf>
      <font>
        <b val="0"/>
        <i/>
        <color theme="2" tint="-9.9948118533890809E-2"/>
      </font>
    </dxf>
    <dxf>
      <font>
        <color rgb="FFFFFF00"/>
      </font>
    </dxf>
    <dxf>
      <font>
        <color rgb="FFC00000"/>
      </font>
    </dxf>
    <dxf>
      <font>
        <b/>
        <i val="0"/>
        <color theme="0"/>
      </font>
      <fill>
        <patternFill>
          <bgColor theme="5"/>
        </patternFill>
      </fill>
    </dxf>
    <dxf>
      <font>
        <b val="0"/>
        <i/>
        <color theme="2" tint="-9.9948118533890809E-2"/>
      </font>
    </dxf>
    <dxf>
      <font>
        <color rgb="FFFFFF00"/>
      </font>
    </dxf>
    <dxf>
      <font>
        <color rgb="FFC0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ba\SKILLS\FINANCIAL%20modleing\Financial%20Modeling%201,2,3%20session\TOPICS\Tata%20Mo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4"/>
  <sheetViews>
    <sheetView showGridLines="0" tabSelected="1" zoomScale="85" zoomScaleNormal="85" workbookViewId="0">
      <pane ySplit="2" topLeftCell="A3" activePane="bottomLeft" state="frozen"/>
      <selection pane="bottomLeft" activeCell="M19" sqref="M19"/>
    </sheetView>
  </sheetViews>
  <sheetFormatPr defaultRowHeight="15" outlineLevelRow="1" outlineLevelCol="1" x14ac:dyDescent="0.25"/>
  <cols>
    <col min="1" max="1" width="21.42578125" customWidth="1"/>
    <col min="2" max="2" width="11.140625" customWidth="1"/>
    <col min="3" max="3" width="12.28515625" customWidth="1"/>
    <col min="4" max="4" width="12.7109375" customWidth="1" outlineLevel="1"/>
    <col min="5" max="5" width="13.140625" customWidth="1"/>
    <col min="6" max="6" width="12.7109375" customWidth="1"/>
    <col min="7" max="7" width="11.85546875" customWidth="1"/>
    <col min="8" max="8" width="12.5703125" customWidth="1"/>
    <col min="9" max="10" width="9.85546875" customWidth="1"/>
  </cols>
  <sheetData>
    <row r="2" spans="1:11" x14ac:dyDescent="0.25">
      <c r="A2" s="1" t="s">
        <v>0</v>
      </c>
      <c r="B2" s="1"/>
      <c r="C2" s="1"/>
      <c r="D2" s="2">
        <v>2020</v>
      </c>
      <c r="E2" s="2">
        <f>D2+1</f>
        <v>2021</v>
      </c>
      <c r="F2" s="3">
        <f t="shared" ref="F2:J2" si="0">E2+1</f>
        <v>2022</v>
      </c>
      <c r="G2" s="3">
        <f t="shared" si="0"/>
        <v>2023</v>
      </c>
      <c r="H2" s="3">
        <f t="shared" si="0"/>
        <v>2024</v>
      </c>
      <c r="I2" s="3">
        <f t="shared" si="0"/>
        <v>2025</v>
      </c>
      <c r="J2" s="3">
        <f t="shared" si="0"/>
        <v>2026</v>
      </c>
      <c r="K2" s="3">
        <f t="shared" ref="K2" si="1">J2+1</f>
        <v>2027</v>
      </c>
    </row>
    <row r="3" spans="1:11" ht="18.75" outlineLevel="1" x14ac:dyDescent="0.3">
      <c r="A3" s="127" t="str">
        <f>"Income statement"&amp;" "&amp;B1</f>
        <v xml:space="preserve">Income statement 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</row>
    <row r="4" spans="1:11" outlineLevel="1" x14ac:dyDescent="0.25">
      <c r="A4" s="125" t="s">
        <v>1</v>
      </c>
      <c r="B4" s="125"/>
      <c r="C4" s="125"/>
      <c r="D4" s="126">
        <v>21000</v>
      </c>
      <c r="E4" s="126">
        <v>22000</v>
      </c>
      <c r="F4" s="125">
        <f>E4*(1+$F$16)</f>
        <v>24200.000000000004</v>
      </c>
      <c r="G4" s="125">
        <f>F4*(1+$G$16)</f>
        <v>26620.000000000007</v>
      </c>
      <c r="H4" s="125">
        <f>G4*(1+$H$16)</f>
        <v>29282.000000000011</v>
      </c>
      <c r="I4" s="125">
        <f>H4*(1+$I$16)</f>
        <v>32210.200000000015</v>
      </c>
      <c r="J4" s="125">
        <f>I4*(1+$I$16)</f>
        <v>35431.220000000023</v>
      </c>
      <c r="K4" s="125">
        <f t="shared" ref="K4" si="2">J4*(1+$I$16)</f>
        <v>38974.342000000026</v>
      </c>
    </row>
    <row r="5" spans="1:11" outlineLevel="1" x14ac:dyDescent="0.25">
      <c r="A5" s="60" t="s">
        <v>2</v>
      </c>
      <c r="B5" s="60"/>
      <c r="C5" s="60"/>
      <c r="D5" s="61">
        <v>7000</v>
      </c>
      <c r="E5" s="61">
        <v>7000</v>
      </c>
      <c r="F5" s="60">
        <f>F4*F17</f>
        <v>9680.0000000000018</v>
      </c>
      <c r="G5" s="60">
        <f t="shared" ref="G5:H5" si="3">G4*G17</f>
        <v>10648.000000000004</v>
      </c>
      <c r="H5" s="60">
        <f t="shared" si="3"/>
        <v>11712.800000000005</v>
      </c>
      <c r="I5" s="60">
        <f>I4*$I$17</f>
        <v>12884.080000000007</v>
      </c>
      <c r="J5" s="60">
        <f t="shared" ref="J5:K5" si="4">J4*$I$17</f>
        <v>14172.48800000001</v>
      </c>
      <c r="K5" s="60">
        <f t="shared" si="4"/>
        <v>15589.736800000011</v>
      </c>
    </row>
    <row r="6" spans="1:11" outlineLevel="1" x14ac:dyDescent="0.25">
      <c r="A6" s="60" t="s">
        <v>16</v>
      </c>
      <c r="B6" s="60"/>
      <c r="C6" s="60"/>
      <c r="D6" s="60">
        <f>(D4-D5)</f>
        <v>14000</v>
      </c>
      <c r="E6" s="60">
        <f>E4-E5</f>
        <v>15000</v>
      </c>
      <c r="F6" s="60">
        <f>F4-F5</f>
        <v>14520.000000000002</v>
      </c>
      <c r="G6" s="60">
        <f t="shared" ref="G6:H6" si="5">G4-G5</f>
        <v>15972.000000000004</v>
      </c>
      <c r="H6" s="60">
        <f t="shared" si="5"/>
        <v>17569.200000000004</v>
      </c>
      <c r="I6" s="60">
        <f>I4-I5</f>
        <v>19326.12000000001</v>
      </c>
      <c r="J6" s="60">
        <f t="shared" ref="J6:K6" si="6">J4-J5</f>
        <v>21258.732000000011</v>
      </c>
      <c r="K6" s="60">
        <f t="shared" si="6"/>
        <v>23384.605200000013</v>
      </c>
    </row>
    <row r="7" spans="1:11" outlineLevel="1" x14ac:dyDescent="0.25">
      <c r="A7" s="60" t="s">
        <v>27</v>
      </c>
      <c r="B7" s="60"/>
      <c r="C7" s="60"/>
      <c r="D7" s="61">
        <v>2000</v>
      </c>
      <c r="E7" s="61">
        <v>2000</v>
      </c>
      <c r="F7" s="62">
        <f>F18</f>
        <v>2500</v>
      </c>
      <c r="G7" s="62">
        <f t="shared" ref="G7:H7" si="7">G18</f>
        <v>2500</v>
      </c>
      <c r="H7" s="62">
        <f t="shared" si="7"/>
        <v>2500</v>
      </c>
      <c r="I7" s="62">
        <f>I18</f>
        <v>2500</v>
      </c>
      <c r="J7" s="62">
        <f t="shared" ref="J7:K7" si="8">J18</f>
        <v>2500</v>
      </c>
      <c r="K7" s="62">
        <f t="shared" si="8"/>
        <v>2500</v>
      </c>
    </row>
    <row r="8" spans="1:11" outlineLevel="1" x14ac:dyDescent="0.25">
      <c r="A8" s="60" t="s">
        <v>4</v>
      </c>
      <c r="B8" s="60"/>
      <c r="C8" s="60"/>
      <c r="D8" s="60">
        <f>D6-D7</f>
        <v>12000</v>
      </c>
      <c r="E8" s="60">
        <f>E6-E7</f>
        <v>13000</v>
      </c>
      <c r="F8" s="62">
        <f t="shared" ref="F8:H8" si="9">F6-F7</f>
        <v>12020.000000000002</v>
      </c>
      <c r="G8" s="62">
        <f t="shared" si="9"/>
        <v>13472.000000000004</v>
      </c>
      <c r="H8" s="62">
        <f t="shared" si="9"/>
        <v>15069.200000000004</v>
      </c>
      <c r="I8" s="62">
        <f>I6-I7</f>
        <v>16826.12000000001</v>
      </c>
      <c r="J8" s="62">
        <f t="shared" ref="J8:K8" si="10">J6-J7</f>
        <v>18758.732000000011</v>
      </c>
      <c r="K8" s="62">
        <f t="shared" si="10"/>
        <v>20884.605200000013</v>
      </c>
    </row>
    <row r="9" spans="1:11" outlineLevel="1" x14ac:dyDescent="0.25">
      <c r="A9" s="60" t="s">
        <v>5</v>
      </c>
      <c r="B9" s="60"/>
      <c r="C9" s="60"/>
      <c r="D9" s="61">
        <v>800</v>
      </c>
      <c r="E9" s="61">
        <v>800</v>
      </c>
      <c r="F9" s="62">
        <f>F4*F19</f>
        <v>1210.0000000000002</v>
      </c>
      <c r="G9" s="62">
        <f t="shared" ref="G9:H9" si="11">G4*G19</f>
        <v>1331.0000000000005</v>
      </c>
      <c r="H9" s="62">
        <f t="shared" si="11"/>
        <v>1464.1000000000006</v>
      </c>
      <c r="I9" s="62">
        <f>I4*I19</f>
        <v>1610.5100000000009</v>
      </c>
      <c r="J9" s="62">
        <f>J4*J19</f>
        <v>1771.5610000000013</v>
      </c>
      <c r="K9" s="62">
        <f t="shared" ref="K9" si="12">K4*K19</f>
        <v>1948.7171000000014</v>
      </c>
    </row>
    <row r="10" spans="1:11" outlineLevel="1" x14ac:dyDescent="0.25">
      <c r="A10" s="60" t="s">
        <v>6</v>
      </c>
      <c r="B10" s="60"/>
      <c r="C10" s="60"/>
      <c r="D10" s="61">
        <v>700</v>
      </c>
      <c r="E10" s="61">
        <v>700</v>
      </c>
      <c r="F10" s="62">
        <f>F20</f>
        <v>25</v>
      </c>
      <c r="G10" s="62">
        <f t="shared" ref="G10:I10" si="13">G20</f>
        <v>25</v>
      </c>
      <c r="H10" s="62">
        <f t="shared" si="13"/>
        <v>25</v>
      </c>
      <c r="I10" s="62">
        <f t="shared" si="13"/>
        <v>25</v>
      </c>
      <c r="J10" s="62">
        <f>J20</f>
        <v>25</v>
      </c>
      <c r="K10" s="62">
        <f t="shared" ref="K10" si="14">K20</f>
        <v>25</v>
      </c>
    </row>
    <row r="11" spans="1:11" outlineLevel="1" x14ac:dyDescent="0.25">
      <c r="A11" s="60" t="s">
        <v>7</v>
      </c>
      <c r="B11" s="60"/>
      <c r="C11" s="60"/>
      <c r="D11" s="60">
        <f>D8-SUM(D9:D10)</f>
        <v>10500</v>
      </c>
      <c r="E11" s="60">
        <f>E8-SUM(E9:E10)</f>
        <v>11500</v>
      </c>
      <c r="F11" s="62">
        <f t="shared" ref="F11:H11" si="15">F8-SUM(F9:F10)</f>
        <v>10785.000000000002</v>
      </c>
      <c r="G11" s="62">
        <f t="shared" si="15"/>
        <v>12116.000000000004</v>
      </c>
      <c r="H11" s="62">
        <f t="shared" si="15"/>
        <v>13580.100000000004</v>
      </c>
      <c r="I11" s="62">
        <f>I8-SUM(I9:I10)</f>
        <v>15190.61000000001</v>
      </c>
      <c r="J11" s="62">
        <f>J8-SUM(J9:J10)</f>
        <v>16962.171000000009</v>
      </c>
      <c r="K11" s="62">
        <f t="shared" ref="K11" si="16">K8-SUM(K9:K10)</f>
        <v>18910.888100000011</v>
      </c>
    </row>
    <row r="12" spans="1:11" outlineLevel="1" x14ac:dyDescent="0.25">
      <c r="A12" s="60" t="s">
        <v>8</v>
      </c>
      <c r="B12" s="60"/>
      <c r="C12" s="60"/>
      <c r="D12" s="61">
        <v>2600</v>
      </c>
      <c r="E12" s="61">
        <v>2600</v>
      </c>
      <c r="F12" s="62">
        <f>(F11*F21)</f>
        <v>3235.5000000000005</v>
      </c>
      <c r="G12" s="62">
        <f t="shared" ref="G12:I12" si="17">(G11*G21)</f>
        <v>3634.8000000000011</v>
      </c>
      <c r="H12" s="62">
        <f t="shared" si="17"/>
        <v>4074.0300000000011</v>
      </c>
      <c r="I12" s="62">
        <f t="shared" si="17"/>
        <v>4557.1830000000027</v>
      </c>
      <c r="J12" s="62">
        <f t="shared" ref="J12:K12" si="18">(J11*J21)</f>
        <v>5088.6513000000023</v>
      </c>
      <c r="K12" s="62">
        <f t="shared" si="18"/>
        <v>5673.2664300000033</v>
      </c>
    </row>
    <row r="13" spans="1:11" outlineLevel="1" x14ac:dyDescent="0.25">
      <c r="A13" s="60" t="s">
        <v>9</v>
      </c>
      <c r="B13" s="60"/>
      <c r="C13" s="60"/>
      <c r="D13" s="60">
        <f>(D11-D12)</f>
        <v>7900</v>
      </c>
      <c r="E13" s="60">
        <f>(E11-E12)</f>
        <v>8900</v>
      </c>
      <c r="F13" s="62">
        <f t="shared" ref="F13:I13" si="19">(F11-F12)</f>
        <v>7549.5000000000018</v>
      </c>
      <c r="G13" s="62">
        <f t="shared" si="19"/>
        <v>8481.2000000000025</v>
      </c>
      <c r="H13" s="62">
        <f t="shared" si="19"/>
        <v>9506.0700000000033</v>
      </c>
      <c r="I13" s="62">
        <f t="shared" si="19"/>
        <v>10633.427000000007</v>
      </c>
      <c r="J13" s="62">
        <f t="shared" ref="J13:K13" si="20">(J11-J12)</f>
        <v>11873.519700000008</v>
      </c>
      <c r="K13" s="62">
        <f t="shared" si="20"/>
        <v>13237.621670000008</v>
      </c>
    </row>
    <row r="15" spans="1:11" x14ac:dyDescent="0.25">
      <c r="A15" s="134" t="str">
        <f>"Assumption Driver"&amp;" - "&amp;B1</f>
        <v xml:space="preserve">Assumption Driver - </v>
      </c>
      <c r="B15" s="135"/>
      <c r="C15" s="135"/>
      <c r="D15" s="135"/>
      <c r="E15" s="135"/>
      <c r="F15" s="135"/>
      <c r="G15" s="135"/>
      <c r="H15" s="135"/>
      <c r="I15" s="135"/>
      <c r="J15" s="136"/>
      <c r="K15" s="136"/>
    </row>
    <row r="16" spans="1:11" outlineLevel="1" x14ac:dyDescent="0.25">
      <c r="A16" s="129" t="s">
        <v>10</v>
      </c>
      <c r="B16" s="130"/>
      <c r="C16" s="130"/>
      <c r="D16" s="130" t="s">
        <v>14</v>
      </c>
      <c r="E16" s="131">
        <f>E4/D4</f>
        <v>1.0476190476190477</v>
      </c>
      <c r="F16" s="132">
        <v>0.1</v>
      </c>
      <c r="G16" s="133">
        <f t="shared" ref="G16:G21" si="21">F16</f>
        <v>0.1</v>
      </c>
      <c r="H16" s="133">
        <f t="shared" ref="H16:I16" si="22">G16</f>
        <v>0.1</v>
      </c>
      <c r="I16" s="133">
        <f t="shared" si="22"/>
        <v>0.1</v>
      </c>
      <c r="J16" s="133">
        <f t="shared" ref="J16:J17" si="23">I16</f>
        <v>0.1</v>
      </c>
      <c r="K16" s="133">
        <f t="shared" ref="K16:K21" si="24">J16</f>
        <v>0.1</v>
      </c>
    </row>
    <row r="17" spans="1:11" outlineLevel="1" x14ac:dyDescent="0.25">
      <c r="A17" s="108" t="s">
        <v>11</v>
      </c>
      <c r="B17" s="109"/>
      <c r="C17" s="109"/>
      <c r="D17" s="110">
        <f>(D5/D4)</f>
        <v>0.33333333333333331</v>
      </c>
      <c r="E17" s="110">
        <f>(E5/E4)</f>
        <v>0.31818181818181818</v>
      </c>
      <c r="F17" s="111">
        <v>0.4</v>
      </c>
      <c r="G17" s="112">
        <f t="shared" si="21"/>
        <v>0.4</v>
      </c>
      <c r="H17" s="112">
        <f t="shared" ref="H17:I17" si="25">G17</f>
        <v>0.4</v>
      </c>
      <c r="I17" s="112">
        <f t="shared" si="25"/>
        <v>0.4</v>
      </c>
      <c r="J17" s="112">
        <f t="shared" si="23"/>
        <v>0.4</v>
      </c>
      <c r="K17" s="112">
        <f t="shared" si="24"/>
        <v>0.4</v>
      </c>
    </row>
    <row r="18" spans="1:11" outlineLevel="1" x14ac:dyDescent="0.25">
      <c r="A18" s="108" t="s">
        <v>12</v>
      </c>
      <c r="B18" s="109"/>
      <c r="C18" s="109"/>
      <c r="D18" s="113">
        <v>2000</v>
      </c>
      <c r="E18" s="113">
        <v>2000</v>
      </c>
      <c r="F18" s="113">
        <v>2500</v>
      </c>
      <c r="G18" s="114">
        <f>F18</f>
        <v>2500</v>
      </c>
      <c r="H18" s="115">
        <f t="shared" ref="H18" si="26">G18</f>
        <v>2500</v>
      </c>
      <c r="I18" s="115">
        <f>H18</f>
        <v>2500</v>
      </c>
      <c r="J18" s="115">
        <f t="shared" ref="J18:J21" si="27">I18</f>
        <v>2500</v>
      </c>
      <c r="K18" s="115">
        <f t="shared" si="24"/>
        <v>2500</v>
      </c>
    </row>
    <row r="19" spans="1:11" outlineLevel="1" x14ac:dyDescent="0.25">
      <c r="A19" s="108" t="s">
        <v>13</v>
      </c>
      <c r="B19" s="109"/>
      <c r="C19" s="114"/>
      <c r="D19" s="110">
        <f>D9/D4</f>
        <v>3.8095238095238099E-2</v>
      </c>
      <c r="E19" s="110">
        <f>E9/E4</f>
        <v>3.6363636363636362E-2</v>
      </c>
      <c r="F19" s="111">
        <v>0.05</v>
      </c>
      <c r="G19" s="116">
        <f t="shared" si="21"/>
        <v>0.05</v>
      </c>
      <c r="H19" s="112">
        <f t="shared" ref="H19" si="28">G19</f>
        <v>0.05</v>
      </c>
      <c r="I19" s="112">
        <f>H19</f>
        <v>0.05</v>
      </c>
      <c r="J19" s="112">
        <f t="shared" si="27"/>
        <v>0.05</v>
      </c>
      <c r="K19" s="112">
        <f t="shared" si="24"/>
        <v>0.05</v>
      </c>
    </row>
    <row r="20" spans="1:11" outlineLevel="1" x14ac:dyDescent="0.25">
      <c r="A20" s="108" t="s">
        <v>6</v>
      </c>
      <c r="B20" s="109"/>
      <c r="C20" s="109"/>
      <c r="D20" s="113">
        <v>700</v>
      </c>
      <c r="E20" s="113">
        <v>700</v>
      </c>
      <c r="F20" s="113">
        <v>25</v>
      </c>
      <c r="G20" s="114">
        <f t="shared" si="21"/>
        <v>25</v>
      </c>
      <c r="H20" s="115">
        <f t="shared" ref="H20:I20" si="29">G20</f>
        <v>25</v>
      </c>
      <c r="I20" s="115">
        <f t="shared" si="29"/>
        <v>25</v>
      </c>
      <c r="J20" s="115">
        <f t="shared" si="27"/>
        <v>25</v>
      </c>
      <c r="K20" s="115">
        <f t="shared" si="24"/>
        <v>25</v>
      </c>
    </row>
    <row r="21" spans="1:11" outlineLevel="1" x14ac:dyDescent="0.25">
      <c r="A21" s="108" t="s">
        <v>15</v>
      </c>
      <c r="B21" s="108"/>
      <c r="C21" s="108"/>
      <c r="D21" s="117">
        <v>30</v>
      </c>
      <c r="E21" s="117">
        <v>30</v>
      </c>
      <c r="F21" s="111">
        <v>0.3</v>
      </c>
      <c r="G21" s="116">
        <f t="shared" si="21"/>
        <v>0.3</v>
      </c>
      <c r="H21" s="112">
        <f t="shared" ref="H21:I21" si="30">G21</f>
        <v>0.3</v>
      </c>
      <c r="I21" s="112">
        <f t="shared" si="30"/>
        <v>0.3</v>
      </c>
      <c r="J21" s="112">
        <f t="shared" si="27"/>
        <v>0.3</v>
      </c>
      <c r="K21" s="112">
        <f t="shared" si="24"/>
        <v>0.3</v>
      </c>
    </row>
    <row r="22" spans="1:11" x14ac:dyDescent="0.25">
      <c r="E22" s="4"/>
    </row>
    <row r="23" spans="1:11" x14ac:dyDescent="0.25">
      <c r="A23" s="135" t="str">
        <f>"Common size statement"&amp;" - "&amp;B1</f>
        <v xml:space="preserve">Common size statement - </v>
      </c>
      <c r="B23" s="135"/>
      <c r="C23" s="135"/>
      <c r="D23" s="135"/>
      <c r="E23" s="135"/>
      <c r="F23" s="135"/>
      <c r="G23" s="135"/>
      <c r="H23" s="135"/>
      <c r="I23" s="135"/>
      <c r="J23" s="135"/>
      <c r="K23" s="135"/>
    </row>
    <row r="24" spans="1:11" outlineLevel="1" x14ac:dyDescent="0.25">
      <c r="A24" s="129" t="s">
        <v>1</v>
      </c>
      <c r="B24" s="129"/>
      <c r="C24" s="129"/>
      <c r="D24" s="137">
        <f>D4/D4</f>
        <v>1</v>
      </c>
      <c r="E24" s="137">
        <f t="shared" ref="E24:H24" si="31">E4/E4</f>
        <v>1</v>
      </c>
      <c r="F24" s="137">
        <f t="shared" si="31"/>
        <v>1</v>
      </c>
      <c r="G24" s="137">
        <f t="shared" si="31"/>
        <v>1</v>
      </c>
      <c r="H24" s="137">
        <f t="shared" si="31"/>
        <v>1</v>
      </c>
      <c r="I24" s="137">
        <f>I4/I4</f>
        <v>1</v>
      </c>
      <c r="J24" s="137">
        <f t="shared" ref="J24:K24" si="32">J4/J4</f>
        <v>1</v>
      </c>
      <c r="K24" s="137">
        <f t="shared" si="32"/>
        <v>1</v>
      </c>
    </row>
    <row r="25" spans="1:11" outlineLevel="1" x14ac:dyDescent="0.25">
      <c r="A25" s="108" t="s">
        <v>2</v>
      </c>
      <c r="B25" s="108"/>
      <c r="C25" s="108"/>
      <c r="D25" s="119">
        <f>D5/D4</f>
        <v>0.33333333333333331</v>
      </c>
      <c r="E25" s="119">
        <f>E5/E4</f>
        <v>0.31818181818181818</v>
      </c>
      <c r="F25" s="119">
        <f>F5/F4</f>
        <v>0.4</v>
      </c>
      <c r="G25" s="119">
        <f t="shared" ref="E25:I25" si="33">G5/G4</f>
        <v>0.4</v>
      </c>
      <c r="H25" s="119">
        <f t="shared" si="33"/>
        <v>0.4</v>
      </c>
      <c r="I25" s="119">
        <f t="shared" si="33"/>
        <v>0.4</v>
      </c>
      <c r="J25" s="119">
        <f t="shared" ref="J25:K25" si="34">J5/J4</f>
        <v>0.4</v>
      </c>
      <c r="K25" s="119">
        <f t="shared" si="34"/>
        <v>0.4</v>
      </c>
    </row>
    <row r="26" spans="1:11" outlineLevel="1" x14ac:dyDescent="0.25">
      <c r="A26" s="108" t="s">
        <v>16</v>
      </c>
      <c r="B26" s="108"/>
      <c r="C26" s="108"/>
      <c r="D26" s="118">
        <f t="shared" ref="D26:I26" si="35">D6/D6</f>
        <v>1</v>
      </c>
      <c r="E26" s="118">
        <f t="shared" si="35"/>
        <v>1</v>
      </c>
      <c r="F26" s="118">
        <f t="shared" si="35"/>
        <v>1</v>
      </c>
      <c r="G26" s="118">
        <f t="shared" si="35"/>
        <v>1</v>
      </c>
      <c r="H26" s="118">
        <f t="shared" si="35"/>
        <v>1</v>
      </c>
      <c r="I26" s="118">
        <f t="shared" si="35"/>
        <v>1</v>
      </c>
      <c r="J26" s="118">
        <f t="shared" ref="J26:K26" si="36">J6/J6</f>
        <v>1</v>
      </c>
      <c r="K26" s="118">
        <f t="shared" si="36"/>
        <v>1</v>
      </c>
    </row>
    <row r="27" spans="1:11" outlineLevel="1" x14ac:dyDescent="0.25">
      <c r="A27" s="108" t="s">
        <v>3</v>
      </c>
      <c r="B27" s="108"/>
      <c r="C27" s="108"/>
      <c r="D27" s="119">
        <f t="shared" ref="D27:I27" si="37">D7/D6</f>
        <v>0.14285714285714285</v>
      </c>
      <c r="E27" s="119">
        <f t="shared" si="37"/>
        <v>0.13333333333333333</v>
      </c>
      <c r="F27" s="119">
        <f t="shared" si="37"/>
        <v>0.17217630853994489</v>
      </c>
      <c r="G27" s="119">
        <f t="shared" si="37"/>
        <v>0.15652391685449532</v>
      </c>
      <c r="H27" s="119">
        <f t="shared" si="37"/>
        <v>0.14229446986772304</v>
      </c>
      <c r="I27" s="119">
        <f t="shared" si="37"/>
        <v>0.12935860897065726</v>
      </c>
      <c r="J27" s="119">
        <f t="shared" ref="J27:K27" si="38">J7/J6</f>
        <v>0.11759873542787024</v>
      </c>
      <c r="K27" s="119">
        <f t="shared" si="38"/>
        <v>0.10690794129806384</v>
      </c>
    </row>
    <row r="28" spans="1:11" outlineLevel="1" x14ac:dyDescent="0.25">
      <c r="A28" s="108" t="s">
        <v>4</v>
      </c>
      <c r="B28" s="108"/>
      <c r="C28" s="108"/>
      <c r="D28" s="118">
        <f t="shared" ref="D28:I28" si="39">D8/D8</f>
        <v>1</v>
      </c>
      <c r="E28" s="118">
        <f t="shared" si="39"/>
        <v>1</v>
      </c>
      <c r="F28" s="118">
        <f t="shared" si="39"/>
        <v>1</v>
      </c>
      <c r="G28" s="118">
        <f t="shared" si="39"/>
        <v>1</v>
      </c>
      <c r="H28" s="118">
        <f t="shared" si="39"/>
        <v>1</v>
      </c>
      <c r="I28" s="118">
        <f t="shared" si="39"/>
        <v>1</v>
      </c>
      <c r="J28" s="118">
        <f t="shared" ref="J28:K28" si="40">J8/J8</f>
        <v>1</v>
      </c>
      <c r="K28" s="118">
        <f t="shared" si="40"/>
        <v>1</v>
      </c>
    </row>
    <row r="29" spans="1:11" outlineLevel="1" x14ac:dyDescent="0.25">
      <c r="A29" s="108" t="s">
        <v>5</v>
      </c>
      <c r="B29" s="108"/>
      <c r="C29" s="108"/>
      <c r="D29" s="119">
        <f t="shared" ref="D29:I29" si="41">D9/D8</f>
        <v>6.6666666666666666E-2</v>
      </c>
      <c r="E29" s="119">
        <f t="shared" si="41"/>
        <v>6.1538461538461542E-2</v>
      </c>
      <c r="F29" s="119">
        <f t="shared" si="41"/>
        <v>0.10066555740432613</v>
      </c>
      <c r="G29" s="119">
        <f t="shared" si="41"/>
        <v>9.8797505938242283E-2</v>
      </c>
      <c r="H29" s="119">
        <f t="shared" si="41"/>
        <v>9.7158442385793548E-2</v>
      </c>
      <c r="I29" s="119">
        <f t="shared" si="41"/>
        <v>9.5714876632283619E-2</v>
      </c>
      <c r="J29" s="119">
        <f>J9/J8</f>
        <v>9.4439272334611968E-2</v>
      </c>
      <c r="K29" s="119">
        <f>K9/K8</f>
        <v>9.3308783256290634E-2</v>
      </c>
    </row>
    <row r="30" spans="1:11" outlineLevel="1" x14ac:dyDescent="0.25">
      <c r="A30" s="108" t="s">
        <v>6</v>
      </c>
      <c r="B30" s="108"/>
      <c r="C30" s="108"/>
      <c r="D30" s="118">
        <f t="shared" ref="D30:I30" si="42">D10/D10</f>
        <v>1</v>
      </c>
      <c r="E30" s="118">
        <f t="shared" si="42"/>
        <v>1</v>
      </c>
      <c r="F30" s="118">
        <f t="shared" si="42"/>
        <v>1</v>
      </c>
      <c r="G30" s="118">
        <f t="shared" si="42"/>
        <v>1</v>
      </c>
      <c r="H30" s="118">
        <f t="shared" si="42"/>
        <v>1</v>
      </c>
      <c r="I30" s="118">
        <f t="shared" si="42"/>
        <v>1</v>
      </c>
      <c r="J30" s="118">
        <f t="shared" ref="J30:K30" si="43">J10/J10</f>
        <v>1</v>
      </c>
      <c r="K30" s="118">
        <f t="shared" si="43"/>
        <v>1</v>
      </c>
    </row>
    <row r="31" spans="1:11" outlineLevel="1" x14ac:dyDescent="0.25">
      <c r="A31" s="108" t="s">
        <v>7</v>
      </c>
      <c r="B31" s="108"/>
      <c r="C31" s="108"/>
      <c r="D31" s="119">
        <f t="shared" ref="D31:I31" si="44">D11/D10</f>
        <v>15</v>
      </c>
      <c r="E31" s="119">
        <f t="shared" si="44"/>
        <v>16.428571428571427</v>
      </c>
      <c r="F31" s="119">
        <f t="shared" si="44"/>
        <v>431.40000000000009</v>
      </c>
      <c r="G31" s="119">
        <f t="shared" si="44"/>
        <v>484.64000000000016</v>
      </c>
      <c r="H31" s="119">
        <f t="shared" si="44"/>
        <v>543.20400000000018</v>
      </c>
      <c r="I31" s="119">
        <f t="shared" si="44"/>
        <v>607.62440000000038</v>
      </c>
      <c r="J31" s="119">
        <f t="shared" ref="J31:K31" si="45">J11/J10</f>
        <v>678.48684000000037</v>
      </c>
      <c r="K31" s="119">
        <f t="shared" si="45"/>
        <v>756.43552400000044</v>
      </c>
    </row>
    <row r="32" spans="1:11" outlineLevel="1" x14ac:dyDescent="0.25">
      <c r="A32" s="108" t="s">
        <v>8</v>
      </c>
      <c r="B32" s="108"/>
      <c r="C32" s="108"/>
      <c r="D32" s="118">
        <f t="shared" ref="D32:I32" si="46">D12/D12</f>
        <v>1</v>
      </c>
      <c r="E32" s="118">
        <f t="shared" si="46"/>
        <v>1</v>
      </c>
      <c r="F32" s="118">
        <f t="shared" si="46"/>
        <v>1</v>
      </c>
      <c r="G32" s="118">
        <f t="shared" si="46"/>
        <v>1</v>
      </c>
      <c r="H32" s="118">
        <f t="shared" si="46"/>
        <v>1</v>
      </c>
      <c r="I32" s="118">
        <f t="shared" si="46"/>
        <v>1</v>
      </c>
      <c r="J32" s="118">
        <f t="shared" ref="J32:K32" si="47">J12/J12</f>
        <v>1</v>
      </c>
      <c r="K32" s="118">
        <f t="shared" si="47"/>
        <v>1</v>
      </c>
    </row>
    <row r="33" spans="1:11" outlineLevel="1" x14ac:dyDescent="0.25">
      <c r="A33" s="108" t="s">
        <v>9</v>
      </c>
      <c r="B33" s="108"/>
      <c r="C33" s="108"/>
      <c r="D33" s="119">
        <f t="shared" ref="D33:I33" si="48">D13/D12</f>
        <v>3.0384615384615383</v>
      </c>
      <c r="E33" s="119">
        <f t="shared" si="48"/>
        <v>3.4230769230769229</v>
      </c>
      <c r="F33" s="119">
        <f t="shared" si="48"/>
        <v>2.3333333333333335</v>
      </c>
      <c r="G33" s="119">
        <f t="shared" si="48"/>
        <v>2.3333333333333335</v>
      </c>
      <c r="H33" s="119">
        <f t="shared" si="48"/>
        <v>2.3333333333333335</v>
      </c>
      <c r="I33" s="119">
        <f t="shared" si="48"/>
        <v>2.3333333333333335</v>
      </c>
      <c r="J33" s="119">
        <f t="shared" ref="J33:K33" si="49">J13/J12</f>
        <v>2.3333333333333339</v>
      </c>
      <c r="K33" s="119">
        <f t="shared" si="49"/>
        <v>2.3333333333333335</v>
      </c>
    </row>
    <row r="35" spans="1:11" x14ac:dyDescent="0.25">
      <c r="A35" s="135" t="str">
        <f>"change analysis"&amp;"-"&amp;B1</f>
        <v>change analysis-</v>
      </c>
      <c r="B35" s="135"/>
      <c r="C35" s="135"/>
      <c r="D35" s="135"/>
      <c r="E35" s="135"/>
      <c r="F35" s="135"/>
      <c r="G35" s="135"/>
      <c r="H35" s="135"/>
      <c r="I35" s="135"/>
      <c r="J35" s="135"/>
    </row>
    <row r="36" spans="1:11" x14ac:dyDescent="0.25">
      <c r="A36" s="129"/>
      <c r="B36" s="138">
        <v>0.1</v>
      </c>
      <c r="C36" s="129"/>
      <c r="D36" s="129"/>
      <c r="E36" s="129"/>
      <c r="F36" s="129"/>
      <c r="G36" s="129"/>
      <c r="H36" s="129"/>
      <c r="I36" s="129"/>
      <c r="J36" s="129"/>
    </row>
    <row r="37" spans="1:11" x14ac:dyDescent="0.25">
      <c r="A37" s="108" t="s">
        <v>1</v>
      </c>
      <c r="B37" s="108"/>
      <c r="C37" s="108"/>
      <c r="D37" s="120">
        <f>D4*(1+B36)</f>
        <v>23100.000000000004</v>
      </c>
      <c r="E37" s="120">
        <f t="shared" ref="E37:I37" si="50">E4*(1+C36)</f>
        <v>22000</v>
      </c>
      <c r="F37" s="120">
        <f t="shared" si="50"/>
        <v>24200.000000000004</v>
      </c>
      <c r="G37" s="120">
        <f t="shared" si="50"/>
        <v>26620.000000000007</v>
      </c>
      <c r="H37" s="120">
        <f t="shared" si="50"/>
        <v>29282.000000000011</v>
      </c>
      <c r="I37" s="120">
        <f t="shared" si="50"/>
        <v>32210.200000000015</v>
      </c>
      <c r="J37" s="120">
        <f t="shared" ref="J37:J46" si="51">J4*(1+H36)</f>
        <v>35431.220000000023</v>
      </c>
    </row>
    <row r="38" spans="1:11" x14ac:dyDescent="0.25">
      <c r="A38" s="108" t="s">
        <v>2</v>
      </c>
      <c r="B38" s="108"/>
      <c r="C38" s="108"/>
      <c r="D38" s="120">
        <f t="shared" ref="D38:I38" si="52">D5*(1+B37)</f>
        <v>7000</v>
      </c>
      <c r="E38" s="120">
        <f t="shared" si="52"/>
        <v>7000</v>
      </c>
      <c r="F38" s="120">
        <f t="shared" si="52"/>
        <v>223617680.00000009</v>
      </c>
      <c r="G38" s="120">
        <f t="shared" si="52"/>
        <v>234266648.00000009</v>
      </c>
      <c r="H38" s="120">
        <f t="shared" si="52"/>
        <v>283461472.80000013</v>
      </c>
      <c r="I38" s="120">
        <f t="shared" si="52"/>
        <v>342987093.68000031</v>
      </c>
      <c r="J38" s="120">
        <f t="shared" si="51"/>
        <v>415012966.10400045</v>
      </c>
    </row>
    <row r="39" spans="1:11" x14ac:dyDescent="0.25">
      <c r="A39" s="108" t="s">
        <v>16</v>
      </c>
      <c r="B39" s="108"/>
      <c r="C39" s="108"/>
      <c r="D39" s="120">
        <f t="shared" ref="D39:I39" si="53">D6*(1+B38)</f>
        <v>14000</v>
      </c>
      <c r="E39" s="120">
        <f t="shared" si="53"/>
        <v>15000</v>
      </c>
      <c r="F39" s="120">
        <f t="shared" si="53"/>
        <v>101654520.00000001</v>
      </c>
      <c r="G39" s="120">
        <f t="shared" si="53"/>
        <v>111819972.00000003</v>
      </c>
      <c r="H39" s="120">
        <f t="shared" si="53"/>
        <v>3928783761025.2026</v>
      </c>
      <c r="I39" s="120">
        <f t="shared" si="53"/>
        <v>4527465370571.8838</v>
      </c>
      <c r="J39" s="120">
        <f t="shared" si="51"/>
        <v>6026031503839.2275</v>
      </c>
    </row>
    <row r="40" spans="1:11" x14ac:dyDescent="0.25">
      <c r="A40" s="108" t="s">
        <v>3</v>
      </c>
      <c r="B40" s="108"/>
      <c r="C40" s="108"/>
      <c r="D40" s="120">
        <f t="shared" ref="D40:I40" si="54">D7*(1+B39)</f>
        <v>2000</v>
      </c>
      <c r="E40" s="120">
        <f t="shared" si="54"/>
        <v>2000</v>
      </c>
      <c r="F40" s="120">
        <f t="shared" si="54"/>
        <v>35002500</v>
      </c>
      <c r="G40" s="120">
        <f t="shared" si="54"/>
        <v>37502500</v>
      </c>
      <c r="H40" s="120">
        <f t="shared" si="54"/>
        <v>254136302500.00003</v>
      </c>
      <c r="I40" s="120">
        <f t="shared" si="54"/>
        <v>279549932500.00006</v>
      </c>
      <c r="J40" s="120">
        <f t="shared" si="51"/>
        <v>9821959402565506</v>
      </c>
    </row>
    <row r="41" spans="1:11" x14ac:dyDescent="0.25">
      <c r="A41" s="108" t="s">
        <v>4</v>
      </c>
      <c r="B41" s="108"/>
      <c r="C41" s="108"/>
      <c r="D41" s="120">
        <f t="shared" ref="D41:I41" si="55">D8*(1+B40)</f>
        <v>12000</v>
      </c>
      <c r="E41" s="120">
        <f t="shared" si="55"/>
        <v>13000</v>
      </c>
      <c r="F41" s="120">
        <f t="shared" si="55"/>
        <v>24052020.000000004</v>
      </c>
      <c r="G41" s="120">
        <f t="shared" si="55"/>
        <v>26957472.000000007</v>
      </c>
      <c r="H41" s="120">
        <f t="shared" si="55"/>
        <v>527459688069.20013</v>
      </c>
      <c r="I41" s="120">
        <f t="shared" si="55"/>
        <v>631021582126.12036</v>
      </c>
      <c r="J41" s="120">
        <f t="shared" si="51"/>
        <v>4767274790087192</v>
      </c>
    </row>
    <row r="42" spans="1:11" x14ac:dyDescent="0.25">
      <c r="A42" s="108" t="s">
        <v>5</v>
      </c>
      <c r="B42" s="108"/>
      <c r="C42" s="108"/>
      <c r="D42" s="120">
        <f t="shared" ref="D42:I42" si="56">D9*(1+B41)</f>
        <v>800</v>
      </c>
      <c r="E42" s="120">
        <f t="shared" si="56"/>
        <v>800</v>
      </c>
      <c r="F42" s="120">
        <f t="shared" si="56"/>
        <v>14521210.000000002</v>
      </c>
      <c r="G42" s="120">
        <f t="shared" si="56"/>
        <v>17304331.000000007</v>
      </c>
      <c r="H42" s="120">
        <f t="shared" si="56"/>
        <v>35214563946.100021</v>
      </c>
      <c r="I42" s="120">
        <f t="shared" si="56"/>
        <v>43415279841.230034</v>
      </c>
      <c r="J42" s="120">
        <f t="shared" si="51"/>
        <v>934427012457332.5</v>
      </c>
    </row>
    <row r="43" spans="1:11" x14ac:dyDescent="0.25">
      <c r="A43" s="108" t="s">
        <v>6</v>
      </c>
      <c r="B43" s="108"/>
      <c r="C43" s="108"/>
      <c r="D43" s="120">
        <f t="shared" ref="D43:I43" si="57">D10*(1+B42)</f>
        <v>700</v>
      </c>
      <c r="E43" s="120">
        <f t="shared" si="57"/>
        <v>700</v>
      </c>
      <c r="F43" s="120">
        <f t="shared" si="57"/>
        <v>20025</v>
      </c>
      <c r="G43" s="120">
        <f t="shared" si="57"/>
        <v>20025</v>
      </c>
      <c r="H43" s="120">
        <f t="shared" si="57"/>
        <v>363030275.00000006</v>
      </c>
      <c r="I43" s="120">
        <f t="shared" si="57"/>
        <v>432608300.00000018</v>
      </c>
      <c r="J43" s="120">
        <f t="shared" si="51"/>
        <v>880364098677.50049</v>
      </c>
    </row>
    <row r="44" spans="1:11" x14ac:dyDescent="0.25">
      <c r="A44" s="108" t="s">
        <v>7</v>
      </c>
      <c r="B44" s="108"/>
      <c r="C44" s="108"/>
      <c r="D44" s="120">
        <f t="shared" ref="D44:I44" si="58">D11*(1+B43)</f>
        <v>10500</v>
      </c>
      <c r="E44" s="120">
        <f t="shared" si="58"/>
        <v>11500</v>
      </c>
      <c r="F44" s="120">
        <f t="shared" si="58"/>
        <v>7560285.0000000009</v>
      </c>
      <c r="G44" s="120">
        <f t="shared" si="58"/>
        <v>8493316.0000000019</v>
      </c>
      <c r="H44" s="120">
        <f t="shared" si="58"/>
        <v>271955082.60000008</v>
      </c>
      <c r="I44" s="120">
        <f t="shared" si="58"/>
        <v>304207155.86000019</v>
      </c>
      <c r="J44" s="120">
        <f t="shared" si="51"/>
        <v>6157781619689.2002</v>
      </c>
    </row>
    <row r="45" spans="1:11" x14ac:dyDescent="0.25">
      <c r="A45" s="108" t="s">
        <v>8</v>
      </c>
      <c r="B45" s="108"/>
      <c r="C45" s="108"/>
      <c r="D45" s="120">
        <f t="shared" ref="D45:I45" si="59">D12*(1+B44)</f>
        <v>2600</v>
      </c>
      <c r="E45" s="120">
        <f t="shared" si="59"/>
        <v>2600</v>
      </c>
      <c r="F45" s="120">
        <f t="shared" si="59"/>
        <v>33975985.500000007</v>
      </c>
      <c r="G45" s="120">
        <f t="shared" si="59"/>
        <v>41803834.800000012</v>
      </c>
      <c r="H45" s="120">
        <f t="shared" si="59"/>
        <v>30800831972.580013</v>
      </c>
      <c r="I45" s="120">
        <f t="shared" si="59"/>
        <v>38705599846.011032</v>
      </c>
      <c r="J45" s="120">
        <f t="shared" si="51"/>
        <v>1383884589702.7498</v>
      </c>
    </row>
    <row r="46" spans="1:11" x14ac:dyDescent="0.25">
      <c r="A46" s="108" t="s">
        <v>9</v>
      </c>
      <c r="B46" s="108"/>
      <c r="C46" s="108"/>
      <c r="D46" s="120">
        <f t="shared" ref="D46:I46" si="60">D13*(1+B45)</f>
        <v>7900</v>
      </c>
      <c r="E46" s="120">
        <f t="shared" si="60"/>
        <v>8900</v>
      </c>
      <c r="F46" s="120">
        <f t="shared" si="60"/>
        <v>19636249.500000004</v>
      </c>
      <c r="G46" s="120">
        <f t="shared" si="60"/>
        <v>22059601.200000007</v>
      </c>
      <c r="H46" s="120">
        <f t="shared" si="60"/>
        <v>322978105988.05518</v>
      </c>
      <c r="I46" s="120">
        <f t="shared" si="60"/>
        <v>444518036299.28699</v>
      </c>
      <c r="J46" s="120">
        <f t="shared" si="51"/>
        <v>365714285214692.44</v>
      </c>
    </row>
    <row r="47" spans="1:11" x14ac:dyDescent="0.25">
      <c r="A47" s="108"/>
      <c r="B47" s="108"/>
      <c r="C47" s="108"/>
      <c r="D47" s="108"/>
      <c r="E47" s="108"/>
      <c r="F47" s="108"/>
      <c r="G47" s="108"/>
      <c r="H47" s="108"/>
      <c r="I47" s="108"/>
      <c r="J47" s="108"/>
    </row>
    <row r="48" spans="1:11" x14ac:dyDescent="0.25">
      <c r="A48" s="108" t="s">
        <v>17</v>
      </c>
      <c r="B48" s="121">
        <v>44788</v>
      </c>
      <c r="C48" s="108">
        <v>0</v>
      </c>
      <c r="D48" s="108">
        <v>1</v>
      </c>
      <c r="E48" s="108">
        <v>2</v>
      </c>
      <c r="F48" s="108">
        <v>3</v>
      </c>
      <c r="G48" s="108">
        <v>4</v>
      </c>
      <c r="H48" s="108">
        <v>5</v>
      </c>
      <c r="I48" s="108"/>
      <c r="J48" s="108"/>
    </row>
    <row r="49" spans="1:10" x14ac:dyDescent="0.25">
      <c r="A49" s="108" t="s">
        <v>18</v>
      </c>
      <c r="B49" s="108"/>
      <c r="C49" s="121">
        <f>EOMONTH($B$48,C48)</f>
        <v>44804</v>
      </c>
      <c r="D49" s="121">
        <f t="shared" ref="D49:H49" si="61">EOMONTH($B$48,D48)</f>
        <v>44834</v>
      </c>
      <c r="E49" s="121">
        <f t="shared" si="61"/>
        <v>44865</v>
      </c>
      <c r="F49" s="121">
        <f t="shared" si="61"/>
        <v>44895</v>
      </c>
      <c r="G49" s="121">
        <f t="shared" si="61"/>
        <v>44926</v>
      </c>
      <c r="H49" s="121">
        <f t="shared" si="61"/>
        <v>44957</v>
      </c>
      <c r="I49" s="108"/>
      <c r="J49" s="108"/>
    </row>
    <row r="50" spans="1:10" x14ac:dyDescent="0.25">
      <c r="A50" s="108" t="s">
        <v>19</v>
      </c>
      <c r="B50" s="121"/>
      <c r="C50" s="121">
        <f>DATE(YEAR($B$48)+C48,12,31)</f>
        <v>44926</v>
      </c>
      <c r="D50" s="121">
        <f t="shared" ref="D50:H50" si="62">DATE(YEAR($B$48)+D48,12,31)</f>
        <v>45291</v>
      </c>
      <c r="E50" s="121">
        <f t="shared" si="62"/>
        <v>45657</v>
      </c>
      <c r="F50" s="121">
        <f t="shared" si="62"/>
        <v>46022</v>
      </c>
      <c r="G50" s="121">
        <f t="shared" si="62"/>
        <v>46387</v>
      </c>
      <c r="H50" s="121">
        <f t="shared" si="62"/>
        <v>46752</v>
      </c>
      <c r="I50" s="108"/>
      <c r="J50" s="108"/>
    </row>
    <row r="51" spans="1:10" x14ac:dyDescent="0.25">
      <c r="A51" s="108"/>
      <c r="B51" s="108"/>
      <c r="C51" s="108"/>
      <c r="D51" s="108"/>
      <c r="E51" s="108"/>
      <c r="F51" s="108"/>
      <c r="G51" s="108"/>
      <c r="H51" s="108"/>
      <c r="I51" s="108"/>
      <c r="J51" s="108"/>
    </row>
    <row r="52" spans="1:10" x14ac:dyDescent="0.25">
      <c r="A52" s="108" t="s">
        <v>20</v>
      </c>
      <c r="B52" s="108"/>
      <c r="C52" s="108">
        <f>YEARFRAC($B$48,C49)</f>
        <v>4.4444444444444446E-2</v>
      </c>
      <c r="D52" s="108">
        <f t="shared" ref="D52:H52" si="63">YEARFRAC($B$48,D49)</f>
        <v>0.125</v>
      </c>
      <c r="E52" s="108">
        <f t="shared" si="63"/>
        <v>0.21111111111111111</v>
      </c>
      <c r="F52" s="108">
        <f t="shared" si="63"/>
        <v>0.29166666666666669</v>
      </c>
      <c r="G52" s="108">
        <f t="shared" si="63"/>
        <v>0.37777777777777777</v>
      </c>
      <c r="H52" s="108">
        <f t="shared" si="63"/>
        <v>0.46111111111111114</v>
      </c>
      <c r="I52" s="108"/>
      <c r="J52" s="108"/>
    </row>
    <row r="53" spans="1:10" x14ac:dyDescent="0.25">
      <c r="A53" s="108" t="s">
        <v>21</v>
      </c>
      <c r="B53" s="108"/>
      <c r="C53" s="108">
        <f>YEARFRAC($B$48,C50)</f>
        <v>0.37777777777777777</v>
      </c>
      <c r="D53" s="108">
        <f t="shared" ref="D53:H53" si="64">YEARFRAC($B$48,D50)</f>
        <v>1.3777777777777778</v>
      </c>
      <c r="E53" s="108">
        <f t="shared" si="64"/>
        <v>2.3777777777777778</v>
      </c>
      <c r="F53" s="108">
        <f t="shared" si="64"/>
        <v>3.3777777777777778</v>
      </c>
      <c r="G53" s="108">
        <f t="shared" si="64"/>
        <v>4.3777777777777782</v>
      </c>
      <c r="H53" s="108">
        <f t="shared" si="64"/>
        <v>5.3777777777777782</v>
      </c>
      <c r="I53" s="108"/>
      <c r="J53" s="108"/>
    </row>
    <row r="54" spans="1:10" x14ac:dyDescent="0.25">
      <c r="A54" s="108" t="s">
        <v>36</v>
      </c>
      <c r="B54" s="108"/>
      <c r="C54" s="108" t="str">
        <f>IF(C53&lt;1,"stub","fullyear")</f>
        <v>stub</v>
      </c>
      <c r="D54" s="108" t="str">
        <f t="shared" ref="D54:H54" si="65">IF(D53&lt;1,"stub","fullyear")</f>
        <v>fullyear</v>
      </c>
      <c r="E54" s="108" t="str">
        <f t="shared" si="65"/>
        <v>fullyear</v>
      </c>
      <c r="F54" s="108" t="str">
        <f t="shared" si="65"/>
        <v>fullyear</v>
      </c>
      <c r="G54" s="108" t="str">
        <f t="shared" si="65"/>
        <v>fullyear</v>
      </c>
      <c r="H54" s="108" t="str">
        <f t="shared" si="65"/>
        <v>fullyear</v>
      </c>
      <c r="I54" s="108"/>
      <c r="J54" s="108"/>
    </row>
    <row r="55" spans="1:10" ht="15.75" x14ac:dyDescent="0.25">
      <c r="A55" s="139" t="s">
        <v>182</v>
      </c>
      <c r="B55" s="140"/>
      <c r="C55" s="140"/>
      <c r="D55" s="140"/>
      <c r="E55" s="140"/>
      <c r="F55" s="140"/>
      <c r="G55" s="140"/>
      <c r="H55" s="140"/>
      <c r="I55" s="140"/>
      <c r="J55" s="140"/>
    </row>
    <row r="56" spans="1:10" ht="7.5" customHeight="1" x14ac:dyDescent="0.25">
      <c r="A56" s="46"/>
      <c r="B56" s="46"/>
      <c r="C56" s="46"/>
      <c r="D56" s="46"/>
      <c r="E56" s="46"/>
      <c r="F56" s="46"/>
      <c r="G56" s="46"/>
      <c r="H56" s="46"/>
      <c r="I56" s="46"/>
      <c r="J56" s="46"/>
    </row>
    <row r="57" spans="1:10" x14ac:dyDescent="0.25">
      <c r="A57" s="6" t="s">
        <v>22</v>
      </c>
      <c r="B57" s="6">
        <v>0.1</v>
      </c>
      <c r="C57" s="6">
        <f>D5</f>
        <v>7000</v>
      </c>
      <c r="D57" s="6">
        <f t="shared" ref="D57:H57" si="66">E5</f>
        <v>7000</v>
      </c>
      <c r="E57" s="6">
        <f t="shared" si="66"/>
        <v>9680.0000000000018</v>
      </c>
      <c r="F57" s="6">
        <f t="shared" si="66"/>
        <v>10648.000000000004</v>
      </c>
      <c r="G57" s="6">
        <f t="shared" si="66"/>
        <v>11712.800000000005</v>
      </c>
      <c r="H57" s="6">
        <f t="shared" si="66"/>
        <v>12884.080000000007</v>
      </c>
    </row>
    <row r="58" spans="1:10" x14ac:dyDescent="0.25">
      <c r="A58" s="124" t="s">
        <v>23</v>
      </c>
      <c r="B58" s="124">
        <v>0.2</v>
      </c>
      <c r="C58" s="124">
        <f>D7</f>
        <v>2000</v>
      </c>
      <c r="D58" s="124">
        <f t="shared" ref="D58:H58" si="67">E7</f>
        <v>2000</v>
      </c>
      <c r="E58" s="124">
        <f t="shared" si="67"/>
        <v>2500</v>
      </c>
      <c r="F58" s="124">
        <f t="shared" si="67"/>
        <v>2500</v>
      </c>
      <c r="G58" s="124">
        <f t="shared" si="67"/>
        <v>2500</v>
      </c>
      <c r="H58" s="124">
        <f t="shared" si="67"/>
        <v>2500</v>
      </c>
    </row>
    <row r="59" spans="1:10" x14ac:dyDescent="0.25">
      <c r="A59" s="122" t="s">
        <v>24</v>
      </c>
      <c r="B59" s="122">
        <v>0.3</v>
      </c>
      <c r="C59" s="122">
        <f>D9</f>
        <v>800</v>
      </c>
      <c r="D59" s="122">
        <f t="shared" ref="D59:H59" si="68">E9</f>
        <v>800</v>
      </c>
      <c r="E59" s="122">
        <f t="shared" si="68"/>
        <v>1210.0000000000002</v>
      </c>
      <c r="F59" s="122">
        <f t="shared" si="68"/>
        <v>1331.0000000000005</v>
      </c>
      <c r="G59" s="122">
        <f t="shared" si="68"/>
        <v>1464.1000000000006</v>
      </c>
      <c r="H59" s="122">
        <f t="shared" si="68"/>
        <v>1610.5100000000009</v>
      </c>
    </row>
    <row r="60" spans="1:10" x14ac:dyDescent="0.25">
      <c r="A60" s="122" t="s">
        <v>25</v>
      </c>
      <c r="B60" s="122">
        <v>0.4</v>
      </c>
      <c r="C60" s="122">
        <f>D10</f>
        <v>700</v>
      </c>
      <c r="D60" s="122">
        <f t="shared" ref="D60:H60" si="69">E10</f>
        <v>700</v>
      </c>
      <c r="E60" s="122">
        <f t="shared" si="69"/>
        <v>25</v>
      </c>
      <c r="F60" s="122">
        <f t="shared" si="69"/>
        <v>25</v>
      </c>
      <c r="G60" s="122">
        <f t="shared" si="69"/>
        <v>25</v>
      </c>
      <c r="H60" s="122">
        <f t="shared" si="69"/>
        <v>25</v>
      </c>
    </row>
    <row r="61" spans="1:10" x14ac:dyDescent="0.25">
      <c r="A61" s="123" t="s">
        <v>26</v>
      </c>
      <c r="B61" s="123">
        <v>0.5</v>
      </c>
      <c r="C61" s="123">
        <f>D12</f>
        <v>2600</v>
      </c>
      <c r="D61" s="123">
        <f t="shared" ref="D61:H61" si="70">E12</f>
        <v>2600</v>
      </c>
      <c r="E61" s="123">
        <f t="shared" si="70"/>
        <v>3235.5000000000005</v>
      </c>
      <c r="F61" s="123">
        <f t="shared" si="70"/>
        <v>3634.8000000000011</v>
      </c>
      <c r="G61" s="123">
        <f t="shared" si="70"/>
        <v>4074.0300000000011</v>
      </c>
      <c r="H61" s="123">
        <f t="shared" si="70"/>
        <v>4557.1830000000027</v>
      </c>
    </row>
    <row r="62" spans="1:10" x14ac:dyDescent="0.25">
      <c r="A62" s="9" t="s">
        <v>28</v>
      </c>
      <c r="B62" s="10">
        <f>SUM(B57:B61)</f>
        <v>1.5</v>
      </c>
      <c r="C62" s="10">
        <f>SUM(C57:C61)</f>
        <v>13100</v>
      </c>
      <c r="D62" s="10">
        <f t="shared" ref="D62:H62" si="71">SUM(D57:D61)</f>
        <v>13100</v>
      </c>
      <c r="E62" s="10">
        <f t="shared" si="71"/>
        <v>16650.500000000004</v>
      </c>
      <c r="F62" s="10">
        <f t="shared" si="71"/>
        <v>18138.800000000003</v>
      </c>
      <c r="G62" s="10">
        <f t="shared" si="71"/>
        <v>19775.930000000008</v>
      </c>
      <c r="H62" s="10">
        <f t="shared" si="71"/>
        <v>21576.773000000008</v>
      </c>
      <c r="I62" s="11"/>
      <c r="J62" s="11"/>
    </row>
    <row r="64" spans="1:10" x14ac:dyDescent="0.25">
      <c r="A64" s="108" t="s">
        <v>29</v>
      </c>
      <c r="B64" s="108"/>
      <c r="C64" s="108">
        <f>AVERAGE(C57,C61)</f>
        <v>4800</v>
      </c>
      <c r="D64" s="108">
        <f t="shared" ref="D64:H64" si="72">AVERAGE(D57,D61)</f>
        <v>4800</v>
      </c>
      <c r="E64" s="108">
        <f t="shared" si="72"/>
        <v>6457.7500000000009</v>
      </c>
      <c r="F64" s="108">
        <f t="shared" si="72"/>
        <v>7141.4000000000024</v>
      </c>
      <c r="G64" s="108">
        <f t="shared" si="72"/>
        <v>7893.4150000000027</v>
      </c>
      <c r="H64" s="108">
        <f t="shared" si="72"/>
        <v>8720.631500000005</v>
      </c>
    </row>
    <row r="65" spans="1:10" x14ac:dyDescent="0.25">
      <c r="A65" s="108" t="s">
        <v>30</v>
      </c>
      <c r="B65" s="108"/>
      <c r="C65" s="108">
        <f>SUMPRODUCT($C$57:$C$61,D57:D61)</f>
        <v>60890000</v>
      </c>
      <c r="D65" s="108">
        <f t="shared" ref="D65:H65" si="73">SUMPRODUCT($C$57:$C$61,E57:E61)</f>
        <v>82157800.000000015</v>
      </c>
      <c r="E65" s="108">
        <f t="shared" si="73"/>
        <v>90068780.00000003</v>
      </c>
      <c r="F65" s="108">
        <f t="shared" si="73"/>
        <v>98770858.00000003</v>
      </c>
      <c r="G65" s="108">
        <f t="shared" si="73"/>
        <v>108343143.80000006</v>
      </c>
      <c r="H65" s="108">
        <f t="shared" si="73"/>
        <v>0</v>
      </c>
    </row>
    <row r="66" spans="1:10" x14ac:dyDescent="0.25">
      <c r="A66" s="108" t="s">
        <v>31</v>
      </c>
      <c r="B66" s="108"/>
      <c r="C66" s="108">
        <f>MEDIAN(C57:C61)</f>
        <v>2000</v>
      </c>
      <c r="D66" s="108">
        <f t="shared" ref="D66:H66" si="74">MEDIAN(D57:D61)</f>
        <v>2000</v>
      </c>
      <c r="E66" s="108">
        <f t="shared" si="74"/>
        <v>2500</v>
      </c>
      <c r="F66" s="108">
        <f t="shared" si="74"/>
        <v>2500</v>
      </c>
      <c r="G66" s="108">
        <f t="shared" si="74"/>
        <v>2500</v>
      </c>
      <c r="H66" s="108">
        <f t="shared" si="74"/>
        <v>2500</v>
      </c>
    </row>
    <row r="67" spans="1:10" x14ac:dyDescent="0.25">
      <c r="A67" s="108"/>
      <c r="B67" s="108"/>
      <c r="C67" s="108"/>
      <c r="D67" s="108"/>
      <c r="E67" s="108"/>
      <c r="F67" s="108"/>
      <c r="G67" s="108"/>
      <c r="H67" s="108"/>
    </row>
    <row r="68" spans="1:10" x14ac:dyDescent="0.25">
      <c r="A68" s="108" t="s">
        <v>32</v>
      </c>
      <c r="B68" s="108"/>
      <c r="C68" s="108">
        <f>MIN(C57:C61)</f>
        <v>700</v>
      </c>
      <c r="D68" s="108">
        <f t="shared" ref="D68:H68" si="75">MIN(D57:D61)</f>
        <v>700</v>
      </c>
      <c r="E68" s="108">
        <f t="shared" si="75"/>
        <v>25</v>
      </c>
      <c r="F68" s="108">
        <f t="shared" si="75"/>
        <v>25</v>
      </c>
      <c r="G68" s="108">
        <f t="shared" si="75"/>
        <v>25</v>
      </c>
      <c r="H68" s="108">
        <f t="shared" si="75"/>
        <v>25</v>
      </c>
    </row>
    <row r="69" spans="1:10" x14ac:dyDescent="0.25">
      <c r="A69" s="108" t="s">
        <v>33</v>
      </c>
      <c r="B69" s="108"/>
      <c r="C69" s="108">
        <f>MAX(C57:C61)</f>
        <v>7000</v>
      </c>
      <c r="D69" s="108">
        <f t="shared" ref="D69:H69" si="76">MAX(D57:D61)</f>
        <v>7000</v>
      </c>
      <c r="E69" s="108">
        <f t="shared" si="76"/>
        <v>9680.0000000000018</v>
      </c>
      <c r="F69" s="108">
        <f t="shared" si="76"/>
        <v>10648.000000000004</v>
      </c>
      <c r="G69" s="108">
        <f t="shared" si="76"/>
        <v>11712.800000000005</v>
      </c>
      <c r="H69" s="108">
        <f t="shared" si="76"/>
        <v>12884.080000000007</v>
      </c>
    </row>
    <row r="70" spans="1:10" x14ac:dyDescent="0.25">
      <c r="A70" s="108" t="s">
        <v>34</v>
      </c>
      <c r="B70" s="108">
        <v>3</v>
      </c>
      <c r="C70" s="108">
        <f>SMALL(C57:C61,$B$70)</f>
        <v>2000</v>
      </c>
      <c r="D70" s="108">
        <f t="shared" ref="D70:H70" si="77">SMALL(D57:D61,$B$70)</f>
        <v>2000</v>
      </c>
      <c r="E70" s="108">
        <f t="shared" si="77"/>
        <v>2500</v>
      </c>
      <c r="F70" s="108">
        <f t="shared" si="77"/>
        <v>2500</v>
      </c>
      <c r="G70" s="108">
        <f t="shared" si="77"/>
        <v>2500</v>
      </c>
      <c r="H70" s="108">
        <f t="shared" si="77"/>
        <v>2500</v>
      </c>
    </row>
    <row r="71" spans="1:10" x14ac:dyDescent="0.25">
      <c r="A71" s="108" t="s">
        <v>35</v>
      </c>
      <c r="B71" s="108">
        <v>2</v>
      </c>
      <c r="C71" s="108">
        <f>LARGE(C57:C61,$B$71)</f>
        <v>2600</v>
      </c>
      <c r="D71" s="108">
        <f t="shared" ref="D71:H71" si="78">LARGE(D57:D61,$B$71)</f>
        <v>2600</v>
      </c>
      <c r="E71" s="108">
        <f t="shared" si="78"/>
        <v>3235.5000000000005</v>
      </c>
      <c r="F71" s="108">
        <f t="shared" si="78"/>
        <v>3634.8000000000011</v>
      </c>
      <c r="G71" s="108">
        <f t="shared" si="78"/>
        <v>4074.0300000000011</v>
      </c>
      <c r="H71" s="108">
        <f t="shared" si="78"/>
        <v>4557.1830000000027</v>
      </c>
    </row>
    <row r="73" spans="1:10" x14ac:dyDescent="0.25">
      <c r="A73" s="141"/>
      <c r="B73" s="142" t="s">
        <v>40</v>
      </c>
      <c r="C73" s="142"/>
      <c r="D73" s="142"/>
      <c r="E73" s="142"/>
      <c r="F73" s="142"/>
      <c r="G73" s="141"/>
      <c r="H73" s="141"/>
      <c r="I73" s="141"/>
      <c r="J73" s="141"/>
    </row>
    <row r="74" spans="1:10" x14ac:dyDescent="0.25">
      <c r="A74" s="17" t="s">
        <v>37</v>
      </c>
      <c r="B74" s="16"/>
      <c r="C74" s="16"/>
      <c r="D74" s="16"/>
      <c r="E74" s="16"/>
      <c r="F74" s="16"/>
      <c r="G74" s="16"/>
      <c r="H74" s="16"/>
    </row>
    <row r="75" spans="1:10" x14ac:dyDescent="0.25">
      <c r="A75" s="6" t="s">
        <v>38</v>
      </c>
      <c r="B75" s="6"/>
      <c r="C75" s="6">
        <f>IF(C71&lt;17500,C71,0)</f>
        <v>2600</v>
      </c>
      <c r="D75" s="6">
        <f t="shared" ref="D75:H75" si="79">IF(D71&lt;17500,D71,0)</f>
        <v>2600</v>
      </c>
      <c r="E75" s="6">
        <f t="shared" si="79"/>
        <v>3235.5000000000005</v>
      </c>
      <c r="F75" s="6">
        <f t="shared" si="79"/>
        <v>3634.8000000000011</v>
      </c>
      <c r="G75" s="6">
        <f t="shared" si="79"/>
        <v>4074.0300000000011</v>
      </c>
      <c r="H75" s="6">
        <f t="shared" si="79"/>
        <v>4557.1830000000027</v>
      </c>
    </row>
    <row r="76" spans="1:10" x14ac:dyDescent="0.25">
      <c r="A76" s="15" t="s">
        <v>39</v>
      </c>
      <c r="B76" s="15"/>
      <c r="C76" s="15">
        <f>IF(C71&lt;17500,C71,0)</f>
        <v>2600</v>
      </c>
      <c r="D76" s="15">
        <f t="shared" ref="C76:G76" si="80">IF(D71&lt;17500,D71,0)</f>
        <v>2600</v>
      </c>
      <c r="E76" s="15">
        <f t="shared" si="80"/>
        <v>3235.5000000000005</v>
      </c>
      <c r="F76" s="15">
        <f t="shared" si="80"/>
        <v>3634.8000000000011</v>
      </c>
      <c r="G76" s="15">
        <f>IF(G71&lt;17500,G71,0)</f>
        <v>4074.0300000000011</v>
      </c>
      <c r="H76" s="15">
        <f t="shared" ref="H76" si="81">IF(H71&lt;17500,H71,0)</f>
        <v>4557.1830000000027</v>
      </c>
    </row>
    <row r="77" spans="1:10" x14ac:dyDescent="0.25">
      <c r="C77" s="63" t="s">
        <v>41</v>
      </c>
      <c r="D77" s="63"/>
      <c r="E77" s="63"/>
      <c r="F77" s="63"/>
    </row>
    <row r="78" spans="1:10" x14ac:dyDescent="0.25">
      <c r="C78" s="12"/>
      <c r="D78" s="12"/>
      <c r="E78" s="12"/>
      <c r="F78" s="12"/>
    </row>
    <row r="79" spans="1:10" x14ac:dyDescent="0.25">
      <c r="A79" s="143" t="s">
        <v>37</v>
      </c>
      <c r="B79" s="16"/>
      <c r="C79" s="16"/>
      <c r="D79" s="16"/>
      <c r="E79" s="16"/>
      <c r="F79" s="16"/>
      <c r="G79" s="16"/>
      <c r="H79" s="16"/>
    </row>
    <row r="80" spans="1:10" x14ac:dyDescent="0.25">
      <c r="A80" s="6"/>
      <c r="B80" s="6"/>
      <c r="C80" s="6"/>
      <c r="D80" s="6"/>
      <c r="E80" s="6"/>
      <c r="F80" s="6"/>
      <c r="G80" s="6"/>
      <c r="H80" s="6"/>
    </row>
    <row r="81" spans="1:11" x14ac:dyDescent="0.25">
      <c r="A81" s="6" t="s">
        <v>38</v>
      </c>
      <c r="B81" s="6">
        <v>17500</v>
      </c>
      <c r="C81" s="6">
        <f t="shared" ref="C81:H81" si="82">IF(C71&lt;$B$81,C71,0)</f>
        <v>2600</v>
      </c>
      <c r="D81" s="6">
        <f t="shared" si="82"/>
        <v>2600</v>
      </c>
      <c r="E81" s="6">
        <f t="shared" si="82"/>
        <v>3235.5000000000005</v>
      </c>
      <c r="F81" s="6">
        <f t="shared" si="82"/>
        <v>3634.8000000000011</v>
      </c>
      <c r="G81" s="6">
        <f t="shared" si="82"/>
        <v>4074.0300000000011</v>
      </c>
      <c r="H81" s="6">
        <f t="shared" si="82"/>
        <v>4557.1830000000027</v>
      </c>
    </row>
    <row r="82" spans="1:11" x14ac:dyDescent="0.25">
      <c r="A82" s="15" t="s">
        <v>39</v>
      </c>
      <c r="B82" s="15">
        <f>B81</f>
        <v>17500</v>
      </c>
      <c r="C82" s="15">
        <f t="shared" ref="C82:H82" si="83">IF(C71&lt;$B$82,C71,0)</f>
        <v>2600</v>
      </c>
      <c r="D82" s="15">
        <f t="shared" si="83"/>
        <v>2600</v>
      </c>
      <c r="E82" s="15">
        <f>IF(E71&lt;$B$82,E71,0)</f>
        <v>3235.5000000000005</v>
      </c>
      <c r="F82" s="15">
        <f t="shared" si="83"/>
        <v>3634.8000000000011</v>
      </c>
      <c r="G82" s="15">
        <f t="shared" si="83"/>
        <v>4074.0300000000011</v>
      </c>
      <c r="H82" s="15">
        <f t="shared" si="83"/>
        <v>4557.1830000000027</v>
      </c>
    </row>
    <row r="83" spans="1:11" x14ac:dyDescent="0.25">
      <c r="A83" s="7" t="s">
        <v>28</v>
      </c>
      <c r="B83" s="8">
        <f>SUM(B81:B82)</f>
        <v>35000</v>
      </c>
      <c r="C83" s="8">
        <f t="shared" ref="C83:H83" si="84">SUM(C81:C82)</f>
        <v>5200</v>
      </c>
      <c r="D83" s="8">
        <f t="shared" si="84"/>
        <v>5200</v>
      </c>
      <c r="E83" s="8">
        <f t="shared" si="84"/>
        <v>6471.0000000000009</v>
      </c>
      <c r="F83" s="8">
        <f t="shared" si="84"/>
        <v>7269.6000000000022</v>
      </c>
      <c r="G83" s="8">
        <f t="shared" si="84"/>
        <v>8148.0600000000022</v>
      </c>
      <c r="H83" s="8">
        <f t="shared" si="84"/>
        <v>9114.3660000000054</v>
      </c>
    </row>
    <row r="84" spans="1:1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7" spans="1:11" x14ac:dyDescent="0.25">
      <c r="A87" s="16" t="str">
        <f>"if&lt; "&amp; B87</f>
        <v>if&lt; 10000</v>
      </c>
      <c r="B87" s="16">
        <v>10000</v>
      </c>
      <c r="C87" s="16">
        <f>IF(C71&lt;$B$87,C71,0)</f>
        <v>2600</v>
      </c>
      <c r="D87" s="16">
        <f t="shared" ref="D87:H87" si="85">IF(D71&lt;$B$87,D71,0)</f>
        <v>2600</v>
      </c>
      <c r="E87" s="16">
        <f t="shared" si="85"/>
        <v>3235.5000000000005</v>
      </c>
      <c r="F87" s="16">
        <f t="shared" si="85"/>
        <v>3634.8000000000011</v>
      </c>
      <c r="G87" s="16">
        <f t="shared" si="85"/>
        <v>4074.0300000000011</v>
      </c>
      <c r="H87" s="16">
        <f t="shared" si="85"/>
        <v>4557.1830000000027</v>
      </c>
    </row>
    <row r="88" spans="1:11" x14ac:dyDescent="0.25">
      <c r="A88" s="15" t="str">
        <f>"if&gt;= "&amp;B88</f>
        <v>if&gt;= 10000</v>
      </c>
      <c r="B88" s="15">
        <f>B87</f>
        <v>10000</v>
      </c>
      <c r="C88" s="15">
        <f>IF(C71&lt;$B$88,C71,0)</f>
        <v>2600</v>
      </c>
      <c r="D88" s="15">
        <f t="shared" ref="D88:H88" si="86">IF(D71&lt;$B$88,D71,0)</f>
        <v>2600</v>
      </c>
      <c r="E88" s="15">
        <f t="shared" si="86"/>
        <v>3235.5000000000005</v>
      </c>
      <c r="F88" s="15">
        <f t="shared" si="86"/>
        <v>3634.8000000000011</v>
      </c>
      <c r="G88" s="15">
        <f t="shared" si="86"/>
        <v>4074.0300000000011</v>
      </c>
      <c r="H88" s="15">
        <f t="shared" si="86"/>
        <v>4557.1830000000027</v>
      </c>
    </row>
    <row r="91" spans="1:11" x14ac:dyDescent="0.25">
      <c r="A91" s="1"/>
      <c r="B91" s="1"/>
      <c r="C91" s="1" t="s">
        <v>42</v>
      </c>
      <c r="D91" s="1"/>
      <c r="E91" s="1"/>
      <c r="F91" s="1"/>
      <c r="G91" s="1"/>
      <c r="H91" s="1"/>
      <c r="I91" s="1"/>
      <c r="J91" s="1"/>
    </row>
    <row r="93" spans="1:11" x14ac:dyDescent="0.25">
      <c r="A93" s="16" t="s">
        <v>43</v>
      </c>
      <c r="B93" s="16"/>
      <c r="C93" s="16" t="str">
        <f>IF($C$75=$C$83,"ok","error")</f>
        <v>error</v>
      </c>
      <c r="D93" s="16" t="str">
        <f t="shared" ref="D93:H93" si="87">IF($C$75=$C$83,"ok","error")</f>
        <v>error</v>
      </c>
      <c r="E93" s="16" t="str">
        <f t="shared" si="87"/>
        <v>error</v>
      </c>
      <c r="F93" s="16" t="str">
        <f t="shared" si="87"/>
        <v>error</v>
      </c>
      <c r="G93" s="16" t="str">
        <f t="shared" si="87"/>
        <v>error</v>
      </c>
      <c r="H93" s="16" t="str">
        <f t="shared" si="87"/>
        <v>error</v>
      </c>
    </row>
    <row r="94" spans="1:11" x14ac:dyDescent="0.25">
      <c r="A94" s="15" t="s">
        <v>44</v>
      </c>
      <c r="B94" s="15"/>
      <c r="C94" s="15" t="b">
        <f>C75=C83</f>
        <v>0</v>
      </c>
      <c r="D94" s="15" t="b">
        <f t="shared" ref="D94:H94" si="88">D75=D83</f>
        <v>0</v>
      </c>
      <c r="E94" s="15" t="b">
        <f t="shared" si="88"/>
        <v>0</v>
      </c>
      <c r="F94" s="15" t="b">
        <f t="shared" si="88"/>
        <v>0</v>
      </c>
      <c r="G94" s="15" t="b">
        <f t="shared" si="88"/>
        <v>0</v>
      </c>
      <c r="H94" s="15" t="b">
        <f t="shared" si="88"/>
        <v>0</v>
      </c>
    </row>
  </sheetData>
  <mergeCells count="1">
    <mergeCell ref="B73:F73"/>
  </mergeCells>
  <conditionalFormatting sqref="D24:K33">
    <cfRule type="cellIs" dxfId="6" priority="1" operator="lessThan">
      <formula>0.1</formula>
    </cfRule>
    <cfRule type="cellIs" dxfId="5" priority="2" operator="lessThan">
      <formula>0.1</formula>
    </cfRule>
    <cfRule type="cellIs" dxfId="4" priority="3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5"/>
  <sheetViews>
    <sheetView showGridLines="0" workbookViewId="0">
      <selection activeCell="D3" sqref="D3"/>
    </sheetView>
  </sheetViews>
  <sheetFormatPr defaultRowHeight="15" outlineLevelRow="1" outlineLevelCol="1" x14ac:dyDescent="0.25"/>
  <cols>
    <col min="3" max="3" width="15.7109375" bestFit="1" customWidth="1"/>
    <col min="4" max="7" width="13.140625" customWidth="1" outlineLevel="1"/>
  </cols>
  <sheetData>
    <row r="1" spans="2:7" ht="15.75" thickBot="1" x14ac:dyDescent="0.3"/>
    <row r="2" spans="2:7" ht="15.75" x14ac:dyDescent="0.25">
      <c r="B2" s="24" t="s">
        <v>55</v>
      </c>
      <c r="C2" s="24"/>
      <c r="D2" s="29"/>
      <c r="E2" s="29"/>
      <c r="F2" s="29"/>
      <c r="G2" s="29"/>
    </row>
    <row r="3" spans="2:7" ht="15.75" x14ac:dyDescent="0.25">
      <c r="B3" s="23"/>
      <c r="C3" s="23"/>
      <c r="D3" s="147" t="s">
        <v>57</v>
      </c>
      <c r="E3" s="147" t="s">
        <v>52</v>
      </c>
      <c r="F3" s="147" t="s">
        <v>53</v>
      </c>
      <c r="G3" s="147" t="s">
        <v>54</v>
      </c>
    </row>
    <row r="4" spans="2:7" ht="22.5" outlineLevel="1" x14ac:dyDescent="0.25">
      <c r="B4" s="26"/>
      <c r="C4" s="26"/>
      <c r="D4" s="20"/>
      <c r="E4" s="32"/>
      <c r="F4" s="32" t="s">
        <v>184</v>
      </c>
      <c r="G4" s="32"/>
    </row>
    <row r="5" spans="2:7" x14ac:dyDescent="0.25">
      <c r="B5" s="27" t="s">
        <v>56</v>
      </c>
      <c r="C5" s="27"/>
      <c r="D5" s="25"/>
      <c r="E5" s="25"/>
      <c r="F5" s="25"/>
      <c r="G5" s="25"/>
    </row>
    <row r="6" spans="2:7" outlineLevel="1" x14ac:dyDescent="0.25">
      <c r="B6" s="26"/>
      <c r="C6" s="26" t="s">
        <v>46</v>
      </c>
      <c r="D6" s="20">
        <v>15000</v>
      </c>
      <c r="E6" s="30">
        <v>14500</v>
      </c>
      <c r="F6" s="30">
        <v>13500</v>
      </c>
      <c r="G6" s="30">
        <v>15000</v>
      </c>
    </row>
    <row r="7" spans="2:7" outlineLevel="1" x14ac:dyDescent="0.25">
      <c r="B7" s="26"/>
      <c r="C7" s="26" t="s">
        <v>47</v>
      </c>
      <c r="D7" s="21">
        <v>0.15</v>
      </c>
      <c r="E7" s="31">
        <v>0.1</v>
      </c>
      <c r="F7" s="31">
        <v>0.7</v>
      </c>
      <c r="G7" s="31">
        <v>0.15</v>
      </c>
    </row>
    <row r="8" spans="2:7" outlineLevel="1" x14ac:dyDescent="0.25">
      <c r="B8" s="26"/>
      <c r="C8" s="26" t="s">
        <v>48</v>
      </c>
      <c r="D8" s="21">
        <v>0.16</v>
      </c>
      <c r="E8" s="31">
        <v>0.6</v>
      </c>
      <c r="F8" s="31">
        <v>0.5</v>
      </c>
      <c r="G8" s="31">
        <v>0.16</v>
      </c>
    </row>
    <row r="9" spans="2:7" x14ac:dyDescent="0.25">
      <c r="B9" s="27" t="s">
        <v>58</v>
      </c>
      <c r="C9" s="27"/>
      <c r="D9" s="25"/>
      <c r="E9" s="25"/>
      <c r="F9" s="25"/>
      <c r="G9" s="25"/>
    </row>
    <row r="10" spans="2:7" outlineLevel="1" x14ac:dyDescent="0.25">
      <c r="B10" s="26"/>
      <c r="C10" s="26" t="s">
        <v>49</v>
      </c>
      <c r="D10" s="20">
        <v>17250</v>
      </c>
      <c r="E10" s="20">
        <v>15950</v>
      </c>
      <c r="F10" s="20">
        <v>22950</v>
      </c>
      <c r="G10" s="20">
        <v>17250</v>
      </c>
    </row>
    <row r="11" spans="2:7" outlineLevel="1" x14ac:dyDescent="0.25">
      <c r="B11" s="26"/>
      <c r="C11" s="26" t="s">
        <v>50</v>
      </c>
      <c r="D11" s="20">
        <v>-14490</v>
      </c>
      <c r="E11" s="20">
        <v>-6380</v>
      </c>
      <c r="F11" s="20">
        <v>-11475</v>
      </c>
      <c r="G11" s="20">
        <v>-14490</v>
      </c>
    </row>
    <row r="12" spans="2:7" ht="15.75" outlineLevel="1" thickBot="1" x14ac:dyDescent="0.3">
      <c r="B12" s="28"/>
      <c r="C12" s="28" t="s">
        <v>51</v>
      </c>
      <c r="D12" s="22">
        <v>2760</v>
      </c>
      <c r="E12" s="22">
        <v>9570</v>
      </c>
      <c r="F12" s="22">
        <v>11475</v>
      </c>
      <c r="G12" s="22">
        <v>2760</v>
      </c>
    </row>
    <row r="13" spans="2:7" x14ac:dyDescent="0.25">
      <c r="B13" t="s">
        <v>59</v>
      </c>
    </row>
    <row r="14" spans="2:7" x14ac:dyDescent="0.25">
      <c r="B14" t="s">
        <v>60</v>
      </c>
    </row>
    <row r="15" spans="2:7" x14ac:dyDescent="0.25">
      <c r="B15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0"/>
  <sheetViews>
    <sheetView showGridLines="0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4" sqref="F34"/>
    </sheetView>
  </sheetViews>
  <sheetFormatPr defaultRowHeight="15" x14ac:dyDescent="0.25"/>
  <cols>
    <col min="1" max="1" width="2.28515625" customWidth="1"/>
    <col min="2" max="2" width="32.7109375" customWidth="1"/>
    <col min="3" max="3" width="13.28515625" customWidth="1"/>
    <col min="4" max="4" width="12.7109375" customWidth="1"/>
    <col min="5" max="13" width="12.28515625" bestFit="1" customWidth="1"/>
  </cols>
  <sheetData>
    <row r="1" spans="1:13" x14ac:dyDescent="0.25">
      <c r="B1" s="44"/>
      <c r="C1" s="44"/>
      <c r="D1" s="44"/>
      <c r="E1" s="146" t="str">
        <f>"Historicals Financial-"&amp;'Data sheet'!B1</f>
        <v>Historicals Financial-TATA MOTORS LTD</v>
      </c>
      <c r="F1" s="146"/>
      <c r="G1" s="146"/>
      <c r="H1" s="146"/>
      <c r="I1" s="44"/>
      <c r="J1" s="44"/>
      <c r="K1" s="44"/>
      <c r="L1" s="44"/>
      <c r="M1" s="44"/>
    </row>
    <row r="2" spans="1:13" x14ac:dyDescent="0.25">
      <c r="B2" s="144" t="s">
        <v>171</v>
      </c>
      <c r="C2" s="145">
        <f>('Data sheet'!B16)</f>
        <v>41729</v>
      </c>
      <c r="D2" s="145">
        <f>('Data sheet'!C16)</f>
        <v>42094</v>
      </c>
      <c r="E2" s="145">
        <f>('Data sheet'!D16)</f>
        <v>42460</v>
      </c>
      <c r="F2" s="145">
        <f>('Data sheet'!E16)</f>
        <v>42825</v>
      </c>
      <c r="G2" s="145">
        <f>('Data sheet'!F16)</f>
        <v>43190</v>
      </c>
      <c r="H2" s="145">
        <f>('Data sheet'!G16)</f>
        <v>43555</v>
      </c>
      <c r="I2" s="145">
        <f>('Data sheet'!H16)</f>
        <v>43921</v>
      </c>
      <c r="J2" s="145">
        <f>('Data sheet'!I16)</f>
        <v>44286</v>
      </c>
      <c r="K2" s="145">
        <f>('Data sheet'!J16)</f>
        <v>44651</v>
      </c>
      <c r="L2" s="145">
        <f>('Data sheet'!K16)</f>
        <v>45016</v>
      </c>
      <c r="M2" s="145" t="s">
        <v>114</v>
      </c>
    </row>
    <row r="3" spans="1:13" s="46" customFormat="1" ht="6.75" customHeight="1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x14ac:dyDescent="0.25">
      <c r="A4" s="13" t="s">
        <v>180</v>
      </c>
      <c r="B4" s="77" t="s">
        <v>181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3" x14ac:dyDescent="0.25">
      <c r="B5" s="67" t="s">
        <v>74</v>
      </c>
      <c r="C5" s="68">
        <f>IFERROR(SUM('Data sheet'!B17),0)</f>
        <v>232833.66</v>
      </c>
      <c r="D5" s="68">
        <f>IFERROR(SUM('Data sheet'!C17),0)</f>
        <v>263158.98</v>
      </c>
      <c r="E5" s="68">
        <f>IFERROR(SUM('Data sheet'!D17),0)</f>
        <v>273045.59999999998</v>
      </c>
      <c r="F5" s="68">
        <f>IFERROR(SUM('Data sheet'!E17),0)</f>
        <v>269692.51</v>
      </c>
      <c r="G5" s="68">
        <f>IFERROR(SUM('Data sheet'!F17),0)</f>
        <v>291550.48</v>
      </c>
      <c r="H5" s="68">
        <f>IFERROR(SUM('Data sheet'!G17),0)</f>
        <v>301938.40000000002</v>
      </c>
      <c r="I5" s="68">
        <f>IFERROR(SUM('Data sheet'!H17),0)</f>
        <v>261067.97</v>
      </c>
      <c r="J5" s="68">
        <f>IFERROR(SUM('Data sheet'!I17),0)</f>
        <v>249794.75</v>
      </c>
      <c r="K5" s="68">
        <f>IFERROR(SUM('Data sheet'!J17),0)</f>
        <v>278453.62</v>
      </c>
      <c r="L5" s="68">
        <f>IFERROR(SUM('Data sheet'!K17),0)</f>
        <v>345966.97</v>
      </c>
      <c r="M5" s="68">
        <f>IFERROR(SUM('Data sheet'!G42:K42),0)</f>
        <v>481396.63</v>
      </c>
    </row>
    <row r="6" spans="1:13" s="95" customFormat="1" x14ac:dyDescent="0.25">
      <c r="B6" s="96" t="s">
        <v>115</v>
      </c>
      <c r="C6" s="97" t="s">
        <v>116</v>
      </c>
      <c r="D6" s="98">
        <f>D5/C5-1</f>
        <v>0.13024457030826198</v>
      </c>
      <c r="E6" s="98">
        <f t="shared" ref="E6:L6" si="0">E5/D5-1</f>
        <v>3.75690010654397E-2</v>
      </c>
      <c r="F6" s="98">
        <f t="shared" si="0"/>
        <v>-1.2280329732469508E-2</v>
      </c>
      <c r="G6" s="98">
        <f t="shared" si="0"/>
        <v>8.104774581985974E-2</v>
      </c>
      <c r="H6" s="98">
        <f t="shared" si="0"/>
        <v>3.5629919045237157E-2</v>
      </c>
      <c r="I6" s="98">
        <f t="shared" si="0"/>
        <v>-0.135360159555724</v>
      </c>
      <c r="J6" s="98">
        <f t="shared" si="0"/>
        <v>-4.3181168490336042E-2</v>
      </c>
      <c r="K6" s="98">
        <f t="shared" si="0"/>
        <v>0.11472967306158344</v>
      </c>
      <c r="L6" s="98">
        <f t="shared" si="0"/>
        <v>0.24245815155859707</v>
      </c>
      <c r="M6" s="98">
        <f>M5/L5-1</f>
        <v>0.39145257132494482</v>
      </c>
    </row>
    <row r="7" spans="1:13" x14ac:dyDescent="0.25"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</row>
    <row r="8" spans="1:13" x14ac:dyDescent="0.25">
      <c r="B8" s="50" t="s">
        <v>22</v>
      </c>
      <c r="C8" s="70">
        <f>IFERROR(SUM('Data sheet'!B18,'Data sheet'!B20:B22)-1*'Data sheet'!B19,0)</f>
        <v>180131.06000000003</v>
      </c>
      <c r="D8" s="70">
        <f>IFERROR(SUM('Data sheet'!C18,'Data sheet'!C20:C22)-1*'Data sheet'!C19,0)</f>
        <v>202856.88</v>
      </c>
      <c r="E8" s="70">
        <f>IFERROR(SUM('Data sheet'!D18,'Data sheet'!D20:D22)-1*'Data sheet'!D19,0)</f>
        <v>205509.07</v>
      </c>
      <c r="F8" s="70">
        <f>IFERROR(SUM('Data sheet'!E18,'Data sheet'!E20:E22)-1*'Data sheet'!E19,0)</f>
        <v>205454.23999999996</v>
      </c>
      <c r="G8" s="70">
        <f>IFERROR(SUM('Data sheet'!F18,'Data sheet'!F20:F22)-1*'Data sheet'!F19,0)</f>
        <v>228429.83</v>
      </c>
      <c r="H8" s="70">
        <f>IFERROR(SUM('Data sheet'!G18,'Data sheet'!G20:G22)-1*'Data sheet'!G19,0)</f>
        <v>242845.53</v>
      </c>
      <c r="I8" s="70">
        <f>IFERROR(SUM('Data sheet'!H18,'Data sheet'!H20:H22)-1*'Data sheet'!H19,0)</f>
        <v>210376.07000000004</v>
      </c>
      <c r="J8" s="70">
        <f>IFERROR(SUM('Data sheet'!I18,'Data sheet'!I20:I22)-1*'Data sheet'!I19,0)</f>
        <v>195326.04</v>
      </c>
      <c r="K8" s="70">
        <f>IFERROR(SUM('Data sheet'!J18,'Data sheet'!J20:J22)-1*'Data sheet'!J19,0)</f>
        <v>223300.00999999998</v>
      </c>
      <c r="L8" s="70">
        <f>IFERROR(SUM('Data sheet'!K18,'Data sheet'!K20:K22)-1*'Data sheet'!K19,0)</f>
        <v>274403.64</v>
      </c>
      <c r="M8" s="70">
        <f>IFERROR(SUM('Data sheet'!G43:K43),0)</f>
        <v>424905.01999999996</v>
      </c>
    </row>
    <row r="9" spans="1:13" s="95" customFormat="1" x14ac:dyDescent="0.25">
      <c r="B9" s="96" t="s">
        <v>117</v>
      </c>
      <c r="C9" s="99">
        <f>C8/C5</f>
        <v>0.77364698901353024</v>
      </c>
      <c r="D9" s="99">
        <f t="shared" ref="D9:M9" si="1">D8/D5</f>
        <v>0.77085296500237244</v>
      </c>
      <c r="E9" s="99">
        <f t="shared" si="1"/>
        <v>0.75265475803309057</v>
      </c>
      <c r="F9" s="99">
        <f t="shared" si="1"/>
        <v>0.76180921746770036</v>
      </c>
      <c r="G9" s="99">
        <f t="shared" si="1"/>
        <v>0.78350009919380004</v>
      </c>
      <c r="H9" s="99">
        <f t="shared" si="1"/>
        <v>0.80428832503583503</v>
      </c>
      <c r="I9" s="99">
        <f t="shared" si="1"/>
        <v>0.80582872728508226</v>
      </c>
      <c r="J9" s="99">
        <f t="shared" si="1"/>
        <v>0.7819461377791167</v>
      </c>
      <c r="K9" s="99">
        <f t="shared" si="1"/>
        <v>0.80192891728252624</v>
      </c>
      <c r="L9" s="99">
        <f t="shared" si="1"/>
        <v>0.79314982005363122</v>
      </c>
      <c r="M9" s="99">
        <f t="shared" si="1"/>
        <v>0.88265059105212251</v>
      </c>
    </row>
    <row r="10" spans="1:13" s="43" customFormat="1" x14ac:dyDescent="0.25">
      <c r="B10" s="72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</row>
    <row r="11" spans="1:13" s="18" customFormat="1" x14ac:dyDescent="0.25">
      <c r="B11" s="50" t="s">
        <v>45</v>
      </c>
      <c r="C11" s="70">
        <f>C5-C8</f>
        <v>52702.599999999977</v>
      </c>
      <c r="D11" s="70">
        <f t="shared" ref="D11:M11" si="2">D5-D8</f>
        <v>60302.099999999977</v>
      </c>
      <c r="E11" s="70">
        <f t="shared" si="2"/>
        <v>67536.52999999997</v>
      </c>
      <c r="F11" s="70">
        <f t="shared" si="2"/>
        <v>64238.270000000048</v>
      </c>
      <c r="G11" s="70">
        <f t="shared" si="2"/>
        <v>63120.649999999994</v>
      </c>
      <c r="H11" s="70">
        <f t="shared" si="2"/>
        <v>59092.870000000024</v>
      </c>
      <c r="I11" s="70">
        <f t="shared" si="2"/>
        <v>50691.899999999965</v>
      </c>
      <c r="J11" s="70">
        <f t="shared" si="2"/>
        <v>54468.709999999992</v>
      </c>
      <c r="K11" s="70">
        <f t="shared" si="2"/>
        <v>55153.610000000015</v>
      </c>
      <c r="L11" s="70">
        <f t="shared" si="2"/>
        <v>71563.329999999958</v>
      </c>
      <c r="M11" s="70">
        <f t="shared" si="2"/>
        <v>56491.610000000044</v>
      </c>
    </row>
    <row r="12" spans="1:13" s="95" customFormat="1" x14ac:dyDescent="0.25">
      <c r="B12" s="96" t="s">
        <v>124</v>
      </c>
      <c r="C12" s="99">
        <f>C11/C5</f>
        <v>0.22635301098646982</v>
      </c>
      <c r="D12" s="99">
        <f t="shared" ref="D12:M12" si="3">D11/D5</f>
        <v>0.22914703499762759</v>
      </c>
      <c r="E12" s="99">
        <f t="shared" si="3"/>
        <v>0.24734524196690946</v>
      </c>
      <c r="F12" s="99">
        <f t="shared" si="3"/>
        <v>0.23819078253229964</v>
      </c>
      <c r="G12" s="99">
        <f t="shared" si="3"/>
        <v>0.21649990080619999</v>
      </c>
      <c r="H12" s="99">
        <f t="shared" si="3"/>
        <v>0.19571167496416494</v>
      </c>
      <c r="I12" s="99">
        <f t="shared" si="3"/>
        <v>0.19417127271491774</v>
      </c>
      <c r="J12" s="99">
        <f t="shared" si="3"/>
        <v>0.2180538622208833</v>
      </c>
      <c r="K12" s="99">
        <f t="shared" si="3"/>
        <v>0.19807108271747378</v>
      </c>
      <c r="L12" s="99">
        <f t="shared" si="3"/>
        <v>0.20685017994636876</v>
      </c>
      <c r="M12" s="99">
        <f t="shared" si="3"/>
        <v>0.11734940894787743</v>
      </c>
    </row>
    <row r="13" spans="1:13" x14ac:dyDescent="0.25">
      <c r="B13" s="50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</row>
    <row r="14" spans="1:13" x14ac:dyDescent="0.25">
      <c r="B14" s="50" t="s">
        <v>118</v>
      </c>
      <c r="C14" s="70">
        <f>IFERROR(SUM('Data sheet'!B23,'Data sheet'!B24),0)</f>
        <v>17849.240000000002</v>
      </c>
      <c r="D14" s="70">
        <f>IFERROR(SUM('Data sheet'!C23,'Data sheet'!C24),0)</f>
        <v>21063.449999999997</v>
      </c>
      <c r="E14" s="70">
        <f>IFERROR(SUM('Data sheet'!D23,'Data sheet'!D24),0)</f>
        <v>29141.280000000002</v>
      </c>
      <c r="F14" s="70">
        <f>IFERROR(SUM('Data sheet'!E23,'Data sheet'!E24),0)</f>
        <v>34649.58</v>
      </c>
      <c r="G14" s="70">
        <f>IFERROR(SUM('Data sheet'!F23,'Data sheet'!F24),0)</f>
        <v>31662.97</v>
      </c>
      <c r="H14" s="70">
        <f>IFERROR(SUM('Data sheet'!G23,'Data sheet'!G24),0)</f>
        <v>34428.54</v>
      </c>
      <c r="I14" s="70">
        <f>IFERROR(SUM('Data sheet'!H23,'Data sheet'!H24),0)</f>
        <v>32704.83</v>
      </c>
      <c r="J14" s="70">
        <f>IFERROR(SUM('Data sheet'!I23,'Data sheet'!I24),0)</f>
        <v>22181.280000000002</v>
      </c>
      <c r="K14" s="70">
        <f>IFERROR(SUM('Data sheet'!J23,'Data sheet'!J24),0)</f>
        <v>30433.52</v>
      </c>
      <c r="L14" s="70">
        <f>IFERROR(SUM('Data sheet'!K23,'Data sheet'!K24),0)</f>
        <v>39747.53</v>
      </c>
      <c r="M14" s="70">
        <f>IFERROR(SUM('Data sheet'!L23,'Data sheet'!L24),0)</f>
        <v>0</v>
      </c>
    </row>
    <row r="15" spans="1:13" s="42" customFormat="1" x14ac:dyDescent="0.25">
      <c r="B15" s="69" t="s">
        <v>119</v>
      </c>
      <c r="C15" s="71">
        <f>C14/C5</f>
        <v>7.6660908908102038E-2</v>
      </c>
      <c r="D15" s="71">
        <f t="shared" ref="D15:M15" si="4">D14/D5</f>
        <v>8.0040779911823637E-2</v>
      </c>
      <c r="E15" s="71">
        <f t="shared" si="4"/>
        <v>0.10672678849247161</v>
      </c>
      <c r="F15" s="71">
        <f t="shared" si="4"/>
        <v>0.12847809529452636</v>
      </c>
      <c r="G15" s="71">
        <f t="shared" si="4"/>
        <v>0.10860201636437025</v>
      </c>
      <c r="H15" s="71">
        <f t="shared" si="4"/>
        <v>0.11402504616835751</v>
      </c>
      <c r="I15" s="71">
        <f t="shared" si="4"/>
        <v>0.12527323822987554</v>
      </c>
      <c r="J15" s="71">
        <f t="shared" si="4"/>
        <v>8.8798023177028354E-2</v>
      </c>
      <c r="K15" s="71">
        <f t="shared" si="4"/>
        <v>0.10929475436519734</v>
      </c>
      <c r="L15" s="71">
        <f t="shared" si="4"/>
        <v>0.11488822184383672</v>
      </c>
      <c r="M15" s="71">
        <f t="shared" si="4"/>
        <v>0</v>
      </c>
    </row>
    <row r="16" spans="1:13" x14ac:dyDescent="0.25"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</row>
    <row r="17" spans="2:13" s="18" customFormat="1" x14ac:dyDescent="0.25">
      <c r="B17" s="50" t="s">
        <v>120</v>
      </c>
      <c r="C17" s="70">
        <f>C11-C14</f>
        <v>34853.359999999971</v>
      </c>
      <c r="D17" s="70">
        <f t="shared" ref="D17:M17" si="5">D11-D14</f>
        <v>39238.64999999998</v>
      </c>
      <c r="E17" s="70">
        <f t="shared" si="5"/>
        <v>38395.249999999971</v>
      </c>
      <c r="F17" s="70">
        <f t="shared" si="5"/>
        <v>29588.690000000046</v>
      </c>
      <c r="G17" s="70">
        <f t="shared" si="5"/>
        <v>31457.679999999993</v>
      </c>
      <c r="H17" s="70">
        <f t="shared" si="5"/>
        <v>24664.330000000024</v>
      </c>
      <c r="I17" s="70">
        <f t="shared" si="5"/>
        <v>17987.069999999963</v>
      </c>
      <c r="J17" s="70">
        <f t="shared" si="5"/>
        <v>32287.429999999989</v>
      </c>
      <c r="K17" s="70">
        <f t="shared" si="5"/>
        <v>24720.090000000015</v>
      </c>
      <c r="L17" s="70">
        <f t="shared" si="5"/>
        <v>31815.799999999959</v>
      </c>
      <c r="M17" s="70">
        <f t="shared" si="5"/>
        <v>56491.610000000044</v>
      </c>
    </row>
    <row r="18" spans="2:13" s="42" customFormat="1" x14ac:dyDescent="0.25">
      <c r="B18" s="69" t="s">
        <v>121</v>
      </c>
      <c r="C18" s="71">
        <f>C17/C5</f>
        <v>0.14969210207836775</v>
      </c>
      <c r="D18" s="71">
        <f t="shared" ref="D18:M18" si="6">D17/D5</f>
        <v>0.14910625508580397</v>
      </c>
      <c r="E18" s="71">
        <f t="shared" si="6"/>
        <v>0.14061845347443788</v>
      </c>
      <c r="F18" s="71">
        <f t="shared" si="6"/>
        <v>0.10971268723777329</v>
      </c>
      <c r="G18" s="71">
        <f t="shared" si="6"/>
        <v>0.10789788444182975</v>
      </c>
      <c r="H18" s="71">
        <f t="shared" si="6"/>
        <v>8.1686628795807431E-2</v>
      </c>
      <c r="I18" s="71">
        <f t="shared" si="6"/>
        <v>6.8898034485042198E-2</v>
      </c>
      <c r="J18" s="71">
        <f t="shared" si="6"/>
        <v>0.12925583904385496</v>
      </c>
      <c r="K18" s="71">
        <f t="shared" si="6"/>
        <v>8.877632835227646E-2</v>
      </c>
      <c r="L18" s="71">
        <f t="shared" si="6"/>
        <v>9.1961958102532049E-2</v>
      </c>
      <c r="M18" s="71">
        <f t="shared" si="6"/>
        <v>0.11734940894787743</v>
      </c>
    </row>
    <row r="19" spans="2:13" x14ac:dyDescent="0.25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2:13" s="41" customFormat="1" x14ac:dyDescent="0.25">
      <c r="B20" s="50" t="s">
        <v>25</v>
      </c>
      <c r="C20" s="70">
        <f>IFERROR(SUM('Data sheet'!B27),0)</f>
        <v>4749.4399999999996</v>
      </c>
      <c r="D20" s="70">
        <f>IFERROR(SUM('Data sheet'!C27),0)</f>
        <v>4861.49</v>
      </c>
      <c r="E20" s="70">
        <f>IFERROR(SUM('Data sheet'!D27),0)</f>
        <v>4889.08</v>
      </c>
      <c r="F20" s="70">
        <f>IFERROR(SUM('Data sheet'!E27),0)</f>
        <v>4238.01</v>
      </c>
      <c r="G20" s="70">
        <f>IFERROR(SUM('Data sheet'!F27),0)</f>
        <v>4681.79</v>
      </c>
      <c r="H20" s="70">
        <f>IFERROR(SUM('Data sheet'!G27),0)</f>
        <v>5758.6</v>
      </c>
      <c r="I20" s="70">
        <f>IFERROR(SUM('Data sheet'!H27),0)</f>
        <v>7243.33</v>
      </c>
      <c r="J20" s="70">
        <f>IFERROR(SUM('Data sheet'!I27),0)</f>
        <v>8097.17</v>
      </c>
      <c r="K20" s="70">
        <f>IFERROR(SUM('Data sheet'!J27),0)</f>
        <v>9311.86</v>
      </c>
      <c r="L20" s="70">
        <f>IFERROR(SUM('Data sheet'!K27),0)</f>
        <v>10225.48</v>
      </c>
      <c r="M20" s="70">
        <f>IFERROR(SUM('Data sheet'!H46:K46),0)</f>
        <v>10584.58</v>
      </c>
    </row>
    <row r="21" spans="2:13" s="42" customFormat="1" x14ac:dyDescent="0.25">
      <c r="B21" s="69" t="s">
        <v>122</v>
      </c>
      <c r="C21" s="71">
        <f>C20/C5</f>
        <v>2.0398425210512945E-2</v>
      </c>
      <c r="D21" s="71">
        <f t="shared" ref="D21:M21" si="7">D20/D5</f>
        <v>1.8473585814932098E-2</v>
      </c>
      <c r="E21" s="71">
        <f t="shared" si="7"/>
        <v>1.7905727101993223E-2</v>
      </c>
      <c r="F21" s="71">
        <f t="shared" si="7"/>
        <v>1.5714229512714312E-2</v>
      </c>
      <c r="G21" s="71">
        <f t="shared" si="7"/>
        <v>1.605824830060304E-2</v>
      </c>
      <c r="H21" s="71">
        <f t="shared" si="7"/>
        <v>1.9072102124141878E-2</v>
      </c>
      <c r="I21" s="71">
        <f t="shared" si="7"/>
        <v>2.7744996829752802E-2</v>
      </c>
      <c r="J21" s="71">
        <f t="shared" si="7"/>
        <v>3.2415292955516477E-2</v>
      </c>
      <c r="K21" s="71">
        <f t="shared" si="7"/>
        <v>3.3441332168710897E-2</v>
      </c>
      <c r="L21" s="71">
        <f t="shared" si="7"/>
        <v>2.9556231914277829E-2</v>
      </c>
      <c r="M21" s="71">
        <f t="shared" si="7"/>
        <v>2.1987233271657927E-2</v>
      </c>
    </row>
    <row r="22" spans="2:13" x14ac:dyDescent="0.25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</row>
    <row r="23" spans="2:13" s="41" customFormat="1" x14ac:dyDescent="0.25">
      <c r="B23" s="50" t="s">
        <v>83</v>
      </c>
      <c r="C23" s="70">
        <f>IFERROR(SUM('Data sheet'!B26),0)</f>
        <v>11078.16</v>
      </c>
      <c r="D23" s="70">
        <f>IFERROR(SUM('Data sheet'!C26),0)</f>
        <v>13388.63</v>
      </c>
      <c r="E23" s="70">
        <f>IFERROR(SUM('Data sheet'!D26),0)</f>
        <v>16710.78</v>
      </c>
      <c r="F23" s="70">
        <f>IFERROR(SUM('Data sheet'!E26),0)</f>
        <v>17904.990000000002</v>
      </c>
      <c r="G23" s="70">
        <f>IFERROR(SUM('Data sheet'!F26),0)</f>
        <v>21553.59</v>
      </c>
      <c r="H23" s="70">
        <f>IFERROR(SUM('Data sheet'!G26),0)</f>
        <v>23590.63</v>
      </c>
      <c r="I23" s="70">
        <f>IFERROR(SUM('Data sheet'!H26),0)</f>
        <v>21425.43</v>
      </c>
      <c r="J23" s="70">
        <f>IFERROR(SUM('Data sheet'!I26),0)</f>
        <v>23546.71</v>
      </c>
      <c r="K23" s="70">
        <f>IFERROR(SUM('Data sheet'!J26),0)</f>
        <v>24835.69</v>
      </c>
      <c r="L23" s="70">
        <f>IFERROR(SUM('Data sheet'!K26),0)</f>
        <v>24860.36</v>
      </c>
      <c r="M23" s="70">
        <f>IFERROR(SUM('Data sheet'!H45:K45),0)</f>
        <v>26391.58</v>
      </c>
    </row>
    <row r="24" spans="2:13" s="42" customFormat="1" x14ac:dyDescent="0.25">
      <c r="B24" s="69" t="s">
        <v>123</v>
      </c>
      <c r="C24" s="71">
        <f>C23/C5</f>
        <v>4.757971849946438E-2</v>
      </c>
      <c r="D24" s="71">
        <f t="shared" ref="D24:M24" si="8">D23/D5</f>
        <v>5.0876584184966822E-2</v>
      </c>
      <c r="E24" s="71">
        <f t="shared" si="8"/>
        <v>6.1201425695927715E-2</v>
      </c>
      <c r="F24" s="71">
        <f t="shared" si="8"/>
        <v>6.63903865924938E-2</v>
      </c>
      <c r="G24" s="71">
        <f t="shared" si="8"/>
        <v>7.3927472182518786E-2</v>
      </c>
      <c r="H24" s="71">
        <f t="shared" si="8"/>
        <v>7.8130605447998658E-2</v>
      </c>
      <c r="I24" s="71">
        <f t="shared" si="8"/>
        <v>8.206839774331566E-2</v>
      </c>
      <c r="J24" s="71">
        <f t="shared" si="8"/>
        <v>9.4264230933596482E-2</v>
      </c>
      <c r="K24" s="71">
        <f t="shared" si="8"/>
        <v>8.9191478279219347E-2</v>
      </c>
      <c r="L24" s="71">
        <f t="shared" si="8"/>
        <v>7.1857611147098821E-2</v>
      </c>
      <c r="M24" s="71">
        <f t="shared" si="8"/>
        <v>5.4822942985703914E-2</v>
      </c>
    </row>
    <row r="25" spans="2:13" x14ac:dyDescent="0.25"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</row>
    <row r="26" spans="2:13" s="54" customFormat="1" x14ac:dyDescent="0.25">
      <c r="B26" s="50" t="s">
        <v>125</v>
      </c>
      <c r="C26" s="70">
        <f>IFERROR(C17-SUM(C20,C23),0)</f>
        <v>19025.759999999973</v>
      </c>
      <c r="D26" s="70">
        <f t="shared" ref="D26:M26" si="9">IFERROR(D17-SUM(D20,D23),0)</f>
        <v>20988.529999999981</v>
      </c>
      <c r="E26" s="70">
        <f t="shared" si="9"/>
        <v>16795.38999999997</v>
      </c>
      <c r="F26" s="70">
        <f t="shared" si="9"/>
        <v>7445.690000000046</v>
      </c>
      <c r="G26" s="70">
        <f t="shared" si="9"/>
        <v>5222.299999999992</v>
      </c>
      <c r="H26" s="70">
        <f t="shared" si="9"/>
        <v>-4684.8999999999796</v>
      </c>
      <c r="I26" s="70">
        <f t="shared" si="9"/>
        <v>-10681.690000000039</v>
      </c>
      <c r="J26" s="70">
        <f t="shared" si="9"/>
        <v>643.549999999992</v>
      </c>
      <c r="K26" s="70">
        <f t="shared" si="9"/>
        <v>-9427.4599999999882</v>
      </c>
      <c r="L26" s="70">
        <f t="shared" si="9"/>
        <v>-3270.0400000000373</v>
      </c>
      <c r="M26" s="70">
        <f t="shared" si="9"/>
        <v>19515.450000000041</v>
      </c>
    </row>
    <row r="27" spans="2:13" s="42" customFormat="1" x14ac:dyDescent="0.25">
      <c r="B27" s="69" t="s">
        <v>126</v>
      </c>
      <c r="C27" s="71">
        <f>C26/C5</f>
        <v>8.1713958368390432E-2</v>
      </c>
      <c r="D27" s="71">
        <f t="shared" ref="D27:M27" si="10">D26/D5</f>
        <v>7.9756085085905037E-2</v>
      </c>
      <c r="E27" s="71">
        <f t="shared" si="10"/>
        <v>6.1511300676516931E-2</v>
      </c>
      <c r="F27" s="71">
        <f t="shared" si="10"/>
        <v>2.7608071132565179E-2</v>
      </c>
      <c r="G27" s="71">
        <f t="shared" si="10"/>
        <v>1.7912163958707913E-2</v>
      </c>
      <c r="H27" s="71">
        <f t="shared" si="10"/>
        <v>-1.5516078776333117E-2</v>
      </c>
      <c r="I27" s="71">
        <f t="shared" si="10"/>
        <v>-4.0915360088026265E-2</v>
      </c>
      <c r="J27" s="71">
        <f t="shared" si="10"/>
        <v>2.5763151547420113E-3</v>
      </c>
      <c r="K27" s="71">
        <f t="shared" si="10"/>
        <v>-3.3856482095653805E-2</v>
      </c>
      <c r="L27" s="71">
        <f t="shared" si="10"/>
        <v>-9.4518849588445895E-3</v>
      </c>
      <c r="M27" s="71">
        <f t="shared" si="10"/>
        <v>4.0539232690515598E-2</v>
      </c>
    </row>
    <row r="28" spans="2:13" x14ac:dyDescent="0.25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</row>
    <row r="29" spans="2:13" s="41" customFormat="1" x14ac:dyDescent="0.25">
      <c r="B29" s="50" t="s">
        <v>85</v>
      </c>
      <c r="C29" s="70">
        <f>IFERROR('Data sheet'!B29,0)</f>
        <v>4764.79</v>
      </c>
      <c r="D29" s="70">
        <f>IFERROR('Data sheet'!C29,0)</f>
        <v>7642.91</v>
      </c>
      <c r="E29" s="70">
        <f>IFERROR('Data sheet'!D29,0)</f>
        <v>3025.05</v>
      </c>
      <c r="F29" s="70">
        <f>IFERROR('Data sheet'!E29,0)</f>
        <v>3251.23</v>
      </c>
      <c r="G29" s="70">
        <f>IFERROR('Data sheet'!F29,0)</f>
        <v>4341.93</v>
      </c>
      <c r="H29" s="70">
        <f>IFERROR('Data sheet'!G29,0)</f>
        <v>-2437.4499999999998</v>
      </c>
      <c r="I29" s="70">
        <f>IFERROR('Data sheet'!H29,0)</f>
        <v>395.25</v>
      </c>
      <c r="J29" s="70">
        <f>IFERROR('Data sheet'!I29,0)</f>
        <v>2541.86</v>
      </c>
      <c r="K29" s="70">
        <f>IFERROR('Data sheet'!J29,0)</f>
        <v>4231.29</v>
      </c>
      <c r="L29" s="70">
        <f>IFERROR('Data sheet'!K29,0)</f>
        <v>704.06</v>
      </c>
      <c r="M29" s="70">
        <f>IFERROR(SUM('Data sheet'!H48:K48),0)</f>
        <v>3408.03</v>
      </c>
    </row>
    <row r="30" spans="2:13" s="42" customFormat="1" x14ac:dyDescent="0.25">
      <c r="B30" s="69" t="s">
        <v>127</v>
      </c>
      <c r="C30" s="71">
        <f>C29/C26</f>
        <v>0.25043887865714731</v>
      </c>
      <c r="D30" s="71">
        <f t="shared" ref="D30:M30" si="11">D29/D26</f>
        <v>0.3641469888553418</v>
      </c>
      <c r="E30" s="71">
        <f t="shared" si="11"/>
        <v>0.18011192356950362</v>
      </c>
      <c r="F30" s="71">
        <f t="shared" si="11"/>
        <v>0.43665932908836924</v>
      </c>
      <c r="G30" s="71">
        <f t="shared" si="11"/>
        <v>0.8314210213890445</v>
      </c>
      <c r="H30" s="71">
        <f t="shared" si="11"/>
        <v>0.52027791414971725</v>
      </c>
      <c r="I30" s="71">
        <f t="shared" si="11"/>
        <v>-3.7002571690434617E-2</v>
      </c>
      <c r="J30" s="71">
        <f t="shared" si="11"/>
        <v>3.9497474943672315</v>
      </c>
      <c r="K30" s="71">
        <f t="shared" si="11"/>
        <v>-0.4488260888935095</v>
      </c>
      <c r="L30" s="71">
        <f t="shared" si="11"/>
        <v>-0.21530623478611635</v>
      </c>
      <c r="M30" s="71">
        <f t="shared" si="11"/>
        <v>0.1746324066316684</v>
      </c>
    </row>
    <row r="31" spans="2:13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</row>
    <row r="32" spans="2:13" s="54" customFormat="1" x14ac:dyDescent="0.25">
      <c r="B32" s="50" t="s">
        <v>86</v>
      </c>
      <c r="C32" s="70">
        <f>C26-C29</f>
        <v>14260.969999999972</v>
      </c>
      <c r="D32" s="70">
        <f t="shared" ref="D32:M32" si="12">D26-D29</f>
        <v>13345.619999999981</v>
      </c>
      <c r="E32" s="70">
        <f t="shared" si="12"/>
        <v>13770.339999999971</v>
      </c>
      <c r="F32" s="70">
        <f t="shared" si="12"/>
        <v>4194.4600000000464</v>
      </c>
      <c r="G32" s="70">
        <f t="shared" si="12"/>
        <v>880.36999999999171</v>
      </c>
      <c r="H32" s="70">
        <f t="shared" si="12"/>
        <v>-2247.4499999999798</v>
      </c>
      <c r="I32" s="70">
        <f t="shared" si="12"/>
        <v>-11076.940000000039</v>
      </c>
      <c r="J32" s="70">
        <f t="shared" si="12"/>
        <v>-1898.3100000000081</v>
      </c>
      <c r="K32" s="70">
        <f t="shared" si="12"/>
        <v>-13658.749999999989</v>
      </c>
      <c r="L32" s="70">
        <f t="shared" si="12"/>
        <v>-3974.1000000000372</v>
      </c>
      <c r="M32" s="70">
        <f t="shared" si="12"/>
        <v>16107.42000000004</v>
      </c>
    </row>
    <row r="33" spans="1:13" s="42" customFormat="1" x14ac:dyDescent="0.25">
      <c r="B33" s="69" t="s">
        <v>128</v>
      </c>
      <c r="C33" s="71">
        <f>C32/C5</f>
        <v>6.124960626397391E-2</v>
      </c>
      <c r="D33" s="71">
        <f t="shared" ref="D33:M33" si="13">D32/D5</f>
        <v>5.0713146858982282E-2</v>
      </c>
      <c r="E33" s="71">
        <f t="shared" si="13"/>
        <v>5.0432381990407359E-2</v>
      </c>
      <c r="F33" s="71">
        <f t="shared" si="13"/>
        <v>1.5552749314395296E-2</v>
      </c>
      <c r="G33" s="71">
        <f t="shared" si="13"/>
        <v>3.01961430487095E-3</v>
      </c>
      <c r="H33" s="71">
        <f t="shared" si="13"/>
        <v>-7.4434056747998256E-3</v>
      </c>
      <c r="I33" s="71">
        <f t="shared" si="13"/>
        <v>-4.2429333632923408E-2</v>
      </c>
      <c r="J33" s="71">
        <f t="shared" si="13"/>
        <v>-7.5994791724005731E-3</v>
      </c>
      <c r="K33" s="71">
        <f t="shared" si="13"/>
        <v>-4.9052154538339235E-2</v>
      </c>
      <c r="L33" s="71">
        <f t="shared" si="13"/>
        <v>-1.1486934720964945E-2</v>
      </c>
      <c r="M33" s="71">
        <f t="shared" si="13"/>
        <v>3.3459768922769653E-2</v>
      </c>
    </row>
    <row r="34" spans="1:13" x14ac:dyDescent="0.25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</row>
    <row r="35" spans="1:13" x14ac:dyDescent="0.25">
      <c r="B35" s="50" t="s">
        <v>129</v>
      </c>
      <c r="C35" s="70">
        <f>IFERROR('Data sheet'!B93,0)</f>
        <v>288.74</v>
      </c>
      <c r="D35" s="70">
        <f>IFERROR('Data sheet'!C93,0)</f>
        <v>288.74</v>
      </c>
      <c r="E35" s="70">
        <f>IFERROR('Data sheet'!D93,0)</f>
        <v>288.72000000000003</v>
      </c>
      <c r="F35" s="70">
        <f>IFERROR('Data sheet'!E93,0)</f>
        <v>288.73</v>
      </c>
      <c r="G35" s="70">
        <f>IFERROR('Data sheet'!F93,0)</f>
        <v>288.73</v>
      </c>
      <c r="H35" s="70">
        <f>IFERROR('Data sheet'!G93,0)</f>
        <v>288.73</v>
      </c>
      <c r="I35" s="70">
        <f>IFERROR('Data sheet'!H93,0)</f>
        <v>308.89999999999998</v>
      </c>
      <c r="J35" s="70">
        <f>IFERROR('Data sheet'!I93,0)</f>
        <v>332.03</v>
      </c>
      <c r="K35" s="70">
        <f>IFERROR('Data sheet'!J93,0)</f>
        <v>332.07</v>
      </c>
      <c r="L35" s="70">
        <f>IFERROR('Data sheet'!K93,0)</f>
        <v>332.13</v>
      </c>
      <c r="M35" s="70">
        <f>IFERROR('Data sheet'!L93,0)</f>
        <v>0</v>
      </c>
    </row>
    <row r="36" spans="1:13" x14ac:dyDescent="0.25">
      <c r="B36" s="50" t="s">
        <v>130</v>
      </c>
      <c r="C36" s="70">
        <f>C32/C35</f>
        <v>49.390351180993186</v>
      </c>
      <c r="D36" s="70">
        <f t="shared" ref="D36:M36" si="14">D32/D35</f>
        <v>46.220198102098706</v>
      </c>
      <c r="E36" s="70">
        <f t="shared" si="14"/>
        <v>47.694444444444336</v>
      </c>
      <c r="F36" s="70">
        <f t="shared" si="14"/>
        <v>14.527274616423808</v>
      </c>
      <c r="G36" s="70">
        <f t="shared" si="14"/>
        <v>3.049111626779315</v>
      </c>
      <c r="H36" s="70">
        <f t="shared" si="14"/>
        <v>-7.7839157690575265</v>
      </c>
      <c r="I36" s="70">
        <f t="shared" si="14"/>
        <v>-35.859307219164904</v>
      </c>
      <c r="J36" s="70">
        <f t="shared" si="14"/>
        <v>-5.7172845827184542</v>
      </c>
      <c r="K36" s="70">
        <f t="shared" si="14"/>
        <v>-41.132140813683833</v>
      </c>
      <c r="L36" s="70">
        <f t="shared" si="14"/>
        <v>-11.965495438533218</v>
      </c>
      <c r="M36" s="70" t="e">
        <f t="shared" si="14"/>
        <v>#DIV/0!</v>
      </c>
    </row>
    <row r="37" spans="1:13" s="42" customFormat="1" x14ac:dyDescent="0.25">
      <c r="B37" s="69" t="s">
        <v>132</v>
      </c>
      <c r="C37" s="71" t="s">
        <v>116</v>
      </c>
      <c r="D37" s="71">
        <f>D36/C36-1</f>
        <v>-6.4185676009415493E-2</v>
      </c>
      <c r="E37" s="71">
        <f t="shared" ref="E37:M37" si="15">E36/D36-1</f>
        <v>3.189614936502605E-2</v>
      </c>
      <c r="F37" s="71">
        <f t="shared" si="15"/>
        <v>-0.69540950134463697</v>
      </c>
      <c r="G37" s="71">
        <f t="shared" si="15"/>
        <v>-0.79011124197155724</v>
      </c>
      <c r="H37" s="71">
        <f t="shared" si="15"/>
        <v>-3.5528470983790919</v>
      </c>
      <c r="I37" s="71">
        <f t="shared" si="15"/>
        <v>3.6068467700681115</v>
      </c>
      <c r="J37" s="71">
        <f t="shared" si="15"/>
        <v>-0.84056344011958861</v>
      </c>
      <c r="K37" s="71">
        <f t="shared" si="15"/>
        <v>6.194349033807641</v>
      </c>
      <c r="L37" s="71">
        <f t="shared" si="15"/>
        <v>-0.70909621522659627</v>
      </c>
      <c r="M37" s="71" t="e">
        <f t="shared" si="15"/>
        <v>#DIV/0!</v>
      </c>
    </row>
    <row r="38" spans="1:13" x14ac:dyDescent="0.2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</row>
    <row r="39" spans="1:13" x14ac:dyDescent="0.25">
      <c r="B39" s="50" t="s">
        <v>131</v>
      </c>
      <c r="C39" s="70">
        <f>IFERROR('Data sheet'!B31/'Historical FS'!C35,0)</f>
        <v>2.2296183417607534</v>
      </c>
      <c r="D39" s="70">
        <f>IFERROR('Data sheet'!C31/'Historical FS'!D35,0)</f>
        <v>0</v>
      </c>
      <c r="E39" s="70">
        <f>IFERROR('Data sheet'!D31/'Historical FS'!E35,0)</f>
        <v>0.23524522028262676</v>
      </c>
      <c r="F39" s="70">
        <f>IFERROR('Data sheet'!E31/'Historical FS'!F35,0)</f>
        <v>0</v>
      </c>
      <c r="G39" s="70">
        <f>IFERROR('Data sheet'!F31/'Historical FS'!G35,0)</f>
        <v>0</v>
      </c>
      <c r="H39" s="70">
        <f>IFERROR('Data sheet'!G31/'Historical FS'!H35,0)</f>
        <v>0</v>
      </c>
      <c r="I39" s="70">
        <f>IFERROR('Data sheet'!H31/'Historical FS'!I35,0)</f>
        <v>0</v>
      </c>
      <c r="J39" s="70">
        <f>IFERROR('Data sheet'!I31/'Historical FS'!J35,0)</f>
        <v>0</v>
      </c>
      <c r="K39" s="70">
        <f>IFERROR('Data sheet'!J31/'Historical FS'!K35,0)</f>
        <v>0</v>
      </c>
      <c r="L39" s="70">
        <f>IFERROR('Data sheet'!K31/'Historical FS'!L35,0)</f>
        <v>2.3063860536536898</v>
      </c>
      <c r="M39" s="70">
        <f>IFERROR('Data sheet'!L31/'Historical FS'!M35,0)</f>
        <v>0</v>
      </c>
    </row>
    <row r="40" spans="1:13" s="42" customFormat="1" x14ac:dyDescent="0.25">
      <c r="B40" s="69" t="s">
        <v>133</v>
      </c>
      <c r="C40" s="71">
        <f>C39/C36</f>
        <v>4.5142791829728357E-2</v>
      </c>
      <c r="D40" s="71">
        <f t="shared" ref="D40:M40" si="16">D39/D36</f>
        <v>0</v>
      </c>
      <c r="E40" s="71">
        <f t="shared" si="16"/>
        <v>4.9323400874633563E-3</v>
      </c>
      <c r="F40" s="71">
        <f t="shared" si="16"/>
        <v>0</v>
      </c>
      <c r="G40" s="71">
        <f t="shared" si="16"/>
        <v>0</v>
      </c>
      <c r="H40" s="71">
        <f t="shared" si="16"/>
        <v>0</v>
      </c>
      <c r="I40" s="71">
        <f t="shared" si="16"/>
        <v>0</v>
      </c>
      <c r="J40" s="71">
        <f t="shared" si="16"/>
        <v>0</v>
      </c>
      <c r="K40" s="71">
        <f t="shared" si="16"/>
        <v>0</v>
      </c>
      <c r="L40" s="71">
        <f t="shared" si="16"/>
        <v>-0.19275307616818721</v>
      </c>
      <c r="M40" s="71" t="e">
        <f t="shared" si="16"/>
        <v>#DIV/0!</v>
      </c>
    </row>
    <row r="41" spans="1:13" x14ac:dyDescent="0.25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</row>
    <row r="42" spans="1:13" x14ac:dyDescent="0.25">
      <c r="B42" s="75" t="s">
        <v>134</v>
      </c>
      <c r="C42" s="76">
        <f>IFERROR(IF(C36&gt;C39,1-C40,0),0)</f>
        <v>0.95485720817027164</v>
      </c>
      <c r="D42" s="76">
        <f t="shared" ref="D42:M42" si="17">IFERROR(IF(D36&gt;D39,1-D40,0),0)</f>
        <v>1</v>
      </c>
      <c r="E42" s="76">
        <f t="shared" si="17"/>
        <v>0.99506765991253665</v>
      </c>
      <c r="F42" s="76">
        <f t="shared" si="17"/>
        <v>1</v>
      </c>
      <c r="G42" s="76">
        <f t="shared" si="17"/>
        <v>1</v>
      </c>
      <c r="H42" s="76">
        <f t="shared" si="17"/>
        <v>0</v>
      </c>
      <c r="I42" s="76">
        <f t="shared" si="17"/>
        <v>0</v>
      </c>
      <c r="J42" s="76">
        <f t="shared" si="17"/>
        <v>0</v>
      </c>
      <c r="K42" s="76">
        <f t="shared" si="17"/>
        <v>0</v>
      </c>
      <c r="L42" s="76">
        <f t="shared" si="17"/>
        <v>0</v>
      </c>
      <c r="M42" s="76">
        <f t="shared" si="17"/>
        <v>0</v>
      </c>
    </row>
    <row r="44" spans="1:13" ht="15.75" thickBot="1" x14ac:dyDescent="0.3"/>
    <row r="45" spans="1:13" ht="15.75" thickBot="1" x14ac:dyDescent="0.3">
      <c r="A45" s="14" t="s">
        <v>180</v>
      </c>
      <c r="B45" s="78" t="s">
        <v>183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80"/>
    </row>
    <row r="46" spans="1:13" s="5" customFormat="1" x14ac:dyDescent="0.25"/>
    <row r="47" spans="1:13" x14ac:dyDescent="0.25">
      <c r="B47" s="89" t="s">
        <v>92</v>
      </c>
      <c r="C47" s="81">
        <f>IFERROR('Data sheet'!B57,0)</f>
        <v>643.78</v>
      </c>
      <c r="D47" s="81">
        <f>IFERROR('Data sheet'!C57,0)</f>
        <v>643.78</v>
      </c>
      <c r="E47" s="81">
        <f>IFERROR('Data sheet'!D57,0)</f>
        <v>679.18</v>
      </c>
      <c r="F47" s="81">
        <f>IFERROR('Data sheet'!E57,0)</f>
        <v>679.22</v>
      </c>
      <c r="G47" s="81">
        <f>IFERROR('Data sheet'!F57,0)</f>
        <v>679.22</v>
      </c>
      <c r="H47" s="81">
        <f>IFERROR('Data sheet'!G57,0)</f>
        <v>679.22</v>
      </c>
      <c r="I47" s="81">
        <f>IFERROR('Data sheet'!H57,0)</f>
        <v>719.54</v>
      </c>
      <c r="J47" s="81">
        <f>IFERROR('Data sheet'!I57,0)</f>
        <v>765.81</v>
      </c>
      <c r="K47" s="81">
        <f>IFERROR('Data sheet'!J57,0)</f>
        <v>765.88</v>
      </c>
      <c r="L47" s="81">
        <f>IFERROR('Data sheet'!K57,0)</f>
        <v>766.02</v>
      </c>
      <c r="M47" s="81">
        <f>IFERROR('Data sheet'!L57,0)</f>
        <v>0</v>
      </c>
    </row>
    <row r="48" spans="1:13" x14ac:dyDescent="0.25">
      <c r="B48" s="90" t="s">
        <v>93</v>
      </c>
      <c r="C48" s="66">
        <f>IFERROR('Data sheet'!B58,0)</f>
        <v>64959.67</v>
      </c>
      <c r="D48" s="66">
        <f>IFERROR('Data sheet'!C58,0)</f>
        <v>55618.14</v>
      </c>
      <c r="E48" s="66">
        <f>IFERROR('Data sheet'!D58,0)</f>
        <v>78273.23</v>
      </c>
      <c r="F48" s="66">
        <f>IFERROR('Data sheet'!E58,0)</f>
        <v>57382.67</v>
      </c>
      <c r="G48" s="66">
        <f>IFERROR('Data sheet'!F58,0)</f>
        <v>94748.69</v>
      </c>
      <c r="H48" s="66">
        <f>IFERROR('Data sheet'!G58,0)</f>
        <v>59500.34</v>
      </c>
      <c r="I48" s="66">
        <f>IFERROR('Data sheet'!H58,0)</f>
        <v>61491.49</v>
      </c>
      <c r="J48" s="66">
        <f>IFERROR('Data sheet'!I58,0)</f>
        <v>54480.91</v>
      </c>
      <c r="K48" s="66">
        <f>IFERROR('Data sheet'!J58,0)</f>
        <v>43795.360000000001</v>
      </c>
      <c r="L48" s="66">
        <f>IFERROR('Data sheet'!K58,0)</f>
        <v>44555.77</v>
      </c>
      <c r="M48" s="66"/>
    </row>
    <row r="49" spans="1:13" x14ac:dyDescent="0.25">
      <c r="B49" s="90" t="s">
        <v>94</v>
      </c>
      <c r="C49" s="66">
        <f>IFERROR('Data sheet'!B59,0)</f>
        <v>60642.28</v>
      </c>
      <c r="D49" s="66">
        <f>IFERROR('Data sheet'!C59,0)</f>
        <v>73610.39</v>
      </c>
      <c r="E49" s="66">
        <f>IFERROR('Data sheet'!D59,0)</f>
        <v>69359.960000000006</v>
      </c>
      <c r="F49" s="66">
        <f>IFERROR('Data sheet'!E59,0)</f>
        <v>78603.98</v>
      </c>
      <c r="G49" s="66">
        <f>IFERROR('Data sheet'!F59,0)</f>
        <v>88950.47</v>
      </c>
      <c r="H49" s="66">
        <f>IFERROR('Data sheet'!G59,0)</f>
        <v>106175.34</v>
      </c>
      <c r="I49" s="66">
        <f>IFERROR('Data sheet'!H59,0)</f>
        <v>124787.64</v>
      </c>
      <c r="J49" s="66">
        <f>IFERROR('Data sheet'!I59,0)</f>
        <v>142130.57</v>
      </c>
      <c r="K49" s="66">
        <f>IFERROR('Data sheet'!J59,0)</f>
        <v>146449.03</v>
      </c>
      <c r="L49" s="66">
        <f>IFERROR('Data sheet'!K59,0)</f>
        <v>134113.44</v>
      </c>
      <c r="M49" s="66"/>
    </row>
    <row r="50" spans="1:13" x14ac:dyDescent="0.25">
      <c r="B50" s="90" t="s">
        <v>95</v>
      </c>
      <c r="C50" s="66">
        <f>IFERROR('Data sheet'!B60,0)</f>
        <v>92180.26</v>
      </c>
      <c r="D50" s="66">
        <f>IFERROR('Data sheet'!C60,0)</f>
        <v>107442.48</v>
      </c>
      <c r="E50" s="66">
        <f>IFERROR('Data sheet'!D60,0)</f>
        <v>114871.75</v>
      </c>
      <c r="F50" s="66">
        <f>IFERROR('Data sheet'!E60,0)</f>
        <v>135914.49</v>
      </c>
      <c r="G50" s="66">
        <f>IFERROR('Data sheet'!F60,0)</f>
        <v>142813.43</v>
      </c>
      <c r="H50" s="66">
        <f>IFERROR('Data sheet'!G60,0)</f>
        <v>139348.59</v>
      </c>
      <c r="I50" s="66">
        <f>IFERROR('Data sheet'!H60,0)</f>
        <v>133180.72</v>
      </c>
      <c r="J50" s="66">
        <f>IFERROR('Data sheet'!I60,0)</f>
        <v>144192.62</v>
      </c>
      <c r="K50" s="66">
        <f>IFERROR('Data sheet'!J60,0)</f>
        <v>138051.22</v>
      </c>
      <c r="L50" s="66">
        <f>IFERROR('Data sheet'!K60,0)</f>
        <v>155239.20000000001</v>
      </c>
      <c r="M50" s="66"/>
    </row>
    <row r="51" spans="1:13" x14ac:dyDescent="0.25">
      <c r="A51" s="51"/>
      <c r="B51" s="93" t="s">
        <v>135</v>
      </c>
      <c r="C51" s="82">
        <f>IFERROR('Data sheet'!B61,0)</f>
        <v>218425.99</v>
      </c>
      <c r="D51" s="83">
        <f>IFERROR('Data sheet'!C61,0)</f>
        <v>237314.79</v>
      </c>
      <c r="E51" s="82">
        <f>IFERROR('Data sheet'!D61,0)</f>
        <v>263184.12</v>
      </c>
      <c r="F51" s="82">
        <f>IFERROR('Data sheet'!E61,0)</f>
        <v>272580.36</v>
      </c>
      <c r="G51" s="82">
        <f>IFERROR('Data sheet'!F61,0)</f>
        <v>327191.81</v>
      </c>
      <c r="H51" s="82">
        <f>IFERROR('Data sheet'!G61,0)</f>
        <v>305703.49</v>
      </c>
      <c r="I51" s="82">
        <f>IFERROR('Data sheet'!H61,0)</f>
        <v>320179.39</v>
      </c>
      <c r="J51" s="82">
        <f>IFERROR('Data sheet'!I61,0)</f>
        <v>341569.91</v>
      </c>
      <c r="K51" s="82">
        <f>IFERROR('Data sheet'!J61,0)</f>
        <v>329061.49</v>
      </c>
      <c r="L51" s="82">
        <f>IFERROR('Data sheet'!K61,0)</f>
        <v>334674.43</v>
      </c>
      <c r="M51" s="94"/>
    </row>
    <row r="53" spans="1:13" x14ac:dyDescent="0.25">
      <c r="B53" s="89" t="s">
        <v>136</v>
      </c>
      <c r="C53" s="81">
        <f>IFERROR('Data sheet'!B62,0)</f>
        <v>69091.67</v>
      </c>
      <c r="D53" s="81">
        <f>IFERROR('Data sheet'!C62,0)</f>
        <v>88479.49</v>
      </c>
      <c r="E53" s="81">
        <f>IFERROR('Data sheet'!D62,0)</f>
        <v>107231.76</v>
      </c>
      <c r="F53" s="81">
        <f>IFERROR('Data sheet'!E62,0)</f>
        <v>95944.08</v>
      </c>
      <c r="G53" s="81">
        <f>IFERROR('Data sheet'!F62,0)</f>
        <v>121413.86</v>
      </c>
      <c r="H53" s="81">
        <f>IFERROR('Data sheet'!G62,0)</f>
        <v>111234.47</v>
      </c>
      <c r="I53" s="81">
        <f>IFERROR('Data sheet'!H62,0)</f>
        <v>127107.14</v>
      </c>
      <c r="J53" s="81">
        <f>IFERROR('Data sheet'!I62,0)</f>
        <v>138707.60999999999</v>
      </c>
      <c r="K53" s="81">
        <f>IFERROR('Data sheet'!J62,0)</f>
        <v>138855.45000000001</v>
      </c>
      <c r="L53" s="81">
        <f>IFERROR('Data sheet'!K62,0)</f>
        <v>132079.76</v>
      </c>
      <c r="M53" s="81"/>
    </row>
    <row r="54" spans="1:13" x14ac:dyDescent="0.25">
      <c r="B54" s="90" t="s">
        <v>97</v>
      </c>
      <c r="C54" s="66">
        <f>IFERROR('Data sheet'!B63,0)</f>
        <v>33262.559999999998</v>
      </c>
      <c r="D54" s="66">
        <f>IFERROR('Data sheet'!C63,0)</f>
        <v>28640.09</v>
      </c>
      <c r="E54" s="66">
        <f>IFERROR('Data sheet'!D63,0)</f>
        <v>25918.94</v>
      </c>
      <c r="F54" s="66">
        <f>IFERROR('Data sheet'!E63,0)</f>
        <v>33698.839999999997</v>
      </c>
      <c r="G54" s="66">
        <f>IFERROR('Data sheet'!F63,0)</f>
        <v>40033.5</v>
      </c>
      <c r="H54" s="66">
        <f>IFERROR('Data sheet'!G63,0)</f>
        <v>31883.84</v>
      </c>
      <c r="I54" s="66">
        <f>IFERROR('Data sheet'!H63,0)</f>
        <v>35622.29</v>
      </c>
      <c r="J54" s="66">
        <f>IFERROR('Data sheet'!I63,0)</f>
        <v>20963.93</v>
      </c>
      <c r="K54" s="66">
        <f>IFERROR('Data sheet'!J63,0)</f>
        <v>10251.09</v>
      </c>
      <c r="L54" s="66">
        <f>IFERROR('Data sheet'!K63,0)</f>
        <v>14274.5</v>
      </c>
      <c r="M54" s="66"/>
    </row>
    <row r="55" spans="1:13" x14ac:dyDescent="0.25">
      <c r="B55" s="90" t="s">
        <v>98</v>
      </c>
      <c r="C55" s="66">
        <f>IFERROR('Data sheet'!B64,0)</f>
        <v>10686.67</v>
      </c>
      <c r="D55" s="66">
        <f>IFERROR('Data sheet'!C64,0)</f>
        <v>15336.74</v>
      </c>
      <c r="E55" s="66">
        <f>IFERROR('Data sheet'!D64,0)</f>
        <v>23767.02</v>
      </c>
      <c r="F55" s="66">
        <f>IFERROR('Data sheet'!E64,0)</f>
        <v>20337.919999999998</v>
      </c>
      <c r="G55" s="66">
        <f>IFERROR('Data sheet'!F64,0)</f>
        <v>20812.75</v>
      </c>
      <c r="H55" s="66">
        <f>IFERROR('Data sheet'!G64,0)</f>
        <v>15770.72</v>
      </c>
      <c r="I55" s="66">
        <f>IFERROR('Data sheet'!H64,0)</f>
        <v>16308.48</v>
      </c>
      <c r="J55" s="66">
        <f>IFERROR('Data sheet'!I64,0)</f>
        <v>24620.28</v>
      </c>
      <c r="K55" s="66">
        <f>IFERROR('Data sheet'!J64,0)</f>
        <v>29379.53</v>
      </c>
      <c r="L55" s="66">
        <f>IFERROR('Data sheet'!K64,0)</f>
        <v>26379.16</v>
      </c>
      <c r="M55" s="66"/>
    </row>
    <row r="56" spans="1:13" x14ac:dyDescent="0.25">
      <c r="B56" s="90" t="s">
        <v>99</v>
      </c>
      <c r="C56" s="66">
        <f>IFERROR('Data sheet'!B65-SUM('Data sheet'!B67:B69),0)</f>
        <v>37828.179999999993</v>
      </c>
      <c r="D56" s="66">
        <f>IFERROR('Data sheet'!C65-SUM('Data sheet'!C67:C69),0)</f>
        <v>30891.17</v>
      </c>
      <c r="E56" s="66">
        <f>IFERROR('Data sheet'!D65-SUM('Data sheet'!D67:D69),0)</f>
        <v>29579.359999999986</v>
      </c>
      <c r="F56" s="66">
        <f>IFERROR('Data sheet'!E65-SUM('Data sheet'!E67:E69),0)</f>
        <v>37360.780000000013</v>
      </c>
      <c r="G56" s="66">
        <f>IFERROR('Data sheet'!F65-SUM('Data sheet'!F67:F69),0)</f>
        <v>48286.860000000015</v>
      </c>
      <c r="H56" s="66">
        <f>IFERROR('Data sheet'!G65-SUM('Data sheet'!G67:G69),0)</f>
        <v>56155.739999999991</v>
      </c>
      <c r="I56" s="66">
        <f>IFERROR('Data sheet'!H65-SUM('Data sheet'!H67:H69),0)</f>
        <v>58784.94</v>
      </c>
      <c r="J56" s="66">
        <f>IFERROR('Data sheet'!I65-SUM('Data sheet'!I67:I69),0)</f>
        <v>61717.959999999992</v>
      </c>
      <c r="K56" s="66">
        <f>IFERROR('Data sheet'!J65-SUM('Data sheet'!J67:J69),0)</f>
        <v>62223.770000000019</v>
      </c>
      <c r="L56" s="66">
        <f>IFERROR('Data sheet'!K65-SUM('Data sheet'!K67:K69),0)</f>
        <v>68432.090000000011</v>
      </c>
      <c r="M56" s="66"/>
    </row>
    <row r="57" spans="1:13" s="18" customFormat="1" x14ac:dyDescent="0.25">
      <c r="B57" s="91" t="s">
        <v>137</v>
      </c>
      <c r="C57" s="84">
        <f>SUM(C53:C56)</f>
        <v>150869.07999999999</v>
      </c>
      <c r="D57" s="85">
        <f t="shared" ref="D57:L57" si="18">SUM(D53:D56)</f>
        <v>163347.49</v>
      </c>
      <c r="E57" s="84">
        <f t="shared" si="18"/>
        <v>186497.07999999996</v>
      </c>
      <c r="F57" s="84">
        <f t="shared" si="18"/>
        <v>187341.62</v>
      </c>
      <c r="G57" s="84">
        <f t="shared" si="18"/>
        <v>230546.97</v>
      </c>
      <c r="H57" s="84">
        <f t="shared" si="18"/>
        <v>215044.77</v>
      </c>
      <c r="I57" s="84">
        <f t="shared" si="18"/>
        <v>237822.85</v>
      </c>
      <c r="J57" s="84">
        <f t="shared" si="18"/>
        <v>246009.77999999997</v>
      </c>
      <c r="K57" s="84">
        <f t="shared" si="18"/>
        <v>240709.84000000003</v>
      </c>
      <c r="L57" s="84">
        <f t="shared" si="18"/>
        <v>241165.51</v>
      </c>
      <c r="M57" s="92"/>
    </row>
    <row r="58" spans="1:13" x14ac:dyDescent="0.25">
      <c r="B58" s="33"/>
    </row>
    <row r="59" spans="1:13" x14ac:dyDescent="0.25">
      <c r="B59" s="86" t="s">
        <v>100</v>
      </c>
      <c r="C59" s="70">
        <f>IFERROR('Data sheet'!B67,0)</f>
        <v>10574.23</v>
      </c>
      <c r="D59" s="70">
        <f>IFERROR('Data sheet'!C67,0)</f>
        <v>12579.2</v>
      </c>
      <c r="E59" s="70">
        <f>IFERROR('Data sheet'!D67,0)</f>
        <v>13570.91</v>
      </c>
      <c r="F59" s="70">
        <f>IFERROR('Data sheet'!E67,0)</f>
        <v>14075.55</v>
      </c>
      <c r="G59" s="70">
        <f>IFERROR('Data sheet'!F67,0)</f>
        <v>19893.3</v>
      </c>
      <c r="H59" s="70">
        <f>IFERROR('Data sheet'!G67,0)</f>
        <v>18996.169999999998</v>
      </c>
      <c r="I59" s="70">
        <f>IFERROR('Data sheet'!H67,0)</f>
        <v>11172.69</v>
      </c>
      <c r="J59" s="70">
        <f>IFERROR('Data sheet'!I67,0)</f>
        <v>12679.08</v>
      </c>
      <c r="K59" s="70">
        <f>IFERROR('Data sheet'!J67,0)</f>
        <v>12442.12</v>
      </c>
      <c r="L59" s="70">
        <f>IFERROR('Data sheet'!K67,0)</f>
        <v>15737.97</v>
      </c>
      <c r="M59" s="70"/>
    </row>
    <row r="60" spans="1:13" x14ac:dyDescent="0.25">
      <c r="B60" s="86" t="s">
        <v>101</v>
      </c>
      <c r="C60" s="70">
        <f>IFERROR('Data sheet'!B68,0)</f>
        <v>27270.89</v>
      </c>
      <c r="D60" s="70">
        <f>IFERROR('Data sheet'!C68,0)</f>
        <v>29272.34</v>
      </c>
      <c r="E60" s="70">
        <f>IFERROR('Data sheet'!D68,0)</f>
        <v>32655.73</v>
      </c>
      <c r="F60" s="70">
        <f>IFERROR('Data sheet'!E68,0)</f>
        <v>35085.31</v>
      </c>
      <c r="G60" s="70">
        <f>IFERROR('Data sheet'!F68,0)</f>
        <v>42137.63</v>
      </c>
      <c r="H60" s="70">
        <f>IFERROR('Data sheet'!G68,0)</f>
        <v>39013.730000000003</v>
      </c>
      <c r="I60" s="70">
        <f>IFERROR('Data sheet'!H68,0)</f>
        <v>37456.879999999997</v>
      </c>
      <c r="J60" s="70">
        <f>IFERROR('Data sheet'!I68,0)</f>
        <v>36088.589999999997</v>
      </c>
      <c r="K60" s="70">
        <f>IFERROR('Data sheet'!J68,0)</f>
        <v>35240.339999999997</v>
      </c>
      <c r="L60" s="70">
        <f>IFERROR('Data sheet'!K68,0)</f>
        <v>40755.39</v>
      </c>
      <c r="M60" s="70"/>
    </row>
    <row r="61" spans="1:13" x14ac:dyDescent="0.25">
      <c r="B61" s="86" t="s">
        <v>102</v>
      </c>
      <c r="C61" s="70">
        <f>IFERROR('Data sheet'!B69,0)</f>
        <v>29711.79</v>
      </c>
      <c r="D61" s="70">
        <f>IFERROR('Data sheet'!C69,0)</f>
        <v>32115.759999999998</v>
      </c>
      <c r="E61" s="70">
        <f>IFERROR('Data sheet'!D69,0)</f>
        <v>30460.400000000001</v>
      </c>
      <c r="F61" s="70">
        <f>IFERROR('Data sheet'!E69,0)</f>
        <v>36077.879999999997</v>
      </c>
      <c r="G61" s="70">
        <f>IFERROR('Data sheet'!F69,0)</f>
        <v>34613.910000000003</v>
      </c>
      <c r="H61" s="70">
        <f>IFERROR('Data sheet'!G69,0)</f>
        <v>32648.82</v>
      </c>
      <c r="I61" s="70">
        <f>IFERROR('Data sheet'!H69,0)</f>
        <v>33726.97</v>
      </c>
      <c r="J61" s="70">
        <f>IFERROR('Data sheet'!I69,0)</f>
        <v>46792.46</v>
      </c>
      <c r="K61" s="70">
        <f>IFERROR('Data sheet'!J69,0)</f>
        <v>40669.19</v>
      </c>
      <c r="L61" s="70">
        <f>IFERROR('Data sheet'!K69,0)</f>
        <v>37015.56</v>
      </c>
      <c r="M61" s="70"/>
    </row>
    <row r="62" spans="1:13" s="18" customFormat="1" x14ac:dyDescent="0.25">
      <c r="B62" s="87" t="s">
        <v>138</v>
      </c>
      <c r="C62" s="88">
        <f>IFERROR(SUM(C59:C61),0)</f>
        <v>67556.91</v>
      </c>
      <c r="D62" s="88">
        <f t="shared" ref="D62:M62" si="19">IFERROR(SUM(D59:D61),0)</f>
        <v>73967.3</v>
      </c>
      <c r="E62" s="88">
        <f t="shared" si="19"/>
        <v>76687.040000000008</v>
      </c>
      <c r="F62" s="88">
        <f t="shared" si="19"/>
        <v>85238.739999999991</v>
      </c>
      <c r="G62" s="88">
        <f t="shared" si="19"/>
        <v>96644.84</v>
      </c>
      <c r="H62" s="88">
        <f t="shared" si="19"/>
        <v>90658.72</v>
      </c>
      <c r="I62" s="88">
        <f t="shared" si="19"/>
        <v>82356.540000000008</v>
      </c>
      <c r="J62" s="88">
        <f t="shared" si="19"/>
        <v>95560.13</v>
      </c>
      <c r="K62" s="88">
        <f t="shared" si="19"/>
        <v>88351.65</v>
      </c>
      <c r="L62" s="88">
        <f t="shared" si="19"/>
        <v>93508.92</v>
      </c>
      <c r="M62" s="53">
        <f t="shared" si="19"/>
        <v>0</v>
      </c>
    </row>
    <row r="64" spans="1:13" x14ac:dyDescent="0.25">
      <c r="A64" s="49"/>
      <c r="B64" s="100" t="s">
        <v>139</v>
      </c>
      <c r="C64" s="52">
        <f>IFERROR(SUM(C57,C62),0)</f>
        <v>218425.99</v>
      </c>
      <c r="D64" s="52">
        <f t="shared" ref="D64:L64" si="20">IFERROR(SUM(D57,D62),0)</f>
        <v>237314.78999999998</v>
      </c>
      <c r="E64" s="52">
        <f t="shared" si="20"/>
        <v>263184.12</v>
      </c>
      <c r="F64" s="52">
        <f t="shared" si="20"/>
        <v>272580.36</v>
      </c>
      <c r="G64" s="52">
        <f t="shared" si="20"/>
        <v>327191.81</v>
      </c>
      <c r="H64" s="52">
        <f t="shared" si="20"/>
        <v>305703.49</v>
      </c>
      <c r="I64" s="52">
        <f t="shared" si="20"/>
        <v>320179.39</v>
      </c>
      <c r="J64" s="52">
        <f t="shared" si="20"/>
        <v>341569.91</v>
      </c>
      <c r="K64" s="52">
        <f t="shared" si="20"/>
        <v>329061.49</v>
      </c>
      <c r="L64" s="52">
        <f t="shared" si="20"/>
        <v>334674.43</v>
      </c>
      <c r="M64" s="50"/>
    </row>
    <row r="67" spans="1:13" x14ac:dyDescent="0.25">
      <c r="B67" t="s">
        <v>140</v>
      </c>
      <c r="C67" t="b">
        <f>C64=C51</f>
        <v>1</v>
      </c>
      <c r="D67" t="b">
        <f t="shared" ref="D67:L67" si="21">D64=D51</f>
        <v>1</v>
      </c>
      <c r="E67" t="b">
        <f t="shared" si="21"/>
        <v>1</v>
      </c>
      <c r="F67" t="b">
        <f t="shared" si="21"/>
        <v>1</v>
      </c>
      <c r="G67" t="b">
        <f t="shared" si="21"/>
        <v>1</v>
      </c>
      <c r="H67" t="b">
        <f t="shared" si="21"/>
        <v>1</v>
      </c>
      <c r="I67" t="b">
        <f t="shared" si="21"/>
        <v>1</v>
      </c>
      <c r="J67" t="b">
        <f t="shared" si="21"/>
        <v>1</v>
      </c>
      <c r="K67" t="b">
        <f t="shared" si="21"/>
        <v>1</v>
      </c>
      <c r="L67" t="b">
        <f t="shared" si="21"/>
        <v>1</v>
      </c>
    </row>
    <row r="68" spans="1:13" ht="15.75" thickBot="1" x14ac:dyDescent="0.3"/>
    <row r="69" spans="1:13" ht="15.75" thickBot="1" x14ac:dyDescent="0.3">
      <c r="A69" s="14" t="s">
        <v>180</v>
      </c>
      <c r="B69" s="78" t="s">
        <v>179</v>
      </c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80"/>
    </row>
    <row r="70" spans="1:13" x14ac:dyDescent="0.25">
      <c r="B70" t="s">
        <v>172</v>
      </c>
      <c r="C70" s="40">
        <f>('Cash flow data'!D1)</f>
        <v>41334</v>
      </c>
      <c r="D70" s="40">
        <f>('Cash flow data'!E1)</f>
        <v>41699</v>
      </c>
      <c r="E70" s="40">
        <f>('Cash flow data'!F1)</f>
        <v>42064</v>
      </c>
      <c r="F70" s="40">
        <f>('Cash flow data'!G1)</f>
        <v>42430</v>
      </c>
      <c r="G70" s="40">
        <f>('Cash flow data'!H1)</f>
        <v>42795</v>
      </c>
      <c r="H70" s="40">
        <f>('Cash flow data'!I1)</f>
        <v>43160</v>
      </c>
      <c r="I70" s="40">
        <f>('Cash flow data'!J1)</f>
        <v>43525</v>
      </c>
      <c r="J70" s="40">
        <f>('Cash flow data'!K1)</f>
        <v>43891</v>
      </c>
      <c r="K70" s="40">
        <f>('Cash flow data'!L1)</f>
        <v>44256</v>
      </c>
      <c r="L70" s="40">
        <f>('Cash flow data'!M1)</f>
        <v>44621</v>
      </c>
      <c r="M70" s="40">
        <f>('Cash flow data'!N1)</f>
        <v>44986</v>
      </c>
    </row>
    <row r="71" spans="1:13" x14ac:dyDescent="0.25">
      <c r="B71" s="44" t="s">
        <v>176</v>
      </c>
    </row>
    <row r="72" spans="1:13" x14ac:dyDescent="0.25">
      <c r="B72" s="50" t="s">
        <v>142</v>
      </c>
      <c r="C72" s="101">
        <f>IFERROR('Cash flow data'!D3,0)</f>
        <v>24406</v>
      </c>
      <c r="D72" s="101">
        <f>IFERROR('Cash flow data'!E3,0)</f>
        <v>36303</v>
      </c>
      <c r="E72" s="101">
        <f>IFERROR('Cash flow data'!F3,0)</f>
        <v>43397</v>
      </c>
      <c r="F72" s="101">
        <f>IFERROR('Cash flow data'!G3,0)</f>
        <v>38626</v>
      </c>
      <c r="G72" s="101">
        <f>IFERROR('Cash flow data'!H3,0)</f>
        <v>28840</v>
      </c>
      <c r="H72" s="101">
        <f>IFERROR('Cash flow data'!I3,0)</f>
        <v>33312</v>
      </c>
      <c r="I72" s="101">
        <f>IFERROR('Cash flow data'!J3,0)</f>
        <v>28771</v>
      </c>
      <c r="J72" s="101">
        <f>IFERROR('Cash flow data'!K3,0)</f>
        <v>23352</v>
      </c>
      <c r="K72" s="101">
        <f>IFERROR('Cash flow data'!L3,0)</f>
        <v>31198</v>
      </c>
      <c r="L72" s="101">
        <f>IFERROR('Cash flow data'!M3,0)</f>
        <v>26943</v>
      </c>
      <c r="M72" s="101">
        <f>IFERROR('Cash flow data'!N3,0)</f>
        <v>41694</v>
      </c>
    </row>
    <row r="73" spans="1:13" x14ac:dyDescent="0.25">
      <c r="B73" s="50" t="s">
        <v>100</v>
      </c>
      <c r="C73" s="101">
        <f>IFERROR('Cash flow data'!D4,0)</f>
        <v>-5177</v>
      </c>
      <c r="D73" s="101">
        <f>IFERROR('Cash flow data'!E4,0)</f>
        <v>445</v>
      </c>
      <c r="E73" s="101">
        <f>IFERROR('Cash flow data'!F4,0)</f>
        <v>-3179</v>
      </c>
      <c r="F73" s="101">
        <f>IFERROR('Cash flow data'!G4,0)</f>
        <v>-2223</v>
      </c>
      <c r="G73" s="101">
        <f>IFERROR('Cash flow data'!H4,0)</f>
        <v>-4152</v>
      </c>
      <c r="H73" s="101">
        <f>IFERROR('Cash flow data'!I4,0)</f>
        <v>-10688</v>
      </c>
      <c r="I73" s="101">
        <f>IFERROR('Cash flow data'!J4,0)</f>
        <v>-9109</v>
      </c>
      <c r="J73" s="101">
        <f>IFERROR('Cash flow data'!K4,0)</f>
        <v>9950</v>
      </c>
      <c r="K73" s="101">
        <f>IFERROR('Cash flow data'!L4,0)</f>
        <v>-5505</v>
      </c>
      <c r="L73" s="101">
        <f>IFERROR('Cash flow data'!M4,0)</f>
        <v>185</v>
      </c>
      <c r="M73" s="101">
        <f>IFERROR('Cash flow data'!N4,0)</f>
        <v>-2213</v>
      </c>
    </row>
    <row r="74" spans="1:13" x14ac:dyDescent="0.25">
      <c r="B74" s="50" t="s">
        <v>101</v>
      </c>
      <c r="C74" s="101">
        <f>IFERROR('Cash flow data'!D5,0)</f>
        <v>-2656</v>
      </c>
      <c r="D74" s="101">
        <f>IFERROR('Cash flow data'!E5,0)</f>
        <v>-2853</v>
      </c>
      <c r="E74" s="101">
        <f>IFERROR('Cash flow data'!F5,0)</f>
        <v>-3692</v>
      </c>
      <c r="F74" s="101">
        <f>IFERROR('Cash flow data'!G5,0)</f>
        <v>-5743</v>
      </c>
      <c r="G74" s="101">
        <f>IFERROR('Cash flow data'!H5,0)</f>
        <v>-6621</v>
      </c>
      <c r="H74" s="101">
        <f>IFERROR('Cash flow data'!I5,0)</f>
        <v>-3560</v>
      </c>
      <c r="I74" s="101">
        <f>IFERROR('Cash flow data'!J5,0)</f>
        <v>2069</v>
      </c>
      <c r="J74" s="101">
        <f>IFERROR('Cash flow data'!K5,0)</f>
        <v>2326</v>
      </c>
      <c r="K74" s="101">
        <f>IFERROR('Cash flow data'!L5,0)</f>
        <v>3814</v>
      </c>
      <c r="L74" s="101">
        <f>IFERROR('Cash flow data'!M5,0)</f>
        <v>472</v>
      </c>
      <c r="M74" s="101">
        <f>IFERROR('Cash flow data'!N5,0)</f>
        <v>-5665</v>
      </c>
    </row>
    <row r="75" spans="1:13" x14ac:dyDescent="0.25">
      <c r="B75" s="50" t="s">
        <v>143</v>
      </c>
      <c r="C75" s="101">
        <f>IFERROR('Cash flow data'!D6,0)</f>
        <v>8132</v>
      </c>
      <c r="D75" s="101">
        <f>IFERROR('Cash flow data'!E6,0)</f>
        <v>4694</v>
      </c>
      <c r="E75" s="101">
        <f>IFERROR('Cash flow data'!F6,0)</f>
        <v>3598</v>
      </c>
      <c r="F75" s="101">
        <f>IFERROR('Cash flow data'!G6,0)</f>
        <v>3947</v>
      </c>
      <c r="G75" s="101">
        <f>IFERROR('Cash flow data'!H6,0)</f>
        <v>9301</v>
      </c>
      <c r="H75" s="101">
        <f>IFERROR('Cash flow data'!I6,0)</f>
        <v>7320</v>
      </c>
      <c r="I75" s="101">
        <f>IFERROR('Cash flow data'!J6,0)</f>
        <v>-4692</v>
      </c>
      <c r="J75" s="101">
        <f>IFERROR('Cash flow data'!K6,0)</f>
        <v>-8085</v>
      </c>
      <c r="K75" s="101">
        <f>IFERROR('Cash flow data'!L6,0)</f>
        <v>5748</v>
      </c>
      <c r="L75" s="101">
        <f>IFERROR('Cash flow data'!M6,0)</f>
        <v>-7012</v>
      </c>
      <c r="M75" s="101">
        <f>IFERROR('Cash flow data'!N6,0)</f>
        <v>6945</v>
      </c>
    </row>
    <row r="76" spans="1:13" x14ac:dyDescent="0.25">
      <c r="B76" s="50" t="s">
        <v>144</v>
      </c>
      <c r="C76" s="101">
        <f>IFERROR('Cash flow data'!D7,0)</f>
        <v>0</v>
      </c>
      <c r="D76" s="101">
        <f>IFERROR('Cash flow data'!E7,0)</f>
        <v>0</v>
      </c>
      <c r="E76" s="101">
        <f>IFERROR('Cash flow data'!F7,0)</f>
        <v>0</v>
      </c>
      <c r="F76" s="101">
        <f>IFERROR('Cash flow data'!G7,0)</f>
        <v>-520</v>
      </c>
      <c r="G76" s="101">
        <f>IFERROR('Cash flow data'!H7,0)</f>
        <v>0</v>
      </c>
      <c r="H76" s="101">
        <f>IFERROR('Cash flow data'!I7,0)</f>
        <v>0</v>
      </c>
      <c r="I76" s="101">
        <f>IFERROR('Cash flow data'!J7,0)</f>
        <v>0</v>
      </c>
      <c r="J76" s="101">
        <f>IFERROR('Cash flow data'!K7,0)</f>
        <v>0</v>
      </c>
      <c r="K76" s="101">
        <f>IFERROR('Cash flow data'!L7,0)</f>
        <v>0</v>
      </c>
      <c r="L76" s="101">
        <f>IFERROR('Cash flow data'!M7,0)</f>
        <v>0</v>
      </c>
      <c r="M76" s="101">
        <f>IFERROR('Cash flow data'!N7,0)</f>
        <v>0</v>
      </c>
    </row>
    <row r="77" spans="1:13" x14ac:dyDescent="0.25">
      <c r="B77" s="50" t="s">
        <v>145</v>
      </c>
      <c r="C77" s="101">
        <f>IFERROR('Cash flow data'!D8,0)</f>
        <v>-303</v>
      </c>
      <c r="D77" s="101">
        <f>IFERROR('Cash flow data'!E8,0)</f>
        <v>1870</v>
      </c>
      <c r="E77" s="101">
        <f>IFERROR('Cash flow data'!F8,0)</f>
        <v>-398</v>
      </c>
      <c r="F77" s="101">
        <f>IFERROR('Cash flow data'!G8,0)</f>
        <v>5852</v>
      </c>
      <c r="G77" s="101">
        <f>IFERROR('Cash flow data'!H8,0)</f>
        <v>4727</v>
      </c>
      <c r="H77" s="101">
        <f>IFERROR('Cash flow data'!I8,0)</f>
        <v>494</v>
      </c>
      <c r="I77" s="101">
        <f>IFERROR('Cash flow data'!J8,0)</f>
        <v>4512</v>
      </c>
      <c r="J77" s="101">
        <f>IFERROR('Cash flow data'!K8,0)</f>
        <v>875</v>
      </c>
      <c r="K77" s="101">
        <f>IFERROR('Cash flow data'!L8,0)</f>
        <v>-4150</v>
      </c>
      <c r="L77" s="101">
        <f>IFERROR('Cash flow data'!M8,0)</f>
        <v>-4396</v>
      </c>
      <c r="M77" s="101">
        <f>IFERROR('Cash flow data'!N8,0)</f>
        <v>-2194</v>
      </c>
    </row>
    <row r="78" spans="1:13" x14ac:dyDescent="0.25">
      <c r="B78" s="50" t="s">
        <v>146</v>
      </c>
      <c r="C78" s="101">
        <f>IFERROR('Cash flow data'!D9,0)</f>
        <v>-3</v>
      </c>
      <c r="D78" s="101">
        <f>IFERROR('Cash flow data'!E9,0)</f>
        <v>4157</v>
      </c>
      <c r="E78" s="101">
        <f>IFERROR('Cash flow data'!F9,0)</f>
        <v>-3672</v>
      </c>
      <c r="F78" s="101">
        <f>IFERROR('Cash flow data'!G9,0)</f>
        <v>1313</v>
      </c>
      <c r="G78" s="101">
        <f>IFERROR('Cash flow data'!H9,0)</f>
        <v>3254</v>
      </c>
      <c r="H78" s="101">
        <f>IFERROR('Cash flow data'!I9,0)</f>
        <v>-6434</v>
      </c>
      <c r="I78" s="101">
        <f>IFERROR('Cash flow data'!J9,0)</f>
        <v>-7221</v>
      </c>
      <c r="J78" s="101">
        <f>IFERROR('Cash flow data'!K9,0)</f>
        <v>5065</v>
      </c>
      <c r="K78" s="101">
        <f>IFERROR('Cash flow data'!L9,0)</f>
        <v>-93</v>
      </c>
      <c r="L78" s="101">
        <f>IFERROR('Cash flow data'!M9,0)</f>
        <v>-10750</v>
      </c>
      <c r="M78" s="101">
        <f>IFERROR('Cash flow data'!N9,0)</f>
        <v>-3127</v>
      </c>
    </row>
    <row r="79" spans="1:13" x14ac:dyDescent="0.25">
      <c r="B79" s="102" t="s">
        <v>147</v>
      </c>
      <c r="C79" s="103">
        <f>IFERROR('Cash flow data'!D10,0)</f>
        <v>-2240</v>
      </c>
      <c r="D79" s="103">
        <f>IFERROR('Cash flow data'!E10,0)</f>
        <v>-4308</v>
      </c>
      <c r="E79" s="103">
        <f>IFERROR('Cash flow data'!F10,0)</f>
        <v>-4194</v>
      </c>
      <c r="F79" s="103">
        <f>IFERROR('Cash flow data'!G10,0)</f>
        <v>-2040</v>
      </c>
      <c r="G79" s="103">
        <f>IFERROR('Cash flow data'!H10,0)</f>
        <v>-1895</v>
      </c>
      <c r="H79" s="103">
        <f>IFERROR('Cash flow data'!I10,0)</f>
        <v>-3021</v>
      </c>
      <c r="I79" s="103">
        <f>IFERROR('Cash flow data'!J10,0)</f>
        <v>-2659</v>
      </c>
      <c r="J79" s="103">
        <f>IFERROR('Cash flow data'!K10,0)</f>
        <v>-1785</v>
      </c>
      <c r="K79" s="103">
        <f>IFERROR('Cash flow data'!L10,0)</f>
        <v>-2105</v>
      </c>
      <c r="L79" s="103">
        <f>IFERROR('Cash flow data'!M10,0)</f>
        <v>-1910</v>
      </c>
      <c r="M79" s="103">
        <f>IFERROR('Cash flow data'!N10,0)</f>
        <v>-3179</v>
      </c>
    </row>
    <row r="80" spans="1:13" s="5" customFormat="1" ht="6.75" customHeight="1" x14ac:dyDescent="0.25"/>
    <row r="81" spans="2:13" s="5" customFormat="1" x14ac:dyDescent="0.25">
      <c r="B81" s="104" t="s">
        <v>170</v>
      </c>
      <c r="C81" s="105">
        <f>SUM(C72:C79)</f>
        <v>22159</v>
      </c>
      <c r="D81" s="106">
        <f>SUM(D72:D79)</f>
        <v>40308</v>
      </c>
      <c r="E81" s="105">
        <f>SUM(E72:E79)</f>
        <v>31860</v>
      </c>
      <c r="F81" s="105">
        <f>SUM(F72:F79)</f>
        <v>39212</v>
      </c>
      <c r="G81" s="105">
        <f>SUM(G72:G79)</f>
        <v>33454</v>
      </c>
      <c r="H81" s="105">
        <f>SUM(H72:H79)</f>
        <v>17423</v>
      </c>
      <c r="I81" s="105">
        <f>SUM(I72:I79)</f>
        <v>11671</v>
      </c>
      <c r="J81" s="105">
        <f>SUM(J72:J79)</f>
        <v>31698</v>
      </c>
      <c r="K81" s="105">
        <f>SUM(K72:K79)</f>
        <v>28907</v>
      </c>
      <c r="L81" s="105">
        <f>SUM(L72:L79)</f>
        <v>3532</v>
      </c>
      <c r="M81" s="107">
        <f>SUM(M72:M79)</f>
        <v>32261</v>
      </c>
    </row>
    <row r="82" spans="2:13" x14ac:dyDescent="0.25"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</row>
    <row r="83" spans="2:13" x14ac:dyDescent="0.25">
      <c r="B83" s="44" t="s">
        <v>177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</row>
    <row r="84" spans="2:13" x14ac:dyDescent="0.25">
      <c r="B84" t="s">
        <v>149</v>
      </c>
      <c r="C84" s="45">
        <f>IFERROR('Cash flow data'!D12,0)</f>
        <v>-18863</v>
      </c>
      <c r="D84" s="45">
        <f>IFERROR('Cash flow data'!E12,0)</f>
        <v>-26975</v>
      </c>
      <c r="E84" s="45">
        <f>IFERROR('Cash flow data'!F12,0)</f>
        <v>-31962</v>
      </c>
      <c r="F84" s="45">
        <f>IFERROR('Cash flow data'!G12,0)</f>
        <v>-31503</v>
      </c>
      <c r="G84" s="45">
        <f>IFERROR('Cash flow data'!H12,0)</f>
        <v>-16072</v>
      </c>
      <c r="H84" s="45">
        <f>IFERROR('Cash flow data'!I12,0)</f>
        <v>-35079</v>
      </c>
      <c r="I84" s="45">
        <f>IFERROR('Cash flow data'!J12,0)</f>
        <v>-35304</v>
      </c>
      <c r="J84" s="45">
        <f>IFERROR('Cash flow data'!K12,0)</f>
        <v>-29702</v>
      </c>
      <c r="K84" s="45">
        <f>IFERROR('Cash flow data'!L12,0)</f>
        <v>-20205</v>
      </c>
      <c r="L84" s="45">
        <f>IFERROR('Cash flow data'!M12,0)</f>
        <v>-15168</v>
      </c>
      <c r="M84" s="45">
        <f>IFERROR('Cash flow data'!N12,0)</f>
        <v>-19230</v>
      </c>
    </row>
    <row r="85" spans="2:13" x14ac:dyDescent="0.25">
      <c r="B85" t="s">
        <v>150</v>
      </c>
      <c r="C85" s="45">
        <f>IFERROR('Cash flow data'!D13,0)</f>
        <v>37</v>
      </c>
      <c r="D85" s="45">
        <f>IFERROR('Cash flow data'!E13,0)</f>
        <v>50</v>
      </c>
      <c r="E85" s="45">
        <f>IFERROR('Cash flow data'!F13,0)</f>
        <v>74</v>
      </c>
      <c r="F85" s="45">
        <f>IFERROR('Cash flow data'!G13,0)</f>
        <v>59</v>
      </c>
      <c r="G85" s="45">
        <f>IFERROR('Cash flow data'!H13,0)</f>
        <v>53</v>
      </c>
      <c r="H85" s="45">
        <f>IFERROR('Cash flow data'!I13,0)</f>
        <v>30</v>
      </c>
      <c r="I85" s="45">
        <f>IFERROR('Cash flow data'!J13,0)</f>
        <v>67</v>
      </c>
      <c r="J85" s="45">
        <f>IFERROR('Cash flow data'!K13,0)</f>
        <v>171</v>
      </c>
      <c r="K85" s="45">
        <f>IFERROR('Cash flow data'!L13,0)</f>
        <v>351</v>
      </c>
      <c r="L85" s="45">
        <f>IFERROR('Cash flow data'!M13,0)</f>
        <v>230</v>
      </c>
      <c r="M85" s="45">
        <f>IFERROR('Cash flow data'!N13,0)</f>
        <v>285</v>
      </c>
    </row>
    <row r="86" spans="2:13" x14ac:dyDescent="0.25">
      <c r="B86" t="s">
        <v>151</v>
      </c>
      <c r="C86" s="45">
        <f>IFERROR('Cash flow data'!D14,0)</f>
        <v>73</v>
      </c>
      <c r="D86" s="45">
        <f>IFERROR('Cash flow data'!E14,0)</f>
        <v>-429</v>
      </c>
      <c r="E86" s="45">
        <f>IFERROR('Cash flow data'!F14,0)</f>
        <v>-5461</v>
      </c>
      <c r="F86" s="45">
        <f>IFERROR('Cash flow data'!G14,0)</f>
        <v>-4728</v>
      </c>
      <c r="G86" s="45">
        <f>IFERROR('Cash flow data'!H14,0)</f>
        <v>-6</v>
      </c>
      <c r="H86" s="45">
        <f>IFERROR('Cash flow data'!I14,0)</f>
        <v>-329</v>
      </c>
      <c r="I86" s="45">
        <f>IFERROR('Cash flow data'!J14,0)</f>
        <v>-130</v>
      </c>
      <c r="J86" s="45">
        <f>IFERROR('Cash flow data'!K14,0)</f>
        <v>-1439</v>
      </c>
      <c r="K86" s="45">
        <f>IFERROR('Cash flow data'!L14,0)</f>
        <v>-7530</v>
      </c>
      <c r="L86" s="45">
        <f>IFERROR('Cash flow data'!M14,0)</f>
        <v>-3008</v>
      </c>
      <c r="M86" s="45">
        <f>IFERROR('Cash flow data'!N14,0)</f>
        <v>-50</v>
      </c>
    </row>
    <row r="87" spans="2:13" x14ac:dyDescent="0.25">
      <c r="B87" t="s">
        <v>152</v>
      </c>
      <c r="C87" s="45">
        <f>IFERROR('Cash flow data'!D15,0)</f>
        <v>34</v>
      </c>
      <c r="D87" s="45">
        <f>IFERROR('Cash flow data'!E15,0)</f>
        <v>4</v>
      </c>
      <c r="E87" s="45">
        <f>IFERROR('Cash flow data'!F15,0)</f>
        <v>42</v>
      </c>
      <c r="F87" s="45">
        <f>IFERROR('Cash flow data'!G15,0)</f>
        <v>89</v>
      </c>
      <c r="G87" s="45">
        <f>IFERROR('Cash flow data'!H15,0)</f>
        <v>1965</v>
      </c>
      <c r="H87" s="45">
        <f>IFERROR('Cash flow data'!I15,0)</f>
        <v>2381</v>
      </c>
      <c r="I87" s="45">
        <f>IFERROR('Cash flow data'!J15,0)</f>
        <v>5644</v>
      </c>
      <c r="J87" s="45">
        <f>IFERROR('Cash flow data'!K15,0)</f>
        <v>21</v>
      </c>
      <c r="K87" s="45">
        <f>IFERROR('Cash flow data'!L15,0)</f>
        <v>226</v>
      </c>
      <c r="L87" s="45">
        <f>IFERROR('Cash flow data'!M15,0)</f>
        <v>104</v>
      </c>
      <c r="M87" s="45">
        <f>IFERROR('Cash flow data'!N15,0)</f>
        <v>6895</v>
      </c>
    </row>
    <row r="88" spans="2:13" x14ac:dyDescent="0.25">
      <c r="B88" t="s">
        <v>153</v>
      </c>
      <c r="C88" s="45">
        <f>IFERROR('Cash flow data'!D16,0)</f>
        <v>713</v>
      </c>
      <c r="D88" s="45">
        <f>IFERROR('Cash flow data'!E16,0)</f>
        <v>653</v>
      </c>
      <c r="E88" s="45">
        <f>IFERROR('Cash flow data'!F16,0)</f>
        <v>698</v>
      </c>
      <c r="F88" s="45">
        <f>IFERROR('Cash flow data'!G16,0)</f>
        <v>731</v>
      </c>
      <c r="G88" s="45">
        <f>IFERROR('Cash flow data'!H16,0)</f>
        <v>638</v>
      </c>
      <c r="H88" s="45">
        <f>IFERROR('Cash flow data'!I16,0)</f>
        <v>690</v>
      </c>
      <c r="I88" s="45">
        <f>IFERROR('Cash flow data'!J16,0)</f>
        <v>761</v>
      </c>
      <c r="J88" s="45">
        <f>IFERROR('Cash flow data'!K16,0)</f>
        <v>1104</v>
      </c>
      <c r="K88" s="45">
        <f>IFERROR('Cash flow data'!L16,0)</f>
        <v>428</v>
      </c>
      <c r="L88" s="45">
        <f>IFERROR('Cash flow data'!M16,0)</f>
        <v>653</v>
      </c>
      <c r="M88" s="45">
        <f>IFERROR('Cash flow data'!N16,0)</f>
        <v>973</v>
      </c>
    </row>
    <row r="89" spans="2:13" x14ac:dyDescent="0.25">
      <c r="B89" t="s">
        <v>154</v>
      </c>
      <c r="C89" s="45">
        <f>IFERROR('Cash flow data'!D17,0)</f>
        <v>95</v>
      </c>
      <c r="D89" s="45">
        <f>IFERROR('Cash flow data'!E17,0)</f>
        <v>40</v>
      </c>
      <c r="E89" s="45">
        <f>IFERROR('Cash flow data'!F17,0)</f>
        <v>80</v>
      </c>
      <c r="F89" s="45">
        <f>IFERROR('Cash flow data'!G17,0)</f>
        <v>58</v>
      </c>
      <c r="G89" s="45">
        <f>IFERROR('Cash flow data'!H17,0)</f>
        <v>620</v>
      </c>
      <c r="H89" s="45">
        <f>IFERROR('Cash flow data'!I17,0)</f>
        <v>1797</v>
      </c>
      <c r="I89" s="45">
        <f>IFERROR('Cash flow data'!J17,0)</f>
        <v>232</v>
      </c>
      <c r="J89" s="45">
        <f>IFERROR('Cash flow data'!K17,0)</f>
        <v>21</v>
      </c>
      <c r="K89" s="45">
        <f>IFERROR('Cash flow data'!L17,0)</f>
        <v>18</v>
      </c>
      <c r="L89" s="45">
        <f>IFERROR('Cash flow data'!M17,0)</f>
        <v>32</v>
      </c>
      <c r="M89" s="45">
        <f>IFERROR('Cash flow data'!N17,0)</f>
        <v>46</v>
      </c>
    </row>
    <row r="90" spans="2:13" x14ac:dyDescent="0.25">
      <c r="B90" t="s">
        <v>155</v>
      </c>
      <c r="C90" s="45">
        <f>IFERROR('Cash flow data'!D18,0)</f>
        <v>0</v>
      </c>
      <c r="D90" s="45">
        <f>IFERROR('Cash flow data'!E18,0)</f>
        <v>0</v>
      </c>
      <c r="E90" s="45">
        <f>IFERROR('Cash flow data'!F18,0)</f>
        <v>0</v>
      </c>
      <c r="F90" s="45">
        <f>IFERROR('Cash flow data'!G18,0)</f>
        <v>0</v>
      </c>
      <c r="G90" s="45">
        <f>IFERROR('Cash flow data'!H18,0)</f>
        <v>0</v>
      </c>
      <c r="H90" s="45">
        <f>IFERROR('Cash flow data'!I18,0)</f>
        <v>0</v>
      </c>
      <c r="I90" s="45">
        <f>IFERROR('Cash flow data'!J18,0)</f>
        <v>0</v>
      </c>
      <c r="J90" s="45">
        <f>IFERROR('Cash flow data'!K18,0)</f>
        <v>0</v>
      </c>
      <c r="K90" s="45">
        <f>IFERROR('Cash flow data'!L18,0)</f>
        <v>0</v>
      </c>
      <c r="L90" s="45">
        <f>IFERROR('Cash flow data'!M18,0)</f>
        <v>0</v>
      </c>
      <c r="M90" s="45">
        <f>IFERROR('Cash flow data'!N18,0)</f>
        <v>0</v>
      </c>
    </row>
    <row r="91" spans="2:13" x14ac:dyDescent="0.25">
      <c r="B91" t="s">
        <v>156</v>
      </c>
      <c r="C91" s="45">
        <f>IFERROR('Cash flow data'!D19,0)</f>
        <v>0</v>
      </c>
      <c r="D91" s="45">
        <f>IFERROR('Cash flow data'!E19,0)</f>
        <v>0</v>
      </c>
      <c r="E91" s="45">
        <f>IFERROR('Cash flow data'!F19,0)</f>
        <v>-160</v>
      </c>
      <c r="F91" s="45">
        <f>IFERROR('Cash flow data'!G19,0)</f>
        <v>0</v>
      </c>
      <c r="G91" s="45">
        <f>IFERROR('Cash flow data'!H19,0)</f>
        <v>-107</v>
      </c>
      <c r="H91" s="45">
        <f>IFERROR('Cash flow data'!I19,0)</f>
        <v>-4</v>
      </c>
      <c r="I91" s="45">
        <f>IFERROR('Cash flow data'!J19,0)</f>
        <v>-9</v>
      </c>
      <c r="J91" s="45">
        <f>IFERROR('Cash flow data'!K19,0)</f>
        <v>-606</v>
      </c>
      <c r="K91" s="45">
        <f>IFERROR('Cash flow data'!L19,0)</f>
        <v>-10</v>
      </c>
      <c r="L91" s="45">
        <f>IFERROR('Cash flow data'!M19,0)</f>
        <v>0</v>
      </c>
      <c r="M91" s="45">
        <f>IFERROR('Cash flow data'!N19,0)</f>
        <v>0</v>
      </c>
    </row>
    <row r="92" spans="2:13" x14ac:dyDescent="0.25">
      <c r="B92" t="s">
        <v>157</v>
      </c>
      <c r="C92" s="45">
        <f>IFERROR('Cash flow data'!D20,0)</f>
        <v>0</v>
      </c>
      <c r="D92" s="45">
        <f>IFERROR('Cash flow data'!E20,0)</f>
        <v>0</v>
      </c>
      <c r="E92" s="45">
        <f>IFERROR('Cash flow data'!F20,0)</f>
        <v>0</v>
      </c>
      <c r="F92" s="45">
        <f>IFERROR('Cash flow data'!G20,0)</f>
        <v>0</v>
      </c>
      <c r="G92" s="45">
        <f>IFERROR('Cash flow data'!H20,0)</f>
        <v>0</v>
      </c>
      <c r="H92" s="45">
        <f>IFERROR('Cash flow data'!I20,0)</f>
        <v>14</v>
      </c>
      <c r="I92" s="45">
        <f>IFERROR('Cash flow data'!J20,0)</f>
        <v>533</v>
      </c>
      <c r="J92" s="45">
        <f>IFERROR('Cash flow data'!K20,0)</f>
        <v>0</v>
      </c>
      <c r="K92" s="45">
        <f>IFERROR('Cash flow data'!L20,0)</f>
        <v>0</v>
      </c>
      <c r="L92" s="45">
        <f>IFERROR('Cash flow data'!M20,0)</f>
        <v>0</v>
      </c>
      <c r="M92" s="45">
        <f>IFERROR('Cash flow data'!N20,0)</f>
        <v>19</v>
      </c>
    </row>
    <row r="93" spans="2:13" x14ac:dyDescent="0.25">
      <c r="B93" t="s">
        <v>158</v>
      </c>
      <c r="C93" s="45">
        <f>IFERROR('Cash flow data'!D21,0)</f>
        <v>0</v>
      </c>
      <c r="D93" s="45">
        <f>IFERROR('Cash flow data'!E21,0)</f>
        <v>-185</v>
      </c>
      <c r="E93" s="45">
        <f>IFERROR('Cash flow data'!F21,0)</f>
        <v>0</v>
      </c>
      <c r="F93" s="45">
        <f>IFERROR('Cash flow data'!G21,0)</f>
        <v>-111</v>
      </c>
      <c r="G93" s="45">
        <f>IFERROR('Cash flow data'!H21,0)</f>
        <v>0</v>
      </c>
      <c r="H93" s="45">
        <f>IFERROR('Cash flow data'!I21,0)</f>
        <v>0</v>
      </c>
      <c r="I93" s="45">
        <f>IFERROR('Cash flow data'!J21,0)</f>
        <v>-8</v>
      </c>
      <c r="J93" s="45">
        <f>IFERROR('Cash flow data'!K21,0)</f>
        <v>-27</v>
      </c>
      <c r="K93" s="45">
        <f>IFERROR('Cash flow data'!L21,0)</f>
        <v>0</v>
      </c>
      <c r="L93" s="45">
        <f>IFERROR('Cash flow data'!M21,0)</f>
        <v>-98</v>
      </c>
      <c r="M93" s="45">
        <f>IFERROR('Cash flow data'!N21,0)</f>
        <v>0</v>
      </c>
    </row>
    <row r="94" spans="2:13" x14ac:dyDescent="0.25">
      <c r="B94" t="s">
        <v>159</v>
      </c>
      <c r="C94" s="45">
        <f>IFERROR('Cash flow data'!D22,0)</f>
        <v>45</v>
      </c>
      <c r="D94" s="45">
        <f>IFERROR('Cash flow data'!E22,0)</f>
        <v>0</v>
      </c>
      <c r="E94" s="45">
        <f>IFERROR('Cash flow data'!F22,0)</f>
        <v>0</v>
      </c>
      <c r="F94" s="45">
        <f>IFERROR('Cash flow data'!G22,0)</f>
        <v>0</v>
      </c>
      <c r="G94" s="45">
        <f>IFERROR('Cash flow data'!H22,0)</f>
        <v>0</v>
      </c>
      <c r="H94" s="45">
        <f>IFERROR('Cash flow data'!I22,0)</f>
        <v>0</v>
      </c>
      <c r="I94" s="45">
        <f>IFERROR('Cash flow data'!J22,0)</f>
        <v>0</v>
      </c>
      <c r="J94" s="45">
        <f>IFERROR('Cash flow data'!K22,0)</f>
        <v>0</v>
      </c>
      <c r="K94" s="45">
        <f>IFERROR('Cash flow data'!L22,0)</f>
        <v>0</v>
      </c>
      <c r="L94" s="45">
        <f>IFERROR('Cash flow data'!M22,0)</f>
        <v>0</v>
      </c>
      <c r="M94" s="45">
        <f>IFERROR('Cash flow data'!N22,0)</f>
        <v>0</v>
      </c>
    </row>
    <row r="95" spans="2:13" ht="15.75" thickBot="1" x14ac:dyDescent="0.3">
      <c r="B95" t="s">
        <v>160</v>
      </c>
      <c r="C95" s="45">
        <f>IFERROR('Cash flow data'!D23,0)</f>
        <v>-5103</v>
      </c>
      <c r="D95" s="45">
        <f>IFERROR('Cash flow data'!E23,0)</f>
        <v>-1149</v>
      </c>
      <c r="E95" s="45">
        <f>IFERROR('Cash flow data'!F23,0)</f>
        <v>456</v>
      </c>
      <c r="F95" s="45">
        <f>IFERROR('Cash flow data'!G23,0)</f>
        <v>-1289</v>
      </c>
      <c r="G95" s="45">
        <f>IFERROR('Cash flow data'!H23,0)</f>
        <v>-26663</v>
      </c>
      <c r="H95" s="45">
        <f>IFERROR('Cash flow data'!I23,0)</f>
        <v>5360</v>
      </c>
      <c r="I95" s="45">
        <f>IFERROR('Cash flow data'!J23,0)</f>
        <v>7335</v>
      </c>
      <c r="J95" s="45">
        <f>IFERROR('Cash flow data'!K23,0)</f>
        <v>-2659</v>
      </c>
      <c r="K95" s="45">
        <f>IFERROR('Cash flow data'!L23,0)</f>
        <v>1051</v>
      </c>
      <c r="L95" s="45">
        <f>IFERROR('Cash flow data'!M23,0)</f>
        <v>12813</v>
      </c>
      <c r="M95" s="45">
        <f>IFERROR('Cash flow data'!N23,0)</f>
        <v>-4357</v>
      </c>
    </row>
    <row r="96" spans="2:13" ht="16.5" thickTop="1" thickBot="1" x14ac:dyDescent="0.3">
      <c r="B96" s="58" t="s">
        <v>173</v>
      </c>
      <c r="C96" s="56">
        <f>SUM(C84:C95)</f>
        <v>-22969</v>
      </c>
      <c r="D96" s="59">
        <f t="shared" ref="D96:M96" si="22">SUM(D84:D95)</f>
        <v>-27991</v>
      </c>
      <c r="E96" s="56">
        <f t="shared" si="22"/>
        <v>-36233</v>
      </c>
      <c r="F96" s="56">
        <f t="shared" si="22"/>
        <v>-36694</v>
      </c>
      <c r="G96" s="56">
        <f t="shared" si="22"/>
        <v>-39572</v>
      </c>
      <c r="H96" s="56">
        <f t="shared" si="22"/>
        <v>-25140</v>
      </c>
      <c r="I96" s="56">
        <f t="shared" si="22"/>
        <v>-20879</v>
      </c>
      <c r="J96" s="56">
        <f t="shared" si="22"/>
        <v>-33116</v>
      </c>
      <c r="K96" s="56">
        <f t="shared" si="22"/>
        <v>-25671</v>
      </c>
      <c r="L96" s="56">
        <f t="shared" si="22"/>
        <v>-4442</v>
      </c>
      <c r="M96" s="57">
        <f t="shared" si="22"/>
        <v>-15419</v>
      </c>
    </row>
    <row r="97" spans="2:13" ht="15.75" thickTop="1" x14ac:dyDescent="0.25"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</row>
    <row r="98" spans="2:13" x14ac:dyDescent="0.25">
      <c r="B98" s="44" t="s">
        <v>178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</row>
    <row r="99" spans="2:13" x14ac:dyDescent="0.25">
      <c r="B99" t="s">
        <v>162</v>
      </c>
      <c r="C99" s="45">
        <f>IFERROR('Cash flow data'!D25,0)</f>
        <v>1</v>
      </c>
      <c r="D99" s="45">
        <f>IFERROR('Cash flow data'!E25,0)</f>
        <v>0</v>
      </c>
      <c r="E99" s="45">
        <f>IFERROR('Cash flow data'!F25,0)</f>
        <v>0</v>
      </c>
      <c r="F99" s="45">
        <f>IFERROR('Cash flow data'!G25,0)</f>
        <v>7433</v>
      </c>
      <c r="G99" s="45">
        <f>IFERROR('Cash flow data'!H25,0)</f>
        <v>5</v>
      </c>
      <c r="H99" s="45">
        <f>IFERROR('Cash flow data'!I25,0)</f>
        <v>0</v>
      </c>
      <c r="I99" s="45">
        <f>IFERROR('Cash flow data'!J25,0)</f>
        <v>0</v>
      </c>
      <c r="J99" s="45">
        <f>IFERROR('Cash flow data'!K25,0)</f>
        <v>3889</v>
      </c>
      <c r="K99" s="45">
        <f>IFERROR('Cash flow data'!L25,0)</f>
        <v>2603</v>
      </c>
      <c r="L99" s="45">
        <f>IFERROR('Cash flow data'!M25,0)</f>
        <v>19</v>
      </c>
      <c r="M99" s="45">
        <f>IFERROR('Cash flow data'!N25,0)</f>
        <v>20</v>
      </c>
    </row>
    <row r="100" spans="2:13" x14ac:dyDescent="0.25">
      <c r="B100" t="s">
        <v>163</v>
      </c>
      <c r="C100" s="45">
        <f>IFERROR('Cash flow data'!D26,0)</f>
        <v>-97</v>
      </c>
      <c r="D100" s="45">
        <f>IFERROR('Cash flow data'!E26,0)</f>
        <v>-658</v>
      </c>
      <c r="E100" s="45">
        <f>IFERROR('Cash flow data'!F26,0)</f>
        <v>-744</v>
      </c>
      <c r="F100" s="45">
        <f>IFERROR('Cash flow data'!G26,0)</f>
        <v>0</v>
      </c>
      <c r="G100" s="45">
        <f>IFERROR('Cash flow data'!H26,0)</f>
        <v>0</v>
      </c>
      <c r="H100" s="45">
        <f>IFERROR('Cash flow data'!I26,0)</f>
        <v>0</v>
      </c>
      <c r="I100" s="45">
        <f>IFERROR('Cash flow data'!J26,0)</f>
        <v>0</v>
      </c>
      <c r="J100" s="45">
        <f>IFERROR('Cash flow data'!K26,0)</f>
        <v>0</v>
      </c>
      <c r="K100" s="45">
        <f>IFERROR('Cash flow data'!L26,0)</f>
        <v>0</v>
      </c>
      <c r="L100" s="45">
        <f>IFERROR('Cash flow data'!M26,0)</f>
        <v>0</v>
      </c>
      <c r="M100" s="45">
        <f>IFERROR('Cash flow data'!N26,0)</f>
        <v>0</v>
      </c>
    </row>
    <row r="101" spans="2:13" x14ac:dyDescent="0.25">
      <c r="B101" t="s">
        <v>164</v>
      </c>
      <c r="C101" s="45">
        <f>IFERROR('Cash flow data'!D27,0)</f>
        <v>27863</v>
      </c>
      <c r="D101" s="45">
        <f>IFERROR('Cash flow data'!E27,0)</f>
        <v>33258</v>
      </c>
      <c r="E101" s="45">
        <f>IFERROR('Cash flow data'!F27,0)</f>
        <v>36363</v>
      </c>
      <c r="F101" s="45">
        <f>IFERROR('Cash flow data'!G27,0)</f>
        <v>19519</v>
      </c>
      <c r="G101" s="45">
        <f>IFERROR('Cash flow data'!H27,0)</f>
        <v>33390</v>
      </c>
      <c r="H101" s="45">
        <f>IFERROR('Cash flow data'!I27,0)</f>
        <v>37482</v>
      </c>
      <c r="I101" s="45">
        <f>IFERROR('Cash flow data'!J27,0)</f>
        <v>51128</v>
      </c>
      <c r="J101" s="45">
        <f>IFERROR('Cash flow data'!K27,0)</f>
        <v>38297</v>
      </c>
      <c r="K101" s="45">
        <f>IFERROR('Cash flow data'!L27,0)</f>
        <v>46641</v>
      </c>
      <c r="L101" s="45">
        <f>IFERROR('Cash flow data'!M27,0)</f>
        <v>46578</v>
      </c>
      <c r="M101" s="45">
        <f>IFERROR('Cash flow data'!N27,0)</f>
        <v>43934</v>
      </c>
    </row>
    <row r="102" spans="2:13" x14ac:dyDescent="0.25">
      <c r="B102" t="s">
        <v>165</v>
      </c>
      <c r="C102" s="45">
        <f>IFERROR('Cash flow data'!D28,0)</f>
        <v>-20395</v>
      </c>
      <c r="D102" s="45">
        <f>IFERROR('Cash flow data'!E28,0)</f>
        <v>-29141</v>
      </c>
      <c r="E102" s="45">
        <f>IFERROR('Cash flow data'!F28,0)</f>
        <v>-23332</v>
      </c>
      <c r="F102" s="45">
        <f>IFERROR('Cash flow data'!G28,0)</f>
        <v>-24924</v>
      </c>
      <c r="G102" s="45">
        <f>IFERROR('Cash flow data'!H28,0)</f>
        <v>-21732</v>
      </c>
      <c r="H102" s="45">
        <f>IFERROR('Cash flow data'!I28,0)</f>
        <v>-29964</v>
      </c>
      <c r="I102" s="45">
        <f>IFERROR('Cash flow data'!J28,0)</f>
        <v>-35198</v>
      </c>
      <c r="J102" s="45">
        <f>IFERROR('Cash flow data'!K28,0)</f>
        <v>-29847</v>
      </c>
      <c r="K102" s="45">
        <f>IFERROR('Cash flow data'!L28,0)</f>
        <v>-29709</v>
      </c>
      <c r="L102" s="45">
        <f>IFERROR('Cash flow data'!M28,0)</f>
        <v>-42816</v>
      </c>
      <c r="M102" s="45">
        <f>IFERROR('Cash flow data'!N28,0)</f>
        <v>-62557</v>
      </c>
    </row>
    <row r="103" spans="2:13" x14ac:dyDescent="0.25">
      <c r="B103" t="s">
        <v>166</v>
      </c>
      <c r="C103" s="45">
        <f>IFERROR('Cash flow data'!D29,0)</f>
        <v>-4666</v>
      </c>
      <c r="D103" s="45">
        <f>IFERROR('Cash flow data'!E29,0)</f>
        <v>-6171</v>
      </c>
      <c r="E103" s="45">
        <f>IFERROR('Cash flow data'!F29,0)</f>
        <v>-6307</v>
      </c>
      <c r="F103" s="45">
        <f>IFERROR('Cash flow data'!G29,0)</f>
        <v>-5716</v>
      </c>
      <c r="G103" s="45">
        <f>IFERROR('Cash flow data'!H29,0)</f>
        <v>-5336</v>
      </c>
      <c r="H103" s="45">
        <f>IFERROR('Cash flow data'!I29,0)</f>
        <v>-5411</v>
      </c>
      <c r="I103" s="45">
        <f>IFERROR('Cash flow data'!J29,0)</f>
        <v>-7005</v>
      </c>
      <c r="J103" s="45">
        <f>IFERROR('Cash flow data'!K29,0)</f>
        <v>-7518</v>
      </c>
      <c r="K103" s="45">
        <f>IFERROR('Cash flow data'!L29,0)</f>
        <v>-8123</v>
      </c>
      <c r="L103" s="45">
        <f>IFERROR('Cash flow data'!M29,0)</f>
        <v>-9251</v>
      </c>
      <c r="M103" s="45">
        <f>IFERROR('Cash flow data'!N29,0)</f>
        <v>-9336</v>
      </c>
    </row>
    <row r="104" spans="2:13" x14ac:dyDescent="0.25">
      <c r="B104" t="s">
        <v>167</v>
      </c>
      <c r="C104" s="45">
        <f>IFERROR('Cash flow data'!D30,0)</f>
        <v>-1551</v>
      </c>
      <c r="D104" s="45">
        <f>IFERROR('Cash flow data'!E30,0)</f>
        <v>-722</v>
      </c>
      <c r="E104" s="45">
        <f>IFERROR('Cash flow data'!F30,0)</f>
        <v>-720</v>
      </c>
      <c r="F104" s="45">
        <f>IFERROR('Cash flow data'!G30,0)</f>
        <v>-108</v>
      </c>
      <c r="G104" s="45">
        <f>IFERROR('Cash flow data'!H30,0)</f>
        <v>-121</v>
      </c>
      <c r="H104" s="45">
        <f>IFERROR('Cash flow data'!I30,0)</f>
        <v>-96</v>
      </c>
      <c r="I104" s="45">
        <f>IFERROR('Cash flow data'!J30,0)</f>
        <v>-95</v>
      </c>
      <c r="J104" s="45">
        <f>IFERROR('Cash flow data'!K30,0)</f>
        <v>-57</v>
      </c>
      <c r="K104" s="45">
        <f>IFERROR('Cash flow data'!L30,0)</f>
        <v>-30</v>
      </c>
      <c r="L104" s="45">
        <f>IFERROR('Cash flow data'!M30,0)</f>
        <v>-100</v>
      </c>
      <c r="M104" s="45">
        <f>IFERROR('Cash flow data'!N30,0)</f>
        <v>-141</v>
      </c>
    </row>
    <row r="105" spans="2:13" x14ac:dyDescent="0.25">
      <c r="B105" t="s">
        <v>168</v>
      </c>
      <c r="C105" s="45">
        <f>IFERROR('Cash flow data'!D31,0)</f>
        <v>0</v>
      </c>
      <c r="D105" s="45">
        <f>IFERROR('Cash flow data'!E31,0)</f>
        <v>0</v>
      </c>
      <c r="E105" s="45">
        <f>IFERROR('Cash flow data'!F31,0)</f>
        <v>0</v>
      </c>
      <c r="F105" s="45">
        <f>IFERROR('Cash flow data'!G31,0)</f>
        <v>0</v>
      </c>
      <c r="G105" s="45">
        <f>IFERROR('Cash flow data'!H31,0)</f>
        <v>0</v>
      </c>
      <c r="H105" s="45">
        <f>IFERROR('Cash flow data'!I31,0)</f>
        <v>0</v>
      </c>
      <c r="I105" s="45">
        <f>IFERROR('Cash flow data'!J31,0)</f>
        <v>0</v>
      </c>
      <c r="J105" s="45">
        <f>IFERROR('Cash flow data'!K31,0)</f>
        <v>-1346</v>
      </c>
      <c r="K105" s="45">
        <f>IFERROR('Cash flow data'!L31,0)</f>
        <v>-1477</v>
      </c>
      <c r="L105" s="45">
        <f>IFERROR('Cash flow data'!M31,0)</f>
        <v>-1559</v>
      </c>
      <c r="M105" s="45">
        <f>IFERROR('Cash flow data'!N31,0)</f>
        <v>-1517</v>
      </c>
    </row>
    <row r="106" spans="2:13" ht="15.75" thickBot="1" x14ac:dyDescent="0.3">
      <c r="B106" t="s">
        <v>169</v>
      </c>
      <c r="C106" s="45">
        <f>IFERROR('Cash flow data'!D32,0)</f>
        <v>-2849</v>
      </c>
      <c r="D106" s="45">
        <f>IFERROR('Cash flow data'!E32,0)</f>
        <v>-450</v>
      </c>
      <c r="E106" s="45">
        <f>IFERROR('Cash flow data'!F32,0)</f>
        <v>-57</v>
      </c>
      <c r="F106" s="45">
        <f>IFERROR('Cash flow data'!G32,0)</f>
        <v>0</v>
      </c>
      <c r="G106" s="45">
        <f>IFERROR('Cash flow data'!H32,0)</f>
        <v>0</v>
      </c>
      <c r="H106" s="45">
        <f>IFERROR('Cash flow data'!I32,0)</f>
        <v>0</v>
      </c>
      <c r="I106" s="45">
        <f>IFERROR('Cash flow data'!J32,0)</f>
        <v>0</v>
      </c>
      <c r="J106" s="45">
        <f>IFERROR('Cash flow data'!K32,0)</f>
        <v>-29</v>
      </c>
      <c r="K106" s="45">
        <f>IFERROR('Cash flow data'!L32,0)</f>
        <v>0</v>
      </c>
      <c r="L106" s="45">
        <f>IFERROR('Cash flow data'!M32,0)</f>
        <v>3750</v>
      </c>
      <c r="M106" s="45">
        <f>IFERROR('Cash flow data'!N32,0)</f>
        <v>3355</v>
      </c>
    </row>
    <row r="107" spans="2:13" s="5" customFormat="1" ht="16.5" thickTop="1" thickBot="1" x14ac:dyDescent="0.3">
      <c r="B107" s="58" t="s">
        <v>174</v>
      </c>
      <c r="C107" s="56">
        <f>SUM(C99:C106)</f>
        <v>-1694</v>
      </c>
      <c r="D107" s="59">
        <f t="shared" ref="D107:M107" si="23">SUM(D99:D106)</f>
        <v>-3884</v>
      </c>
      <c r="E107" s="56">
        <f t="shared" si="23"/>
        <v>5203</v>
      </c>
      <c r="F107" s="56">
        <f t="shared" si="23"/>
        <v>-3796</v>
      </c>
      <c r="G107" s="56">
        <f t="shared" si="23"/>
        <v>6206</v>
      </c>
      <c r="H107" s="56">
        <f t="shared" si="23"/>
        <v>2011</v>
      </c>
      <c r="I107" s="56">
        <f t="shared" si="23"/>
        <v>8830</v>
      </c>
      <c r="J107" s="56">
        <f t="shared" si="23"/>
        <v>3389</v>
      </c>
      <c r="K107" s="56">
        <f t="shared" si="23"/>
        <v>9905</v>
      </c>
      <c r="L107" s="56">
        <f t="shared" si="23"/>
        <v>-3379</v>
      </c>
      <c r="M107" s="57">
        <f t="shared" si="23"/>
        <v>-26242</v>
      </c>
    </row>
    <row r="108" spans="2:13" ht="16.5" thickTop="1" thickBot="1" x14ac:dyDescent="0.3"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2:13" s="5" customFormat="1" ht="16.5" thickTop="1" thickBot="1" x14ac:dyDescent="0.3">
      <c r="B109" s="58" t="s">
        <v>175</v>
      </c>
      <c r="C109" s="56">
        <f>IFERROR(SUM(C81,C96,C107),0)</f>
        <v>-2504</v>
      </c>
      <c r="D109" s="59">
        <f>IFERROR(SUM(D81,D96,D107),0)</f>
        <v>8433</v>
      </c>
      <c r="E109" s="56">
        <f>IFERROR(SUM(E81,E96,E107),0)</f>
        <v>830</v>
      </c>
      <c r="F109" s="56">
        <f>IFERROR(SUM(F81,F96,F107),0)</f>
        <v>-1278</v>
      </c>
      <c r="G109" s="56">
        <f>IFERROR(SUM(G81,G96,G107),0)</f>
        <v>88</v>
      </c>
      <c r="H109" s="56">
        <f>IFERROR(SUM(H81,H96,H107),0)</f>
        <v>-5706</v>
      </c>
      <c r="I109" s="56">
        <f>IFERROR(SUM(I81,I96,I107),0)</f>
        <v>-378</v>
      </c>
      <c r="J109" s="56">
        <f>IFERROR(SUM(J81,J96,J107),0)</f>
        <v>1971</v>
      </c>
      <c r="K109" s="56">
        <f>IFERROR(SUM(K81,K96,K107),0)</f>
        <v>13141</v>
      </c>
      <c r="L109" s="56">
        <f>IFERROR(SUM(L81,L96,L107),0)</f>
        <v>-4289</v>
      </c>
      <c r="M109" s="57">
        <f>IFERROR(SUM(M81,M96,M107),0)</f>
        <v>-9400</v>
      </c>
    </row>
    <row r="110" spans="2:13" ht="15.75" thickTop="1" x14ac:dyDescent="0.25"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</row>
  </sheetData>
  <mergeCells count="4">
    <mergeCell ref="B4:M4"/>
    <mergeCell ref="B45:M45"/>
    <mergeCell ref="B69:M69"/>
    <mergeCell ref="E1:H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31" orientation="landscape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93"/>
  <sheetViews>
    <sheetView workbookViewId="0">
      <selection activeCell="B1" sqref="B1"/>
    </sheetView>
  </sheetViews>
  <sheetFormatPr defaultColWidth="8.85546875" defaultRowHeight="15" x14ac:dyDescent="0.25"/>
  <cols>
    <col min="1" max="1" width="27.7109375" style="34" bestFit="1" customWidth="1"/>
    <col min="2" max="4" width="13.42578125" style="34" bestFit="1" customWidth="1"/>
    <col min="5" max="5" width="13.42578125" style="34" customWidth="1"/>
    <col min="6" max="11" width="13.42578125" style="34" bestFit="1" customWidth="1"/>
    <col min="12" max="16384" width="8.85546875" style="34"/>
  </cols>
  <sheetData>
    <row r="1" spans="1:11" s="33" customFormat="1" x14ac:dyDescent="0.25">
      <c r="A1" s="33" t="s">
        <v>62</v>
      </c>
      <c r="B1" s="33" t="s">
        <v>63</v>
      </c>
      <c r="E1" s="64" t="str">
        <f>IF(B2&lt;&gt;B3, "A NEW VERSION OF THE WORKSHEET IS AVAILABLE", "")</f>
        <v/>
      </c>
      <c r="F1" s="64"/>
      <c r="G1" s="64"/>
      <c r="H1" s="64"/>
      <c r="I1" s="64"/>
      <c r="J1" s="64"/>
      <c r="K1" s="64"/>
    </row>
    <row r="2" spans="1:11" x14ac:dyDescent="0.25">
      <c r="A2" s="33" t="s">
        <v>64</v>
      </c>
      <c r="B2" s="34">
        <v>2.1</v>
      </c>
      <c r="E2" s="65" t="s">
        <v>65</v>
      </c>
      <c r="F2" s="65"/>
      <c r="G2" s="65"/>
      <c r="H2" s="65"/>
      <c r="I2" s="65"/>
      <c r="J2" s="65"/>
      <c r="K2" s="65"/>
    </row>
    <row r="3" spans="1:11" x14ac:dyDescent="0.25">
      <c r="A3" s="33" t="s">
        <v>66</v>
      </c>
      <c r="B3" s="34">
        <v>2.1</v>
      </c>
    </row>
    <row r="4" spans="1:11" x14ac:dyDescent="0.25">
      <c r="A4" s="33"/>
    </row>
    <row r="5" spans="1:11" x14ac:dyDescent="0.25">
      <c r="A5" s="33" t="s">
        <v>67</v>
      </c>
    </row>
    <row r="6" spans="1:11" x14ac:dyDescent="0.25">
      <c r="A6" s="34" t="s">
        <v>68</v>
      </c>
      <c r="B6" s="34">
        <f>IF(B9&gt;0, B9/B8, 0)</f>
        <v>366.88456180635285</v>
      </c>
    </row>
    <row r="7" spans="1:11" x14ac:dyDescent="0.25">
      <c r="A7" s="34" t="s">
        <v>69</v>
      </c>
      <c r="B7">
        <v>2</v>
      </c>
    </row>
    <row r="8" spans="1:11" x14ac:dyDescent="0.25">
      <c r="A8" s="34" t="s">
        <v>70</v>
      </c>
      <c r="B8">
        <v>653.25</v>
      </c>
    </row>
    <row r="9" spans="1:11" x14ac:dyDescent="0.25">
      <c r="A9" s="34" t="s">
        <v>71</v>
      </c>
      <c r="B9">
        <v>239667.34</v>
      </c>
    </row>
    <row r="15" spans="1:11" x14ac:dyDescent="0.25">
      <c r="A15" s="33" t="s">
        <v>72</v>
      </c>
      <c r="B15" s="34">
        <f>B26+B32</f>
        <v>45661.570000000007</v>
      </c>
      <c r="C15"/>
      <c r="D15"/>
      <c r="E15"/>
      <c r="F15"/>
      <c r="G15"/>
      <c r="H15"/>
      <c r="I15"/>
      <c r="J15"/>
      <c r="K15" s="34">
        <f>K17-K18-K19-K20-K21-K22-K23</f>
        <v>27160.899999999965</v>
      </c>
    </row>
    <row r="16" spans="1:11" s="37" customFormat="1" x14ac:dyDescent="0.25">
      <c r="A16" s="35" t="s">
        <v>73</v>
      </c>
      <c r="B16" s="36">
        <v>41729</v>
      </c>
      <c r="C16" s="36">
        <v>42094</v>
      </c>
      <c r="D16" s="36">
        <v>42460</v>
      </c>
      <c r="E16" s="36">
        <v>42825</v>
      </c>
      <c r="F16" s="36">
        <v>43190</v>
      </c>
      <c r="G16" s="36">
        <v>43555</v>
      </c>
      <c r="H16" s="36">
        <v>43921</v>
      </c>
      <c r="I16" s="36">
        <v>44286</v>
      </c>
      <c r="J16" s="36">
        <v>44651</v>
      </c>
      <c r="K16" s="36">
        <v>45016</v>
      </c>
    </row>
    <row r="17" spans="1:11" s="38" customFormat="1" x14ac:dyDescent="0.25">
      <c r="A17" s="38" t="s">
        <v>74</v>
      </c>
      <c r="B17">
        <v>232833.66</v>
      </c>
      <c r="C17">
        <v>263158.98</v>
      </c>
      <c r="D17">
        <v>273045.59999999998</v>
      </c>
      <c r="E17">
        <v>269692.51</v>
      </c>
      <c r="F17">
        <v>291550.48</v>
      </c>
      <c r="G17">
        <v>301938.40000000002</v>
      </c>
      <c r="H17">
        <v>261067.97</v>
      </c>
      <c r="I17">
        <v>249794.75</v>
      </c>
      <c r="J17">
        <v>278453.62</v>
      </c>
      <c r="K17">
        <v>345966.97</v>
      </c>
    </row>
    <row r="18" spans="1:11" s="38" customFormat="1" x14ac:dyDescent="0.25">
      <c r="A18" s="34" t="s">
        <v>75</v>
      </c>
      <c r="B18">
        <v>146426.99</v>
      </c>
      <c r="C18">
        <v>163250.35999999999</v>
      </c>
      <c r="D18">
        <v>166134.01</v>
      </c>
      <c r="E18">
        <v>173294.07999999999</v>
      </c>
      <c r="F18">
        <v>187896.58</v>
      </c>
      <c r="G18">
        <v>194267.91</v>
      </c>
      <c r="H18">
        <v>164899.82</v>
      </c>
      <c r="I18">
        <v>153607.35999999999</v>
      </c>
      <c r="J18">
        <v>179295.33</v>
      </c>
      <c r="K18">
        <v>231251.26</v>
      </c>
    </row>
    <row r="19" spans="1:11" s="38" customFormat="1" x14ac:dyDescent="0.25">
      <c r="A19" s="34" t="s">
        <v>76</v>
      </c>
      <c r="B19">
        <v>2840.58</v>
      </c>
      <c r="C19">
        <v>3330.35</v>
      </c>
      <c r="D19">
        <v>2750.99</v>
      </c>
      <c r="E19">
        <v>7399.92</v>
      </c>
      <c r="F19">
        <v>2046.58</v>
      </c>
      <c r="G19">
        <v>-2053.2800000000002</v>
      </c>
      <c r="H19">
        <v>-2231.19</v>
      </c>
      <c r="I19">
        <v>-4684.16</v>
      </c>
      <c r="J19">
        <v>-1590.49</v>
      </c>
      <c r="K19">
        <v>4781.62</v>
      </c>
    </row>
    <row r="20" spans="1:11" s="38" customFormat="1" x14ac:dyDescent="0.25">
      <c r="A20" s="34" t="s">
        <v>77</v>
      </c>
      <c r="B20">
        <v>1128.69</v>
      </c>
      <c r="C20">
        <v>1121.75</v>
      </c>
      <c r="D20">
        <v>1143.6300000000001</v>
      </c>
      <c r="E20">
        <v>1159.82</v>
      </c>
      <c r="F20">
        <v>1308.08</v>
      </c>
      <c r="G20">
        <v>1585.93</v>
      </c>
      <c r="H20">
        <v>1264.95</v>
      </c>
      <c r="I20">
        <v>1112.8699999999999</v>
      </c>
      <c r="J20">
        <v>2178.29</v>
      </c>
      <c r="K20">
        <v>2513.33</v>
      </c>
    </row>
    <row r="21" spans="1:11" s="38" customFormat="1" x14ac:dyDescent="0.25">
      <c r="A21" s="34" t="s">
        <v>78</v>
      </c>
      <c r="B21">
        <v>13806.04</v>
      </c>
      <c r="C21">
        <v>16173.17</v>
      </c>
      <c r="D21">
        <v>12101.53</v>
      </c>
      <c r="E21">
        <v>10067.370000000001</v>
      </c>
      <c r="F21">
        <v>10971.66</v>
      </c>
      <c r="G21">
        <v>11694.54</v>
      </c>
      <c r="H21">
        <v>11541.51</v>
      </c>
      <c r="I21">
        <v>8273.17</v>
      </c>
      <c r="J21">
        <v>9427.3799999999992</v>
      </c>
      <c r="K21">
        <v>11765.97</v>
      </c>
    </row>
    <row r="22" spans="1:11" s="38" customFormat="1" x14ac:dyDescent="0.25">
      <c r="A22" s="34" t="s">
        <v>79</v>
      </c>
      <c r="B22">
        <v>21609.919999999998</v>
      </c>
      <c r="C22">
        <v>25641.95</v>
      </c>
      <c r="D22">
        <v>28880.89</v>
      </c>
      <c r="E22">
        <v>28332.89</v>
      </c>
      <c r="F22">
        <v>30300.09</v>
      </c>
      <c r="G22">
        <v>33243.870000000003</v>
      </c>
      <c r="H22">
        <v>30438.6</v>
      </c>
      <c r="I22">
        <v>27648.48</v>
      </c>
      <c r="J22">
        <v>30808.52</v>
      </c>
      <c r="K22">
        <v>33654.699999999997</v>
      </c>
    </row>
    <row r="23" spans="1:11" s="38" customFormat="1" x14ac:dyDescent="0.25">
      <c r="A23" s="34" t="s">
        <v>80</v>
      </c>
      <c r="B23">
        <v>22357.79</v>
      </c>
      <c r="C23">
        <v>23603.01</v>
      </c>
      <c r="D23">
        <v>21991.9</v>
      </c>
      <c r="E23">
        <v>30039.38</v>
      </c>
      <c r="F23">
        <v>31004.58</v>
      </c>
      <c r="G23">
        <v>32719.8</v>
      </c>
      <c r="H23">
        <v>29248.32</v>
      </c>
      <c r="I23">
        <v>23015.79</v>
      </c>
      <c r="J23">
        <v>29205.4</v>
      </c>
      <c r="K23">
        <v>34839.19</v>
      </c>
    </row>
    <row r="24" spans="1:11" s="38" customFormat="1" x14ac:dyDescent="0.25">
      <c r="A24" s="34" t="s">
        <v>81</v>
      </c>
      <c r="B24">
        <v>-4508.55</v>
      </c>
      <c r="C24">
        <v>-2539.56</v>
      </c>
      <c r="D24">
        <v>7149.38</v>
      </c>
      <c r="E24">
        <v>4610.2</v>
      </c>
      <c r="F24">
        <v>658.39</v>
      </c>
      <c r="G24">
        <v>1708.74</v>
      </c>
      <c r="H24">
        <v>3456.51</v>
      </c>
      <c r="I24">
        <v>-834.51</v>
      </c>
      <c r="J24">
        <v>1228.1199999999999</v>
      </c>
      <c r="K24">
        <v>4908.34</v>
      </c>
    </row>
    <row r="25" spans="1:11" s="38" customFormat="1" x14ac:dyDescent="0.25">
      <c r="A25" s="38" t="s">
        <v>82</v>
      </c>
      <c r="B25">
        <v>-156.79</v>
      </c>
      <c r="C25">
        <v>714.03</v>
      </c>
      <c r="D25">
        <v>-2669.62</v>
      </c>
      <c r="E25">
        <v>1869.1</v>
      </c>
      <c r="F25">
        <v>5932.73</v>
      </c>
      <c r="G25">
        <v>-26686.25</v>
      </c>
      <c r="H25">
        <v>101.71</v>
      </c>
      <c r="I25">
        <v>-11117.83</v>
      </c>
      <c r="J25">
        <v>2424.0500000000002</v>
      </c>
      <c r="K25">
        <v>6327.59</v>
      </c>
    </row>
    <row r="26" spans="1:11" s="38" customFormat="1" x14ac:dyDescent="0.25">
      <c r="A26" s="38" t="s">
        <v>83</v>
      </c>
      <c r="B26">
        <v>11078.16</v>
      </c>
      <c r="C26">
        <v>13388.63</v>
      </c>
      <c r="D26">
        <v>16710.78</v>
      </c>
      <c r="E26">
        <v>17904.990000000002</v>
      </c>
      <c r="F26">
        <v>21553.59</v>
      </c>
      <c r="G26">
        <v>23590.63</v>
      </c>
      <c r="H26">
        <v>21425.43</v>
      </c>
      <c r="I26">
        <v>23546.71</v>
      </c>
      <c r="J26">
        <v>24835.69</v>
      </c>
      <c r="K26">
        <v>24860.36</v>
      </c>
    </row>
    <row r="27" spans="1:11" s="38" customFormat="1" x14ac:dyDescent="0.25">
      <c r="A27" s="38" t="s">
        <v>25</v>
      </c>
      <c r="B27">
        <v>4749.4399999999996</v>
      </c>
      <c r="C27">
        <v>4861.49</v>
      </c>
      <c r="D27">
        <v>4889.08</v>
      </c>
      <c r="E27">
        <v>4238.01</v>
      </c>
      <c r="F27">
        <v>4681.79</v>
      </c>
      <c r="G27">
        <v>5758.6</v>
      </c>
      <c r="H27">
        <v>7243.33</v>
      </c>
      <c r="I27">
        <v>8097.17</v>
      </c>
      <c r="J27">
        <v>9311.86</v>
      </c>
      <c r="K27">
        <v>10225.48</v>
      </c>
    </row>
    <row r="28" spans="1:11" s="38" customFormat="1" x14ac:dyDescent="0.25">
      <c r="A28" s="38" t="s">
        <v>84</v>
      </c>
      <c r="B28">
        <v>18868.97</v>
      </c>
      <c r="C28">
        <v>21702.560000000001</v>
      </c>
      <c r="D28">
        <v>14125.77</v>
      </c>
      <c r="E28">
        <v>9314.7900000000009</v>
      </c>
      <c r="F28">
        <v>11155.03</v>
      </c>
      <c r="G28">
        <v>-31371.15</v>
      </c>
      <c r="H28">
        <v>-10579.98</v>
      </c>
      <c r="I28">
        <v>-10474.280000000001</v>
      </c>
      <c r="J28">
        <v>-7003.41</v>
      </c>
      <c r="K28">
        <v>3057.55</v>
      </c>
    </row>
    <row r="29" spans="1:11" s="38" customFormat="1" x14ac:dyDescent="0.25">
      <c r="A29" s="38" t="s">
        <v>85</v>
      </c>
      <c r="B29">
        <v>4764.79</v>
      </c>
      <c r="C29">
        <v>7642.91</v>
      </c>
      <c r="D29">
        <v>3025.05</v>
      </c>
      <c r="E29">
        <v>3251.23</v>
      </c>
      <c r="F29">
        <v>4341.93</v>
      </c>
      <c r="G29">
        <v>-2437.4499999999998</v>
      </c>
      <c r="H29">
        <v>395.25</v>
      </c>
      <c r="I29">
        <v>2541.86</v>
      </c>
      <c r="J29">
        <v>4231.29</v>
      </c>
      <c r="K29">
        <v>704.06</v>
      </c>
    </row>
    <row r="30" spans="1:11" s="38" customFormat="1" x14ac:dyDescent="0.25">
      <c r="A30" s="38" t="s">
        <v>86</v>
      </c>
      <c r="B30">
        <v>13991.02</v>
      </c>
      <c r="C30">
        <v>13986.29</v>
      </c>
      <c r="D30">
        <v>11579.31</v>
      </c>
      <c r="E30">
        <v>7454.36</v>
      </c>
      <c r="F30">
        <v>8988.91</v>
      </c>
      <c r="G30">
        <v>-28826.23</v>
      </c>
      <c r="H30">
        <v>-12070.85</v>
      </c>
      <c r="I30">
        <v>-13451.39</v>
      </c>
      <c r="J30">
        <v>-11441.47</v>
      </c>
      <c r="K30">
        <v>2414.29</v>
      </c>
    </row>
    <row r="31" spans="1:11" s="38" customFormat="1" x14ac:dyDescent="0.25">
      <c r="A31" s="38" t="s">
        <v>87</v>
      </c>
      <c r="B31">
        <v>643.78</v>
      </c>
      <c r="D31">
        <v>67.92</v>
      </c>
      <c r="K31">
        <v>766.02</v>
      </c>
    </row>
    <row r="32" spans="1:11" s="38" customFormat="1" x14ac:dyDescent="0.25">
      <c r="A32" s="55" t="s">
        <v>120</v>
      </c>
      <c r="B32" s="38">
        <f>B26+B27+B29+B30</f>
        <v>34583.410000000003</v>
      </c>
      <c r="C32" s="38">
        <f>C26+C27+C29+C30</f>
        <v>39879.32</v>
      </c>
      <c r="D32" s="38">
        <f t="shared" ref="D32:K32" si="0">D26+D27+D29+D30</f>
        <v>36204.22</v>
      </c>
      <c r="E32" s="38">
        <f t="shared" si="0"/>
        <v>32848.589999999997</v>
      </c>
      <c r="F32" s="38">
        <f t="shared" si="0"/>
        <v>39566.22</v>
      </c>
      <c r="G32" s="38">
        <f t="shared" si="0"/>
        <v>-1914.4499999999971</v>
      </c>
      <c r="H32" s="38">
        <f t="shared" si="0"/>
        <v>16993.160000000003</v>
      </c>
      <c r="I32" s="38">
        <f t="shared" si="0"/>
        <v>20734.349999999999</v>
      </c>
      <c r="J32" s="38">
        <f t="shared" si="0"/>
        <v>26937.370000000003</v>
      </c>
      <c r="K32" s="38">
        <f t="shared" si="0"/>
        <v>38204.189999999995</v>
      </c>
    </row>
    <row r="33" spans="1:11" x14ac:dyDescent="0.25">
      <c r="A33" s="38"/>
    </row>
    <row r="34" spans="1:11" x14ac:dyDescent="0.25">
      <c r="A34" s="38"/>
    </row>
    <row r="35" spans="1:11" x14ac:dyDescent="0.25">
      <c r="A35" s="38"/>
    </row>
    <row r="36" spans="1:11" x14ac:dyDescent="0.25">
      <c r="A36" s="38"/>
    </row>
    <row r="37" spans="1:11" x14ac:dyDescent="0.25">
      <c r="A37" s="38"/>
    </row>
    <row r="38" spans="1:11" x14ac:dyDescent="0.25">
      <c r="A38" s="38"/>
    </row>
    <row r="39" spans="1:11" x14ac:dyDescent="0.25">
      <c r="A39" s="38"/>
    </row>
    <row r="40" spans="1:11" x14ac:dyDescent="0.25">
      <c r="A40" s="33" t="s">
        <v>88</v>
      </c>
    </row>
    <row r="41" spans="1:11" s="37" customFormat="1" x14ac:dyDescent="0.25">
      <c r="A41" s="35" t="s">
        <v>73</v>
      </c>
      <c r="B41" s="36">
        <v>44377</v>
      </c>
      <c r="C41" s="36">
        <v>44469</v>
      </c>
      <c r="D41" s="36">
        <v>44561</v>
      </c>
      <c r="E41" s="36">
        <v>44651</v>
      </c>
      <c r="F41" s="36">
        <v>44742</v>
      </c>
      <c r="G41" s="36">
        <v>44834</v>
      </c>
      <c r="H41" s="36">
        <v>44926</v>
      </c>
      <c r="I41" s="36">
        <v>45016</v>
      </c>
      <c r="J41" s="36">
        <v>45107</v>
      </c>
      <c r="K41" s="36">
        <v>45199</v>
      </c>
    </row>
    <row r="42" spans="1:11" s="38" customFormat="1" x14ac:dyDescent="0.25">
      <c r="A42" s="38" t="s">
        <v>74</v>
      </c>
      <c r="B42">
        <v>66406.45</v>
      </c>
      <c r="C42">
        <v>61378.82</v>
      </c>
      <c r="D42">
        <v>72229.289999999994</v>
      </c>
      <c r="E42">
        <v>78439.06</v>
      </c>
      <c r="F42">
        <v>71934.66</v>
      </c>
      <c r="G42">
        <v>79611.37</v>
      </c>
      <c r="H42">
        <v>88488.59</v>
      </c>
      <c r="I42">
        <v>105932.35</v>
      </c>
      <c r="J42">
        <v>102236.08</v>
      </c>
      <c r="K42">
        <v>105128.24</v>
      </c>
    </row>
    <row r="43" spans="1:11" s="38" customFormat="1" x14ac:dyDescent="0.25">
      <c r="A43" s="38" t="s">
        <v>89</v>
      </c>
      <c r="B43">
        <v>61163.78</v>
      </c>
      <c r="C43">
        <v>57262.21</v>
      </c>
      <c r="D43">
        <v>65151.27</v>
      </c>
      <c r="E43">
        <v>70156.27</v>
      </c>
      <c r="F43">
        <v>69521.929999999993</v>
      </c>
      <c r="G43">
        <v>74039.06</v>
      </c>
      <c r="H43">
        <v>77668.350000000006</v>
      </c>
      <c r="I43">
        <v>92817.95</v>
      </c>
      <c r="J43">
        <v>89018.36</v>
      </c>
      <c r="K43">
        <v>91361.3</v>
      </c>
    </row>
    <row r="44" spans="1:11" s="38" customFormat="1" x14ac:dyDescent="0.25">
      <c r="A44" s="38" t="s">
        <v>82</v>
      </c>
      <c r="B44">
        <v>584.12</v>
      </c>
      <c r="C44">
        <v>862.46</v>
      </c>
      <c r="D44">
        <v>788.73</v>
      </c>
      <c r="E44">
        <v>188.74</v>
      </c>
      <c r="F44">
        <v>2380.98</v>
      </c>
      <c r="G44">
        <v>1351.14</v>
      </c>
      <c r="H44">
        <v>1129.98</v>
      </c>
      <c r="I44">
        <v>1361.61</v>
      </c>
      <c r="J44">
        <v>683.56</v>
      </c>
      <c r="K44">
        <v>1507.05</v>
      </c>
    </row>
    <row r="45" spans="1:11" s="38" customFormat="1" x14ac:dyDescent="0.25">
      <c r="A45" s="38" t="s">
        <v>83</v>
      </c>
      <c r="B45">
        <v>6202.13</v>
      </c>
      <c r="C45">
        <v>6123.32</v>
      </c>
      <c r="D45">
        <v>6078.13</v>
      </c>
      <c r="E45">
        <v>6432.11</v>
      </c>
      <c r="F45">
        <v>5841.04</v>
      </c>
      <c r="G45">
        <v>5897.34</v>
      </c>
      <c r="H45">
        <v>6071.78</v>
      </c>
      <c r="I45">
        <v>7050.2</v>
      </c>
      <c r="J45">
        <v>6633.18</v>
      </c>
      <c r="K45">
        <v>6636.42</v>
      </c>
    </row>
    <row r="46" spans="1:11" s="38" customFormat="1" x14ac:dyDescent="0.25">
      <c r="A46" s="38" t="s">
        <v>25</v>
      </c>
      <c r="B46">
        <v>2203.3000000000002</v>
      </c>
      <c r="C46">
        <v>2327.3000000000002</v>
      </c>
      <c r="D46">
        <v>2400.7399999999998</v>
      </c>
      <c r="E46">
        <v>2380.52</v>
      </c>
      <c r="F46">
        <v>2420.7199999999998</v>
      </c>
      <c r="G46">
        <v>2487.2600000000002</v>
      </c>
      <c r="H46">
        <v>2675.83</v>
      </c>
      <c r="I46">
        <v>2641.67</v>
      </c>
      <c r="J46">
        <v>2615.39</v>
      </c>
      <c r="K46">
        <v>2651.69</v>
      </c>
    </row>
    <row r="47" spans="1:11" s="38" customFormat="1" x14ac:dyDescent="0.25">
      <c r="A47" s="38" t="s">
        <v>84</v>
      </c>
      <c r="B47">
        <v>-2578.64</v>
      </c>
      <c r="C47">
        <v>-3471.55</v>
      </c>
      <c r="D47">
        <v>-612.12</v>
      </c>
      <c r="E47">
        <v>-341.1</v>
      </c>
      <c r="F47">
        <v>-3468.05</v>
      </c>
      <c r="G47">
        <v>-1461.15</v>
      </c>
      <c r="H47">
        <v>3202.61</v>
      </c>
      <c r="I47">
        <v>4784.1400000000003</v>
      </c>
      <c r="J47">
        <v>4652.71</v>
      </c>
      <c r="K47">
        <v>5985.88</v>
      </c>
    </row>
    <row r="48" spans="1:11" s="38" customFormat="1" x14ac:dyDescent="0.25">
      <c r="A48" s="38" t="s">
        <v>85</v>
      </c>
      <c r="B48">
        <v>1741.96</v>
      </c>
      <c r="C48">
        <v>1005.06</v>
      </c>
      <c r="D48">
        <v>726.05</v>
      </c>
      <c r="E48">
        <v>758.22</v>
      </c>
      <c r="F48">
        <v>1518.96</v>
      </c>
      <c r="G48">
        <v>-457.08</v>
      </c>
      <c r="H48">
        <v>262.83</v>
      </c>
      <c r="I48">
        <v>-620.65</v>
      </c>
      <c r="J48">
        <v>1563.01</v>
      </c>
      <c r="K48">
        <v>2202.84</v>
      </c>
    </row>
    <row r="49" spans="1:11" s="38" customFormat="1" x14ac:dyDescent="0.25">
      <c r="A49" s="38" t="s">
        <v>86</v>
      </c>
      <c r="B49">
        <v>-4450.92</v>
      </c>
      <c r="C49">
        <v>-4441.57</v>
      </c>
      <c r="D49">
        <v>-1516.14</v>
      </c>
      <c r="E49">
        <v>-1032.8399999999999</v>
      </c>
      <c r="F49">
        <v>-5006.6000000000004</v>
      </c>
      <c r="G49">
        <v>-944.61</v>
      </c>
      <c r="H49">
        <v>2957.71</v>
      </c>
      <c r="I49">
        <v>5407.79</v>
      </c>
      <c r="J49">
        <v>3202.8</v>
      </c>
      <c r="K49">
        <v>3764</v>
      </c>
    </row>
    <row r="50" spans="1:11" x14ac:dyDescent="0.25">
      <c r="A50" s="38" t="s">
        <v>90</v>
      </c>
      <c r="B50">
        <v>5242.67</v>
      </c>
      <c r="C50">
        <v>4116.6099999999997</v>
      </c>
      <c r="D50">
        <v>7078.02</v>
      </c>
      <c r="E50">
        <v>8282.7900000000009</v>
      </c>
      <c r="F50">
        <v>2412.73</v>
      </c>
      <c r="G50">
        <v>5572.31</v>
      </c>
      <c r="H50">
        <v>10820.24</v>
      </c>
      <c r="I50">
        <v>13114.4</v>
      </c>
      <c r="J50">
        <v>13217.72</v>
      </c>
      <c r="K50">
        <v>13766.94</v>
      </c>
    </row>
    <row r="51" spans="1:11" x14ac:dyDescent="0.25">
      <c r="A51" s="38"/>
    </row>
    <row r="52" spans="1:11" x14ac:dyDescent="0.25">
      <c r="A52" s="38"/>
    </row>
    <row r="53" spans="1:11" x14ac:dyDescent="0.25">
      <c r="A53" s="38"/>
    </row>
    <row r="54" spans="1:11" x14ac:dyDescent="0.25">
      <c r="A54" s="38"/>
    </row>
    <row r="55" spans="1:11" x14ac:dyDescent="0.25">
      <c r="A55" s="33" t="s">
        <v>91</v>
      </c>
    </row>
    <row r="56" spans="1:11" s="37" customFormat="1" x14ac:dyDescent="0.25">
      <c r="A56" s="35" t="s">
        <v>73</v>
      </c>
      <c r="B56" s="36">
        <v>41729</v>
      </c>
      <c r="C56" s="36">
        <v>42094</v>
      </c>
      <c r="D56" s="36">
        <v>42460</v>
      </c>
      <c r="E56" s="36">
        <v>42825</v>
      </c>
      <c r="F56" s="36">
        <v>43190</v>
      </c>
      <c r="G56" s="36">
        <v>43555</v>
      </c>
      <c r="H56" s="36">
        <v>43921</v>
      </c>
      <c r="I56" s="36">
        <v>44286</v>
      </c>
      <c r="J56" s="36">
        <v>44651</v>
      </c>
      <c r="K56" s="36">
        <v>45016</v>
      </c>
    </row>
    <row r="57" spans="1:11" x14ac:dyDescent="0.25">
      <c r="A57" s="38" t="s">
        <v>92</v>
      </c>
      <c r="B57">
        <v>643.78</v>
      </c>
      <c r="C57">
        <v>643.78</v>
      </c>
      <c r="D57">
        <v>679.18</v>
      </c>
      <c r="E57">
        <v>679.22</v>
      </c>
      <c r="F57">
        <v>679.22</v>
      </c>
      <c r="G57">
        <v>679.22</v>
      </c>
      <c r="H57">
        <v>719.54</v>
      </c>
      <c r="I57">
        <v>765.81</v>
      </c>
      <c r="J57">
        <v>765.88</v>
      </c>
      <c r="K57">
        <v>766.02</v>
      </c>
    </row>
    <row r="58" spans="1:11" x14ac:dyDescent="0.25">
      <c r="A58" s="38" t="s">
        <v>93</v>
      </c>
      <c r="B58">
        <v>64959.67</v>
      </c>
      <c r="C58">
        <v>55618.14</v>
      </c>
      <c r="D58">
        <v>78273.23</v>
      </c>
      <c r="E58">
        <v>57382.67</v>
      </c>
      <c r="F58">
        <v>94748.69</v>
      </c>
      <c r="G58">
        <v>59500.34</v>
      </c>
      <c r="H58">
        <v>61491.49</v>
      </c>
      <c r="I58">
        <v>54480.91</v>
      </c>
      <c r="J58">
        <v>43795.360000000001</v>
      </c>
      <c r="K58">
        <v>44555.77</v>
      </c>
    </row>
    <row r="59" spans="1:11" x14ac:dyDescent="0.25">
      <c r="A59" s="38" t="s">
        <v>94</v>
      </c>
      <c r="B59">
        <v>60642.28</v>
      </c>
      <c r="C59">
        <v>73610.39</v>
      </c>
      <c r="D59">
        <v>69359.960000000006</v>
      </c>
      <c r="E59">
        <v>78603.98</v>
      </c>
      <c r="F59">
        <v>88950.47</v>
      </c>
      <c r="G59">
        <v>106175.34</v>
      </c>
      <c r="H59">
        <v>124787.64</v>
      </c>
      <c r="I59">
        <v>142130.57</v>
      </c>
      <c r="J59">
        <v>146449.03</v>
      </c>
      <c r="K59">
        <v>134113.44</v>
      </c>
    </row>
    <row r="60" spans="1:11" x14ac:dyDescent="0.25">
      <c r="A60" s="38" t="s">
        <v>95</v>
      </c>
      <c r="B60">
        <v>92180.26</v>
      </c>
      <c r="C60">
        <v>107442.48</v>
      </c>
      <c r="D60">
        <v>114871.75</v>
      </c>
      <c r="E60">
        <v>135914.49</v>
      </c>
      <c r="F60">
        <v>142813.43</v>
      </c>
      <c r="G60">
        <v>139348.59</v>
      </c>
      <c r="H60">
        <v>133180.72</v>
      </c>
      <c r="I60">
        <v>144192.62</v>
      </c>
      <c r="J60">
        <v>138051.22</v>
      </c>
      <c r="K60">
        <v>155239.20000000001</v>
      </c>
    </row>
    <row r="61" spans="1:11" s="33" customFormat="1" x14ac:dyDescent="0.25">
      <c r="A61" s="33" t="s">
        <v>28</v>
      </c>
      <c r="B61">
        <v>218425.99</v>
      </c>
      <c r="C61">
        <v>237314.79</v>
      </c>
      <c r="D61">
        <v>263184.12</v>
      </c>
      <c r="E61">
        <v>272580.36</v>
      </c>
      <c r="F61">
        <v>327191.81</v>
      </c>
      <c r="G61">
        <v>305703.49</v>
      </c>
      <c r="H61">
        <v>320179.39</v>
      </c>
      <c r="I61">
        <v>341569.91</v>
      </c>
      <c r="J61">
        <v>329061.49</v>
      </c>
      <c r="K61">
        <v>334674.43</v>
      </c>
    </row>
    <row r="62" spans="1:11" x14ac:dyDescent="0.25">
      <c r="A62" s="38" t="s">
        <v>96</v>
      </c>
      <c r="B62">
        <v>69091.67</v>
      </c>
      <c r="C62">
        <v>88479.49</v>
      </c>
      <c r="D62">
        <v>107231.76</v>
      </c>
      <c r="E62">
        <v>95944.08</v>
      </c>
      <c r="F62">
        <v>121413.86</v>
      </c>
      <c r="G62">
        <v>111234.47</v>
      </c>
      <c r="H62">
        <v>127107.14</v>
      </c>
      <c r="I62">
        <v>138707.60999999999</v>
      </c>
      <c r="J62">
        <v>138855.45000000001</v>
      </c>
      <c r="K62">
        <v>132079.76</v>
      </c>
    </row>
    <row r="63" spans="1:11" x14ac:dyDescent="0.25">
      <c r="A63" s="38" t="s">
        <v>97</v>
      </c>
      <c r="B63">
        <v>33262.559999999998</v>
      </c>
      <c r="C63">
        <v>28640.09</v>
      </c>
      <c r="D63">
        <v>25918.94</v>
      </c>
      <c r="E63">
        <v>33698.839999999997</v>
      </c>
      <c r="F63">
        <v>40033.5</v>
      </c>
      <c r="G63">
        <v>31883.84</v>
      </c>
      <c r="H63">
        <v>35622.29</v>
      </c>
      <c r="I63">
        <v>20963.93</v>
      </c>
      <c r="J63">
        <v>10251.09</v>
      </c>
      <c r="K63">
        <v>14274.5</v>
      </c>
    </row>
    <row r="64" spans="1:11" x14ac:dyDescent="0.25">
      <c r="A64" s="38" t="s">
        <v>98</v>
      </c>
      <c r="B64">
        <v>10686.67</v>
      </c>
      <c r="C64">
        <v>15336.74</v>
      </c>
      <c r="D64">
        <v>23767.02</v>
      </c>
      <c r="E64">
        <v>20337.919999999998</v>
      </c>
      <c r="F64">
        <v>20812.75</v>
      </c>
      <c r="G64">
        <v>15770.72</v>
      </c>
      <c r="H64">
        <v>16308.48</v>
      </c>
      <c r="I64">
        <v>24620.28</v>
      </c>
      <c r="J64">
        <v>29379.53</v>
      </c>
      <c r="K64">
        <v>26379.16</v>
      </c>
    </row>
    <row r="65" spans="1:11" x14ac:dyDescent="0.25">
      <c r="A65" s="38" t="s">
        <v>99</v>
      </c>
      <c r="B65">
        <v>105385.09</v>
      </c>
      <c r="C65">
        <v>104858.47</v>
      </c>
      <c r="D65">
        <v>106266.4</v>
      </c>
      <c r="E65">
        <v>122599.52</v>
      </c>
      <c r="F65">
        <v>144931.70000000001</v>
      </c>
      <c r="G65">
        <v>146814.46</v>
      </c>
      <c r="H65">
        <v>141141.48000000001</v>
      </c>
      <c r="I65">
        <v>157278.09</v>
      </c>
      <c r="J65">
        <v>150575.42000000001</v>
      </c>
      <c r="K65">
        <v>161941.01</v>
      </c>
    </row>
    <row r="66" spans="1:11" s="33" customFormat="1" x14ac:dyDescent="0.25">
      <c r="A66" s="33" t="s">
        <v>28</v>
      </c>
      <c r="B66">
        <v>218425.99</v>
      </c>
      <c r="C66">
        <v>237314.79</v>
      </c>
      <c r="D66">
        <v>263184.12</v>
      </c>
      <c r="E66">
        <v>272580.36</v>
      </c>
      <c r="F66">
        <v>327191.81</v>
      </c>
      <c r="G66">
        <v>305703.49</v>
      </c>
      <c r="H66">
        <v>320179.39</v>
      </c>
      <c r="I66">
        <v>341569.91</v>
      </c>
      <c r="J66">
        <v>329061.49</v>
      </c>
      <c r="K66">
        <v>334674.43</v>
      </c>
    </row>
    <row r="67" spans="1:11" s="38" customFormat="1" x14ac:dyDescent="0.25">
      <c r="A67" s="38" t="s">
        <v>100</v>
      </c>
      <c r="B67">
        <v>10574.23</v>
      </c>
      <c r="C67">
        <v>12579.2</v>
      </c>
      <c r="D67">
        <v>13570.91</v>
      </c>
      <c r="E67">
        <v>14075.55</v>
      </c>
      <c r="F67">
        <v>19893.3</v>
      </c>
      <c r="G67">
        <v>18996.169999999998</v>
      </c>
      <c r="H67">
        <v>11172.69</v>
      </c>
      <c r="I67">
        <v>12679.08</v>
      </c>
      <c r="J67">
        <v>12442.12</v>
      </c>
      <c r="K67">
        <v>15737.97</v>
      </c>
    </row>
    <row r="68" spans="1:11" x14ac:dyDescent="0.25">
      <c r="A68" s="38" t="s">
        <v>101</v>
      </c>
      <c r="B68">
        <v>27270.89</v>
      </c>
      <c r="C68">
        <v>29272.34</v>
      </c>
      <c r="D68">
        <v>32655.73</v>
      </c>
      <c r="E68">
        <v>35085.31</v>
      </c>
      <c r="F68">
        <v>42137.63</v>
      </c>
      <c r="G68">
        <v>39013.730000000003</v>
      </c>
      <c r="H68">
        <v>37456.879999999997</v>
      </c>
      <c r="I68">
        <v>36088.589999999997</v>
      </c>
      <c r="J68">
        <v>35240.339999999997</v>
      </c>
      <c r="K68">
        <v>40755.39</v>
      </c>
    </row>
    <row r="69" spans="1:11" x14ac:dyDescent="0.25">
      <c r="A69" s="34" t="s">
        <v>102</v>
      </c>
      <c r="B69">
        <v>29711.79</v>
      </c>
      <c r="C69">
        <v>32115.759999999998</v>
      </c>
      <c r="D69">
        <v>30460.400000000001</v>
      </c>
      <c r="E69">
        <v>36077.879999999997</v>
      </c>
      <c r="F69">
        <v>34613.910000000003</v>
      </c>
      <c r="G69">
        <v>32648.82</v>
      </c>
      <c r="H69">
        <v>33726.97</v>
      </c>
      <c r="I69">
        <v>46792.46</v>
      </c>
      <c r="J69">
        <v>40669.19</v>
      </c>
      <c r="K69">
        <v>37015.56</v>
      </c>
    </row>
    <row r="70" spans="1:11" x14ac:dyDescent="0.25">
      <c r="A70" s="34" t="s">
        <v>103</v>
      </c>
      <c r="B70">
        <v>3218930000</v>
      </c>
      <c r="C70">
        <v>3218930067</v>
      </c>
      <c r="D70">
        <v>3395930306</v>
      </c>
      <c r="E70">
        <v>3396100719</v>
      </c>
      <c r="F70">
        <v>3396100719</v>
      </c>
      <c r="G70">
        <v>3396100719</v>
      </c>
      <c r="H70">
        <v>3597726185</v>
      </c>
      <c r="I70">
        <v>3829060661</v>
      </c>
      <c r="J70">
        <v>3829414903</v>
      </c>
      <c r="K70">
        <v>3830097221</v>
      </c>
    </row>
    <row r="71" spans="1:11" x14ac:dyDescent="0.25">
      <c r="A71" s="34" t="s">
        <v>104</v>
      </c>
    </row>
    <row r="72" spans="1:11" x14ac:dyDescent="0.25">
      <c r="A72" s="34" t="s">
        <v>105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25">
      <c r="A74" s="38"/>
    </row>
    <row r="75" spans="1:11" x14ac:dyDescent="0.25">
      <c r="A75" s="38"/>
    </row>
    <row r="76" spans="1:11" x14ac:dyDescent="0.25">
      <c r="A76" s="38"/>
    </row>
    <row r="77" spans="1:11" x14ac:dyDescent="0.25">
      <c r="A77" s="38"/>
    </row>
    <row r="78" spans="1:11" x14ac:dyDescent="0.25">
      <c r="A78" s="38"/>
    </row>
    <row r="79" spans="1:11" x14ac:dyDescent="0.25">
      <c r="A79" s="38"/>
    </row>
    <row r="80" spans="1:11" x14ac:dyDescent="0.25">
      <c r="A80" s="33" t="s">
        <v>106</v>
      </c>
    </row>
    <row r="81" spans="1:11" s="37" customFormat="1" x14ac:dyDescent="0.25">
      <c r="A81" s="35" t="s">
        <v>73</v>
      </c>
      <c r="B81" s="36">
        <v>41729</v>
      </c>
      <c r="C81" s="36">
        <v>42094</v>
      </c>
      <c r="D81" s="36">
        <v>42460</v>
      </c>
      <c r="E81" s="36">
        <v>42825</v>
      </c>
      <c r="F81" s="36">
        <v>43190</v>
      </c>
      <c r="G81" s="36">
        <v>43555</v>
      </c>
      <c r="H81" s="36">
        <v>43921</v>
      </c>
      <c r="I81" s="36">
        <v>44286</v>
      </c>
      <c r="J81" s="36">
        <v>44651</v>
      </c>
      <c r="K81" s="36">
        <v>45016</v>
      </c>
    </row>
    <row r="82" spans="1:11" s="33" customFormat="1" x14ac:dyDescent="0.25">
      <c r="A82" s="38" t="s">
        <v>107</v>
      </c>
      <c r="B82">
        <v>36151.160000000003</v>
      </c>
      <c r="C82">
        <v>35531.26</v>
      </c>
      <c r="D82">
        <v>37899.54</v>
      </c>
      <c r="E82">
        <v>30199.25</v>
      </c>
      <c r="F82">
        <v>23857.42</v>
      </c>
      <c r="G82">
        <v>18890.75</v>
      </c>
      <c r="H82">
        <v>26632.94</v>
      </c>
      <c r="I82">
        <v>29000.51</v>
      </c>
      <c r="J82">
        <v>14282.83</v>
      </c>
      <c r="K82">
        <v>35388.01</v>
      </c>
    </row>
    <row r="83" spans="1:11" s="38" customFormat="1" x14ac:dyDescent="0.25">
      <c r="A83" s="38" t="s">
        <v>108</v>
      </c>
      <c r="B83">
        <v>-27990.91</v>
      </c>
      <c r="C83">
        <v>-36232.35</v>
      </c>
      <c r="D83">
        <v>-36693.9</v>
      </c>
      <c r="E83">
        <v>-39571.4</v>
      </c>
      <c r="F83">
        <v>-25139.14</v>
      </c>
      <c r="G83">
        <v>-20878.07</v>
      </c>
      <c r="H83">
        <v>-33114.550000000003</v>
      </c>
      <c r="I83">
        <v>-25672.5</v>
      </c>
      <c r="J83">
        <v>-4443.66</v>
      </c>
      <c r="K83">
        <v>-15417.17</v>
      </c>
    </row>
    <row r="84" spans="1:11" s="38" customFormat="1" x14ac:dyDescent="0.25">
      <c r="A84" s="38" t="s">
        <v>109</v>
      </c>
      <c r="B84">
        <v>-3883.24</v>
      </c>
      <c r="C84">
        <v>5201.4399999999996</v>
      </c>
      <c r="D84">
        <v>-3795.12</v>
      </c>
      <c r="E84">
        <v>6205.3</v>
      </c>
      <c r="F84">
        <v>2011.71</v>
      </c>
      <c r="G84">
        <v>8830.3700000000008</v>
      </c>
      <c r="H84">
        <v>3389.61</v>
      </c>
      <c r="I84">
        <v>9904.2000000000007</v>
      </c>
      <c r="J84">
        <v>-3380.17</v>
      </c>
      <c r="K84">
        <v>-26242.9</v>
      </c>
    </row>
    <row r="85" spans="1:11" s="33" customFormat="1" x14ac:dyDescent="0.25">
      <c r="A85" s="38" t="s">
        <v>110</v>
      </c>
      <c r="B85">
        <v>4277.01</v>
      </c>
      <c r="C85">
        <v>4500.3500000000004</v>
      </c>
      <c r="D85">
        <v>-2589.48</v>
      </c>
      <c r="E85">
        <v>-3166.85</v>
      </c>
      <c r="F85">
        <v>729.99</v>
      </c>
      <c r="G85">
        <v>6843.05</v>
      </c>
      <c r="H85">
        <v>-3092</v>
      </c>
      <c r="I85">
        <v>13232.21</v>
      </c>
      <c r="J85">
        <v>6459</v>
      </c>
      <c r="K85">
        <v>-6272.06</v>
      </c>
    </row>
    <row r="86" spans="1:11" x14ac:dyDescent="0.25">
      <c r="A86" s="38"/>
    </row>
    <row r="87" spans="1:11" x14ac:dyDescent="0.25">
      <c r="A87" s="38"/>
    </row>
    <row r="88" spans="1:11" x14ac:dyDescent="0.25">
      <c r="A88" s="38"/>
    </row>
    <row r="89" spans="1:11" x14ac:dyDescent="0.25">
      <c r="A89" s="38"/>
    </row>
    <row r="90" spans="1:11" s="33" customFormat="1" x14ac:dyDescent="0.25">
      <c r="A90" s="33" t="s">
        <v>111</v>
      </c>
      <c r="B90">
        <v>394.42</v>
      </c>
      <c r="C90">
        <v>544.37</v>
      </c>
      <c r="D90">
        <v>386.6</v>
      </c>
      <c r="E90">
        <v>465.85</v>
      </c>
      <c r="F90">
        <v>326.85000000000002</v>
      </c>
      <c r="G90">
        <v>174.25</v>
      </c>
      <c r="H90">
        <v>71.05</v>
      </c>
      <c r="I90">
        <v>301.8</v>
      </c>
      <c r="J90">
        <v>433.75</v>
      </c>
      <c r="K90">
        <v>420.8</v>
      </c>
    </row>
    <row r="92" spans="1:11" s="33" customFormat="1" x14ac:dyDescent="0.25">
      <c r="A92" s="33" t="s">
        <v>112</v>
      </c>
    </row>
    <row r="93" spans="1:11" x14ac:dyDescent="0.25">
      <c r="A93" s="34" t="s">
        <v>113</v>
      </c>
      <c r="B93" s="39">
        <v>288.74</v>
      </c>
      <c r="C93" s="39">
        <v>288.74</v>
      </c>
      <c r="D93" s="39">
        <v>288.72000000000003</v>
      </c>
      <c r="E93" s="39">
        <v>288.73</v>
      </c>
      <c r="F93" s="39">
        <v>288.73</v>
      </c>
      <c r="G93" s="39">
        <v>288.73</v>
      </c>
      <c r="H93" s="39">
        <v>308.89999999999998</v>
      </c>
      <c r="I93" s="39">
        <v>332.03</v>
      </c>
      <c r="J93" s="39">
        <v>332.07</v>
      </c>
      <c r="K93" s="39">
        <v>332.13</v>
      </c>
    </row>
  </sheetData>
  <mergeCells count="2">
    <mergeCell ref="E1:K1"/>
    <mergeCell ref="E2:K2"/>
  </mergeCells>
  <conditionalFormatting sqref="E1:K1">
    <cfRule type="cellIs" dxfId="3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O11" sqref="O11"/>
    </sheetView>
  </sheetViews>
  <sheetFormatPr defaultRowHeight="15" x14ac:dyDescent="0.25"/>
  <cols>
    <col min="2" max="2" width="32.42578125" customWidth="1"/>
  </cols>
  <sheetData>
    <row r="1" spans="2:14" x14ac:dyDescent="0.25">
      <c r="B1" s="40"/>
      <c r="C1" s="40">
        <v>40969</v>
      </c>
      <c r="D1" s="40">
        <v>41334</v>
      </c>
      <c r="E1" s="40">
        <v>41699</v>
      </c>
      <c r="F1" s="40">
        <v>42064</v>
      </c>
      <c r="G1" s="40">
        <v>42430</v>
      </c>
      <c r="H1" s="40">
        <v>42795</v>
      </c>
      <c r="I1" s="40">
        <v>43160</v>
      </c>
      <c r="J1" s="40">
        <v>43525</v>
      </c>
      <c r="K1" s="40">
        <v>43891</v>
      </c>
      <c r="L1" s="40">
        <v>44256</v>
      </c>
      <c r="M1" s="40">
        <v>44621</v>
      </c>
      <c r="N1" s="40">
        <v>44986</v>
      </c>
    </row>
    <row r="2" spans="2:14" x14ac:dyDescent="0.25">
      <c r="B2" t="s">
        <v>141</v>
      </c>
      <c r="C2" s="19">
        <v>18384</v>
      </c>
      <c r="D2" s="19">
        <v>22163</v>
      </c>
      <c r="E2" s="19">
        <v>36151</v>
      </c>
      <c r="F2" s="19">
        <v>35531</v>
      </c>
      <c r="G2" s="19">
        <v>37900</v>
      </c>
      <c r="H2" s="19">
        <v>30199</v>
      </c>
      <c r="I2" s="19">
        <v>23857</v>
      </c>
      <c r="J2" s="19">
        <v>18891</v>
      </c>
      <c r="K2" s="19">
        <v>26633</v>
      </c>
      <c r="L2" s="19">
        <v>29001</v>
      </c>
      <c r="M2" s="19">
        <v>14283</v>
      </c>
      <c r="N2" s="19">
        <v>35388</v>
      </c>
    </row>
    <row r="3" spans="2:14" x14ac:dyDescent="0.25">
      <c r="B3" t="s">
        <v>142</v>
      </c>
      <c r="C3" s="19">
        <v>22432</v>
      </c>
      <c r="D3" s="19">
        <v>24406</v>
      </c>
      <c r="E3" s="19">
        <v>36303</v>
      </c>
      <c r="F3" s="19">
        <v>43397</v>
      </c>
      <c r="G3" s="19">
        <v>38626</v>
      </c>
      <c r="H3" s="19">
        <v>28840</v>
      </c>
      <c r="I3" s="19">
        <v>33312</v>
      </c>
      <c r="J3" s="19">
        <v>28771</v>
      </c>
      <c r="K3" s="19">
        <v>23352</v>
      </c>
      <c r="L3" s="19">
        <v>31198</v>
      </c>
      <c r="M3" s="19">
        <v>26943</v>
      </c>
      <c r="N3" s="19">
        <v>41694</v>
      </c>
    </row>
    <row r="4" spans="2:14" x14ac:dyDescent="0.25">
      <c r="B4" t="s">
        <v>100</v>
      </c>
      <c r="C4" s="19">
        <v>-6659</v>
      </c>
      <c r="D4" s="19">
        <v>-5177</v>
      </c>
      <c r="E4">
        <v>445</v>
      </c>
      <c r="F4" s="19">
        <v>-3179</v>
      </c>
      <c r="G4" s="19">
        <v>-2223</v>
      </c>
      <c r="H4" s="19">
        <v>-4152</v>
      </c>
      <c r="I4" s="19">
        <v>-10688</v>
      </c>
      <c r="J4" s="19">
        <v>-9109</v>
      </c>
      <c r="K4" s="19">
        <v>9950</v>
      </c>
      <c r="L4" s="19">
        <v>-5505</v>
      </c>
      <c r="M4">
        <v>185</v>
      </c>
      <c r="N4" s="19">
        <v>-2213</v>
      </c>
    </row>
    <row r="5" spans="2:14" x14ac:dyDescent="0.25">
      <c r="B5" t="s">
        <v>101</v>
      </c>
      <c r="C5" s="19">
        <v>-2719</v>
      </c>
      <c r="D5" s="19">
        <v>-2656</v>
      </c>
      <c r="E5" s="19">
        <v>-2853</v>
      </c>
      <c r="F5" s="19">
        <v>-3692</v>
      </c>
      <c r="G5" s="19">
        <v>-5743</v>
      </c>
      <c r="H5" s="19">
        <v>-6621</v>
      </c>
      <c r="I5" s="19">
        <v>-3560</v>
      </c>
      <c r="J5" s="19">
        <v>2069</v>
      </c>
      <c r="K5" s="19">
        <v>2326</v>
      </c>
      <c r="L5" s="19">
        <v>3814</v>
      </c>
      <c r="M5">
        <v>472</v>
      </c>
      <c r="N5" s="19">
        <v>-5665</v>
      </c>
    </row>
    <row r="6" spans="2:14" x14ac:dyDescent="0.25">
      <c r="B6" t="s">
        <v>143</v>
      </c>
      <c r="C6" s="19">
        <v>5867</v>
      </c>
      <c r="D6" s="19">
        <v>8132</v>
      </c>
      <c r="E6" s="19">
        <v>4694</v>
      </c>
      <c r="F6" s="19">
        <v>3598</v>
      </c>
      <c r="G6" s="19">
        <v>3947</v>
      </c>
      <c r="H6" s="19">
        <v>9301</v>
      </c>
      <c r="I6" s="19">
        <v>7320</v>
      </c>
      <c r="J6" s="19">
        <v>-4692</v>
      </c>
      <c r="K6" s="19">
        <v>-8085</v>
      </c>
      <c r="L6" s="19">
        <v>5748</v>
      </c>
      <c r="M6" s="19">
        <v>-7012</v>
      </c>
      <c r="N6" s="19">
        <v>6945</v>
      </c>
    </row>
    <row r="7" spans="2:14" x14ac:dyDescent="0.25">
      <c r="B7" t="s">
        <v>144</v>
      </c>
      <c r="C7">
        <v>0</v>
      </c>
      <c r="D7">
        <v>0</v>
      </c>
      <c r="E7">
        <v>0</v>
      </c>
      <c r="F7">
        <v>0</v>
      </c>
      <c r="G7">
        <v>-520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 x14ac:dyDescent="0.25">
      <c r="B8" t="s">
        <v>145</v>
      </c>
      <c r="C8" s="19">
        <v>1231</v>
      </c>
      <c r="D8">
        <v>-303</v>
      </c>
      <c r="E8" s="19">
        <v>1870</v>
      </c>
      <c r="F8">
        <v>-398</v>
      </c>
      <c r="G8" s="19">
        <v>5852</v>
      </c>
      <c r="H8" s="19">
        <v>4727</v>
      </c>
      <c r="I8">
        <v>494</v>
      </c>
      <c r="J8" s="19">
        <v>4512</v>
      </c>
      <c r="K8">
        <v>875</v>
      </c>
      <c r="L8" s="19">
        <v>-4150</v>
      </c>
      <c r="M8" s="19">
        <v>-4396</v>
      </c>
      <c r="N8" s="19">
        <v>-2194</v>
      </c>
    </row>
    <row r="9" spans="2:14" x14ac:dyDescent="0.25">
      <c r="B9" t="s">
        <v>146</v>
      </c>
      <c r="C9" s="19">
        <v>-2280</v>
      </c>
      <c r="D9">
        <v>-3</v>
      </c>
      <c r="E9" s="19">
        <v>4157</v>
      </c>
      <c r="F9" s="19">
        <v>-3672</v>
      </c>
      <c r="G9" s="19">
        <v>1313</v>
      </c>
      <c r="H9" s="19">
        <v>3254</v>
      </c>
      <c r="I9" s="19">
        <v>-6434</v>
      </c>
      <c r="J9" s="19">
        <v>-7221</v>
      </c>
      <c r="K9" s="19">
        <v>5065</v>
      </c>
      <c r="L9">
        <v>-93</v>
      </c>
      <c r="M9" s="19">
        <v>-10750</v>
      </c>
      <c r="N9" s="19">
        <v>-3127</v>
      </c>
    </row>
    <row r="10" spans="2:14" x14ac:dyDescent="0.25">
      <c r="B10" t="s">
        <v>147</v>
      </c>
      <c r="C10" s="19">
        <v>-1768</v>
      </c>
      <c r="D10" s="19">
        <v>-2240</v>
      </c>
      <c r="E10" s="19">
        <v>-4308</v>
      </c>
      <c r="F10" s="19">
        <v>-4194</v>
      </c>
      <c r="G10" s="19">
        <v>-2040</v>
      </c>
      <c r="H10" s="19">
        <v>-1895</v>
      </c>
      <c r="I10" s="19">
        <v>-3021</v>
      </c>
      <c r="J10" s="19">
        <v>-2659</v>
      </c>
      <c r="K10" s="19">
        <v>-1785</v>
      </c>
      <c r="L10" s="19">
        <v>-2105</v>
      </c>
      <c r="M10" s="19">
        <v>-1910</v>
      </c>
      <c r="N10" s="19">
        <v>-3179</v>
      </c>
    </row>
    <row r="11" spans="2:14" x14ac:dyDescent="0.25">
      <c r="B11" t="s">
        <v>148</v>
      </c>
      <c r="C11" s="19">
        <v>-19464</v>
      </c>
      <c r="D11" s="19">
        <v>-22969</v>
      </c>
      <c r="E11" s="19">
        <v>-27991</v>
      </c>
      <c r="F11" s="19">
        <v>-36232</v>
      </c>
      <c r="G11" s="19">
        <v>-36694</v>
      </c>
      <c r="H11" s="19">
        <v>-39571</v>
      </c>
      <c r="I11" s="19">
        <v>-25139</v>
      </c>
      <c r="J11" s="19">
        <v>-20878</v>
      </c>
      <c r="K11" s="19">
        <v>-33115</v>
      </c>
      <c r="L11" s="19">
        <v>-25672</v>
      </c>
      <c r="M11" s="19">
        <v>-4444</v>
      </c>
      <c r="N11" s="19">
        <v>-15417</v>
      </c>
    </row>
    <row r="12" spans="2:14" x14ac:dyDescent="0.25">
      <c r="B12" t="s">
        <v>149</v>
      </c>
      <c r="C12" s="19">
        <v>-13876</v>
      </c>
      <c r="D12" s="19">
        <v>-18863</v>
      </c>
      <c r="E12" s="19">
        <v>-26975</v>
      </c>
      <c r="F12" s="19">
        <v>-31962</v>
      </c>
      <c r="G12" s="19">
        <v>-31503</v>
      </c>
      <c r="H12" s="19">
        <v>-16072</v>
      </c>
      <c r="I12" s="19">
        <v>-35079</v>
      </c>
      <c r="J12" s="19">
        <v>-35304</v>
      </c>
      <c r="K12" s="19">
        <v>-29702</v>
      </c>
      <c r="L12" s="19">
        <v>-20205</v>
      </c>
      <c r="M12" s="19">
        <v>-15168</v>
      </c>
      <c r="N12" s="19">
        <v>-19230</v>
      </c>
    </row>
    <row r="13" spans="2:14" x14ac:dyDescent="0.25">
      <c r="B13" t="s">
        <v>150</v>
      </c>
      <c r="C13">
        <v>93</v>
      </c>
      <c r="D13">
        <v>37</v>
      </c>
      <c r="E13">
        <v>50</v>
      </c>
      <c r="F13">
        <v>74</v>
      </c>
      <c r="G13">
        <v>59</v>
      </c>
      <c r="H13">
        <v>53</v>
      </c>
      <c r="I13">
        <v>30</v>
      </c>
      <c r="J13">
        <v>67</v>
      </c>
      <c r="K13">
        <v>171</v>
      </c>
      <c r="L13">
        <v>351</v>
      </c>
      <c r="M13">
        <v>230</v>
      </c>
      <c r="N13">
        <v>285</v>
      </c>
    </row>
    <row r="14" spans="2:14" x14ac:dyDescent="0.25">
      <c r="B14" t="s">
        <v>151</v>
      </c>
      <c r="C14" s="19">
        <v>-5857</v>
      </c>
      <c r="D14">
        <v>73</v>
      </c>
      <c r="E14">
        <v>-429</v>
      </c>
      <c r="F14" s="19">
        <v>-5461</v>
      </c>
      <c r="G14" s="19">
        <v>-4728</v>
      </c>
      <c r="H14">
        <v>-6</v>
      </c>
      <c r="I14">
        <v>-329</v>
      </c>
      <c r="J14">
        <v>-130</v>
      </c>
      <c r="K14" s="19">
        <v>-1439</v>
      </c>
      <c r="L14" s="19">
        <v>-7530</v>
      </c>
      <c r="M14" s="19">
        <v>-3008</v>
      </c>
      <c r="N14">
        <v>-50</v>
      </c>
    </row>
    <row r="15" spans="2:14" x14ac:dyDescent="0.25">
      <c r="B15" t="s">
        <v>152</v>
      </c>
      <c r="C15">
        <v>84</v>
      </c>
      <c r="D15">
        <v>34</v>
      </c>
      <c r="E15">
        <v>4</v>
      </c>
      <c r="F15">
        <v>42</v>
      </c>
      <c r="G15">
        <v>89</v>
      </c>
      <c r="H15" s="19">
        <v>1965</v>
      </c>
      <c r="I15" s="19">
        <v>2381</v>
      </c>
      <c r="J15" s="19">
        <v>5644</v>
      </c>
      <c r="K15">
        <v>21</v>
      </c>
      <c r="L15">
        <v>226</v>
      </c>
      <c r="M15">
        <v>104</v>
      </c>
      <c r="N15" s="19">
        <v>6895</v>
      </c>
    </row>
    <row r="16" spans="2:14" x14ac:dyDescent="0.25">
      <c r="B16" t="s">
        <v>153</v>
      </c>
      <c r="C16">
        <v>467</v>
      </c>
      <c r="D16">
        <v>713</v>
      </c>
      <c r="E16">
        <v>653</v>
      </c>
      <c r="F16">
        <v>698</v>
      </c>
      <c r="G16">
        <v>731</v>
      </c>
      <c r="H16">
        <v>638</v>
      </c>
      <c r="I16">
        <v>690</v>
      </c>
      <c r="J16">
        <v>761</v>
      </c>
      <c r="K16" s="19">
        <v>1104</v>
      </c>
      <c r="L16">
        <v>428</v>
      </c>
      <c r="M16">
        <v>653</v>
      </c>
      <c r="N16">
        <v>973</v>
      </c>
    </row>
    <row r="17" spans="2:14" x14ac:dyDescent="0.25">
      <c r="B17" t="s">
        <v>154</v>
      </c>
      <c r="C17">
        <v>70</v>
      </c>
      <c r="D17">
        <v>95</v>
      </c>
      <c r="E17">
        <v>40</v>
      </c>
      <c r="F17">
        <v>80</v>
      </c>
      <c r="G17">
        <v>58</v>
      </c>
      <c r="H17">
        <v>620</v>
      </c>
      <c r="I17" s="19">
        <v>1797</v>
      </c>
      <c r="J17">
        <v>232</v>
      </c>
      <c r="K17">
        <v>21</v>
      </c>
      <c r="L17">
        <v>18</v>
      </c>
      <c r="M17">
        <v>32</v>
      </c>
      <c r="N17">
        <v>46</v>
      </c>
    </row>
    <row r="18" spans="2:14" x14ac:dyDescent="0.25">
      <c r="B18" t="s">
        <v>155</v>
      </c>
      <c r="C18">
        <v>-304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2:14" x14ac:dyDescent="0.25">
      <c r="B19" t="s">
        <v>156</v>
      </c>
      <c r="C19">
        <v>-9</v>
      </c>
      <c r="D19">
        <v>0</v>
      </c>
      <c r="E19">
        <v>0</v>
      </c>
      <c r="F19">
        <v>-160</v>
      </c>
      <c r="G19">
        <v>0</v>
      </c>
      <c r="H19">
        <v>-107</v>
      </c>
      <c r="I19">
        <v>-4</v>
      </c>
      <c r="J19">
        <v>-9</v>
      </c>
      <c r="K19">
        <v>-606</v>
      </c>
      <c r="L19">
        <v>-10</v>
      </c>
      <c r="M19">
        <v>0</v>
      </c>
      <c r="N19">
        <v>0</v>
      </c>
    </row>
    <row r="20" spans="2:14" x14ac:dyDescent="0.25">
      <c r="B20" t="s">
        <v>157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14</v>
      </c>
      <c r="J20">
        <v>533</v>
      </c>
      <c r="K20">
        <v>0</v>
      </c>
      <c r="L20">
        <v>0</v>
      </c>
      <c r="M20">
        <v>0</v>
      </c>
      <c r="N20">
        <v>19</v>
      </c>
    </row>
    <row r="21" spans="2:14" x14ac:dyDescent="0.25">
      <c r="B21" t="s">
        <v>158</v>
      </c>
      <c r="C21">
        <v>0</v>
      </c>
      <c r="D21">
        <v>0</v>
      </c>
      <c r="E21">
        <v>-185</v>
      </c>
      <c r="F21">
        <v>0</v>
      </c>
      <c r="G21">
        <v>-111</v>
      </c>
      <c r="H21">
        <v>0</v>
      </c>
      <c r="I21">
        <v>0</v>
      </c>
      <c r="J21">
        <v>-8</v>
      </c>
      <c r="K21">
        <v>-27</v>
      </c>
      <c r="L21">
        <v>0</v>
      </c>
      <c r="M21">
        <v>-98</v>
      </c>
      <c r="N21">
        <v>0</v>
      </c>
    </row>
    <row r="22" spans="2:14" x14ac:dyDescent="0.25">
      <c r="B22" t="s">
        <v>159</v>
      </c>
      <c r="C22">
        <v>-3</v>
      </c>
      <c r="D22">
        <v>45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2:14" x14ac:dyDescent="0.25">
      <c r="B23" t="s">
        <v>160</v>
      </c>
      <c r="C23">
        <v>-129</v>
      </c>
      <c r="D23" s="19">
        <v>-5103</v>
      </c>
      <c r="E23" s="19">
        <v>-1149</v>
      </c>
      <c r="F23">
        <v>456</v>
      </c>
      <c r="G23" s="19">
        <v>-1289</v>
      </c>
      <c r="H23" s="19">
        <v>-26663</v>
      </c>
      <c r="I23" s="19">
        <v>5360</v>
      </c>
      <c r="J23" s="19">
        <v>7335</v>
      </c>
      <c r="K23" s="19">
        <v>-2659</v>
      </c>
      <c r="L23" s="19">
        <v>1051</v>
      </c>
      <c r="M23" s="19">
        <v>12813</v>
      </c>
      <c r="N23" s="19">
        <v>-4357</v>
      </c>
    </row>
    <row r="24" spans="2:14" x14ac:dyDescent="0.25">
      <c r="B24" t="s">
        <v>161</v>
      </c>
      <c r="C24" s="19">
        <v>6567</v>
      </c>
      <c r="D24" s="19">
        <v>-1692</v>
      </c>
      <c r="E24" s="19">
        <v>-3883</v>
      </c>
      <c r="F24" s="19">
        <v>5201</v>
      </c>
      <c r="G24" s="19">
        <v>-3795</v>
      </c>
      <c r="H24" s="19">
        <v>6205</v>
      </c>
      <c r="I24" s="19">
        <v>2012</v>
      </c>
      <c r="J24" s="19">
        <v>8830</v>
      </c>
      <c r="K24" s="19">
        <v>3390</v>
      </c>
      <c r="L24" s="19">
        <v>9904</v>
      </c>
      <c r="M24" s="19">
        <v>-3380</v>
      </c>
      <c r="N24" s="19">
        <v>-26243</v>
      </c>
    </row>
    <row r="25" spans="2:14" x14ac:dyDescent="0.25">
      <c r="B25" t="s">
        <v>162</v>
      </c>
      <c r="C25">
        <v>139</v>
      </c>
      <c r="D25">
        <v>1</v>
      </c>
      <c r="E25">
        <v>0</v>
      </c>
      <c r="F25">
        <v>0</v>
      </c>
      <c r="G25" s="19">
        <v>7433</v>
      </c>
      <c r="H25">
        <v>5</v>
      </c>
      <c r="I25">
        <v>0</v>
      </c>
      <c r="J25">
        <v>0</v>
      </c>
      <c r="K25" s="19">
        <v>3889</v>
      </c>
      <c r="L25" s="19">
        <v>2603</v>
      </c>
      <c r="M25">
        <v>19</v>
      </c>
      <c r="N25">
        <v>20</v>
      </c>
    </row>
    <row r="26" spans="2:14" x14ac:dyDescent="0.25">
      <c r="B26" t="s">
        <v>163</v>
      </c>
      <c r="C26">
        <v>0</v>
      </c>
      <c r="D26">
        <v>-97</v>
      </c>
      <c r="E26">
        <v>-658</v>
      </c>
      <c r="F26">
        <v>-744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 x14ac:dyDescent="0.25">
      <c r="B27" t="s">
        <v>164</v>
      </c>
      <c r="C27" s="19">
        <v>27462</v>
      </c>
      <c r="D27" s="19">
        <v>27863</v>
      </c>
      <c r="E27" s="19">
        <v>33258</v>
      </c>
      <c r="F27" s="19">
        <v>36363</v>
      </c>
      <c r="G27" s="19">
        <v>19519</v>
      </c>
      <c r="H27" s="19">
        <v>33390</v>
      </c>
      <c r="I27" s="19">
        <v>37482</v>
      </c>
      <c r="J27" s="19">
        <v>51128</v>
      </c>
      <c r="K27" s="19">
        <v>38297</v>
      </c>
      <c r="L27" s="19">
        <v>46641</v>
      </c>
      <c r="M27" s="19">
        <v>46578</v>
      </c>
      <c r="N27" s="19">
        <v>43934</v>
      </c>
    </row>
    <row r="28" spans="2:14" x14ac:dyDescent="0.25">
      <c r="B28" t="s">
        <v>165</v>
      </c>
      <c r="C28" s="19">
        <v>-15010</v>
      </c>
      <c r="D28" s="19">
        <v>-20395</v>
      </c>
      <c r="E28" s="19">
        <v>-29141</v>
      </c>
      <c r="F28" s="19">
        <v>-23332</v>
      </c>
      <c r="G28" s="19">
        <v>-24924</v>
      </c>
      <c r="H28" s="19">
        <v>-21732</v>
      </c>
      <c r="I28" s="19">
        <v>-29964</v>
      </c>
      <c r="J28" s="19">
        <v>-35198</v>
      </c>
      <c r="K28" s="19">
        <v>-29847</v>
      </c>
      <c r="L28" s="19">
        <v>-29709</v>
      </c>
      <c r="M28" s="19">
        <v>-42816</v>
      </c>
      <c r="N28" s="19">
        <v>-62557</v>
      </c>
    </row>
    <row r="29" spans="2:14" x14ac:dyDescent="0.25">
      <c r="B29" t="s">
        <v>166</v>
      </c>
      <c r="C29" s="19">
        <v>-3374</v>
      </c>
      <c r="D29" s="19">
        <v>-4666</v>
      </c>
      <c r="E29" s="19">
        <v>-6171</v>
      </c>
      <c r="F29" s="19">
        <v>-6307</v>
      </c>
      <c r="G29" s="19">
        <v>-5716</v>
      </c>
      <c r="H29" s="19">
        <v>-5336</v>
      </c>
      <c r="I29" s="19">
        <v>-5411</v>
      </c>
      <c r="J29" s="19">
        <v>-7005</v>
      </c>
      <c r="K29" s="19">
        <v>-7518</v>
      </c>
      <c r="L29" s="19">
        <v>-8123</v>
      </c>
      <c r="M29" s="19">
        <v>-9251</v>
      </c>
      <c r="N29" s="19">
        <v>-9336</v>
      </c>
    </row>
    <row r="30" spans="2:14" x14ac:dyDescent="0.25">
      <c r="B30" t="s">
        <v>167</v>
      </c>
      <c r="C30" s="19">
        <v>-1503</v>
      </c>
      <c r="D30" s="19">
        <v>-1551</v>
      </c>
      <c r="E30">
        <v>-722</v>
      </c>
      <c r="F30">
        <v>-720</v>
      </c>
      <c r="G30">
        <v>-108</v>
      </c>
      <c r="H30">
        <v>-121</v>
      </c>
      <c r="I30">
        <v>-96</v>
      </c>
      <c r="J30">
        <v>-95</v>
      </c>
      <c r="K30">
        <v>-57</v>
      </c>
      <c r="L30">
        <v>-30</v>
      </c>
      <c r="M30">
        <v>-100</v>
      </c>
      <c r="N30">
        <v>-141</v>
      </c>
    </row>
    <row r="31" spans="2:14" x14ac:dyDescent="0.25">
      <c r="B31" t="s">
        <v>168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19">
        <v>-1346</v>
      </c>
      <c r="L31" s="19">
        <v>-1477</v>
      </c>
      <c r="M31" s="19">
        <v>-1559</v>
      </c>
      <c r="N31" s="19">
        <v>-1517</v>
      </c>
    </row>
    <row r="32" spans="2:14" x14ac:dyDescent="0.25">
      <c r="B32" t="s">
        <v>169</v>
      </c>
      <c r="C32" s="19">
        <v>-1147</v>
      </c>
      <c r="D32" s="19">
        <v>-2849</v>
      </c>
      <c r="E32">
        <v>-450</v>
      </c>
      <c r="F32">
        <v>-57</v>
      </c>
      <c r="G32">
        <v>0</v>
      </c>
      <c r="H32">
        <v>0</v>
      </c>
      <c r="I32">
        <v>0</v>
      </c>
      <c r="J32">
        <v>0</v>
      </c>
      <c r="K32">
        <v>-29</v>
      </c>
      <c r="L32">
        <v>0</v>
      </c>
      <c r="M32" s="19">
        <v>3750</v>
      </c>
      <c r="N32" s="19">
        <v>3355</v>
      </c>
    </row>
    <row r="33" spans="2:14" x14ac:dyDescent="0.25">
      <c r="B33" t="s">
        <v>110</v>
      </c>
      <c r="C33" s="19">
        <v>5488</v>
      </c>
      <c r="D33" s="19">
        <v>-2499</v>
      </c>
      <c r="E33" s="19">
        <v>4277</v>
      </c>
      <c r="F33" s="19">
        <v>4500</v>
      </c>
      <c r="G33" s="19">
        <v>-2589</v>
      </c>
      <c r="H33" s="19">
        <v>-3167</v>
      </c>
      <c r="I33">
        <v>730</v>
      </c>
      <c r="J33" s="19">
        <v>6843</v>
      </c>
      <c r="K33" s="19">
        <v>-3092</v>
      </c>
      <c r="L33" s="19">
        <v>13232</v>
      </c>
      <c r="M33" s="19">
        <v>6459</v>
      </c>
      <c r="N33" s="19">
        <v>-6272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Forecasting</vt:lpstr>
      <vt:lpstr>Scenario Summary</vt:lpstr>
      <vt:lpstr>Historical FS</vt:lpstr>
      <vt:lpstr>Data sheet</vt:lpstr>
      <vt:lpstr>Cash flow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ray</dc:creator>
  <cp:lastModifiedBy>NAMAHA SHIVAY</cp:lastModifiedBy>
  <cp:lastPrinted>2024-04-03T18:50:55Z</cp:lastPrinted>
  <dcterms:created xsi:type="dcterms:W3CDTF">2023-11-08T04:57:36Z</dcterms:created>
  <dcterms:modified xsi:type="dcterms:W3CDTF">2024-05-30T13:47:56Z</dcterms:modified>
</cp:coreProperties>
</file>