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/>
  </bookViews>
  <sheets>
    <sheet name="HistoricalFS" sheetId="3" r:id="rId1"/>
    <sheet name="Ratio Analysis" sheetId="6" r:id="rId2"/>
    <sheet name="Forecasting" sheetId="8" r:id="rId3"/>
    <sheet name="Data Sheet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 iterate="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6" l="1"/>
  <c r="M6" i="3" l="1"/>
  <c r="K4" i="6" l="1"/>
  <c r="J4" i="6"/>
  <c r="I4" i="6"/>
  <c r="H4" i="6"/>
  <c r="G4" i="6"/>
  <c r="F4" i="6"/>
  <c r="E4" i="6"/>
  <c r="D4" i="6"/>
  <c r="C4" i="6"/>
  <c r="B2" i="6"/>
  <c r="L2" i="8" l="1"/>
  <c r="L6" i="8"/>
  <c r="L7" i="8" s="1"/>
  <c r="L8" i="8" s="1"/>
  <c r="L9" i="8" s="1"/>
  <c r="L10" i="8" s="1"/>
  <c r="L11" i="8" s="1"/>
  <c r="L12" i="8" s="1"/>
  <c r="L13" i="8" s="1"/>
  <c r="L14" i="8" s="1"/>
  <c r="L15" i="8" s="1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I5" i="8" a="1"/>
  <c r="I7" i="8" s="1"/>
  <c r="G2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B2" i="8"/>
  <c r="G6" i="8"/>
  <c r="G7" i="8" s="1"/>
  <c r="G8" i="8" s="1"/>
  <c r="G9" i="8" s="1"/>
  <c r="G10" i="8" s="1"/>
  <c r="G11" i="8" s="1"/>
  <c r="G12" i="8" s="1"/>
  <c r="G13" i="8" s="1"/>
  <c r="G14" i="8" s="1"/>
  <c r="G15" i="8" s="1"/>
  <c r="D5" i="8" a="1"/>
  <c r="D10" i="8" s="1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D8" i="8" l="1"/>
  <c r="B23" i="8"/>
  <c r="D13" i="8"/>
  <c r="D7" i="8"/>
  <c r="D12" i="8"/>
  <c r="D6" i="8"/>
  <c r="D14" i="8"/>
  <c r="E14" i="8" s="1"/>
  <c r="D9" i="8"/>
  <c r="D5" i="8"/>
  <c r="L16" i="8"/>
  <c r="I11" i="8"/>
  <c r="I14" i="8"/>
  <c r="I6" i="8"/>
  <c r="I13" i="8"/>
  <c r="I12" i="8"/>
  <c r="I10" i="8"/>
  <c r="I9" i="8"/>
  <c r="I8" i="8"/>
  <c r="G16" i="8"/>
  <c r="D11" i="8"/>
  <c r="E11" i="8" s="1"/>
  <c r="D22" i="8" l="1"/>
  <c r="J9" i="8"/>
  <c r="J13" i="8"/>
  <c r="E9" i="8"/>
  <c r="E13" i="8"/>
  <c r="D20" i="8"/>
  <c r="D21" i="8"/>
  <c r="E7" i="8"/>
  <c r="D23" i="8"/>
  <c r="E23" i="8" s="1"/>
  <c r="B24" i="8"/>
  <c r="D17" i="8"/>
  <c r="D15" i="8"/>
  <c r="E15" i="8" s="1"/>
  <c r="J12" i="8"/>
  <c r="D18" i="8"/>
  <c r="E6" i="8"/>
  <c r="E12" i="8"/>
  <c r="E10" i="8"/>
  <c r="D16" i="8"/>
  <c r="D19" i="8"/>
  <c r="E8" i="8"/>
  <c r="L17" i="8"/>
  <c r="J7" i="8"/>
  <c r="J8" i="8"/>
  <c r="J10" i="8"/>
  <c r="J14" i="8"/>
  <c r="J11" i="8"/>
  <c r="G17" i="8"/>
  <c r="E20" i="8" l="1"/>
  <c r="E21" i="8"/>
  <c r="E22" i="8"/>
  <c r="D24" i="8"/>
  <c r="E24" i="8" s="1"/>
  <c r="B25" i="8"/>
  <c r="D25" i="8" s="1"/>
  <c r="E25" i="8" s="1"/>
  <c r="E18" i="8"/>
  <c r="E19" i="8"/>
  <c r="E16" i="8"/>
  <c r="E17" i="8"/>
  <c r="L18" i="8"/>
  <c r="G18" i="8"/>
  <c r="L19" i="8" l="1"/>
  <c r="L20" i="8" s="1"/>
  <c r="L21" i="8" s="1"/>
  <c r="L22" i="8" s="1"/>
  <c r="L23" i="8" s="1"/>
  <c r="L24" i="8" s="1"/>
  <c r="L25" i="8" s="1"/>
  <c r="G19" i="8"/>
  <c r="G20" i="8" s="1"/>
  <c r="G21" i="8" s="1"/>
  <c r="G22" i="8" s="1"/>
  <c r="G23" i="8" s="1"/>
  <c r="G24" i="8" s="1"/>
  <c r="G25" i="8" s="1"/>
  <c r="L79" i="3" l="1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16" i="3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5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19" i="8" l="1"/>
  <c r="I20" i="8"/>
  <c r="I21" i="8"/>
  <c r="I22" i="8"/>
  <c r="I23" i="8"/>
  <c r="I24" i="8"/>
  <c r="I25" i="8"/>
  <c r="B15" i="2"/>
  <c r="G10" i="6"/>
  <c r="K10" i="6"/>
  <c r="D31" i="6"/>
  <c r="D29" i="6"/>
  <c r="D35" i="6" s="1"/>
  <c r="D30" i="6"/>
  <c r="D36" i="6" s="1"/>
  <c r="D32" i="6"/>
  <c r="D34" i="6"/>
  <c r="E41" i="6"/>
  <c r="E39" i="6"/>
  <c r="E32" i="6"/>
  <c r="E30" i="6"/>
  <c r="E29" i="6"/>
  <c r="E31" i="6"/>
  <c r="I32" i="6"/>
  <c r="I30" i="6"/>
  <c r="I36" i="6" s="1"/>
  <c r="I34" i="6"/>
  <c r="I29" i="6"/>
  <c r="I35" i="6" s="1"/>
  <c r="I31" i="6"/>
  <c r="F39" i="6"/>
  <c r="F41" i="6"/>
  <c r="F32" i="6"/>
  <c r="F30" i="6"/>
  <c r="F36" i="6" s="1"/>
  <c r="F34" i="6"/>
  <c r="F29" i="6"/>
  <c r="F35" i="6" s="1"/>
  <c r="F31" i="6"/>
  <c r="J32" i="6"/>
  <c r="J30" i="6"/>
  <c r="J36" i="6" s="1"/>
  <c r="J34" i="6"/>
  <c r="J31" i="6"/>
  <c r="J29" i="6"/>
  <c r="J35" i="6" s="1"/>
  <c r="E10" i="6"/>
  <c r="C41" i="6"/>
  <c r="C39" i="6"/>
  <c r="G41" i="6"/>
  <c r="G39" i="6"/>
  <c r="K39" i="6"/>
  <c r="K41" i="6"/>
  <c r="H31" i="6"/>
  <c r="H29" i="6"/>
  <c r="H35" i="6" s="1"/>
  <c r="H32" i="6"/>
  <c r="H34" i="6"/>
  <c r="H30" i="6"/>
  <c r="H36" i="6" s="1"/>
  <c r="I41" i="6"/>
  <c r="I39" i="6"/>
  <c r="D10" i="6"/>
  <c r="H10" i="6"/>
  <c r="J41" i="6"/>
  <c r="J39" i="6"/>
  <c r="C31" i="6"/>
  <c r="C29" i="6"/>
  <c r="C32" i="6"/>
  <c r="C30" i="6"/>
  <c r="G31" i="6"/>
  <c r="G29" i="6"/>
  <c r="G35" i="6" s="1"/>
  <c r="G32" i="6"/>
  <c r="G34" i="6"/>
  <c r="G30" i="6"/>
  <c r="G36" i="6" s="1"/>
  <c r="K31" i="6"/>
  <c r="K29" i="6"/>
  <c r="K35" i="6" s="1"/>
  <c r="K30" i="6"/>
  <c r="K36" i="6" s="1"/>
  <c r="K32" i="6"/>
  <c r="K34" i="6"/>
  <c r="F10" i="6"/>
  <c r="J10" i="6"/>
  <c r="D41" i="6"/>
  <c r="D39" i="6"/>
  <c r="H41" i="6"/>
  <c r="H39" i="6"/>
  <c r="I15" i="8"/>
  <c r="J15" i="8" s="1"/>
  <c r="I16" i="8"/>
  <c r="J6" i="8"/>
  <c r="I17" i="8"/>
  <c r="I18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F10" i="3"/>
  <c r="K12" i="3"/>
  <c r="K13" i="3" s="1"/>
  <c r="K12" i="6" s="1"/>
  <c r="D10" i="3"/>
  <c r="M25" i="3"/>
  <c r="C12" i="3"/>
  <c r="C18" i="3" s="1"/>
  <c r="J12" i="3"/>
  <c r="J13" i="3" s="1"/>
  <c r="J12" i="6" s="1"/>
  <c r="C16" i="3"/>
  <c r="C18" i="6" s="1"/>
  <c r="C22" i="3"/>
  <c r="K22" i="3"/>
  <c r="M27" i="3"/>
  <c r="K7" i="3"/>
  <c r="K6" i="6" s="1"/>
  <c r="G16" i="3"/>
  <c r="G18" i="6" s="1"/>
  <c r="E22" i="3"/>
  <c r="M22" i="3"/>
  <c r="F25" i="3"/>
  <c r="F19" i="6" s="1"/>
  <c r="G7" i="3"/>
  <c r="G6" i="6" s="1"/>
  <c r="L10" i="3"/>
  <c r="H16" i="3"/>
  <c r="H18" i="6" s="1"/>
  <c r="G25" i="3"/>
  <c r="G19" i="6" s="1"/>
  <c r="I7" i="3"/>
  <c r="I6" i="6" s="1"/>
  <c r="G12" i="3"/>
  <c r="G22" i="3"/>
  <c r="H22" i="3"/>
  <c r="E16" i="3"/>
  <c r="E18" i="6" s="1"/>
  <c r="F22" i="3"/>
  <c r="F16" i="3"/>
  <c r="F18" i="6" s="1"/>
  <c r="L25" i="3"/>
  <c r="I10" i="3"/>
  <c r="J16" i="3"/>
  <c r="J18" i="6" s="1"/>
  <c r="E10" i="3"/>
  <c r="I16" i="3"/>
  <c r="I18" i="6" s="1"/>
  <c r="I22" i="3"/>
  <c r="F12" i="3"/>
  <c r="H10" i="3"/>
  <c r="M19" i="3"/>
  <c r="J10" i="3"/>
  <c r="K16" i="3"/>
  <c r="K18" i="6" s="1"/>
  <c r="J22" i="3"/>
  <c r="J7" i="3"/>
  <c r="J6" i="6" s="1"/>
  <c r="J25" i="3"/>
  <c r="J19" i="6" s="1"/>
  <c r="D25" i="3"/>
  <c r="D19" i="6" s="1"/>
  <c r="H25" i="3"/>
  <c r="H19" i="6" s="1"/>
  <c r="D16" i="3"/>
  <c r="D18" i="6" s="1"/>
  <c r="L16" i="3"/>
  <c r="C25" i="3"/>
  <c r="C19" i="6" s="1"/>
  <c r="K25" i="3"/>
  <c r="K19" i="6" s="1"/>
  <c r="L12" i="3"/>
  <c r="E12" i="3"/>
  <c r="D22" i="3"/>
  <c r="L22" i="3"/>
  <c r="D12" i="3"/>
  <c r="E25" i="3"/>
  <c r="E19" i="6" s="1"/>
  <c r="D7" i="3"/>
  <c r="D6" i="6" s="1"/>
  <c r="L7" i="3"/>
  <c r="G10" i="3"/>
  <c r="M10" i="3"/>
  <c r="E7" i="3"/>
  <c r="E6" i="6" s="1"/>
  <c r="M7" i="3"/>
  <c r="F7" i="3"/>
  <c r="F6" i="6" s="1"/>
  <c r="H12" i="3"/>
  <c r="I25" i="3"/>
  <c r="I19" i="6" s="1"/>
  <c r="H7" i="3"/>
  <c r="H6" i="6" s="1"/>
  <c r="C10" i="3"/>
  <c r="K10" i="3"/>
  <c r="I12" i="3"/>
  <c r="M12" i="3"/>
  <c r="M13" i="3" s="1"/>
  <c r="J25" i="8" l="1"/>
  <c r="J21" i="8"/>
  <c r="J22" i="8"/>
  <c r="J18" i="8"/>
  <c r="J24" i="8"/>
  <c r="J23" i="8"/>
  <c r="J20" i="8"/>
  <c r="N6" i="6"/>
  <c r="M6" i="6"/>
  <c r="N19" i="6"/>
  <c r="C19" i="3"/>
  <c r="C13" i="6" s="1"/>
  <c r="C26" i="6"/>
  <c r="C22" i="6"/>
  <c r="C14" i="6"/>
  <c r="N28" i="6"/>
  <c r="C34" i="6"/>
  <c r="N39" i="6"/>
  <c r="M39" i="6"/>
  <c r="M19" i="6"/>
  <c r="M18" i="6"/>
  <c r="K37" i="6"/>
  <c r="N32" i="6"/>
  <c r="M32" i="6"/>
  <c r="H37" i="6"/>
  <c r="N41" i="6"/>
  <c r="M41" i="6"/>
  <c r="M30" i="6"/>
  <c r="E36" i="6"/>
  <c r="N18" i="6"/>
  <c r="I69" i="3"/>
  <c r="J17" i="8"/>
  <c r="N29" i="6"/>
  <c r="C35" i="6"/>
  <c r="J37" i="6"/>
  <c r="M31" i="6"/>
  <c r="M10" i="6"/>
  <c r="M28" i="6"/>
  <c r="E34" i="6"/>
  <c r="G37" i="6"/>
  <c r="N30" i="6"/>
  <c r="C36" i="6"/>
  <c r="N31" i="6"/>
  <c r="N10" i="6"/>
  <c r="F37" i="6"/>
  <c r="I37" i="6"/>
  <c r="M29" i="6"/>
  <c r="E35" i="6"/>
  <c r="D37" i="6"/>
  <c r="K69" i="3"/>
  <c r="J16" i="8"/>
  <c r="J19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2" i="6" s="1"/>
  <c r="C27" i="3"/>
  <c r="C28" i="3" s="1"/>
  <c r="C15" i="6" s="1"/>
  <c r="K18" i="3"/>
  <c r="E18" i="3"/>
  <c r="E13" i="3"/>
  <c r="E12" i="6" s="1"/>
  <c r="G18" i="3"/>
  <c r="G13" i="3"/>
  <c r="G12" i="6" s="1"/>
  <c r="F18" i="3"/>
  <c r="F13" i="3"/>
  <c r="F12" i="6" s="1"/>
  <c r="L18" i="3"/>
  <c r="L13" i="3"/>
  <c r="H18" i="3"/>
  <c r="H13" i="3"/>
  <c r="H12" i="6" s="1"/>
  <c r="M31" i="3"/>
  <c r="M33" i="3"/>
  <c r="M28" i="3"/>
  <c r="I18" i="3"/>
  <c r="I13" i="3"/>
  <c r="I12" i="6" s="1"/>
  <c r="D18" i="3"/>
  <c r="D13" i="3"/>
  <c r="D12" i="6" s="1"/>
  <c r="H26" i="6" l="1"/>
  <c r="H14" i="6"/>
  <c r="H20" i="6" s="1"/>
  <c r="H22" i="6"/>
  <c r="H7" i="6"/>
  <c r="F22" i="6"/>
  <c r="F7" i="6"/>
  <c r="F14" i="6"/>
  <c r="F20" i="6" s="1"/>
  <c r="F26" i="6"/>
  <c r="E22" i="6"/>
  <c r="E7" i="6"/>
  <c r="E14" i="6"/>
  <c r="E20" i="6" s="1"/>
  <c r="E26" i="6"/>
  <c r="J19" i="3"/>
  <c r="J13" i="6" s="1"/>
  <c r="J22" i="6"/>
  <c r="J7" i="6"/>
  <c r="J26" i="6"/>
  <c r="J14" i="6"/>
  <c r="J20" i="6" s="1"/>
  <c r="N34" i="6"/>
  <c r="M34" i="6"/>
  <c r="C37" i="6"/>
  <c r="D26" i="6"/>
  <c r="D14" i="6"/>
  <c r="D20" i="6" s="1"/>
  <c r="D22" i="6"/>
  <c r="D7" i="6"/>
  <c r="K19" i="3"/>
  <c r="K13" i="6" s="1"/>
  <c r="K26" i="6"/>
  <c r="K22" i="6"/>
  <c r="K14" i="6"/>
  <c r="K20" i="6" s="1"/>
  <c r="K7" i="6"/>
  <c r="E71" i="3"/>
  <c r="E40" i="6"/>
  <c r="F71" i="3"/>
  <c r="F40" i="6"/>
  <c r="H71" i="3"/>
  <c r="H40" i="6"/>
  <c r="E37" i="6"/>
  <c r="G26" i="6"/>
  <c r="G14" i="6"/>
  <c r="G20" i="6" s="1"/>
  <c r="G7" i="6"/>
  <c r="G22" i="6"/>
  <c r="D71" i="3"/>
  <c r="D40" i="6"/>
  <c r="G71" i="3"/>
  <c r="G40" i="6"/>
  <c r="J71" i="3"/>
  <c r="J40" i="6"/>
  <c r="K71" i="3"/>
  <c r="K40" i="6"/>
  <c r="N36" i="6"/>
  <c r="M36" i="6"/>
  <c r="I71" i="3"/>
  <c r="I40" i="6"/>
  <c r="C20" i="6"/>
  <c r="I7" i="6"/>
  <c r="I14" i="6"/>
  <c r="I20" i="6" s="1"/>
  <c r="I26" i="6"/>
  <c r="I22" i="6"/>
  <c r="N12" i="6"/>
  <c r="M12" i="6"/>
  <c r="L71" i="3"/>
  <c r="C71" i="3"/>
  <c r="C40" i="6"/>
  <c r="N35" i="6"/>
  <c r="M35" i="6"/>
  <c r="J27" i="3"/>
  <c r="C33" i="3"/>
  <c r="C38" i="3" s="1"/>
  <c r="C31" i="3"/>
  <c r="K27" i="3"/>
  <c r="G19" i="3"/>
  <c r="G13" i="6" s="1"/>
  <c r="G27" i="3"/>
  <c r="F19" i="3"/>
  <c r="F13" i="6" s="1"/>
  <c r="F27" i="3"/>
  <c r="I19" i="3"/>
  <c r="I13" i="6" s="1"/>
  <c r="I27" i="3"/>
  <c r="D19" i="3"/>
  <c r="D13" i="6" s="1"/>
  <c r="D27" i="3"/>
  <c r="D8" i="6" s="1"/>
  <c r="H19" i="3"/>
  <c r="H13" i="6" s="1"/>
  <c r="H27" i="3"/>
  <c r="E19" i="3"/>
  <c r="E13" i="6" s="1"/>
  <c r="E27" i="3"/>
  <c r="E8" i="6" s="1"/>
  <c r="L19" i="3"/>
  <c r="L27" i="3"/>
  <c r="M34" i="3"/>
  <c r="M38" i="3"/>
  <c r="I8" i="6" l="1"/>
  <c r="G8" i="6"/>
  <c r="N22" i="6"/>
  <c r="N13" i="6"/>
  <c r="M14" i="6"/>
  <c r="N26" i="6"/>
  <c r="J28" i="3"/>
  <c r="J15" i="6" s="1"/>
  <c r="J8" i="6"/>
  <c r="N40" i="6"/>
  <c r="M40" i="6"/>
  <c r="N20" i="6"/>
  <c r="M20" i="6"/>
  <c r="M7" i="6"/>
  <c r="N37" i="6"/>
  <c r="M37" i="6"/>
  <c r="M26" i="6"/>
  <c r="M13" i="6"/>
  <c r="F8" i="6"/>
  <c r="K28" i="3"/>
  <c r="K15" i="6" s="1"/>
  <c r="K8" i="6"/>
  <c r="N14" i="6"/>
  <c r="N7" i="6"/>
  <c r="H8" i="6"/>
  <c r="C34" i="3"/>
  <c r="C16" i="6" s="1"/>
  <c r="C24" i="6"/>
  <c r="M22" i="6"/>
  <c r="J33" i="3"/>
  <c r="J31" i="3"/>
  <c r="K33" i="3"/>
  <c r="K38" i="3" s="1"/>
  <c r="K31" i="3"/>
  <c r="M42" i="3"/>
  <c r="M44" i="3" s="1"/>
  <c r="C42" i="3"/>
  <c r="C44" i="3" s="1"/>
  <c r="C23" i="6" s="1"/>
  <c r="L31" i="3"/>
  <c r="L33" i="3"/>
  <c r="L28" i="3"/>
  <c r="E31" i="3"/>
  <c r="E33" i="3"/>
  <c r="E28" i="3"/>
  <c r="E15" i="6" s="1"/>
  <c r="D31" i="3"/>
  <c r="D33" i="3"/>
  <c r="D28" i="3"/>
  <c r="D15" i="6" s="1"/>
  <c r="F28" i="3"/>
  <c r="F15" i="6" s="1"/>
  <c r="F33" i="3"/>
  <c r="F31" i="3"/>
  <c r="H28" i="3"/>
  <c r="H15" i="6" s="1"/>
  <c r="H31" i="3"/>
  <c r="H33" i="3"/>
  <c r="G33" i="3"/>
  <c r="G28" i="3"/>
  <c r="G15" i="6" s="1"/>
  <c r="G31" i="3"/>
  <c r="I33" i="3"/>
  <c r="I28" i="3"/>
  <c r="I15" i="6" s="1"/>
  <c r="I31" i="3"/>
  <c r="N15" i="6" l="1"/>
  <c r="N8" i="6"/>
  <c r="J38" i="3"/>
  <c r="J42" i="3" s="1"/>
  <c r="J24" i="6"/>
  <c r="J9" i="6"/>
  <c r="G9" i="6"/>
  <c r="G24" i="6"/>
  <c r="M8" i="6"/>
  <c r="E24" i="6"/>
  <c r="E9" i="6"/>
  <c r="D9" i="6"/>
  <c r="D24" i="6"/>
  <c r="H9" i="6"/>
  <c r="H24" i="6"/>
  <c r="F24" i="6"/>
  <c r="F9" i="6"/>
  <c r="C25" i="6"/>
  <c r="K34" i="3"/>
  <c r="K16" i="6" s="1"/>
  <c r="K24" i="6"/>
  <c r="K9" i="6"/>
  <c r="I24" i="6"/>
  <c r="I9" i="6"/>
  <c r="M15" i="6"/>
  <c r="J34" i="3"/>
  <c r="J16" i="6" s="1"/>
  <c r="J44" i="3"/>
  <c r="J23" i="6" s="1"/>
  <c r="K39" i="3"/>
  <c r="K44" i="3"/>
  <c r="K23" i="6" s="1"/>
  <c r="K42" i="3"/>
  <c r="F34" i="3"/>
  <c r="F16" i="6" s="1"/>
  <c r="F38" i="3"/>
  <c r="I38" i="3"/>
  <c r="I34" i="3"/>
  <c r="I16" i="6" s="1"/>
  <c r="D38" i="3"/>
  <c r="D34" i="3"/>
  <c r="D16" i="6" s="1"/>
  <c r="H34" i="3"/>
  <c r="H16" i="6" s="1"/>
  <c r="H38" i="3"/>
  <c r="E34" i="3"/>
  <c r="E16" i="6" s="1"/>
  <c r="E38" i="3"/>
  <c r="G34" i="3"/>
  <c r="G16" i="6" s="1"/>
  <c r="G38" i="3"/>
  <c r="L38" i="3"/>
  <c r="L34" i="3"/>
  <c r="J25" i="6" l="1"/>
  <c r="J39" i="3"/>
  <c r="N24" i="6"/>
  <c r="N16" i="6"/>
  <c r="K25" i="6"/>
  <c r="M16" i="6"/>
  <c r="M24" i="6"/>
  <c r="N5" i="8" a="1"/>
  <c r="M9" i="6"/>
  <c r="N9" i="6"/>
  <c r="E39" i="3"/>
  <c r="E42" i="3"/>
  <c r="E44" i="3" s="1"/>
  <c r="E23" i="6" s="1"/>
  <c r="E25" i="6" s="1"/>
  <c r="H39" i="3"/>
  <c r="H42" i="3"/>
  <c r="H44" i="3" s="1"/>
  <c r="H23" i="6" s="1"/>
  <c r="H25" i="6" s="1"/>
  <c r="G39" i="3"/>
  <c r="G42" i="3"/>
  <c r="G44" i="3" s="1"/>
  <c r="G23" i="6" s="1"/>
  <c r="G25" i="6" s="1"/>
  <c r="I39" i="3"/>
  <c r="I42" i="3"/>
  <c r="I44" i="3" s="1"/>
  <c r="I23" i="6" s="1"/>
  <c r="I25" i="6" s="1"/>
  <c r="F39" i="3"/>
  <c r="F42" i="3"/>
  <c r="F44" i="3" s="1"/>
  <c r="F23" i="6" s="1"/>
  <c r="F25" i="6" s="1"/>
  <c r="L39" i="3"/>
  <c r="L44" i="3"/>
  <c r="L42" i="3"/>
  <c r="M39" i="3"/>
  <c r="D39" i="3"/>
  <c r="D42" i="3"/>
  <c r="D44" i="3" s="1"/>
  <c r="D23" i="6" s="1"/>
  <c r="D25" i="6" l="1"/>
  <c r="M23" i="6"/>
  <c r="N23" i="6"/>
  <c r="N10" i="8"/>
  <c r="N7" i="8"/>
  <c r="N12" i="8"/>
  <c r="N9" i="8"/>
  <c r="N6" i="8"/>
  <c r="N14" i="8"/>
  <c r="N11" i="8"/>
  <c r="N8" i="8"/>
  <c r="N13" i="8"/>
  <c r="N5" i="8"/>
  <c r="O8" i="8" l="1"/>
  <c r="N20" i="8"/>
  <c r="N21" i="8"/>
  <c r="N22" i="8"/>
  <c r="N23" i="8"/>
  <c r="N24" i="8"/>
  <c r="N25" i="8"/>
  <c r="O9" i="8"/>
  <c r="O6" i="8"/>
  <c r="O10" i="8"/>
  <c r="O14" i="8"/>
  <c r="O13" i="8"/>
  <c r="O11" i="8"/>
  <c r="O12" i="8"/>
  <c r="N17" i="8"/>
  <c r="N16" i="8"/>
  <c r="N19" i="8"/>
  <c r="O20" i="8" s="1"/>
  <c r="N15" i="8"/>
  <c r="O15" i="8" s="1"/>
  <c r="N18" i="8"/>
  <c r="O7" i="8"/>
  <c r="N25" i="6"/>
  <c r="M25" i="6"/>
  <c r="O22" i="8" l="1"/>
  <c r="O24" i="8"/>
  <c r="O23" i="8"/>
  <c r="O25" i="8"/>
  <c r="O21" i="8"/>
  <c r="O18" i="8"/>
  <c r="O17" i="8"/>
  <c r="O19" i="8"/>
  <c r="O16" i="8"/>
</calcChain>
</file>

<file path=xl/sharedStrings.xml><?xml version="1.0" encoding="utf-8"?>
<sst xmlns="http://schemas.openxmlformats.org/spreadsheetml/2006/main" count="178" uniqueCount="129">
  <si>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</si>
  <si>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</si>
  <si>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</si>
  <si>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</si>
  <si>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</si>
  <si>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</si>
  <si>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</si>
  <si>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</si>
  <si>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</si>
  <si>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</si>
  <si>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</si>
  <si>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</si>
  <si>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</si>
  <si>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</si>
  <si>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</si>
  <si>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</si>
  <si>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</si>
  <si>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</si>
  <si>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</si>
  <si>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</si>
  <si>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</si>
  <si>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</si>
  <si>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</si>
  <si>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</si>
  <si>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</si>
  <si>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</si>
  <si>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</si>
  <si>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</si>
  <si>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</si>
  <si>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</si>
  <si>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</si>
  <si>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</si>
  <si>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</si>
  <si>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</si>
  <si>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</si>
  <si>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</si>
  <si>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</si>
  <si>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</si>
  <si>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</si>
  <si>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</si>
  <si>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</si>
  <si>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</si>
  <si>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</si>
  <si>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</si>
  <si>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</si>
  <si>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</si>
  <si>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</si>
  <si>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</si>
  <si>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</si>
  <si>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</si>
  <si>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</si>
  <si>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</si>
  <si>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</si>
  <si>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</si>
  <si>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</si>
  <si>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</si>
  <si>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</si>
  <si>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</si>
  <si>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</si>
  <si>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</si>
  <si>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</si>
  <si>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</si>
  <si>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</si>
  <si>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</si>
  <si>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</si>
  <si>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</si>
  <si>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</si>
  <si>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</si>
  <si>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</si>
  <si>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</si>
  <si>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</si>
  <si>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</si>
  <si>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</si>
  <si>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</si>
  <si>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</si>
  <si>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</si>
  <si>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</si>
  <si>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</si>
  <si>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</si>
  <si>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</si>
  <si>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</si>
  <si>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</si>
  <si>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</si>
  <si>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</si>
  <si>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</si>
  <si>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</si>
  <si>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</si>
  <si>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</si>
  <si>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</si>
  <si>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</si>
  <si>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</si>
  <si>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</si>
  <si>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</si>
  <si>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</si>
  <si>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</si>
  <si>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</si>
  <si>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</si>
  <si>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</si>
  <si>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</si>
  <si>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</si>
  <si>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</si>
  <si>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</si>
  <si>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</si>
  <si>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</si>
  <si>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</si>
  <si>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</si>
  <si>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</si>
  <si>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</si>
  <si>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</si>
  <si>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</si>
  <si>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</si>
  <si>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</si>
  <si>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</si>
  <si>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</si>
  <si>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</si>
  <si>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</si>
  <si>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</si>
  <si>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</si>
  <si>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</si>
  <si>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</si>
  <si>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</si>
  <si>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</si>
  <si>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</si>
  <si>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</si>
  <si>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</si>
  <si>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WELSPUN CORP LTD</t>
  </si>
  <si>
    <t>EBITDAGrowth</t>
  </si>
  <si>
    <t>EPS</t>
  </si>
  <si>
    <t>EPS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</si>
</sst>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919BF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75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 applyBorder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2" fillId="10" borderId="0" xfId="0" applyFont="1" applyFill="1"/>
    <xf numFmtId="0" fontId="2" fillId="10" borderId="0" xfId="0" applyFont="1" applyFill="1" applyAlignment="1">
      <alignment horizontal="right"/>
    </xf>
    <xf numFmtId="0" fontId="16" fillId="10" borderId="0" xfId="0" applyFont="1" applyFill="1"/>
    <xf numFmtId="0" fontId="16" fillId="10" borderId="0" xfId="0" applyFont="1" applyFill="1" applyAlignment="1">
      <alignment horizontal="right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16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/>
    <cellStyle name="Comma 2" xfId="2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91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HistoricalFS!$B$73</c:f>
              <c:strCache>
                <c:ptCount val="1"/>
                <c:pt idx="0">
                  <c:v>Cash Flow Statements</c:v>
                </c:pt>
              </c:strCache>
            </c:strRef>
          </c:tx>
          <c:invertIfNegative val="0"/>
          <c:val>
            <c:numRef>
              <c:f>HistoricalFS!$C$73:$L$73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1"/>
          <c:tx>
            <c:strRef>
              <c:f>HistoricalFS!$B$74</c:f>
              <c:strCache>
                <c:ptCount val="1"/>
              </c:strCache>
            </c:strRef>
          </c:tx>
          <c:invertIfNegative val="0"/>
          <c:val>
            <c:numRef>
              <c:f>HistoricalFS!$C$74:$L$74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2"/>
          <c:tx>
            <c:strRef>
              <c:f>HistoricalFS!$B$75</c:f>
              <c:strCache>
                <c:ptCount val="1"/>
                <c:pt idx="0">
                  <c:v>Cash from Operating Activities</c:v>
                </c:pt>
              </c:strCache>
            </c:strRef>
          </c:tx>
          <c:invertIfNegative val="0"/>
          <c:val>
            <c:numRef>
              <c:f>HistoricalFS!$C$75:$L$75</c:f>
              <c:numCache>
                <c:formatCode>"₹"\ #,##0.0;\("₹"\ #,##0.0\);\-</c:formatCode>
                <c:ptCount val="10"/>
                <c:pt idx="0">
                  <c:v>227</c:v>
                </c:pt>
                <c:pt idx="1">
                  <c:v>901.13</c:v>
                </c:pt>
                <c:pt idx="2">
                  <c:v>354.29</c:v>
                </c:pt>
                <c:pt idx="3">
                  <c:v>402.52</c:v>
                </c:pt>
                <c:pt idx="4">
                  <c:v>981.36</c:v>
                </c:pt>
                <c:pt idx="5">
                  <c:v>623.33000000000004</c:v>
                </c:pt>
                <c:pt idx="6">
                  <c:v>648.13</c:v>
                </c:pt>
                <c:pt idx="7">
                  <c:v>774.49</c:v>
                </c:pt>
                <c:pt idx="8">
                  <c:v>218.47</c:v>
                </c:pt>
                <c:pt idx="9">
                  <c:v>-185.13</c:v>
                </c:pt>
              </c:numCache>
            </c:numRef>
          </c:val>
        </c:ser>
        <c:ser>
          <c:idx val="3"/>
          <c:order val="3"/>
          <c:tx>
            <c:strRef>
              <c:f>HistoricalFS!$B$76</c:f>
              <c:strCache>
                <c:ptCount val="1"/>
              </c:strCache>
            </c:strRef>
          </c:tx>
          <c:invertIfNegative val="0"/>
          <c:val>
            <c:numRef>
              <c:f>HistoricalFS!$C$76:$L$76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strRef>
              <c:f>HistoricalFS!$B$77</c:f>
              <c:strCache>
                <c:ptCount val="1"/>
                <c:pt idx="0">
                  <c:v>Cash from Investing Activities</c:v>
                </c:pt>
              </c:strCache>
            </c:strRef>
          </c:tx>
          <c:invertIfNegative val="0"/>
          <c:val>
            <c:numRef>
              <c:f>HistoricalFS!$C$77:$L$77</c:f>
              <c:numCache>
                <c:formatCode>"₹"\ #,##0.0;\("₹"\ #,##0.0\);\-</c:formatCode>
                <c:ptCount val="10"/>
                <c:pt idx="0">
                  <c:v>-228.76</c:v>
                </c:pt>
                <c:pt idx="1">
                  <c:v>337.71</c:v>
                </c:pt>
                <c:pt idx="2">
                  <c:v>-326.33999999999997</c:v>
                </c:pt>
                <c:pt idx="3">
                  <c:v>618.1</c:v>
                </c:pt>
                <c:pt idx="4">
                  <c:v>184.19</c:v>
                </c:pt>
                <c:pt idx="5">
                  <c:v>-254.64</c:v>
                </c:pt>
                <c:pt idx="6">
                  <c:v>-48.89</c:v>
                </c:pt>
                <c:pt idx="7">
                  <c:v>-847.68</c:v>
                </c:pt>
                <c:pt idx="8">
                  <c:v>-200.8</c:v>
                </c:pt>
                <c:pt idx="9">
                  <c:v>-347.5</c:v>
                </c:pt>
              </c:numCache>
            </c:numRef>
          </c:val>
        </c:ser>
        <c:ser>
          <c:idx val="5"/>
          <c:order val="5"/>
          <c:tx>
            <c:strRef>
              <c:f>HistoricalFS!$B$78</c:f>
              <c:strCache>
                <c:ptCount val="1"/>
              </c:strCache>
            </c:strRef>
          </c:tx>
          <c:invertIfNegative val="0"/>
          <c:val>
            <c:numRef>
              <c:f>HistoricalFS!$C$78:$L$78</c:f>
              <c:numCache>
                <c:formatCode>General</c:formatCode>
                <c:ptCount val="10"/>
              </c:numCache>
            </c:numRef>
          </c:val>
        </c:ser>
        <c:ser>
          <c:idx val="6"/>
          <c:order val="6"/>
          <c:tx>
            <c:strRef>
              <c:f>HistoricalFS!$B$79</c:f>
              <c:strCache>
                <c:ptCount val="1"/>
                <c:pt idx="0">
                  <c:v>Cash from Financing Activities</c:v>
                </c:pt>
              </c:strCache>
            </c:strRef>
          </c:tx>
          <c:invertIfNegative val="0"/>
          <c:val>
            <c:numRef>
              <c:f>HistoricalFS!$C$79:$L$79</c:f>
              <c:numCache>
                <c:formatCode>"₹"\ #,##0.0;\("₹"\ #,##0.0\);\-</c:formatCode>
                <c:ptCount val="10"/>
                <c:pt idx="0">
                  <c:v>-526.53</c:v>
                </c:pt>
                <c:pt idx="1">
                  <c:v>-1105.83</c:v>
                </c:pt>
                <c:pt idx="2">
                  <c:v>-98.7</c:v>
                </c:pt>
                <c:pt idx="3">
                  <c:v>-978.69</c:v>
                </c:pt>
                <c:pt idx="4">
                  <c:v>-760.88</c:v>
                </c:pt>
                <c:pt idx="5">
                  <c:v>-335.3</c:v>
                </c:pt>
                <c:pt idx="6">
                  <c:v>-743.09</c:v>
                </c:pt>
                <c:pt idx="7">
                  <c:v>-198.12</c:v>
                </c:pt>
                <c:pt idx="8">
                  <c:v>452.74</c:v>
                </c:pt>
                <c:pt idx="9">
                  <c:v>908.76</c:v>
                </c:pt>
              </c:numCache>
            </c:numRef>
          </c:val>
        </c:ser>
        <c:ser>
          <c:idx val="7"/>
          <c:order val="7"/>
          <c:tx>
            <c:strRef>
              <c:f>HistoricalFS!$B$80</c:f>
              <c:strCache>
                <c:ptCount val="1"/>
              </c:strCache>
            </c:strRef>
          </c:tx>
          <c:invertIfNegative val="0"/>
          <c:val>
            <c:numRef>
              <c:f>HistoricalFS!$C$80:$L$80</c:f>
              <c:numCache>
                <c:formatCode>General</c:formatCode>
                <c:ptCount val="10"/>
              </c:numCache>
            </c:numRef>
          </c:val>
        </c:ser>
        <c:ser>
          <c:idx val="8"/>
          <c:order val="8"/>
          <c:tx>
            <c:strRef>
              <c:f>HistoricalFS!$B$81</c:f>
              <c:strCache>
                <c:ptCount val="1"/>
                <c:pt idx="0">
                  <c:v>Net Cash Flow</c:v>
                </c:pt>
              </c:strCache>
            </c:strRef>
          </c:tx>
          <c:invertIfNegative val="0"/>
          <c:val>
            <c:numRef>
              <c:f>HistoricalFS!$C$81:$L$81</c:f>
              <c:numCache>
                <c:formatCode>"₹"\ #,##0.0;\("₹"\ #,##0.0\);\-</c:formatCode>
                <c:ptCount val="10"/>
                <c:pt idx="0">
                  <c:v>-528.29</c:v>
                </c:pt>
                <c:pt idx="1">
                  <c:v>133.01</c:v>
                </c:pt>
                <c:pt idx="2">
                  <c:v>-70.749999999999957</c:v>
                </c:pt>
                <c:pt idx="3">
                  <c:v>41.92999999999995</c:v>
                </c:pt>
                <c:pt idx="4">
                  <c:v>404.66999999999996</c:v>
                </c:pt>
                <c:pt idx="5">
                  <c:v>33.390000000000043</c:v>
                </c:pt>
                <c:pt idx="6">
                  <c:v>-143.85000000000002</c:v>
                </c:pt>
                <c:pt idx="7">
                  <c:v>-271.30999999999995</c:v>
                </c:pt>
                <c:pt idx="8">
                  <c:v>470.40999999999997</c:v>
                </c:pt>
                <c:pt idx="9">
                  <c:v>376.13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31264"/>
        <c:axId val="34349440"/>
      </c:barChart>
      <c:catAx>
        <c:axId val="3433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34349440"/>
        <c:crosses val="autoZero"/>
        <c:auto val="1"/>
        <c:lblAlgn val="ctr"/>
        <c:lblOffset val="100"/>
        <c:noMultiLvlLbl val="0"/>
      </c:catAx>
      <c:valAx>
        <c:axId val="3434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31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85</xdr:row>
      <xdr:rowOff>0</xdr:rowOff>
    </xdr:from>
    <xdr:to>
      <xdr:col>9</xdr:col>
      <xdr:colOff>238125</xdr:colOff>
      <xdr:row>99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abSelected="1" zoomScaleNormal="100" workbookViewId="0">
      <pane ySplit="3" topLeftCell="A72" activePane="bottomLeft" state="frozen"/>
      <selection pane="bottomLeft" activeCell="I78" sqref="I78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67" t="str">
        <f>"Historical Financial Statement - "&amp;'Data Sheet'!B1</f>
        <v>Historical Financial Statement - WELSPUN CORP LTD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x14ac:dyDescent="0.25">
      <c r="B3" s="50" t="s">
        <v>55</v>
      </c>
      <c r="C3" s="51">
        <f>'Data Sheet'!B16</f>
        <v>41729</v>
      </c>
      <c r="D3" s="51">
        <f>'Data Sheet'!C16</f>
        <v>42094</v>
      </c>
      <c r="E3" s="51">
        <f>'Data Sheet'!D16</f>
        <v>42460</v>
      </c>
      <c r="F3" s="51">
        <f>'Data Sheet'!E16</f>
        <v>42825</v>
      </c>
      <c r="G3" s="51">
        <f>'Data Sheet'!F16</f>
        <v>43190</v>
      </c>
      <c r="H3" s="51">
        <f>'Data Sheet'!G16</f>
        <v>43555</v>
      </c>
      <c r="I3" s="51">
        <f>'Data Sheet'!H16</f>
        <v>43921</v>
      </c>
      <c r="J3" s="51">
        <f>'Data Sheet'!I16</f>
        <v>44286</v>
      </c>
      <c r="K3" s="51">
        <f>'Data Sheet'!J16</f>
        <v>44651</v>
      </c>
      <c r="L3" s="51">
        <f>'Data Sheet'!K16</f>
        <v>45016</v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  <v>7704.73</v>
      </c>
      <c r="D6" s="12">
        <f>IFERROR('Data Sheet'!C17,0)</f>
        <v>8450.49</v>
      </c>
      <c r="E6" s="12">
        <f>IFERROR('Data Sheet'!D17,0)</f>
        <v>7235.5</v>
      </c>
      <c r="F6" s="12">
        <f>IFERROR('Data Sheet'!E17,0)</f>
        <v>5898.71</v>
      </c>
      <c r="G6" s="12">
        <f>IFERROR('Data Sheet'!F17,0)</f>
        <v>6347.01</v>
      </c>
      <c r="H6" s="12">
        <f>IFERROR('Data Sheet'!G17,0)</f>
        <v>8953.48</v>
      </c>
      <c r="I6" s="12">
        <f>IFERROR('Data Sheet'!H17,0)</f>
        <v>9956.76</v>
      </c>
      <c r="J6" s="12">
        <f>IFERROR('Data Sheet'!I17,0)</f>
        <v>7152.56</v>
      </c>
      <c r="K6" s="12">
        <f>IFERROR('Data Sheet'!J17,0)</f>
        <v>6505.11</v>
      </c>
      <c r="L6" s="12">
        <f>IFERROR('Data Sheet'!K17,0)</f>
        <v>9758.1</v>
      </c>
      <c r="M6" s="12">
        <f>IFERROR(SUM('Data Sheet'!H42:K42),0)</f>
        <v>16948.579999999998</v>
      </c>
    </row>
    <row r="7" spans="1:13" x14ac:dyDescent="0.25">
      <c r="B7" s="15" t="s">
        <v>59</v>
      </c>
      <c r="C7" s="16" t="s">
        <v>60</v>
      </c>
      <c r="D7" s="17">
        <f>D6/C6-1</f>
        <v>9.6792489808208648E-2</v>
      </c>
      <c r="E7" s="17">
        <f t="shared" ref="E7:M7" si="0">E6/D6-1</f>
        <v>-0.14377746142531378</v>
      </c>
      <c r="F7" s="17">
        <f t="shared" si="0"/>
        <v>-0.18475433625872439</v>
      </c>
      <c r="G7" s="17">
        <f t="shared" si="0"/>
        <v>7.5999667723960052E-2</v>
      </c>
      <c r="H7" s="17">
        <f t="shared" si="0"/>
        <v>0.41066108293511427</v>
      </c>
      <c r="I7" s="17">
        <f t="shared" si="0"/>
        <v>0.1120547541291208</v>
      </c>
      <c r="J7" s="17">
        <f t="shared" si="0"/>
        <v>-0.28163780185522191</v>
      </c>
      <c r="K7" s="17">
        <f t="shared" si="0"/>
        <v>-9.0520037580950174E-2</v>
      </c>
      <c r="L7" s="17">
        <f t="shared" si="0"/>
        <v>0.50006687050641729</v>
      </c>
      <c r="M7" s="17">
        <f t="shared" si="0"/>
        <v>0.73687295682561138</v>
      </c>
    </row>
    <row r="9" spans="1:13" x14ac:dyDescent="0.25">
      <c r="B9" t="s">
        <v>61</v>
      </c>
      <c r="C9" s="12">
        <f>IFERROR(SUM('Data Sheet'!B18,'Data Sheet'!B20:B22)-1*'Data Sheet'!B19,0)</f>
        <v>6418.7799999999988</v>
      </c>
      <c r="D9" s="12">
        <f>IFERROR(SUM('Data Sheet'!C18,'Data Sheet'!C20:C22)-1*'Data Sheet'!C19,0)</f>
        <v>7318.99</v>
      </c>
      <c r="E9" s="12">
        <f>IFERROR(SUM('Data Sheet'!D18,'Data Sheet'!D20:D22)-1*'Data Sheet'!D19,0)</f>
        <v>6057.4100000000008</v>
      </c>
      <c r="F9" s="12">
        <f>IFERROR(SUM('Data Sheet'!E18,'Data Sheet'!E20:E22)-1*'Data Sheet'!E19,0)</f>
        <v>5244.36</v>
      </c>
      <c r="G9" s="12">
        <f>IFERROR(SUM('Data Sheet'!F18,'Data Sheet'!F20:F22)-1*'Data Sheet'!F19,0)</f>
        <v>5607.8899999999994</v>
      </c>
      <c r="H9" s="12">
        <f>IFERROR(SUM('Data Sheet'!G18,'Data Sheet'!G20:G22)-1*'Data Sheet'!G19,0)</f>
        <v>7912.25</v>
      </c>
      <c r="I9" s="12">
        <f>IFERROR(SUM('Data Sheet'!H18,'Data Sheet'!H20:H22)-1*'Data Sheet'!H19,0)</f>
        <v>8466.94</v>
      </c>
      <c r="J9" s="12">
        <f>IFERROR(SUM('Data Sheet'!I18,'Data Sheet'!I20:I22)-1*'Data Sheet'!I19,0)</f>
        <v>6171.59</v>
      </c>
      <c r="K9" s="12">
        <f>IFERROR(SUM('Data Sheet'!J18,'Data Sheet'!J20:J22)-1*'Data Sheet'!J19,0)</f>
        <v>5508.55</v>
      </c>
      <c r="L9" s="12">
        <f>IFERROR(SUM('Data Sheet'!K18,'Data Sheet'!K20:K22)-1*'Data Sheet'!K19,0)</f>
        <v>8548</v>
      </c>
      <c r="M9" s="12">
        <f>IFERROR(SUM('Data Sheet'!H43:K43),0)</f>
        <v>15308.699999999999</v>
      </c>
    </row>
    <row r="10" spans="1:13" x14ac:dyDescent="0.25">
      <c r="B10" s="15" t="s">
        <v>62</v>
      </c>
      <c r="C10" s="17">
        <f>C9/C6</f>
        <v>0.83309603321595949</v>
      </c>
      <c r="D10" s="17">
        <f t="shared" ref="D10:M10" si="1">D9/D6</f>
        <v>0.86610243903016271</v>
      </c>
      <c r="E10" s="17">
        <f t="shared" si="1"/>
        <v>0.83717918595812324</v>
      </c>
      <c r="F10" s="17">
        <f t="shared" si="1"/>
        <v>0.88906896592644824</v>
      </c>
      <c r="G10" s="17">
        <f t="shared" si="1"/>
        <v>0.88354831645136833</v>
      </c>
      <c r="H10" s="17">
        <f t="shared" si="1"/>
        <v>0.88370667047896467</v>
      </c>
      <c r="I10" s="17">
        <f t="shared" si="1"/>
        <v>0.85037100422225709</v>
      </c>
      <c r="J10" s="17">
        <f t="shared" si="1"/>
        <v>0.86285050387553541</v>
      </c>
      <c r="K10" s="17">
        <f t="shared" si="1"/>
        <v>0.84680351293060385</v>
      </c>
      <c r="L10" s="17">
        <f t="shared" si="1"/>
        <v>0.87599020301083197</v>
      </c>
      <c r="M10" s="17">
        <f t="shared" si="1"/>
        <v>0.90324381157595512</v>
      </c>
    </row>
    <row r="12" spans="1:13" x14ac:dyDescent="0.25">
      <c r="B12" t="s">
        <v>63</v>
      </c>
      <c r="C12" s="18">
        <f>C6-C9</f>
        <v>1285.9500000000007</v>
      </c>
      <c r="D12" s="18">
        <f t="shared" ref="D12:M12" si="2">D6-D9</f>
        <v>1131.5</v>
      </c>
      <c r="E12" s="18">
        <f t="shared" si="2"/>
        <v>1178.0899999999992</v>
      </c>
      <c r="F12" s="18">
        <f t="shared" si="2"/>
        <v>654.35000000000036</v>
      </c>
      <c r="G12" s="18">
        <f t="shared" si="2"/>
        <v>739.1200000000008</v>
      </c>
      <c r="H12" s="18">
        <f t="shared" si="2"/>
        <v>1041.2299999999996</v>
      </c>
      <c r="I12" s="18">
        <f t="shared" si="2"/>
        <v>1489.8199999999997</v>
      </c>
      <c r="J12" s="18">
        <f t="shared" si="2"/>
        <v>980.97000000000025</v>
      </c>
      <c r="K12" s="18">
        <f t="shared" si="2"/>
        <v>996.55999999999949</v>
      </c>
      <c r="L12" s="18">
        <f t="shared" si="2"/>
        <v>1210.1000000000004</v>
      </c>
      <c r="M12" s="18">
        <f t="shared" si="2"/>
        <v>1639.8799999999992</v>
      </c>
    </row>
    <row r="13" spans="1:13" x14ac:dyDescent="0.25">
      <c r="B13" s="15" t="s">
        <v>69</v>
      </c>
      <c r="C13" s="17">
        <f>C12/C6</f>
        <v>0.16690396678404057</v>
      </c>
      <c r="D13" s="17">
        <f t="shared" ref="D13:M13" si="3">D12/D6</f>
        <v>0.13389756096983726</v>
      </c>
      <c r="E13" s="17">
        <f t="shared" si="3"/>
        <v>0.16282081404187676</v>
      </c>
      <c r="F13" s="17">
        <f t="shared" si="3"/>
        <v>0.11093103407355173</v>
      </c>
      <c r="G13" s="17">
        <f t="shared" si="3"/>
        <v>0.11645168354863168</v>
      </c>
      <c r="H13" s="17">
        <f t="shared" si="3"/>
        <v>0.11629332952103535</v>
      </c>
      <c r="I13" s="17">
        <f t="shared" si="3"/>
        <v>0.14962899577774294</v>
      </c>
      <c r="J13" s="17">
        <f t="shared" si="3"/>
        <v>0.13714949612446456</v>
      </c>
      <c r="K13" s="17">
        <f t="shared" si="3"/>
        <v>0.15319648706939615</v>
      </c>
      <c r="L13" s="17">
        <f t="shared" si="3"/>
        <v>0.124009796989168</v>
      </c>
      <c r="M13" s="17">
        <f t="shared" si="3"/>
        <v>9.6756188424044931E-2</v>
      </c>
    </row>
    <row r="15" spans="1:13" x14ac:dyDescent="0.25">
      <c r="B15" t="s">
        <v>64</v>
      </c>
      <c r="C15" s="18">
        <f>IFERROR(SUM('Data Sheet'!B23:B24),0)</f>
        <v>616.04999999999995</v>
      </c>
      <c r="D15" s="18">
        <f>IFERROR(SUM('Data Sheet'!C23:C24),0)</f>
        <v>276.29000000000002</v>
      </c>
      <c r="E15" s="18">
        <f>IFERROR(SUM('Data Sheet'!D23:D24),0)</f>
        <v>391.35</v>
      </c>
      <c r="F15" s="18">
        <f>IFERROR(SUM('Data Sheet'!E23:E24),0)</f>
        <v>135.23000000000002</v>
      </c>
      <c r="G15" s="18">
        <f>IFERROR(SUM('Data Sheet'!F23:F24),0)</f>
        <v>266</v>
      </c>
      <c r="H15" s="18">
        <f>IFERROR(SUM('Data Sheet'!G23:G24),0)</f>
        <v>397.58000000000004</v>
      </c>
      <c r="I15" s="18">
        <f>IFERROR(SUM('Data Sheet'!H23:H24),0)</f>
        <v>327.14</v>
      </c>
      <c r="J15" s="18">
        <f>IFERROR(SUM('Data Sheet'!I23:I24),0)</f>
        <v>196.92000000000002</v>
      </c>
      <c r="K15" s="18">
        <f>IFERROR(SUM('Data Sheet'!J23:J24),0)</f>
        <v>523.58000000000004</v>
      </c>
      <c r="L15" s="18">
        <f>IFERROR(SUM('Data Sheet'!K23:K24),0)</f>
        <v>716.06999999999994</v>
      </c>
      <c r="M15" s="18"/>
    </row>
    <row r="16" spans="1:13" x14ac:dyDescent="0.25">
      <c r="B16" s="15" t="s">
        <v>65</v>
      </c>
      <c r="C16" s="17">
        <f>C15/C6</f>
        <v>7.9957376832153759E-2</v>
      </c>
      <c r="D16" s="17">
        <f t="shared" ref="D16:M16" si="4">D15/D6</f>
        <v>3.2695145488604804E-2</v>
      </c>
      <c r="E16" s="17">
        <f t="shared" si="4"/>
        <v>5.4087485315458504E-2</v>
      </c>
      <c r="F16" s="17">
        <f t="shared" si="4"/>
        <v>2.2925351475153045E-2</v>
      </c>
      <c r="G16" s="17">
        <f t="shared" si="4"/>
        <v>4.1909497542937539E-2</v>
      </c>
      <c r="H16" s="17">
        <f t="shared" si="4"/>
        <v>4.4405080482672665E-2</v>
      </c>
      <c r="I16" s="17">
        <f t="shared" si="4"/>
        <v>3.2856069645145605E-2</v>
      </c>
      <c r="J16" s="17">
        <f t="shared" si="4"/>
        <v>2.7531401344413748E-2</v>
      </c>
      <c r="K16" s="17">
        <f t="shared" si="4"/>
        <v>8.0487493678046959E-2</v>
      </c>
      <c r="L16" s="17">
        <f t="shared" si="4"/>
        <v>7.3382113321240811E-2</v>
      </c>
      <c r="M16" s="17">
        <f t="shared" si="4"/>
        <v>0</v>
      </c>
    </row>
    <row r="18" spans="2:13" x14ac:dyDescent="0.25">
      <c r="B18" t="s">
        <v>27</v>
      </c>
      <c r="C18" s="18">
        <f t="shared" ref="C18:L18" si="5">C12-C15</f>
        <v>669.90000000000077</v>
      </c>
      <c r="D18" s="18">
        <f t="shared" si="5"/>
        <v>855.21</v>
      </c>
      <c r="E18" s="18">
        <f t="shared" si="5"/>
        <v>786.73999999999921</v>
      </c>
      <c r="F18" s="18">
        <f t="shared" si="5"/>
        <v>519.12000000000035</v>
      </c>
      <c r="G18" s="18">
        <f t="shared" si="5"/>
        <v>473.1200000000008</v>
      </c>
      <c r="H18" s="18">
        <f t="shared" si="5"/>
        <v>643.64999999999952</v>
      </c>
      <c r="I18" s="18">
        <f t="shared" si="5"/>
        <v>1162.6799999999998</v>
      </c>
      <c r="J18" s="18">
        <f t="shared" si="5"/>
        <v>784.05000000000018</v>
      </c>
      <c r="K18" s="18">
        <f t="shared" si="5"/>
        <v>472.97999999999945</v>
      </c>
      <c r="L18" s="18">
        <f t="shared" si="5"/>
        <v>494.03000000000043</v>
      </c>
      <c r="M18" s="18">
        <f>IFERROR(SUM('Data Sheet'!H51:K51),0)</f>
        <v>2057.6799999999998</v>
      </c>
    </row>
    <row r="19" spans="2:13" x14ac:dyDescent="0.25">
      <c r="B19" s="15" t="s">
        <v>66</v>
      </c>
      <c r="C19" s="17">
        <f>C18/C6</f>
        <v>8.694658995188681E-2</v>
      </c>
      <c r="D19" s="17">
        <f t="shared" ref="D19:M19" si="6">D18/D6</f>
        <v>0.10120241548123246</v>
      </c>
      <c r="E19" s="17">
        <f t="shared" si="6"/>
        <v>0.10873332872641825</v>
      </c>
      <c r="F19" s="17">
        <f t="shared" si="6"/>
        <v>8.8005682598398693E-2</v>
      </c>
      <c r="G19" s="17">
        <f t="shared" si="6"/>
        <v>7.454218600569415E-2</v>
      </c>
      <c r="H19" s="17">
        <f t="shared" si="6"/>
        <v>7.1888249038362689E-2</v>
      </c>
      <c r="I19" s="17">
        <f t="shared" si="6"/>
        <v>0.11677292613259734</v>
      </c>
      <c r="J19" s="17">
        <f t="shared" si="6"/>
        <v>0.1096180947800508</v>
      </c>
      <c r="K19" s="17">
        <f t="shared" si="6"/>
        <v>7.2708993391349175E-2</v>
      </c>
      <c r="L19" s="17">
        <f t="shared" si="6"/>
        <v>5.0627683667927199E-2</v>
      </c>
      <c r="M19" s="17">
        <f t="shared" si="6"/>
        <v>0.12140722113592997</v>
      </c>
    </row>
    <row r="21" spans="2:13" x14ac:dyDescent="0.25">
      <c r="B21" t="s">
        <v>21</v>
      </c>
      <c r="C21" s="18">
        <f>IFERROR('Data Sheet'!B27,0)</f>
        <v>296.39999999999998</v>
      </c>
      <c r="D21" s="18">
        <f>IFERROR('Data Sheet'!C27,0)</f>
        <v>283.02999999999997</v>
      </c>
      <c r="E21" s="18">
        <f>IFERROR('Data Sheet'!D27,0)</f>
        <v>241.14</v>
      </c>
      <c r="F21" s="18">
        <f>IFERROR('Data Sheet'!E27,0)</f>
        <v>235.71</v>
      </c>
      <c r="G21" s="18">
        <f>IFERROR('Data Sheet'!F27,0)</f>
        <v>170.15</v>
      </c>
      <c r="H21" s="18">
        <f>IFERROR('Data Sheet'!G27,0)</f>
        <v>177.37</v>
      </c>
      <c r="I21" s="18">
        <f>IFERROR('Data Sheet'!H27,0)</f>
        <v>144.02000000000001</v>
      </c>
      <c r="J21" s="18">
        <f>IFERROR('Data Sheet'!I27,0)</f>
        <v>84.95</v>
      </c>
      <c r="K21" s="18">
        <f>IFERROR('Data Sheet'!J27,0)</f>
        <v>101.89</v>
      </c>
      <c r="L21" s="18">
        <f>IFERROR('Data Sheet'!K27,0)</f>
        <v>243.16</v>
      </c>
      <c r="M21" s="18">
        <f>IFERROR(SUM('Data Sheet'!H46:K46),0)</f>
        <v>324.51</v>
      </c>
    </row>
    <row r="22" spans="2:13" x14ac:dyDescent="0.25">
      <c r="B22" s="15" t="s">
        <v>67</v>
      </c>
      <c r="C22" s="17">
        <f>C21/C6</f>
        <v>3.8469874998864333E-2</v>
      </c>
      <c r="D22" s="17">
        <f t="shared" ref="D22:M22" si="7">D21/D6</f>
        <v>3.3492732374099013E-2</v>
      </c>
      <c r="E22" s="17">
        <f t="shared" si="7"/>
        <v>3.332734434386013E-2</v>
      </c>
      <c r="F22" s="17">
        <f t="shared" si="7"/>
        <v>3.9959584383704234E-2</v>
      </c>
      <c r="G22" s="17">
        <f t="shared" si="7"/>
        <v>2.6807898522296324E-2</v>
      </c>
      <c r="H22" s="17">
        <f t="shared" si="7"/>
        <v>1.9810174367955253E-2</v>
      </c>
      <c r="I22" s="17">
        <f t="shared" si="7"/>
        <v>1.4464544691244944E-2</v>
      </c>
      <c r="J22" s="17">
        <f t="shared" si="7"/>
        <v>1.1876866464594495E-2</v>
      </c>
      <c r="K22" s="17">
        <f t="shared" si="7"/>
        <v>1.5663071031850346E-2</v>
      </c>
      <c r="L22" s="17">
        <f t="shared" si="7"/>
        <v>2.491878541929269E-2</v>
      </c>
      <c r="M22" s="17">
        <f t="shared" si="7"/>
        <v>1.9146736776768321E-2</v>
      </c>
    </row>
    <row r="24" spans="2:13" x14ac:dyDescent="0.25">
      <c r="B24" t="s">
        <v>20</v>
      </c>
      <c r="C24" s="18">
        <f>IFERROR('Data Sheet'!B26,0)</f>
        <v>406.3</v>
      </c>
      <c r="D24" s="18">
        <f>IFERROR('Data Sheet'!C26,0)</f>
        <v>436.5</v>
      </c>
      <c r="E24" s="18">
        <f>IFERROR('Data Sheet'!D26,0)</f>
        <v>386.48</v>
      </c>
      <c r="F24" s="18">
        <f>IFERROR('Data Sheet'!E26,0)</f>
        <v>386.08</v>
      </c>
      <c r="G24" s="18">
        <f>IFERROR('Data Sheet'!F26,0)</f>
        <v>258.16000000000003</v>
      </c>
      <c r="H24" s="18">
        <f>IFERROR('Data Sheet'!G26,0)</f>
        <v>259.73</v>
      </c>
      <c r="I24" s="18">
        <f>IFERROR('Data Sheet'!H26,0)</f>
        <v>233.29</v>
      </c>
      <c r="J24" s="18">
        <f>IFERROR('Data Sheet'!I26,0)</f>
        <v>246.47</v>
      </c>
      <c r="K24" s="18">
        <f>IFERROR('Data Sheet'!J26,0)</f>
        <v>254.75</v>
      </c>
      <c r="L24" s="18">
        <f>IFERROR('Data Sheet'!K26,0)</f>
        <v>302.97000000000003</v>
      </c>
      <c r="M24" s="18">
        <f>IFERROR(SUM('Data Sheet'!H45:K45),0)</f>
        <v>352.34000000000003</v>
      </c>
    </row>
    <row r="25" spans="2:13" x14ac:dyDescent="0.25">
      <c r="B25" s="15" t="s">
        <v>68</v>
      </c>
      <c r="C25" s="17">
        <f>C24/C6</f>
        <v>5.2733840121587654E-2</v>
      </c>
      <c r="D25" s="17">
        <f t="shared" ref="D25:M25" si="8">D24/D6</f>
        <v>5.16538094240689E-2</v>
      </c>
      <c r="E25" s="17">
        <f t="shared" si="8"/>
        <v>5.3414415036970496E-2</v>
      </c>
      <c r="F25" s="17">
        <f t="shared" si="8"/>
        <v>6.5451598739385386E-2</v>
      </c>
      <c r="G25" s="17">
        <f t="shared" si="8"/>
        <v>4.0674270246935172E-2</v>
      </c>
      <c r="H25" s="17">
        <f t="shared" si="8"/>
        <v>2.9008832319947109E-2</v>
      </c>
      <c r="I25" s="17">
        <f t="shared" si="8"/>
        <v>2.3430312671993699E-2</v>
      </c>
      <c r="J25" s="17">
        <f t="shared" si="8"/>
        <v>3.4458990906752265E-2</v>
      </c>
      <c r="K25" s="17">
        <f t="shared" si="8"/>
        <v>3.9161520712178578E-2</v>
      </c>
      <c r="L25" s="17">
        <f t="shared" si="8"/>
        <v>3.1048052387247518E-2</v>
      </c>
      <c r="M25" s="17">
        <f t="shared" si="8"/>
        <v>2.0788762244388619E-2</v>
      </c>
    </row>
    <row r="27" spans="2:13" x14ac:dyDescent="0.25">
      <c r="B27" t="s">
        <v>70</v>
      </c>
      <c r="C27" s="18">
        <f>IFERROR(C18-SUM(C24,C21),0)</f>
        <v>-32.799999999999272</v>
      </c>
      <c r="D27" s="18">
        <f t="shared" ref="D27:M27" si="9">IFERROR(D18-SUM(D24,D21),0)</f>
        <v>135.68000000000006</v>
      </c>
      <c r="E27" s="18">
        <f t="shared" si="9"/>
        <v>159.11999999999921</v>
      </c>
      <c r="F27" s="18">
        <f t="shared" si="9"/>
        <v>-102.66999999999962</v>
      </c>
      <c r="G27" s="18">
        <f t="shared" si="9"/>
        <v>44.810000000000741</v>
      </c>
      <c r="H27" s="18">
        <f t="shared" si="9"/>
        <v>206.5499999999995</v>
      </c>
      <c r="I27" s="12">
        <f t="shared" si="9"/>
        <v>785.36999999999989</v>
      </c>
      <c r="J27" s="12">
        <f t="shared" si="9"/>
        <v>452.63000000000017</v>
      </c>
      <c r="K27" s="12">
        <f t="shared" si="9"/>
        <v>116.33999999999946</v>
      </c>
      <c r="L27" s="12">
        <f t="shared" si="9"/>
        <v>-52.099999999999568</v>
      </c>
      <c r="M27" s="12">
        <f t="shared" si="9"/>
        <v>1380.83</v>
      </c>
    </row>
    <row r="28" spans="2:13" x14ac:dyDescent="0.25">
      <c r="B28" s="15" t="s">
        <v>71</v>
      </c>
      <c r="C28" s="17">
        <f>C27/C6</f>
        <v>-4.2571251685651901E-3</v>
      </c>
      <c r="D28" s="17">
        <f t="shared" ref="D28:M28" si="10">D27/D6</f>
        <v>1.6055873683064541E-2</v>
      </c>
      <c r="E28" s="17">
        <f t="shared" si="10"/>
        <v>2.1991569345587617E-2</v>
      </c>
      <c r="F28" s="17">
        <f t="shared" si="10"/>
        <v>-1.7405500524690927E-2</v>
      </c>
      <c r="G28" s="17">
        <f t="shared" si="10"/>
        <v>7.0600172364626394E-3</v>
      </c>
      <c r="H28" s="17">
        <f t="shared" si="10"/>
        <v>2.3069242350460324E-2</v>
      </c>
      <c r="I28" s="17">
        <f t="shared" si="10"/>
        <v>7.8878068769358697E-2</v>
      </c>
      <c r="J28" s="17">
        <f t="shared" si="10"/>
        <v>6.3282237408704034E-2</v>
      </c>
      <c r="K28" s="17">
        <f t="shared" si="10"/>
        <v>1.7884401647320254E-2</v>
      </c>
      <c r="L28" s="17">
        <f t="shared" si="10"/>
        <v>-5.3391541386130052E-3</v>
      </c>
      <c r="M28" s="17">
        <f t="shared" si="10"/>
        <v>8.1471722114773049E-2</v>
      </c>
    </row>
    <row r="30" spans="2:13" x14ac:dyDescent="0.25">
      <c r="B30" t="s">
        <v>23</v>
      </c>
      <c r="C30" s="12">
        <f>IFERROR('Data Sheet'!B29,0)</f>
        <v>43.16</v>
      </c>
      <c r="D30" s="12">
        <f>IFERROR('Data Sheet'!C29,0)</f>
        <v>17.739999999999998</v>
      </c>
      <c r="E30" s="12">
        <f>IFERROR('Data Sheet'!D29,0)</f>
        <v>79.22</v>
      </c>
      <c r="F30" s="12">
        <f>IFERROR('Data Sheet'!E29,0)</f>
        <v>25.8</v>
      </c>
      <c r="G30" s="12">
        <f>IFERROR('Data Sheet'!F29,0)</f>
        <v>20.21</v>
      </c>
      <c r="H30" s="12">
        <f>IFERROR('Data Sheet'!G29,0)</f>
        <v>122.25</v>
      </c>
      <c r="I30" s="12">
        <f>IFERROR('Data Sheet'!H29,0)</f>
        <v>412.45</v>
      </c>
      <c r="J30" s="12">
        <f>IFERROR('Data Sheet'!I29,0)</f>
        <v>255.34</v>
      </c>
      <c r="K30" s="12">
        <f>IFERROR('Data Sheet'!J29,0)</f>
        <v>216.39</v>
      </c>
      <c r="L30" s="12">
        <f>IFERROR('Data Sheet'!K29,0)</f>
        <v>134.46</v>
      </c>
      <c r="M30" s="12">
        <f>IFERROR(SUM('Data Sheet'!H48:K48),0)</f>
        <v>302.98</v>
      </c>
    </row>
    <row r="31" spans="2:13" x14ac:dyDescent="0.25">
      <c r="B31" s="15" t="s">
        <v>26</v>
      </c>
      <c r="C31" s="17">
        <f>C30/C27</f>
        <v>-1.3158536585366145</v>
      </c>
      <c r="D31" s="17">
        <f t="shared" ref="D31:M31" si="11">D30/D27</f>
        <v>0.13074882075471692</v>
      </c>
      <c r="E31" s="17">
        <f t="shared" si="11"/>
        <v>0.49786324786325031</v>
      </c>
      <c r="F31" s="17">
        <f t="shared" si="11"/>
        <v>-0.25129054251485433</v>
      </c>
      <c r="G31" s="17">
        <f t="shared" si="11"/>
        <v>0.45101539834857546</v>
      </c>
      <c r="H31" s="17">
        <f t="shared" si="11"/>
        <v>0.59186637618010307</v>
      </c>
      <c r="I31" s="17">
        <f t="shared" si="11"/>
        <v>0.52516648204031224</v>
      </c>
      <c r="J31" s="17">
        <f t="shared" si="11"/>
        <v>0.56412522369264062</v>
      </c>
      <c r="K31" s="17">
        <f t="shared" si="11"/>
        <v>1.8599793708097041</v>
      </c>
      <c r="L31" s="17">
        <f t="shared" si="11"/>
        <v>-2.5808061420345707</v>
      </c>
      <c r="M31" s="17">
        <f t="shared" si="11"/>
        <v>0.21941875538625322</v>
      </c>
    </row>
    <row r="33" spans="2:13" x14ac:dyDescent="0.25">
      <c r="B33" t="s">
        <v>72</v>
      </c>
      <c r="C33" s="12">
        <f>IFERROR(C27-C30,0)</f>
        <v>-75.959999999999269</v>
      </c>
      <c r="D33" s="12">
        <f t="shared" ref="D33:M33" si="12">IFERROR(D27-D30,0)</f>
        <v>117.94000000000007</v>
      </c>
      <c r="E33" s="12">
        <f t="shared" si="12"/>
        <v>79.89999999999921</v>
      </c>
      <c r="F33" s="12">
        <f t="shared" si="12"/>
        <v>-128.46999999999963</v>
      </c>
      <c r="G33" s="12">
        <f t="shared" si="12"/>
        <v>24.60000000000074</v>
      </c>
      <c r="H33" s="12">
        <f t="shared" si="12"/>
        <v>84.2999999999995</v>
      </c>
      <c r="I33" s="12">
        <f t="shared" si="12"/>
        <v>372.9199999999999</v>
      </c>
      <c r="J33" s="12">
        <f t="shared" si="12"/>
        <v>197.29000000000016</v>
      </c>
      <c r="K33" s="12">
        <f t="shared" si="12"/>
        <v>-100.05000000000052</v>
      </c>
      <c r="L33" s="12">
        <f t="shared" si="12"/>
        <v>-186.55999999999958</v>
      </c>
      <c r="M33" s="12">
        <f t="shared" si="12"/>
        <v>1077.8499999999999</v>
      </c>
    </row>
    <row r="34" spans="2:13" x14ac:dyDescent="0.25">
      <c r="B34" s="15" t="s">
        <v>73</v>
      </c>
      <c r="C34" s="17">
        <f>C33/C6</f>
        <v>-9.8588788964699969E-3</v>
      </c>
      <c r="D34" s="17">
        <f t="shared" ref="D34:M34" si="13">D33/D6</f>
        <v>1.395658713281716E-2</v>
      </c>
      <c r="E34" s="17">
        <f t="shared" si="13"/>
        <v>1.1042775205583472E-2</v>
      </c>
      <c r="F34" s="17">
        <f t="shared" si="13"/>
        <v>-2.1779338194283095E-2</v>
      </c>
      <c r="G34" s="17">
        <f t="shared" si="13"/>
        <v>3.8758407502116335E-3</v>
      </c>
      <c r="H34" s="17">
        <f t="shared" si="13"/>
        <v>9.4153334792728086E-3</v>
      </c>
      <c r="I34" s="17">
        <f t="shared" si="13"/>
        <v>3.7453950883620767E-2</v>
      </c>
      <c r="J34" s="17">
        <f t="shared" si="13"/>
        <v>2.7583131074748083E-2</v>
      </c>
      <c r="K34" s="17">
        <f t="shared" si="13"/>
        <v>-1.538021647597051E-2</v>
      </c>
      <c r="L34" s="17">
        <f t="shared" si="13"/>
        <v>-1.9118475932814745E-2</v>
      </c>
      <c r="M34" s="17">
        <f t="shared" si="13"/>
        <v>6.3595298249174856E-2</v>
      </c>
    </row>
    <row r="36" spans="2:13" x14ac:dyDescent="0.25">
      <c r="B36" t="s">
        <v>74</v>
      </c>
      <c r="C36">
        <f>IFERROR('Data Sheet'!B93,0)</f>
        <v>26.29</v>
      </c>
      <c r="D36">
        <f>IFERROR('Data Sheet'!C93,0)</f>
        <v>26.32</v>
      </c>
      <c r="E36">
        <f>IFERROR('Data Sheet'!D93,0)</f>
        <v>26.52</v>
      </c>
      <c r="F36">
        <f>IFERROR('Data Sheet'!E93,0)</f>
        <v>26.52</v>
      </c>
      <c r="G36">
        <f>IFERROR('Data Sheet'!F93,0)</f>
        <v>26.52</v>
      </c>
      <c r="H36">
        <f>IFERROR('Data Sheet'!G93,0)</f>
        <v>26.52</v>
      </c>
      <c r="I36">
        <f>IFERROR('Data Sheet'!H93,0)</f>
        <v>26.09</v>
      </c>
      <c r="J36">
        <f>IFERROR('Data Sheet'!I93,0)</f>
        <v>26.09</v>
      </c>
      <c r="K36">
        <f>IFERROR('Data Sheet'!J93,0)</f>
        <v>26.09</v>
      </c>
      <c r="L36">
        <f>IFERROR('Data Sheet'!K93,0)</f>
        <v>26.15</v>
      </c>
      <c r="M36">
        <f>L36</f>
        <v>26.15</v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  <v>-2.8893115252947612</v>
      </c>
      <c r="D38" s="18">
        <f t="shared" ref="D38:M38" si="14">IFERROR(D33/D36,0)</f>
        <v>4.4810030395136806</v>
      </c>
      <c r="E38" s="18">
        <f t="shared" si="14"/>
        <v>3.012820512820483</v>
      </c>
      <c r="F38" s="18">
        <f t="shared" si="14"/>
        <v>-4.8442684766214041</v>
      </c>
      <c r="G38" s="18">
        <f t="shared" si="14"/>
        <v>0.92760180995477903</v>
      </c>
      <c r="H38" s="18">
        <f t="shared" si="14"/>
        <v>3.1787330316741893</v>
      </c>
      <c r="I38" s="18">
        <f t="shared" si="14"/>
        <v>14.293599080107317</v>
      </c>
      <c r="J38" s="18">
        <f t="shared" si="14"/>
        <v>7.5619011115369936</v>
      </c>
      <c r="K38" s="18">
        <f t="shared" si="14"/>
        <v>-3.8348026063626111</v>
      </c>
      <c r="L38" s="18">
        <f t="shared" si="14"/>
        <v>-7.134225621414898</v>
      </c>
      <c r="M38" s="18">
        <f t="shared" si="14"/>
        <v>41.217973231357554</v>
      </c>
    </row>
    <row r="39" spans="2:13" x14ac:dyDescent="0.25">
      <c r="B39" s="15" t="s">
        <v>77</v>
      </c>
      <c r="C39" s="17"/>
      <c r="D39" s="17">
        <f>IFERROR(D38/C38-1,0)</f>
        <v>-2.5508895459296443</v>
      </c>
      <c r="E39" s="17">
        <f t="shared" ref="E39:M39" si="15">IFERROR(E38/D38-1,0)</f>
        <v>-0.32764595644026573</v>
      </c>
      <c r="F39" s="17">
        <f t="shared" si="15"/>
        <v>-2.6078848560700987</v>
      </c>
      <c r="G39" s="17">
        <f t="shared" si="15"/>
        <v>-1.191484393243565</v>
      </c>
      <c r="H39" s="17">
        <f t="shared" si="15"/>
        <v>2.4268292682925594</v>
      </c>
      <c r="I39" s="17">
        <f t="shared" si="15"/>
        <v>3.4966340166601224</v>
      </c>
      <c r="J39" s="17">
        <f t="shared" si="15"/>
        <v>-0.47095891880295981</v>
      </c>
      <c r="K39" s="17">
        <f t="shared" si="15"/>
        <v>-1.5071214962745221</v>
      </c>
      <c r="L39" s="17">
        <f t="shared" si="15"/>
        <v>0.86038926999214116</v>
      </c>
      <c r="M39" s="17">
        <f t="shared" si="15"/>
        <v>-6.7774978559176802</v>
      </c>
    </row>
    <row r="41" spans="2:13" x14ac:dyDescent="0.25">
      <c r="B41" t="s">
        <v>75</v>
      </c>
      <c r="C41" s="12">
        <f>IFERROR('Data Sheet'!B31/HistoricalFS!C36,0)</f>
        <v>0.500190186382655</v>
      </c>
      <c r="D41" s="12">
        <f>IFERROR('Data Sheet'!C31/HistoricalFS!D36,0)</f>
        <v>0.5</v>
      </c>
      <c r="E41" s="12">
        <f>IFERROR('Data Sheet'!D31/HistoricalFS!E36,0)</f>
        <v>0.5</v>
      </c>
      <c r="F41" s="12">
        <f>IFERROR('Data Sheet'!E31/HistoricalFS!F36,0)</f>
        <v>0.5</v>
      </c>
      <c r="G41" s="12">
        <f>IFERROR('Data Sheet'!F31/HistoricalFS!G36,0)</f>
        <v>0.5</v>
      </c>
      <c r="H41" s="12">
        <f>IFERROR('Data Sheet'!G31/HistoricalFS!H36,0)</f>
        <v>0.5</v>
      </c>
      <c r="I41" s="12">
        <f>IFERROR('Data Sheet'!H31/HistoricalFS!I36,0)</f>
        <v>10.49904177845918</v>
      </c>
      <c r="J41" s="12">
        <f>IFERROR('Data Sheet'!I31/HistoricalFS!J36,0)</f>
        <v>4.9996167113836716</v>
      </c>
      <c r="K41" s="12">
        <f>IFERROR('Data Sheet'!J31/HistoricalFS!K36,0)</f>
        <v>5.0011498658489844</v>
      </c>
      <c r="L41" s="12">
        <f>IFERROR('Data Sheet'!K31/HistoricalFS!L36,0)</f>
        <v>5.0007648183556412</v>
      </c>
      <c r="M41" s="12">
        <f>IFERROR('Data Sheet'!L31/HistoricalFS!M36,0)</f>
        <v>0</v>
      </c>
    </row>
    <row r="42" spans="2:13" x14ac:dyDescent="0.25">
      <c r="B42" s="15" t="s">
        <v>78</v>
      </c>
      <c r="C42" s="17">
        <f>IFERROR(C41/C38,0)</f>
        <v>-0.17311743022643664</v>
      </c>
      <c r="D42" s="17">
        <f t="shared" ref="D42:M42" si="16">IFERROR(D41/D38,0)</f>
        <v>0.11158216042055276</v>
      </c>
      <c r="E42" s="17">
        <f t="shared" si="16"/>
        <v>0.16595744680851229</v>
      </c>
      <c r="F42" s="17">
        <f t="shared" si="16"/>
        <v>-0.10321475830933322</v>
      </c>
      <c r="G42" s="17">
        <f t="shared" si="16"/>
        <v>0.53902439024388626</v>
      </c>
      <c r="H42" s="17">
        <f t="shared" si="16"/>
        <v>0.15729537366548135</v>
      </c>
      <c r="I42" s="17">
        <f t="shared" si="16"/>
        <v>0.73452751260323956</v>
      </c>
      <c r="J42" s="17">
        <f t="shared" si="16"/>
        <v>0.66115870039028779</v>
      </c>
      <c r="K42" s="17">
        <f t="shared" si="16"/>
        <v>-1.3041479260369748</v>
      </c>
      <c r="L42" s="17">
        <f t="shared" si="16"/>
        <v>-0.7009541166380806</v>
      </c>
      <c r="M42" s="17">
        <f t="shared" si="16"/>
        <v>0</v>
      </c>
    </row>
    <row r="44" spans="2:13" x14ac:dyDescent="0.25">
      <c r="B44" t="s">
        <v>79</v>
      </c>
      <c r="C44" s="13">
        <f>IFERROR(IF(C38&gt;C41,1-C42,0),0)</f>
        <v>0</v>
      </c>
      <c r="D44" s="13">
        <f t="shared" ref="D44:M44" si="17">IFERROR(IF(D38&gt;D41,1-D42,0),0)</f>
        <v>0.8884178395794472</v>
      </c>
      <c r="E44" s="13">
        <f t="shared" si="17"/>
        <v>0.83404255319148768</v>
      </c>
      <c r="F44" s="13">
        <f t="shared" si="17"/>
        <v>0</v>
      </c>
      <c r="G44" s="13">
        <f t="shared" si="17"/>
        <v>0.46097560975611374</v>
      </c>
      <c r="H44" s="13">
        <f t="shared" si="17"/>
        <v>0.84270462633451859</v>
      </c>
      <c r="I44" s="13">
        <f t="shared" si="17"/>
        <v>0.26547248739676044</v>
      </c>
      <c r="J44" s="13">
        <f t="shared" si="17"/>
        <v>0.33884129960971221</v>
      </c>
      <c r="K44" s="13">
        <f t="shared" si="17"/>
        <v>0</v>
      </c>
      <c r="L44" s="13">
        <f t="shared" si="17"/>
        <v>0</v>
      </c>
      <c r="M44" s="13">
        <f t="shared" si="17"/>
        <v>1</v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  <v>131.47</v>
      </c>
      <c r="D52" s="12">
        <f>IFERROR('Data Sheet'!C57,0)</f>
        <v>131.59</v>
      </c>
      <c r="E52" s="12">
        <f>IFERROR('Data Sheet'!D57,0)</f>
        <v>132.61000000000001</v>
      </c>
      <c r="F52" s="12">
        <f>IFERROR('Data Sheet'!E57,0)</f>
        <v>132.61000000000001</v>
      </c>
      <c r="G52" s="12">
        <f>IFERROR('Data Sheet'!F57,0)</f>
        <v>132.61000000000001</v>
      </c>
      <c r="H52" s="12">
        <f>IFERROR('Data Sheet'!G57,0)</f>
        <v>132.61000000000001</v>
      </c>
      <c r="I52" s="12">
        <f>IFERROR('Data Sheet'!H57,0)</f>
        <v>130.44</v>
      </c>
      <c r="J52" s="12">
        <f>IFERROR('Data Sheet'!I57,0)</f>
        <v>130.44</v>
      </c>
      <c r="K52" s="12">
        <f>IFERROR('Data Sheet'!J57,0)</f>
        <v>130.47999999999999</v>
      </c>
      <c r="L52" s="12">
        <f>IFERROR('Data Sheet'!K57,0)</f>
        <v>130.77000000000001</v>
      </c>
    </row>
    <row r="53" spans="1:13" x14ac:dyDescent="0.25">
      <c r="B53" t="s">
        <v>33</v>
      </c>
      <c r="C53" s="12">
        <f>IFERROR('Data Sheet'!B58,0)</f>
        <v>2717.76</v>
      </c>
      <c r="D53" s="12">
        <f>IFERROR('Data Sheet'!C58,0)</f>
        <v>2667.23</v>
      </c>
      <c r="E53" s="12">
        <f>IFERROR('Data Sheet'!D58,0)</f>
        <v>2666.28</v>
      </c>
      <c r="F53" s="12">
        <f>IFERROR('Data Sheet'!E58,0)</f>
        <v>2676.82</v>
      </c>
      <c r="G53" s="12">
        <f>IFERROR('Data Sheet'!F58,0)</f>
        <v>2721.42</v>
      </c>
      <c r="H53" s="12">
        <f>IFERROR('Data Sheet'!G58,0)</f>
        <v>2665.03</v>
      </c>
      <c r="I53" s="12">
        <f>IFERROR('Data Sheet'!H58,0)</f>
        <v>3084.8</v>
      </c>
      <c r="J53" s="12">
        <f>IFERROR('Data Sheet'!I58,0)</f>
        <v>3952.31</v>
      </c>
      <c r="K53" s="12">
        <f>IFERROR('Data Sheet'!J58,0)</f>
        <v>4297.84</v>
      </c>
      <c r="L53" s="12">
        <f>IFERROR('Data Sheet'!K58,0)</f>
        <v>4582.37</v>
      </c>
    </row>
    <row r="54" spans="1:13" x14ac:dyDescent="0.25">
      <c r="B54" t="s">
        <v>34</v>
      </c>
      <c r="C54" s="12">
        <f>IFERROR('Data Sheet'!B59,0)</f>
        <v>3823.52</v>
      </c>
      <c r="D54" s="12">
        <f>IFERROR('Data Sheet'!C59,0)</f>
        <v>3020.55</v>
      </c>
      <c r="E54" s="12">
        <f>IFERROR('Data Sheet'!D59,0)</f>
        <v>2643.72</v>
      </c>
      <c r="F54" s="12">
        <f>IFERROR('Data Sheet'!E59,0)</f>
        <v>1842.98</v>
      </c>
      <c r="G54" s="12">
        <f>IFERROR('Data Sheet'!F59,0)</f>
        <v>1386.43</v>
      </c>
      <c r="H54" s="12">
        <f>IFERROR('Data Sheet'!G59,0)</f>
        <v>1304.7</v>
      </c>
      <c r="I54" s="12">
        <f>IFERROR('Data Sheet'!H59,0)</f>
        <v>1060.75</v>
      </c>
      <c r="J54" s="12">
        <f>IFERROR('Data Sheet'!I59,0)</f>
        <v>970.1</v>
      </c>
      <c r="K54" s="12">
        <f>IFERROR('Data Sheet'!J59,0)</f>
        <v>1654.51</v>
      </c>
      <c r="L54" s="12">
        <f>IFERROR('Data Sheet'!K59,0)</f>
        <v>3345.09</v>
      </c>
    </row>
    <row r="55" spans="1:13" x14ac:dyDescent="0.25">
      <c r="B55" t="s">
        <v>35</v>
      </c>
      <c r="C55" s="12">
        <f>IFERROR('Data Sheet'!B60,0)</f>
        <v>2157.4</v>
      </c>
      <c r="D55" s="12">
        <f>IFERROR('Data Sheet'!C60,0)</f>
        <v>3998.14</v>
      </c>
      <c r="E55" s="12">
        <f>IFERROR('Data Sheet'!D60,0)</f>
        <v>3194.69</v>
      </c>
      <c r="F55" s="12">
        <f>IFERROR('Data Sheet'!E60,0)</f>
        <v>3594.53</v>
      </c>
      <c r="G55" s="12">
        <f>IFERROR('Data Sheet'!F60,0)</f>
        <v>3452.45</v>
      </c>
      <c r="H55" s="12">
        <f>IFERROR('Data Sheet'!G60,0)</f>
        <v>4097.3900000000003</v>
      </c>
      <c r="I55" s="12">
        <f>IFERROR('Data Sheet'!H60,0)</f>
        <v>3667.07</v>
      </c>
      <c r="J55" s="12">
        <f>IFERROR('Data Sheet'!I60,0)</f>
        <v>2638.83</v>
      </c>
      <c r="K55" s="12">
        <f>IFERROR('Data Sheet'!J60,0)</f>
        <v>3086.02</v>
      </c>
      <c r="L55" s="12">
        <f>IFERROR('Data Sheet'!K60,0)</f>
        <v>7215.42</v>
      </c>
    </row>
    <row r="56" spans="1:13" x14ac:dyDescent="0.25">
      <c r="B56" s="11" t="s">
        <v>81</v>
      </c>
      <c r="C56" s="24">
        <f>IFERROR('Data Sheet'!B61,0)</f>
        <v>8830.15</v>
      </c>
      <c r="D56" s="24">
        <f>IFERROR('Data Sheet'!C61,0)</f>
        <v>9817.51</v>
      </c>
      <c r="E56" s="24">
        <f>IFERROR('Data Sheet'!D61,0)</f>
        <v>8637.2999999999993</v>
      </c>
      <c r="F56" s="24">
        <f>IFERROR('Data Sheet'!E61,0)</f>
        <v>8246.94</v>
      </c>
      <c r="G56" s="24">
        <f>IFERROR('Data Sheet'!F61,0)</f>
        <v>7692.91</v>
      </c>
      <c r="H56" s="24">
        <f>IFERROR('Data Sheet'!G61,0)</f>
        <v>8199.73</v>
      </c>
      <c r="I56" s="24">
        <f>IFERROR('Data Sheet'!H61,0)</f>
        <v>7943.06</v>
      </c>
      <c r="J56" s="24">
        <f>IFERROR('Data Sheet'!I61,0)</f>
        <v>7691.68</v>
      </c>
      <c r="K56" s="24">
        <f>IFERROR('Data Sheet'!J61,0)</f>
        <v>9168.85</v>
      </c>
      <c r="L56" s="24">
        <f>IFERROR('Data Sheet'!K61,0)</f>
        <v>15273.65</v>
      </c>
      <c r="M56" s="11"/>
    </row>
    <row r="58" spans="1:13" x14ac:dyDescent="0.25">
      <c r="B58" t="s">
        <v>82</v>
      </c>
      <c r="C58" s="12">
        <f>IFERROR('Data Sheet'!B62,0)</f>
        <v>4923.1099999999997</v>
      </c>
      <c r="D58" s="12">
        <f>IFERROR('Data Sheet'!C62,0)</f>
        <v>4661.8599999999997</v>
      </c>
      <c r="E58" s="12">
        <f>IFERROR('Data Sheet'!D62,0)</f>
        <v>3730.46</v>
      </c>
      <c r="F58" s="12">
        <f>IFERROR('Data Sheet'!E62,0)</f>
        <v>3355.89</v>
      </c>
      <c r="G58" s="12">
        <f>IFERROR('Data Sheet'!F62,0)</f>
        <v>3045.8</v>
      </c>
      <c r="H58" s="12">
        <f>IFERROR('Data Sheet'!G62,0)</f>
        <v>1567.38</v>
      </c>
      <c r="I58" s="12">
        <f>IFERROR('Data Sheet'!H62,0)</f>
        <v>1617.12</v>
      </c>
      <c r="J58" s="12">
        <f>IFERROR('Data Sheet'!I62,0)</f>
        <v>2599.04</v>
      </c>
      <c r="K58" s="12">
        <f>IFERROR('Data Sheet'!J62,0)</f>
        <v>2433.2399999999998</v>
      </c>
      <c r="L58" s="12">
        <f>IFERROR('Data Sheet'!K62,0)</f>
        <v>4909.9799999999996</v>
      </c>
    </row>
    <row r="59" spans="1:13" x14ac:dyDescent="0.25">
      <c r="B59" t="s">
        <v>38</v>
      </c>
      <c r="C59" s="12">
        <f>IFERROR('Data Sheet'!B63,0)</f>
        <v>114.57</v>
      </c>
      <c r="D59" s="12">
        <f>IFERROR('Data Sheet'!C63,0)</f>
        <v>80.08</v>
      </c>
      <c r="E59" s="12">
        <f>IFERROR('Data Sheet'!D63,0)</f>
        <v>34.44</v>
      </c>
      <c r="F59" s="12">
        <f>IFERROR('Data Sheet'!E63,0)</f>
        <v>32.229999999999997</v>
      </c>
      <c r="G59" s="12">
        <f>IFERROR('Data Sheet'!F63,0)</f>
        <v>16.57</v>
      </c>
      <c r="H59" s="12">
        <f>IFERROR('Data Sheet'!G63,0)</f>
        <v>46.98</v>
      </c>
      <c r="I59" s="12">
        <f>IFERROR('Data Sheet'!H63,0)</f>
        <v>82.51</v>
      </c>
      <c r="J59" s="12">
        <f>IFERROR('Data Sheet'!I63,0)</f>
        <v>147.22999999999999</v>
      </c>
      <c r="K59" s="12">
        <f>IFERROR('Data Sheet'!J63,0)</f>
        <v>1261.27</v>
      </c>
      <c r="L59" s="12">
        <f>IFERROR('Data Sheet'!K63,0)</f>
        <v>86.9</v>
      </c>
    </row>
    <row r="60" spans="1:13" x14ac:dyDescent="0.25">
      <c r="B60" t="s">
        <v>39</v>
      </c>
      <c r="C60" s="12">
        <f>IFERROR('Data Sheet'!B64,0)</f>
        <v>1139.81</v>
      </c>
      <c r="D60" s="12">
        <f>IFERROR('Data Sheet'!C64,0)</f>
        <v>804.86</v>
      </c>
      <c r="E60" s="12">
        <f>IFERROR('Data Sheet'!D64,0)</f>
        <v>1017.35</v>
      </c>
      <c r="F60" s="12">
        <f>IFERROR('Data Sheet'!E64,0)</f>
        <v>725.28</v>
      </c>
      <c r="G60" s="12">
        <f>IFERROR('Data Sheet'!F64,0)</f>
        <v>487.62</v>
      </c>
      <c r="H60" s="12">
        <f>IFERROR('Data Sheet'!G64,0)</f>
        <v>475.6</v>
      </c>
      <c r="I60" s="12">
        <f>IFERROR('Data Sheet'!H64,0)</f>
        <v>783.55</v>
      </c>
      <c r="J60" s="12">
        <f>IFERROR('Data Sheet'!I64,0)</f>
        <v>1712.61</v>
      </c>
      <c r="K60" s="12">
        <f>IFERROR('Data Sheet'!J64,0)</f>
        <v>2306.7199999999998</v>
      </c>
      <c r="L60" s="12">
        <f>IFERROR('Data Sheet'!K64,0)</f>
        <v>1537.17</v>
      </c>
    </row>
    <row r="61" spans="1:13" x14ac:dyDescent="0.25">
      <c r="B61" t="s">
        <v>40</v>
      </c>
      <c r="C61" s="12">
        <f>IFERROR('Data Sheet'!B65-SUM('Data Sheet'!B67:B69),0)</f>
        <v>592.92000000000007</v>
      </c>
      <c r="D61" s="12">
        <f>IFERROR('Data Sheet'!C65-SUM('Data Sheet'!C67:C69),0)</f>
        <v>599.69999999999982</v>
      </c>
      <c r="E61" s="12">
        <f>IFERROR('Data Sheet'!D65-SUM('Data Sheet'!D67:D69),0)</f>
        <v>605.63000000000011</v>
      </c>
      <c r="F61" s="12">
        <f>IFERROR('Data Sheet'!E65-SUM('Data Sheet'!E67:E69),0)</f>
        <v>674.06999999999971</v>
      </c>
      <c r="G61" s="12">
        <f>IFERROR('Data Sheet'!F65-SUM('Data Sheet'!F67:F69),0)</f>
        <v>688.81</v>
      </c>
      <c r="H61" s="12">
        <f>IFERROR('Data Sheet'!G65-SUM('Data Sheet'!G67:G69),0)</f>
        <v>2035.9</v>
      </c>
      <c r="I61" s="12">
        <f>IFERROR('Data Sheet'!H65-SUM('Data Sheet'!H67:H69),0)</f>
        <v>1431.0600000000004</v>
      </c>
      <c r="J61" s="12">
        <f>IFERROR('Data Sheet'!I65-SUM('Data Sheet'!I67:I69),0)</f>
        <v>1092.1200000000003</v>
      </c>
      <c r="K61" s="12">
        <f>IFERROR('Data Sheet'!J65-SUM('Data Sheet'!J67:J69),0)</f>
        <v>634.11999999999989</v>
      </c>
      <c r="L61" s="12">
        <f>IFERROR('Data Sheet'!K65-SUM('Data Sheet'!K67:K69),0)</f>
        <v>710.68000000000029</v>
      </c>
    </row>
    <row r="62" spans="1:13" x14ac:dyDescent="0.25">
      <c r="B62" s="11" t="s">
        <v>83</v>
      </c>
      <c r="C62" s="24">
        <f>SUM(C58:C61)</f>
        <v>6770.41</v>
      </c>
      <c r="D62" s="24">
        <f t="shared" ref="D62:L62" si="18">SUM(D58:D61)</f>
        <v>6146.4999999999991</v>
      </c>
      <c r="E62" s="24">
        <f t="shared" si="18"/>
        <v>5387.88</v>
      </c>
      <c r="F62" s="24">
        <f t="shared" si="18"/>
        <v>4787.4699999999993</v>
      </c>
      <c r="G62" s="24">
        <f t="shared" si="18"/>
        <v>4238.8</v>
      </c>
      <c r="H62" s="24">
        <f t="shared" si="18"/>
        <v>4125.8600000000006</v>
      </c>
      <c r="I62" s="24">
        <f t="shared" si="18"/>
        <v>3914.2400000000002</v>
      </c>
      <c r="J62" s="24">
        <f t="shared" si="18"/>
        <v>5551</v>
      </c>
      <c r="K62" s="24">
        <f t="shared" si="18"/>
        <v>6635.3499999999995</v>
      </c>
      <c r="L62" s="24">
        <f t="shared" si="18"/>
        <v>7244.73</v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  <v>637.38</v>
      </c>
      <c r="D64" s="12">
        <f>IFERROR('Data Sheet'!C67,0)</f>
        <v>1130.05</v>
      </c>
      <c r="E64" s="12">
        <f>IFERROR('Data Sheet'!D67,0)</f>
        <v>1400.67</v>
      </c>
      <c r="F64" s="12">
        <f>IFERROR('Data Sheet'!E67,0)</f>
        <v>1465.19</v>
      </c>
      <c r="G64" s="12">
        <f>IFERROR('Data Sheet'!F67,0)</f>
        <v>1314.06</v>
      </c>
      <c r="H64" s="12">
        <f>IFERROR('Data Sheet'!G67,0)</f>
        <v>1180.69</v>
      </c>
      <c r="I64" s="12">
        <f>IFERROR('Data Sheet'!H67,0)</f>
        <v>1247.03</v>
      </c>
      <c r="J64" s="12">
        <f>IFERROR('Data Sheet'!I67,0)</f>
        <v>668.8</v>
      </c>
      <c r="K64" s="12">
        <f>IFERROR('Data Sheet'!J67,0)</f>
        <v>812.56</v>
      </c>
      <c r="L64" s="12">
        <f>IFERROR('Data Sheet'!K67,0)</f>
        <v>1140.47</v>
      </c>
    </row>
    <row r="65" spans="1:13" x14ac:dyDescent="0.25">
      <c r="B65" t="s">
        <v>42</v>
      </c>
      <c r="C65" s="12">
        <f>IFERROR('Data Sheet'!B68,0)</f>
        <v>1281.53</v>
      </c>
      <c r="D65" s="12">
        <f>IFERROR('Data Sheet'!C68,0)</f>
        <v>2208.21</v>
      </c>
      <c r="E65" s="12">
        <f>IFERROR('Data Sheet'!D68,0)</f>
        <v>1293.19</v>
      </c>
      <c r="F65" s="12">
        <f>IFERROR('Data Sheet'!E68,0)</f>
        <v>1764.66</v>
      </c>
      <c r="G65" s="12">
        <f>IFERROR('Data Sheet'!F68,0)</f>
        <v>1511.86</v>
      </c>
      <c r="H65" s="12">
        <f>IFERROR('Data Sheet'!G68,0)</f>
        <v>2222.7600000000002</v>
      </c>
      <c r="I65" s="12">
        <f>IFERROR('Data Sheet'!H68,0)</f>
        <v>2268.1999999999998</v>
      </c>
      <c r="J65" s="12">
        <f>IFERROR('Data Sheet'!I68,0)</f>
        <v>1212.99</v>
      </c>
      <c r="K65" s="12">
        <f>IFERROR('Data Sheet'!J68,0)</f>
        <v>1019.46</v>
      </c>
      <c r="L65" s="12">
        <f>IFERROR('Data Sheet'!K68,0)</f>
        <v>5686.16</v>
      </c>
    </row>
    <row r="66" spans="1:13" x14ac:dyDescent="0.25">
      <c r="B66" t="s">
        <v>43</v>
      </c>
      <c r="C66" s="12">
        <f>IFERROR('Data Sheet'!B69,0)</f>
        <v>140.83000000000001</v>
      </c>
      <c r="D66" s="12">
        <f>IFERROR('Data Sheet'!C69,0)</f>
        <v>332.75</v>
      </c>
      <c r="E66" s="12">
        <f>IFERROR('Data Sheet'!D69,0)</f>
        <v>555.55999999999995</v>
      </c>
      <c r="F66" s="12">
        <f>IFERROR('Data Sheet'!E69,0)</f>
        <v>229.62</v>
      </c>
      <c r="G66" s="12">
        <f>IFERROR('Data Sheet'!F69,0)</f>
        <v>628.19000000000005</v>
      </c>
      <c r="H66" s="12">
        <f>IFERROR('Data Sheet'!G69,0)</f>
        <v>670.42</v>
      </c>
      <c r="I66" s="12">
        <f>IFERROR('Data Sheet'!H69,0)</f>
        <v>513.59</v>
      </c>
      <c r="J66" s="12">
        <f>IFERROR('Data Sheet'!I69,0)</f>
        <v>258.89</v>
      </c>
      <c r="K66" s="12">
        <f>IFERROR('Data Sheet'!J69,0)</f>
        <v>701.48</v>
      </c>
      <c r="L66" s="12">
        <f>IFERROR('Data Sheet'!K69,0)</f>
        <v>1202.29</v>
      </c>
    </row>
    <row r="67" spans="1:13" x14ac:dyDescent="0.25">
      <c r="B67" s="11" t="s">
        <v>84</v>
      </c>
      <c r="C67" s="24">
        <f>IFERROR(SUM(C64:C66),0)</f>
        <v>2059.7399999999998</v>
      </c>
      <c r="D67" s="24">
        <f t="shared" ref="D67:L67" si="19">IFERROR(SUM(D64:D66),0)</f>
        <v>3671.01</v>
      </c>
      <c r="E67" s="24">
        <f t="shared" si="19"/>
        <v>3249.42</v>
      </c>
      <c r="F67" s="24">
        <f t="shared" si="19"/>
        <v>3459.4700000000003</v>
      </c>
      <c r="G67" s="24">
        <f t="shared" si="19"/>
        <v>3454.11</v>
      </c>
      <c r="H67" s="24">
        <f t="shared" si="19"/>
        <v>4073.8700000000003</v>
      </c>
      <c r="I67" s="24">
        <f t="shared" si="19"/>
        <v>4028.8199999999997</v>
      </c>
      <c r="J67" s="24">
        <f t="shared" si="19"/>
        <v>2140.6799999999998</v>
      </c>
      <c r="K67" s="24">
        <f t="shared" si="19"/>
        <v>2533.5</v>
      </c>
      <c r="L67" s="24">
        <f t="shared" si="19"/>
        <v>8028.92</v>
      </c>
    </row>
    <row r="69" spans="1:13" x14ac:dyDescent="0.25">
      <c r="B69" s="11" t="s">
        <v>85</v>
      </c>
      <c r="C69" s="24">
        <f>IFERROR(C67+C62,0)</f>
        <v>8830.15</v>
      </c>
      <c r="D69" s="24">
        <f t="shared" ref="D69:L69" si="20">IFERROR(D67+D62,0)</f>
        <v>9817.5099999999984</v>
      </c>
      <c r="E69" s="24">
        <f t="shared" si="20"/>
        <v>8637.2999999999993</v>
      </c>
      <c r="F69" s="24">
        <f t="shared" si="20"/>
        <v>8246.9399999999987</v>
      </c>
      <c r="G69" s="24">
        <f t="shared" si="20"/>
        <v>7692.91</v>
      </c>
      <c r="H69" s="24">
        <f t="shared" si="20"/>
        <v>8199.7300000000014</v>
      </c>
      <c r="I69" s="24">
        <f t="shared" si="20"/>
        <v>7943.0599999999995</v>
      </c>
      <c r="J69" s="24">
        <f t="shared" si="20"/>
        <v>7691.68</v>
      </c>
      <c r="K69" s="24">
        <f t="shared" si="20"/>
        <v>9168.8499999999985</v>
      </c>
      <c r="L69" s="24">
        <f t="shared" si="20"/>
        <v>15273.65</v>
      </c>
    </row>
    <row r="71" spans="1:13" x14ac:dyDescent="0.25">
      <c r="B71" s="14" t="s">
        <v>86</v>
      </c>
      <c r="C71" s="14" t="b">
        <f>C69=C56</f>
        <v>1</v>
      </c>
      <c r="D71" s="14" t="b">
        <f t="shared" ref="D71:L71" si="21">D69=D56</f>
        <v>1</v>
      </c>
      <c r="E71" s="14" t="b">
        <f t="shared" si="21"/>
        <v>1</v>
      </c>
      <c r="F71" s="14" t="b">
        <f t="shared" si="21"/>
        <v>1</v>
      </c>
      <c r="G71" s="14" t="b">
        <f t="shared" si="21"/>
        <v>1</v>
      </c>
      <c r="H71" s="14" t="b">
        <f t="shared" si="21"/>
        <v>1</v>
      </c>
      <c r="I71" s="14" t="b">
        <f t="shared" si="21"/>
        <v>1</v>
      </c>
      <c r="J71" s="14" t="b">
        <f t="shared" si="21"/>
        <v>1</v>
      </c>
      <c r="K71" s="14" t="b">
        <f t="shared" si="21"/>
        <v>1</v>
      </c>
      <c r="L71" s="14" t="b">
        <f t="shared" si="21"/>
        <v>1</v>
      </c>
    </row>
    <row r="72" spans="1:13" ht="6.75" customHeight="1" x14ac:dyDescent="0.25"/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  <v>227</v>
      </c>
      <c r="D75" s="12">
        <f>'Data Sheet'!C82</f>
        <v>901.13</v>
      </c>
      <c r="E75" s="12">
        <f>'Data Sheet'!D82</f>
        <v>354.29</v>
      </c>
      <c r="F75" s="12">
        <f>'Data Sheet'!E82</f>
        <v>402.52</v>
      </c>
      <c r="G75" s="12">
        <f>'Data Sheet'!F82</f>
        <v>981.36</v>
      </c>
      <c r="H75" s="12">
        <f>'Data Sheet'!G82</f>
        <v>623.33000000000004</v>
      </c>
      <c r="I75" s="12">
        <f>'Data Sheet'!H82</f>
        <v>648.13</v>
      </c>
      <c r="J75" s="12">
        <f>'Data Sheet'!I82</f>
        <v>774.49</v>
      </c>
      <c r="K75" s="12">
        <f>'Data Sheet'!J82</f>
        <v>218.47</v>
      </c>
      <c r="L75" s="12">
        <f>'Data Sheet'!K82</f>
        <v>-185.13</v>
      </c>
    </row>
    <row r="77" spans="1:13" x14ac:dyDescent="0.25">
      <c r="B77" t="s">
        <v>89</v>
      </c>
      <c r="C77" s="12">
        <f>'Data Sheet'!B83</f>
        <v>-228.76</v>
      </c>
      <c r="D77" s="12">
        <f>'Data Sheet'!C83</f>
        <v>337.71</v>
      </c>
      <c r="E77" s="12">
        <f>'Data Sheet'!D83</f>
        <v>-326.33999999999997</v>
      </c>
      <c r="F77" s="12">
        <f>'Data Sheet'!E83</f>
        <v>618.1</v>
      </c>
      <c r="G77" s="12">
        <f>'Data Sheet'!F83</f>
        <v>184.19</v>
      </c>
      <c r="H77" s="12">
        <f>'Data Sheet'!G83</f>
        <v>-254.64</v>
      </c>
      <c r="I77" s="12">
        <f>'Data Sheet'!H83</f>
        <v>-48.89</v>
      </c>
      <c r="J77" s="12">
        <f>'Data Sheet'!I83</f>
        <v>-847.68</v>
      </c>
      <c r="K77" s="12">
        <f>'Data Sheet'!J83</f>
        <v>-200.8</v>
      </c>
      <c r="L77" s="12">
        <f>'Data Sheet'!K83</f>
        <v>-347.5</v>
      </c>
    </row>
    <row r="79" spans="1:13" x14ac:dyDescent="0.25">
      <c r="B79" t="s">
        <v>90</v>
      </c>
      <c r="C79" s="12">
        <f>'Data Sheet'!B84</f>
        <v>-526.53</v>
      </c>
      <c r="D79" s="12">
        <f>'Data Sheet'!C84</f>
        <v>-1105.83</v>
      </c>
      <c r="E79" s="12">
        <f>'Data Sheet'!D84</f>
        <v>-98.7</v>
      </c>
      <c r="F79" s="12">
        <f>'Data Sheet'!E84</f>
        <v>-978.69</v>
      </c>
      <c r="G79" s="12">
        <f>'Data Sheet'!F84</f>
        <v>-760.88</v>
      </c>
      <c r="H79" s="12">
        <f>'Data Sheet'!G84</f>
        <v>-335.3</v>
      </c>
      <c r="I79" s="12">
        <f>'Data Sheet'!H84</f>
        <v>-743.09</v>
      </c>
      <c r="J79" s="12">
        <f>'Data Sheet'!I84</f>
        <v>-198.12</v>
      </c>
      <c r="K79" s="12">
        <f>'Data Sheet'!J84</f>
        <v>452.74</v>
      </c>
      <c r="L79" s="12">
        <f>'Data Sheet'!K84</f>
        <v>908.76</v>
      </c>
    </row>
    <row r="81" spans="2:12" x14ac:dyDescent="0.25">
      <c r="B81" s="11" t="s">
        <v>51</v>
      </c>
      <c r="C81" s="24">
        <f t="shared" ref="C81:L81" si="22">IFERROR(C75+C77+C79,0)</f>
        <v>-528.29</v>
      </c>
      <c r="D81" s="24">
        <f t="shared" si="22"/>
        <v>133.01</v>
      </c>
      <c r="E81" s="24">
        <f t="shared" si="22"/>
        <v>-70.749999999999957</v>
      </c>
      <c r="F81" s="24">
        <f t="shared" si="22"/>
        <v>41.92999999999995</v>
      </c>
      <c r="G81" s="24">
        <f t="shared" si="22"/>
        <v>404.66999999999996</v>
      </c>
      <c r="H81" s="24">
        <f t="shared" si="22"/>
        <v>33.390000000000043</v>
      </c>
      <c r="I81" s="24">
        <f t="shared" si="22"/>
        <v>-143.85000000000002</v>
      </c>
      <c r="J81" s="24">
        <f t="shared" si="22"/>
        <v>-271.30999999999995</v>
      </c>
      <c r="K81" s="24">
        <f t="shared" si="22"/>
        <v>470.40999999999997</v>
      </c>
      <c r="L81" s="24">
        <f t="shared" si="22"/>
        <v>376.13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9 C15:L15 M21 M24 M3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1"/>
  <sheetViews>
    <sheetView showGridLines="0" topLeftCell="A20" zoomScale="80" zoomScaleNormal="80" workbookViewId="0">
      <selection activeCell="T8" sqref="T8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9" max="9" width="9.85546875" bestFit="1" customWidth="1"/>
    <col min="10" max="10" width="12" customWidth="1"/>
    <col min="11" max="11" width="10" bestFit="1" customWidth="1"/>
    <col min="12" max="12" width="25.28515625" customWidth="1"/>
    <col min="13" max="13" width="8.85546875" bestFit="1" customWidth="1"/>
    <col min="14" max="14" width="8.42578125" bestFit="1" customWidth="1"/>
  </cols>
  <sheetData>
    <row r="2" spans="2:14" x14ac:dyDescent="0.25">
      <c r="B2" s="68" t="str">
        <f>"Ratio Analysis of - "&amp;'Data Sheet'!B1</f>
        <v>Ratio Analysis of - WELSPUN CORP LTD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6.75" customHeight="1" x14ac:dyDescent="0.25"/>
    <row r="4" spans="2:14" x14ac:dyDescent="0.25">
      <c r="B4" s="53" t="s">
        <v>55</v>
      </c>
      <c r="C4" s="54">
        <f>'Data Sheet'!B16</f>
        <v>41729</v>
      </c>
      <c r="D4" s="54">
        <f>'Data Sheet'!C16</f>
        <v>42094</v>
      </c>
      <c r="E4" s="54">
        <f>'Data Sheet'!D16</f>
        <v>42460</v>
      </c>
      <c r="F4" s="54">
        <f>'Data Sheet'!E16</f>
        <v>42825</v>
      </c>
      <c r="G4" s="54">
        <f>'Data Sheet'!F16</f>
        <v>43190</v>
      </c>
      <c r="H4" s="54">
        <f>'Data Sheet'!G16</f>
        <v>43555</v>
      </c>
      <c r="I4" s="54">
        <f>'Data Sheet'!H16</f>
        <v>43921</v>
      </c>
      <c r="J4" s="54">
        <f>'Data Sheet'!I16</f>
        <v>44286</v>
      </c>
      <c r="K4" s="54">
        <f>'Data Sheet'!J16</f>
        <v>44651</v>
      </c>
      <c r="L4" s="55" t="s">
        <v>121</v>
      </c>
      <c r="M4" s="56" t="s">
        <v>122</v>
      </c>
      <c r="N4" s="57" t="s">
        <v>123</v>
      </c>
    </row>
    <row r="6" spans="2:14" x14ac:dyDescent="0.25">
      <c r="B6" s="28" t="s">
        <v>95</v>
      </c>
      <c r="C6" s="28"/>
      <c r="D6" s="29">
        <f>IFERROR(HistoricalFS!D7,0)</f>
        <v>9.6792489808208648E-2</v>
      </c>
      <c r="E6" s="29">
        <f>IFERROR(HistoricalFS!E7,0)</f>
        <v>-0.14377746142531378</v>
      </c>
      <c r="F6" s="29">
        <f>IFERROR(HistoricalFS!F7,0)</f>
        <v>-0.18475433625872439</v>
      </c>
      <c r="G6" s="29">
        <f>IFERROR(HistoricalFS!G7,0)</f>
        <v>7.5999667723960052E-2</v>
      </c>
      <c r="H6" s="29">
        <f>IFERROR(HistoricalFS!H7,0)</f>
        <v>0.41066108293511427</v>
      </c>
      <c r="I6" s="29">
        <f>IFERROR(HistoricalFS!I7,0)</f>
        <v>0.1120547541291208</v>
      </c>
      <c r="J6" s="29">
        <f>IFERROR(HistoricalFS!J7,0)</f>
        <v>-0.28163780185522191</v>
      </c>
      <c r="K6" s="29">
        <f>IFERROR(HistoricalFS!K7,0)</f>
        <v>-9.0520037580950174E-2</v>
      </c>
      <c r="L6" s="41"/>
      <c r="M6" s="29">
        <f>IFERROR(AVERAGE(D6:K6),0)</f>
        <v>-6.4770531547581056E-4</v>
      </c>
      <c r="N6" s="29">
        <f>IFERROR(MEDIAN(C6:K6),0)</f>
        <v>-7.2601849284950615E-3</v>
      </c>
    </row>
    <row r="7" spans="2:14" x14ac:dyDescent="0.25">
      <c r="B7" s="30" t="s">
        <v>101</v>
      </c>
      <c r="C7" s="30"/>
      <c r="D7" s="31">
        <f>IFERROR(HistoricalFS!D18/HistoricalFS!C18-1,0)</f>
        <v>0.27662337662337522</v>
      </c>
      <c r="E7" s="31">
        <f>IFERROR(HistoricalFS!E18/HistoricalFS!D18-1,0)</f>
        <v>-8.0062206943324776E-2</v>
      </c>
      <c r="F7" s="31">
        <f>IFERROR(HistoricalFS!F18/HistoricalFS!E18-1,0)</f>
        <v>-0.34016320512494491</v>
      </c>
      <c r="G7" s="31">
        <f>IFERROR(HistoricalFS!G18/HistoricalFS!F18-1,0)</f>
        <v>-8.8611496378485755E-2</v>
      </c>
      <c r="H7" s="31">
        <f>IFERROR(HistoricalFS!H18/HistoricalFS!G18-1,0)</f>
        <v>0.36043709841054783</v>
      </c>
      <c r="I7" s="31">
        <f>IFERROR(HistoricalFS!I18/HistoricalFS!H18-1,0)</f>
        <v>0.80638545793521432</v>
      </c>
      <c r="J7" s="31">
        <f>IFERROR(HistoricalFS!J18/HistoricalFS!I18-1,0)</f>
        <v>-0.32565280214676418</v>
      </c>
      <c r="K7" s="31">
        <f>IFERROR(HistoricalFS!K18/HistoricalFS!J18-1,0)</f>
        <v>-0.39674765639946519</v>
      </c>
      <c r="L7" s="42"/>
      <c r="M7" s="31">
        <f>IFERROR(AVERAGE(D7:K7),0)</f>
        <v>2.652607074701907E-2</v>
      </c>
      <c r="N7" s="31">
        <f>IFERROR(MEDIAN(C7:K7),0)</f>
        <v>-8.4336851660905265E-2</v>
      </c>
    </row>
    <row r="8" spans="2:14" x14ac:dyDescent="0.25">
      <c r="B8" s="30" t="s">
        <v>96</v>
      </c>
      <c r="C8" s="30"/>
      <c r="D8" s="31">
        <f>IFERROR(HistoricalFS!D27/HistoricalFS!C27-1,0)</f>
        <v>-5.1365853658537519</v>
      </c>
      <c r="E8" s="31">
        <f>IFERROR(HistoricalFS!E27/HistoricalFS!D27-1,0)</f>
        <v>0.17275943396225779</v>
      </c>
      <c r="F8" s="31">
        <f>IFERROR(HistoricalFS!F27/HistoricalFS!E27-1,0)</f>
        <v>-1.6452362996480652</v>
      </c>
      <c r="G8" s="31">
        <f>IFERROR(HistoricalFS!G27/HistoricalFS!F27-1,0)</f>
        <v>-1.4364468686081708</v>
      </c>
      <c r="H8" s="31">
        <f>IFERROR(HistoricalFS!H27/HistoricalFS!G27-1,0)</f>
        <v>3.6094621736218722</v>
      </c>
      <c r="I8" s="31">
        <f>IFERROR(HistoricalFS!I27/HistoricalFS!H27-1,0)</f>
        <v>2.8023238925199796</v>
      </c>
      <c r="J8" s="31">
        <f>IFERROR(HistoricalFS!J27/HistoricalFS!I27-1,0)</f>
        <v>-0.42367291849701383</v>
      </c>
      <c r="K8" s="31">
        <f>IFERROR(HistoricalFS!K27/HistoricalFS!J27-1,0)</f>
        <v>-0.74296887082164376</v>
      </c>
      <c r="L8" s="42"/>
      <c r="M8" s="31">
        <f>IFERROR(AVERAGE(D8:K8),0)</f>
        <v>-0.35004560291556686</v>
      </c>
      <c r="N8" s="31">
        <f>IFERROR(MEDIAN(C8:K8),0)</f>
        <v>-0.58332089465932879</v>
      </c>
    </row>
    <row r="9" spans="2:14" x14ac:dyDescent="0.25">
      <c r="B9" s="30" t="s">
        <v>100</v>
      </c>
      <c r="C9" s="30"/>
      <c r="D9" s="31">
        <f>IFERROR(HistoricalFS!D33/HistoricalFS!C33-1,0)</f>
        <v>-2.5526592943654713</v>
      </c>
      <c r="E9" s="31">
        <f>IFERROR(HistoricalFS!E33/HistoricalFS!D33-1,0)</f>
        <v>-0.32253688316093643</v>
      </c>
      <c r="F9" s="31">
        <f>IFERROR(HistoricalFS!F33/HistoricalFS!E33-1,0)</f>
        <v>-2.6078848560700987</v>
      </c>
      <c r="G9" s="31">
        <f>IFERROR(HistoricalFS!G33/HistoricalFS!F33-1,0)</f>
        <v>-1.191484393243565</v>
      </c>
      <c r="H9" s="31">
        <f>IFERROR(HistoricalFS!H33/HistoricalFS!G33-1,0)</f>
        <v>2.4268292682925594</v>
      </c>
      <c r="I9" s="31">
        <f>IFERROR(HistoricalFS!I33/HistoricalFS!H33-1,0)</f>
        <v>3.4237247924080911</v>
      </c>
      <c r="J9" s="31">
        <f>IFERROR(HistoricalFS!J33/HistoricalFS!I33-1,0)</f>
        <v>-0.47095891880295981</v>
      </c>
      <c r="K9" s="31">
        <f>IFERROR(HistoricalFS!K33/HistoricalFS!J33-1,0)</f>
        <v>-1.5071214962745221</v>
      </c>
      <c r="L9" s="42"/>
      <c r="M9" s="31">
        <f>IFERROR(AVERAGE(D9:K9),0)</f>
        <v>-0.35026147265211283</v>
      </c>
      <c r="N9" s="31">
        <f>IFERROR(MEDIAN(C9:K9),0)</f>
        <v>-0.83122165602326237</v>
      </c>
    </row>
    <row r="10" spans="2:14" x14ac:dyDescent="0.25">
      <c r="B10" s="32" t="s">
        <v>99</v>
      </c>
      <c r="C10" s="32"/>
      <c r="D10" s="33">
        <f>IFERROR(HistoricalFS!D41/HistoricalFS!C41-1,0)</f>
        <v>-3.8022813688209922E-4</v>
      </c>
      <c r="E10" s="33">
        <f>IFERROR(HistoricalFS!E41/HistoricalFS!D41-1,0)</f>
        <v>0</v>
      </c>
      <c r="F10" s="33">
        <f>IFERROR(HistoricalFS!F41/HistoricalFS!E41-1,0)</f>
        <v>0</v>
      </c>
      <c r="G10" s="33">
        <f>IFERROR(HistoricalFS!G41/HistoricalFS!F41-1,0)</f>
        <v>0</v>
      </c>
      <c r="H10" s="33">
        <f>IFERROR(HistoricalFS!H41/HistoricalFS!G41-1,0)</f>
        <v>0</v>
      </c>
      <c r="I10" s="33">
        <f>IFERROR(HistoricalFS!I41/HistoricalFS!H41-1,0)</f>
        <v>19.99808355691836</v>
      </c>
      <c r="J10" s="33">
        <f>IFERROR(HistoricalFS!J41/HistoricalFS!I41-1,0)</f>
        <v>-0.52380257009345799</v>
      </c>
      <c r="K10" s="33">
        <f>IFERROR(HistoricalFS!K41/HistoricalFS!J41-1,0)</f>
        <v>3.0665440049082449E-4</v>
      </c>
      <c r="L10" s="43"/>
      <c r="M10" s="33">
        <f>IFERROR(AVERAGE(D10:K10),0)</f>
        <v>2.4342759266360634</v>
      </c>
      <c r="N10" s="33">
        <f>IFERROR(MEDIAN(C10:K10),0)</f>
        <v>0</v>
      </c>
    </row>
    <row r="12" spans="2:14" x14ac:dyDescent="0.25">
      <c r="B12" s="28" t="s">
        <v>91</v>
      </c>
      <c r="C12" s="29">
        <f>IFERROR(HistoricalFS!C13,0)</f>
        <v>0.16690396678404057</v>
      </c>
      <c r="D12" s="29">
        <f>IFERROR(HistoricalFS!D13,0)</f>
        <v>0.13389756096983726</v>
      </c>
      <c r="E12" s="29">
        <f>IFERROR(HistoricalFS!E13,0)</f>
        <v>0.16282081404187676</v>
      </c>
      <c r="F12" s="29">
        <f>IFERROR(HistoricalFS!F13,0)</f>
        <v>0.11093103407355173</v>
      </c>
      <c r="G12" s="29">
        <f>IFERROR(HistoricalFS!G13,0)</f>
        <v>0.11645168354863168</v>
      </c>
      <c r="H12" s="29">
        <f>IFERROR(HistoricalFS!H13,0)</f>
        <v>0.11629332952103535</v>
      </c>
      <c r="I12" s="29">
        <f>IFERROR(HistoricalFS!I13,0)</f>
        <v>0.14962899577774294</v>
      </c>
      <c r="J12" s="29">
        <f>IFERROR(HistoricalFS!J13,0)</f>
        <v>0.13714949612446456</v>
      </c>
      <c r="K12" s="29">
        <f>IFERROR(HistoricalFS!K13,0)</f>
        <v>0.15319648706939615</v>
      </c>
      <c r="L12" s="44"/>
      <c r="M12" s="29">
        <f>IFERROR(AVERAGE(C12:K12),0)</f>
        <v>0.1385859297678419</v>
      </c>
      <c r="N12" s="29">
        <f>IFERROR(MEDIAN(C12:K12),0)</f>
        <v>0.13714949612446456</v>
      </c>
    </row>
    <row r="13" spans="2:14" x14ac:dyDescent="0.25">
      <c r="B13" s="30" t="s">
        <v>92</v>
      </c>
      <c r="C13" s="31">
        <f>IFERROR(HistoricalFS!C19,0)</f>
        <v>8.694658995188681E-2</v>
      </c>
      <c r="D13" s="31">
        <f>IFERROR(HistoricalFS!D19,0)</f>
        <v>0.10120241548123246</v>
      </c>
      <c r="E13" s="31">
        <f>IFERROR(HistoricalFS!E19,0)</f>
        <v>0.10873332872641825</v>
      </c>
      <c r="F13" s="31">
        <f>IFERROR(HistoricalFS!F19,0)</f>
        <v>8.8005682598398693E-2</v>
      </c>
      <c r="G13" s="31">
        <f>IFERROR(HistoricalFS!G19,0)</f>
        <v>7.454218600569415E-2</v>
      </c>
      <c r="H13" s="31">
        <f>IFERROR(HistoricalFS!H19,0)</f>
        <v>7.1888249038362689E-2</v>
      </c>
      <c r="I13" s="31">
        <f>IFERROR(HistoricalFS!I19,0)</f>
        <v>0.11677292613259734</v>
      </c>
      <c r="J13" s="31">
        <f>IFERROR(HistoricalFS!J19,0)</f>
        <v>0.1096180947800508</v>
      </c>
      <c r="K13" s="31">
        <f>IFERROR(HistoricalFS!K19,0)</f>
        <v>7.2708993391349175E-2</v>
      </c>
      <c r="L13" s="45"/>
      <c r="M13" s="31">
        <f>IFERROR(AVERAGE(C13:K13),0)</f>
        <v>9.2268718456221144E-2</v>
      </c>
      <c r="N13" s="31">
        <f>IFERROR(MEDIAN(C13:K13),0)</f>
        <v>8.8005682598398693E-2</v>
      </c>
    </row>
    <row r="14" spans="2:14" x14ac:dyDescent="0.25">
      <c r="B14" s="30" t="s">
        <v>102</v>
      </c>
      <c r="C14" s="31">
        <f>IFERROR((HistoricalFS!C18-HistoricalFS!C24)/HistoricalFS!C6,0)</f>
        <v>3.421274983029915E-2</v>
      </c>
      <c r="D14" s="31">
        <f>IFERROR((HistoricalFS!D18-HistoricalFS!D24)/HistoricalFS!D6,0)</f>
        <v>4.9548606057163554E-2</v>
      </c>
      <c r="E14" s="31">
        <f>IFERROR((HistoricalFS!E18-HistoricalFS!E24)/HistoricalFS!E6,0)</f>
        <v>5.5318913689447753E-2</v>
      </c>
      <c r="F14" s="31">
        <f>IFERROR((HistoricalFS!F18-HistoricalFS!F24)/HistoricalFS!F6,0)</f>
        <v>2.2554083859013304E-2</v>
      </c>
      <c r="G14" s="31">
        <f>IFERROR((HistoricalFS!G18-HistoricalFS!G24)/HistoricalFS!G6,0)</f>
        <v>3.3867915758758971E-2</v>
      </c>
      <c r="H14" s="31">
        <f>IFERROR((HistoricalFS!H18-HistoricalFS!H24)/HistoricalFS!H6,0)</f>
        <v>4.2879416718415581E-2</v>
      </c>
      <c r="I14" s="31">
        <f>IFERROR((HistoricalFS!I18-HistoricalFS!I24)/HistoricalFS!I6,0)</f>
        <v>9.334261346060363E-2</v>
      </c>
      <c r="J14" s="31">
        <f>IFERROR((HistoricalFS!J18-HistoricalFS!J24)/HistoricalFS!J6,0)</f>
        <v>7.5159103873298536E-2</v>
      </c>
      <c r="K14" s="31">
        <f>IFERROR((HistoricalFS!K18-HistoricalFS!K24)/HistoricalFS!K6,0)</f>
        <v>3.3547472679170597E-2</v>
      </c>
      <c r="L14" s="45"/>
      <c r="M14" s="31">
        <f>IFERROR(AVERAGE(C14:K14),0)</f>
        <v>4.8936763991796785E-2</v>
      </c>
      <c r="N14" s="31">
        <f>IFERROR(MEDIAN(C14:K14),0)</f>
        <v>4.2879416718415581E-2</v>
      </c>
    </row>
    <row r="15" spans="2:14" x14ac:dyDescent="0.25">
      <c r="B15" s="30" t="s">
        <v>103</v>
      </c>
      <c r="C15" s="31">
        <f>IFERROR(HistoricalFS!C28,0)</f>
        <v>-4.2571251685651901E-3</v>
      </c>
      <c r="D15" s="31">
        <f>IFERROR(HistoricalFS!D28,0)</f>
        <v>1.6055873683064541E-2</v>
      </c>
      <c r="E15" s="31">
        <f>IFERROR(HistoricalFS!E28,0)</f>
        <v>2.1991569345587617E-2</v>
      </c>
      <c r="F15" s="31">
        <f>IFERROR(HistoricalFS!F28,0)</f>
        <v>-1.7405500524690927E-2</v>
      </c>
      <c r="G15" s="31">
        <f>IFERROR(HistoricalFS!G28,0)</f>
        <v>7.0600172364626394E-3</v>
      </c>
      <c r="H15" s="31">
        <f>IFERROR(HistoricalFS!H28,0)</f>
        <v>2.3069242350460324E-2</v>
      </c>
      <c r="I15" s="31">
        <f>IFERROR(HistoricalFS!I28,0)</f>
        <v>7.8878068769358697E-2</v>
      </c>
      <c r="J15" s="31">
        <f>IFERROR(HistoricalFS!J28,0)</f>
        <v>6.3282237408704034E-2</v>
      </c>
      <c r="K15" s="31">
        <f>IFERROR(HistoricalFS!K28,0)</f>
        <v>1.7884401647320254E-2</v>
      </c>
      <c r="L15" s="45"/>
      <c r="M15" s="31">
        <f>IFERROR(AVERAGE(C15:K15),0)</f>
        <v>2.2950976083077997E-2</v>
      </c>
      <c r="N15" s="31">
        <f>IFERROR(MEDIAN(C15:K15),0)</f>
        <v>1.7884401647320254E-2</v>
      </c>
    </row>
    <row r="16" spans="2:14" x14ac:dyDescent="0.25">
      <c r="B16" s="32" t="s">
        <v>104</v>
      </c>
      <c r="C16" s="33">
        <f>IFERROR(HistoricalFS!C34,0)</f>
        <v>-9.8588788964699969E-3</v>
      </c>
      <c r="D16" s="33">
        <f>IFERROR(HistoricalFS!D34,0)</f>
        <v>1.395658713281716E-2</v>
      </c>
      <c r="E16" s="33">
        <f>IFERROR(HistoricalFS!E34,0)</f>
        <v>1.1042775205583472E-2</v>
      </c>
      <c r="F16" s="33">
        <f>IFERROR(HistoricalFS!F34,0)</f>
        <v>-2.1779338194283095E-2</v>
      </c>
      <c r="G16" s="33">
        <f>IFERROR(HistoricalFS!G34,0)</f>
        <v>3.8758407502116335E-3</v>
      </c>
      <c r="H16" s="33">
        <f>IFERROR(HistoricalFS!H34,0)</f>
        <v>9.4153334792728086E-3</v>
      </c>
      <c r="I16" s="33">
        <f>IFERROR(HistoricalFS!I34,0)</f>
        <v>3.7453950883620767E-2</v>
      </c>
      <c r="J16" s="33">
        <f>IFERROR(HistoricalFS!J34,0)</f>
        <v>2.7583131074748083E-2</v>
      </c>
      <c r="K16" s="33">
        <f>IFERROR(HistoricalFS!K34,0)</f>
        <v>-1.538021647597051E-2</v>
      </c>
      <c r="L16" s="46"/>
      <c r="M16" s="33">
        <f>IFERROR(AVERAGE(C16:K16),0)</f>
        <v>6.2565761066144801E-3</v>
      </c>
      <c r="N16" s="33">
        <f>IFERROR(MEDIAN(C16:K16),0)</f>
        <v>9.4153334792728086E-3</v>
      </c>
    </row>
    <row r="18" spans="2:14" x14ac:dyDescent="0.25">
      <c r="B18" s="28" t="s">
        <v>94</v>
      </c>
      <c r="C18" s="29">
        <f>IFERROR(HistoricalFS!C16,0)</f>
        <v>7.9957376832153759E-2</v>
      </c>
      <c r="D18" s="29">
        <f>IFERROR(HistoricalFS!D16,0)</f>
        <v>3.2695145488604804E-2</v>
      </c>
      <c r="E18" s="29">
        <f>IFERROR(HistoricalFS!E16,0)</f>
        <v>5.4087485315458504E-2</v>
      </c>
      <c r="F18" s="29">
        <f>IFERROR(HistoricalFS!F16,0)</f>
        <v>2.2925351475153045E-2</v>
      </c>
      <c r="G18" s="29">
        <f>IFERROR(HistoricalFS!G16,0)</f>
        <v>4.1909497542937539E-2</v>
      </c>
      <c r="H18" s="29">
        <f>IFERROR(HistoricalFS!H16,0)</f>
        <v>4.4405080482672665E-2</v>
      </c>
      <c r="I18" s="29">
        <f>IFERROR(HistoricalFS!I16,0)</f>
        <v>3.2856069645145605E-2</v>
      </c>
      <c r="J18" s="29">
        <f>IFERROR(HistoricalFS!J16,0)</f>
        <v>2.7531401344413748E-2</v>
      </c>
      <c r="K18" s="29">
        <f>IFERROR(HistoricalFS!K16,0)</f>
        <v>8.0487493678046959E-2</v>
      </c>
      <c r="L18" s="44"/>
      <c r="M18" s="29">
        <f>IFERROR(AVERAGE(C18:K18),0)</f>
        <v>4.6317211311620733E-2</v>
      </c>
      <c r="N18" s="29">
        <f>IFERROR(MEDIAN(C18:K18),0)</f>
        <v>4.1909497542937539E-2</v>
      </c>
    </row>
    <row r="19" spans="2:14" x14ac:dyDescent="0.25">
      <c r="B19" s="30" t="s">
        <v>68</v>
      </c>
      <c r="C19" s="31">
        <f>IFERROR(HistoricalFS!C25,0)</f>
        <v>5.2733840121587654E-2</v>
      </c>
      <c r="D19" s="31">
        <f>IFERROR(HistoricalFS!D25,0)</f>
        <v>5.16538094240689E-2</v>
      </c>
      <c r="E19" s="31">
        <f>IFERROR(HistoricalFS!E25,0)</f>
        <v>5.3414415036970496E-2</v>
      </c>
      <c r="F19" s="31">
        <f>IFERROR(HistoricalFS!F25,0)</f>
        <v>6.5451598739385386E-2</v>
      </c>
      <c r="G19" s="31">
        <f>IFERROR(HistoricalFS!G25,0)</f>
        <v>4.0674270246935172E-2</v>
      </c>
      <c r="H19" s="31">
        <f>IFERROR(HistoricalFS!H25,0)</f>
        <v>2.9008832319947109E-2</v>
      </c>
      <c r="I19" s="31">
        <f>IFERROR(HistoricalFS!I25,0)</f>
        <v>2.3430312671993699E-2</v>
      </c>
      <c r="J19" s="31">
        <f>IFERROR(HistoricalFS!J25,0)</f>
        <v>3.4458990906752265E-2</v>
      </c>
      <c r="K19" s="31">
        <f>IFERROR(HistoricalFS!K25,0)</f>
        <v>3.9161520712178578E-2</v>
      </c>
      <c r="L19" s="45"/>
      <c r="M19" s="31">
        <f>IFERROR(AVERAGE(C19:K19),0)</f>
        <v>4.3331954464424366E-2</v>
      </c>
      <c r="N19" s="31">
        <f>IFERROR(MEDIAN(C19:K19),0)</f>
        <v>4.0674270246935172E-2</v>
      </c>
    </row>
    <row r="20" spans="2:14" x14ac:dyDescent="0.25">
      <c r="B20" s="32" t="s">
        <v>93</v>
      </c>
      <c r="C20" s="34">
        <f>C14</f>
        <v>3.421274983029915E-2</v>
      </c>
      <c r="D20" s="34">
        <f t="shared" ref="D20:K20" si="0">D14</f>
        <v>4.9548606057163554E-2</v>
      </c>
      <c r="E20" s="34">
        <f t="shared" si="0"/>
        <v>5.5318913689447753E-2</v>
      </c>
      <c r="F20" s="34">
        <f t="shared" si="0"/>
        <v>2.2554083859013304E-2</v>
      </c>
      <c r="G20" s="34">
        <f t="shared" si="0"/>
        <v>3.3867915758758971E-2</v>
      </c>
      <c r="H20" s="34">
        <f t="shared" si="0"/>
        <v>4.2879416718415581E-2</v>
      </c>
      <c r="I20" s="34">
        <f t="shared" si="0"/>
        <v>9.334261346060363E-2</v>
      </c>
      <c r="J20" s="34">
        <f t="shared" si="0"/>
        <v>7.5159103873298536E-2</v>
      </c>
      <c r="K20" s="34">
        <f t="shared" si="0"/>
        <v>3.3547472679170597E-2</v>
      </c>
      <c r="L20" s="47"/>
      <c r="M20" s="33">
        <f>IFERROR(AVERAGE(C20:K20),0)</f>
        <v>4.8936763991796785E-2</v>
      </c>
      <c r="N20" s="33">
        <f>IFERROR(MEDIAN(C20:K20),0)</f>
        <v>4.2879416718415581E-2</v>
      </c>
    </row>
    <row r="22" spans="2:14" x14ac:dyDescent="0.25">
      <c r="B22" s="28" t="s">
        <v>115</v>
      </c>
      <c r="C22" s="29">
        <f>IFERROR((HistoricalFS!C18-HistoricalFS!C24)/(SUM(HistoricalFS!C52:C54)),0)</f>
        <v>3.9503952643213179E-2</v>
      </c>
      <c r="D22" s="29">
        <f>IFERROR((HistoricalFS!D18-HistoricalFS!D24)/(SUM(HistoricalFS!D52:D54)),0)</f>
        <v>7.1951087488851886E-2</v>
      </c>
      <c r="E22" s="29">
        <f>IFERROR((HistoricalFS!E18-HistoricalFS!E24)/(SUM(HistoricalFS!E52:E54)),0)</f>
        <v>7.3541921982284084E-2</v>
      </c>
      <c r="F22" s="29">
        <f>IFERROR((HistoricalFS!F18-HistoricalFS!F24)/(SUM(HistoricalFS!F52:F54)),0)</f>
        <v>2.8595932000834056E-2</v>
      </c>
      <c r="G22" s="29">
        <f>IFERROR((HistoricalFS!G18-HistoricalFS!G24)/(SUM(HistoricalFS!G52:G54)),0)</f>
        <v>5.0692613537210766E-2</v>
      </c>
      <c r="H22" s="29">
        <f>IFERROR((HistoricalFS!H18-HistoricalFS!H24)/(SUM(HistoricalFS!H52:H54)),0)</f>
        <v>9.3585612114061606E-2</v>
      </c>
      <c r="I22" s="29">
        <f>IFERROR((HistoricalFS!I18-HistoricalFS!I24)/(SUM(HistoricalFS!I52:I54)),0)</f>
        <v>0.2173508357128992</v>
      </c>
      <c r="J22" s="29">
        <f>IFERROR((HistoricalFS!J18-HistoricalFS!J24)/(SUM(HistoricalFS!J52:J54)),0)</f>
        <v>0.10639144245326897</v>
      </c>
      <c r="K22" s="29">
        <f>IFERROR((HistoricalFS!K18-HistoricalFS!K24)/(SUM(HistoricalFS!K52:K54)),0)</f>
        <v>3.5876393060466832E-2</v>
      </c>
      <c r="L22" s="44"/>
      <c r="M22" s="29">
        <f>IFERROR(AVERAGE(C22:K22),0)</f>
        <v>7.972108788812117E-2</v>
      </c>
      <c r="N22" s="29">
        <f>IFERROR(MEDIAN(C22:K22),0)</f>
        <v>7.1951087488851886E-2</v>
      </c>
    </row>
    <row r="23" spans="2:14" x14ac:dyDescent="0.25">
      <c r="B23" s="30" t="s">
        <v>98</v>
      </c>
      <c r="C23" s="31">
        <f>IFERROR(HistoricalFS!C44,0)</f>
        <v>0</v>
      </c>
      <c r="D23" s="31">
        <f>IFERROR(HistoricalFS!D44,0)</f>
        <v>0.8884178395794472</v>
      </c>
      <c r="E23" s="31">
        <f>IFERROR(HistoricalFS!E44,0)</f>
        <v>0.83404255319148768</v>
      </c>
      <c r="F23" s="31">
        <f>IFERROR(HistoricalFS!F44,0)</f>
        <v>0</v>
      </c>
      <c r="G23" s="31">
        <f>IFERROR(HistoricalFS!G44,0)</f>
        <v>0.46097560975611374</v>
      </c>
      <c r="H23" s="31">
        <f>IFERROR(HistoricalFS!H44,0)</f>
        <v>0.84270462633451859</v>
      </c>
      <c r="I23" s="31">
        <f>IFERROR(HistoricalFS!I44,0)</f>
        <v>0.26547248739676044</v>
      </c>
      <c r="J23" s="31">
        <f>IFERROR(HistoricalFS!J44,0)</f>
        <v>0.33884129960971221</v>
      </c>
      <c r="K23" s="31">
        <f>IFERROR(HistoricalFS!K44,0)</f>
        <v>0</v>
      </c>
      <c r="L23" s="45"/>
      <c r="M23" s="31">
        <f>IFERROR(AVERAGE(C23:K23),0)</f>
        <v>0.40338382398533773</v>
      </c>
      <c r="N23" s="31">
        <f>IFERROR(MEDIAN(C23:K23),0)</f>
        <v>0.33884129960971221</v>
      </c>
    </row>
    <row r="24" spans="2:14" x14ac:dyDescent="0.25">
      <c r="B24" s="30" t="s">
        <v>114</v>
      </c>
      <c r="C24" s="31">
        <f>IFERROR(HistoricalFS!C33/SUM(HistoricalFS!C52:C53),0)</f>
        <v>-2.6659834411402121E-2</v>
      </c>
      <c r="D24" s="31">
        <f>IFERROR(HistoricalFS!D33/SUM(HistoricalFS!D52:D53),0)</f>
        <v>4.2139187228903634E-2</v>
      </c>
      <c r="E24" s="31">
        <f>IFERROR(HistoricalFS!E33/SUM(HistoricalFS!E52:E53),0)</f>
        <v>2.8547031144489136E-2</v>
      </c>
      <c r="F24" s="31">
        <f>IFERROR(HistoricalFS!F33/SUM(HistoricalFS!F52:F53),0)</f>
        <v>-4.5728137024236094E-2</v>
      </c>
      <c r="G24" s="31">
        <f>IFERROR(HistoricalFS!G33/SUM(HistoricalFS!G52:G53),0)</f>
        <v>8.6193908263055181E-3</v>
      </c>
      <c r="H24" s="31">
        <f>IFERROR(HistoricalFS!H33/SUM(HistoricalFS!H52:H53),0)</f>
        <v>3.0132540283953436E-2</v>
      </c>
      <c r="I24" s="31">
        <f>IFERROR(HistoricalFS!I33/SUM(HistoricalFS!I52:I53),0)</f>
        <v>0.11598512086189519</v>
      </c>
      <c r="J24" s="31">
        <f>IFERROR(HistoricalFS!J33/SUM(HistoricalFS!J52:J53),0)</f>
        <v>4.832282162757949E-2</v>
      </c>
      <c r="K24" s="31">
        <f>IFERROR(HistoricalFS!K33/SUM(HistoricalFS!K52:K53),0)</f>
        <v>-2.2593218195613805E-2</v>
      </c>
      <c r="L24" s="48"/>
      <c r="M24" s="31">
        <f>IFERROR(AVERAGE(C24:K24),0)</f>
        <v>1.9862766926874931E-2</v>
      </c>
      <c r="N24" s="31">
        <f>IFERROR(MEDIAN(C24:K24),0)</f>
        <v>2.8547031144489136E-2</v>
      </c>
    </row>
    <row r="25" spans="2:14" x14ac:dyDescent="0.25">
      <c r="B25" s="30" t="s">
        <v>97</v>
      </c>
      <c r="C25" s="31">
        <f>IFERROR(C23*C24,0)</f>
        <v>0</v>
      </c>
      <c r="D25" s="31">
        <f t="shared" ref="D25:K25" si="1">IFERROR(D23*D24,0)</f>
        <v>3.7437205679536401E-2</v>
      </c>
      <c r="E25" s="31">
        <f t="shared" si="1"/>
        <v>2.3809438741786634E-2</v>
      </c>
      <c r="F25" s="31">
        <f t="shared" si="1"/>
        <v>0</v>
      </c>
      <c r="G25" s="31">
        <f t="shared" si="1"/>
        <v>3.9733289418824392E-3</v>
      </c>
      <c r="H25" s="31">
        <f t="shared" si="1"/>
        <v>2.5392831100498808E-2</v>
      </c>
      <c r="I25" s="31">
        <f>IFERROR(I23*I24,0)</f>
        <v>3.0790858536221207E-2</v>
      </c>
      <c r="J25" s="31">
        <f t="shared" si="1"/>
        <v>1.6373767681097343E-2</v>
      </c>
      <c r="K25" s="31">
        <f t="shared" si="1"/>
        <v>0</v>
      </c>
      <c r="L25" s="45"/>
      <c r="M25" s="31">
        <f>IFERROR(AVERAGE(C25:K25),0)</f>
        <v>1.5308603409002537E-2</v>
      </c>
      <c r="N25" s="31">
        <f>IFERROR(MEDIAN(C25:K25),0)</f>
        <v>1.6373767681097343E-2</v>
      </c>
    </row>
    <row r="26" spans="2:14" x14ac:dyDescent="0.25">
      <c r="B26" s="32" t="s">
        <v>105</v>
      </c>
      <c r="C26" s="35">
        <f>((HistoricalFS!C18-HistoricalFS!C24)/HistoricalFS!C21)</f>
        <v>0.88933873144399722</v>
      </c>
      <c r="D26" s="35">
        <f>((HistoricalFS!D18-HistoricalFS!D24)/HistoricalFS!D21)</f>
        <v>1.4793838109034381</v>
      </c>
      <c r="E26" s="35">
        <f>((HistoricalFS!E18-HistoricalFS!E24)/HistoricalFS!E21)</f>
        <v>1.6598656382184591</v>
      </c>
      <c r="F26" s="35">
        <f>((HistoricalFS!F18-HistoricalFS!F24)/HistoricalFS!F21)</f>
        <v>0.56442238343727613</v>
      </c>
      <c r="G26" s="35">
        <f>((HistoricalFS!G18-HistoricalFS!G24)/HistoricalFS!G21)</f>
        <v>1.263355862474292</v>
      </c>
      <c r="H26" s="35">
        <f>((HistoricalFS!H18-HistoricalFS!H24)/HistoricalFS!H21)</f>
        <v>2.1645148559508343</v>
      </c>
      <c r="I26" s="35">
        <f>((HistoricalFS!I18-HistoricalFS!I24)/HistoricalFS!I21)</f>
        <v>6.4532009443132887</v>
      </c>
      <c r="J26" s="35">
        <f>((HistoricalFS!J18-HistoricalFS!J24)/HistoricalFS!J21)</f>
        <v>6.3281930547380831</v>
      </c>
      <c r="K26" s="35">
        <f>((HistoricalFS!K18-HistoricalFS!K24)/HistoricalFS!K21)</f>
        <v>2.141819609382662</v>
      </c>
      <c r="L26" s="47"/>
      <c r="M26" s="35">
        <f>IFERROR(AVERAGE(C26:K26),0)</f>
        <v>2.5493438767624812</v>
      </c>
      <c r="N26" s="35">
        <f>IFERROR(MEDIAN(C26:K26),0)</f>
        <v>1.6598656382184591</v>
      </c>
    </row>
    <row r="28" spans="2:14" x14ac:dyDescent="0.25">
      <c r="B28" s="28" t="s">
        <v>106</v>
      </c>
      <c r="C28" s="62" t="s">
        <v>60</v>
      </c>
      <c r="D28" s="62" t="s">
        <v>60</v>
      </c>
      <c r="E28" s="62" t="s">
        <v>60</v>
      </c>
      <c r="F28" s="62" t="s">
        <v>60</v>
      </c>
      <c r="G28" s="62" t="s">
        <v>60</v>
      </c>
      <c r="H28" s="62" t="s">
        <v>60</v>
      </c>
      <c r="I28" s="62" t="s">
        <v>60</v>
      </c>
      <c r="J28" s="62" t="s">
        <v>60</v>
      </c>
      <c r="K28" s="62" t="s">
        <v>60</v>
      </c>
      <c r="L28" s="44"/>
      <c r="M28" s="36">
        <f>IFERROR(AVERAGE(C28:K28),0)</f>
        <v>0</v>
      </c>
      <c r="N28" s="36">
        <f>IFERROR(MEDIAN(C28:K28),0)</f>
        <v>0</v>
      </c>
    </row>
    <row r="29" spans="2:14" x14ac:dyDescent="0.25">
      <c r="B29" s="30" t="s">
        <v>110</v>
      </c>
      <c r="C29" s="37">
        <f>IFERROR(HistoricalFS!C6/HistoricalFS!C55,0)</f>
        <v>3.5713034207842771</v>
      </c>
      <c r="D29" s="37">
        <f>IFERROR(HistoricalFS!D6/HistoricalFS!D55,0)</f>
        <v>2.1136053264768115</v>
      </c>
      <c r="E29" s="37">
        <f>IFERROR(HistoricalFS!E6/HistoricalFS!E55,0)</f>
        <v>2.2648519887688634</v>
      </c>
      <c r="F29" s="37">
        <f>IFERROR(HistoricalFS!F6/HistoricalFS!F55,0)</f>
        <v>1.6410240003560965</v>
      </c>
      <c r="G29" s="37">
        <f>IFERROR(HistoricalFS!G6/HistoricalFS!G55,0)</f>
        <v>1.8384075077119149</v>
      </c>
      <c r="H29" s="37">
        <f>IFERROR(HistoricalFS!H6/HistoricalFS!H55,0)</f>
        <v>2.1851666548705393</v>
      </c>
      <c r="I29" s="37">
        <f>IFERROR(HistoricalFS!I6/HistoricalFS!I55,0)</f>
        <v>2.715181330053694</v>
      </c>
      <c r="J29" s="37">
        <f>IFERROR(HistoricalFS!J6/HistoricalFS!J55,0)</f>
        <v>2.7105042765164868</v>
      </c>
      <c r="K29" s="37">
        <f>IFERROR(HistoricalFS!K6/HistoricalFS!K55,0)</f>
        <v>2.1079286589199033</v>
      </c>
      <c r="L29" s="45"/>
      <c r="M29" s="37">
        <f>IFERROR(AVERAGE(C29:K29),0)</f>
        <v>2.3497747960509541</v>
      </c>
      <c r="N29" s="37">
        <f>IFERROR(MEDIAN(C29:K29),0)</f>
        <v>2.1851666548705393</v>
      </c>
    </row>
    <row r="30" spans="2:14" x14ac:dyDescent="0.25">
      <c r="B30" s="30" t="s">
        <v>107</v>
      </c>
      <c r="C30" s="37">
        <f>IFERROR(HistoricalFS!C6/HistoricalFS!C65,0)</f>
        <v>6.0121339336574247</v>
      </c>
      <c r="D30" s="37">
        <f>IFERROR(HistoricalFS!D6/HistoricalFS!D65,0)</f>
        <v>3.8268507071338322</v>
      </c>
      <c r="E30" s="37">
        <f>IFERROR(HistoricalFS!E6/HistoricalFS!E65,0)</f>
        <v>5.5950788360565733</v>
      </c>
      <c r="F30" s="37">
        <f>IFERROR(HistoricalFS!F6/HistoricalFS!F65,0)</f>
        <v>3.3426892432536577</v>
      </c>
      <c r="G30" s="37">
        <f>IFERROR(HistoricalFS!G6/HistoricalFS!G65,0)</f>
        <v>4.1981466537906957</v>
      </c>
      <c r="H30" s="37">
        <f>IFERROR(HistoricalFS!H6/HistoricalFS!H65,0)</f>
        <v>4.0280912019291328</v>
      </c>
      <c r="I30" s="37">
        <f>IFERROR(HistoricalFS!I6/HistoricalFS!I65,0)</f>
        <v>4.3897187196896219</v>
      </c>
      <c r="J30" s="37">
        <f>IFERROR(HistoricalFS!J6/HistoricalFS!J65,0)</f>
        <v>5.8966355864434172</v>
      </c>
      <c r="K30" s="37">
        <f>IFERROR(HistoricalFS!K6/HistoricalFS!K65,0)</f>
        <v>6.3809369666293918</v>
      </c>
      <c r="L30" s="45"/>
      <c r="M30" s="37">
        <f>IFERROR(AVERAGE(C30:K30),0)</f>
        <v>4.852253538731528</v>
      </c>
      <c r="N30" s="37">
        <f>IFERROR(MEDIAN(C30:K30),0)</f>
        <v>4.3897187196896219</v>
      </c>
    </row>
    <row r="31" spans="2:14" x14ac:dyDescent="0.25">
      <c r="B31" s="30" t="s">
        <v>108</v>
      </c>
      <c r="C31" s="37">
        <f>IFERROR(HistoricalFS!C6/HistoricalFS!C58,0)</f>
        <v>1.5650127663204763</v>
      </c>
      <c r="D31" s="37">
        <f>IFERROR(HistoricalFS!D6/HistoricalFS!D58,0)</f>
        <v>1.812686352657523</v>
      </c>
      <c r="E31" s="37">
        <f>IFERROR(HistoricalFS!E6/HistoricalFS!E58,0)</f>
        <v>1.9395731357526953</v>
      </c>
      <c r="F31" s="37">
        <f>IFERROR(HistoricalFS!F6/HistoricalFS!F58,0)</f>
        <v>1.7577185187833928</v>
      </c>
      <c r="G31" s="37">
        <f>IFERROR(HistoricalFS!G6/HistoricalFS!G58,0)</f>
        <v>2.0838564580734125</v>
      </c>
      <c r="H31" s="37">
        <f>IFERROR(HistoricalFS!H6/HistoricalFS!H58,0)</f>
        <v>5.7123862751853407</v>
      </c>
      <c r="I31" s="37">
        <f>IFERROR(HistoricalFS!I6/HistoricalFS!I58,0)</f>
        <v>6.1570940932027316</v>
      </c>
      <c r="J31" s="37">
        <f>IFERROR(HistoricalFS!J6/HistoricalFS!J58,0)</f>
        <v>2.752000738734302</v>
      </c>
      <c r="K31" s="37">
        <f>IFERROR(HistoricalFS!K6/HistoricalFS!K58,0)</f>
        <v>2.6734354194407457</v>
      </c>
      <c r="L31" s="45"/>
      <c r="M31" s="37">
        <f>IFERROR(AVERAGE(C31:K31),0)</f>
        <v>2.9393070842389575</v>
      </c>
      <c r="N31" s="37">
        <f>IFERROR(MEDIAN(C31:K31),0)</f>
        <v>2.0838564580734125</v>
      </c>
    </row>
    <row r="32" spans="2:14" x14ac:dyDescent="0.25">
      <c r="B32" s="32" t="s">
        <v>112</v>
      </c>
      <c r="C32" s="35">
        <f>IFERROR(HistoricalFS!C6/SUM(HistoricalFS!C52:C53),0)</f>
        <v>2.7041446285487658</v>
      </c>
      <c r="D32" s="35">
        <f>IFERROR(HistoricalFS!D6/SUM(HistoricalFS!D52:D53),0)</f>
        <v>3.0193045640662848</v>
      </c>
      <c r="E32" s="35">
        <f>IFERROR(HistoricalFS!E6/SUM(HistoricalFS!E52:E53),0)</f>
        <v>2.5851319630282004</v>
      </c>
      <c r="F32" s="35">
        <f>IFERROR(HistoricalFS!F6/SUM(HistoricalFS!F52:F53),0)</f>
        <v>2.099610953111485</v>
      </c>
      <c r="G32" s="35">
        <f>IFERROR(HistoricalFS!G6/SUM(HistoricalFS!G52:G53),0)</f>
        <v>2.2238764133523472</v>
      </c>
      <c r="H32" s="35">
        <f>IFERROR(HistoricalFS!H6/SUM(HistoricalFS!H52:H53),0)</f>
        <v>3.2003688823436893</v>
      </c>
      <c r="I32" s="35">
        <f>IFERROR(HistoricalFS!I6/SUM(HistoricalFS!I52:I53),0)</f>
        <v>3.0967392791828914</v>
      </c>
      <c r="J32" s="35">
        <f>IFERROR(HistoricalFS!J6/SUM(HistoricalFS!J52:J53),0)</f>
        <v>1.7518976180270651</v>
      </c>
      <c r="K32" s="35">
        <f>IFERROR(HistoricalFS!K6/SUM(HistoricalFS!K52:K53),0)</f>
        <v>1.4689792065614049</v>
      </c>
      <c r="L32" s="47"/>
      <c r="M32" s="35">
        <f>IFERROR(AVERAGE(C32:K32),0)</f>
        <v>2.461117056469126</v>
      </c>
      <c r="N32" s="35">
        <f>IFERROR(MEDIAN(C32:K32),0)</f>
        <v>2.5851319630282004</v>
      </c>
    </row>
    <row r="34" spans="2:14" x14ac:dyDescent="0.25">
      <c r="B34" s="28" t="s">
        <v>109</v>
      </c>
      <c r="C34" s="38">
        <f>IFERROR(365/C28,0)</f>
        <v>0</v>
      </c>
      <c r="D34" s="38">
        <f t="shared" ref="D34:K36" si="2">IFERROR(365/D28,0)</f>
        <v>0</v>
      </c>
      <c r="E34" s="38">
        <f t="shared" si="2"/>
        <v>0</v>
      </c>
      <c r="F34" s="38">
        <f t="shared" si="2"/>
        <v>0</v>
      </c>
      <c r="G34" s="38">
        <f t="shared" si="2"/>
        <v>0</v>
      </c>
      <c r="H34" s="38">
        <f t="shared" si="2"/>
        <v>0</v>
      </c>
      <c r="I34" s="38">
        <f t="shared" si="2"/>
        <v>0</v>
      </c>
      <c r="J34" s="38">
        <f t="shared" si="2"/>
        <v>0</v>
      </c>
      <c r="K34" s="38">
        <f t="shared" si="2"/>
        <v>0</v>
      </c>
      <c r="L34" s="44"/>
      <c r="M34" s="38">
        <f>IFERROR(AVERAGE(C34:K34),0)</f>
        <v>0</v>
      </c>
      <c r="N34" s="38">
        <f>IFERROR(MEDIAN(C34:K34),0)</f>
        <v>0</v>
      </c>
    </row>
    <row r="35" spans="2:14" x14ac:dyDescent="0.25">
      <c r="B35" s="30" t="s">
        <v>111</v>
      </c>
      <c r="C35" s="39">
        <f>IFERROR(365/C29,0)</f>
        <v>102.20358143633847</v>
      </c>
      <c r="D35" s="39">
        <f t="shared" si="2"/>
        <v>172.69070787611133</v>
      </c>
      <c r="E35" s="39">
        <f t="shared" si="2"/>
        <v>161.15843410959852</v>
      </c>
      <c r="F35" s="39">
        <f t="shared" si="2"/>
        <v>222.4220973738326</v>
      </c>
      <c r="G35" s="39">
        <f t="shared" si="2"/>
        <v>198.54139980872881</v>
      </c>
      <c r="H35" s="39">
        <f t="shared" si="2"/>
        <v>167.03531476029434</v>
      </c>
      <c r="I35" s="39">
        <f t="shared" si="2"/>
        <v>134.42932741172831</v>
      </c>
      <c r="J35" s="39">
        <f t="shared" si="2"/>
        <v>134.6612891048799</v>
      </c>
      <c r="K35" s="39">
        <f t="shared" si="2"/>
        <v>173.15576523686764</v>
      </c>
      <c r="L35" s="45"/>
      <c r="M35" s="39">
        <f>IFERROR(AVERAGE(C35:K35),0)</f>
        <v>162.92199079093109</v>
      </c>
      <c r="N35" s="39">
        <f>IFERROR(MEDIAN(C35:K35),0)</f>
        <v>167.03531476029434</v>
      </c>
    </row>
    <row r="36" spans="2:14" x14ac:dyDescent="0.25">
      <c r="B36" s="30" t="s">
        <v>113</v>
      </c>
      <c r="C36" s="39">
        <f>IFERROR(365/C30,0)</f>
        <v>60.710557021466037</v>
      </c>
      <c r="D36" s="39">
        <f t="shared" si="2"/>
        <v>95.378688099743329</v>
      </c>
      <c r="E36" s="39">
        <f t="shared" si="2"/>
        <v>65.235899384976847</v>
      </c>
      <c r="F36" s="39">
        <f t="shared" si="2"/>
        <v>109.19351858287661</v>
      </c>
      <c r="G36" s="39">
        <f t="shared" si="2"/>
        <v>86.943127551398206</v>
      </c>
      <c r="H36" s="39">
        <f t="shared" si="2"/>
        <v>90.613638495869765</v>
      </c>
      <c r="I36" s="39">
        <f t="shared" si="2"/>
        <v>83.148835564982988</v>
      </c>
      <c r="J36" s="39">
        <f t="shared" si="2"/>
        <v>61.899704441486676</v>
      </c>
      <c r="K36" s="39">
        <f t="shared" si="2"/>
        <v>57.201630718004772</v>
      </c>
      <c r="L36" s="45"/>
      <c r="M36" s="39">
        <f>IFERROR(AVERAGE(C36:K36),0)</f>
        <v>78.925066651200581</v>
      </c>
      <c r="N36" s="39">
        <f>IFERROR(MEDIAN(C36:K36),0)</f>
        <v>83.148835564982988</v>
      </c>
    </row>
    <row r="37" spans="2:14" x14ac:dyDescent="0.25">
      <c r="B37" s="32" t="s">
        <v>124</v>
      </c>
      <c r="C37" s="40">
        <f>SUM(C34,C36)-C35</f>
        <v>-41.49302441487243</v>
      </c>
      <c r="D37" s="40">
        <f t="shared" ref="D37:K37" si="3">SUM(D34,D36)-D35</f>
        <v>-77.312019776368004</v>
      </c>
      <c r="E37" s="40">
        <f t="shared" si="3"/>
        <v>-95.92253472462167</v>
      </c>
      <c r="F37" s="40">
        <f t="shared" si="3"/>
        <v>-113.22857879095599</v>
      </c>
      <c r="G37" s="40">
        <f t="shared" si="3"/>
        <v>-111.59827225733061</v>
      </c>
      <c r="H37" s="40">
        <f t="shared" si="3"/>
        <v>-76.421676264424576</v>
      </c>
      <c r="I37" s="40">
        <f t="shared" si="3"/>
        <v>-51.280491846745321</v>
      </c>
      <c r="J37" s="40">
        <f t="shared" si="3"/>
        <v>-72.761584663393222</v>
      </c>
      <c r="K37" s="40">
        <f t="shared" si="3"/>
        <v>-115.95413451886287</v>
      </c>
      <c r="L37" s="47"/>
      <c r="M37" s="40">
        <f>IFERROR(AVERAGE(C37:K37),0)</f>
        <v>-83.996924139730538</v>
      </c>
      <c r="N37" s="40">
        <f>IFERROR(MEDIAN(C37:K37),0)</f>
        <v>-77.312019776368004</v>
      </c>
    </row>
    <row r="39" spans="2:14" x14ac:dyDescent="0.25">
      <c r="B39" s="28" t="s">
        <v>116</v>
      </c>
      <c r="C39" s="29">
        <f>IFERROR(HistoricalFS!C75/HistoricalFS!C6,0)</f>
        <v>2.9462421136107302E-2</v>
      </c>
      <c r="D39" s="29">
        <f>IFERROR(HistoricalFS!D75/HistoricalFS!D6,0)</f>
        <v>0.10663641989991113</v>
      </c>
      <c r="E39" s="29">
        <f>IFERROR(HistoricalFS!E75/HistoricalFS!E6,0)</f>
        <v>4.8965517241379312E-2</v>
      </c>
      <c r="F39" s="29">
        <f>IFERROR(HistoricalFS!F75/HistoricalFS!F6,0)</f>
        <v>6.823864878931156E-2</v>
      </c>
      <c r="G39" s="29">
        <f>IFERROR(HistoricalFS!G75/HistoricalFS!G6,0)</f>
        <v>0.15461768612307211</v>
      </c>
      <c r="H39" s="29">
        <f>IFERROR(HistoricalFS!H75/HistoricalFS!H6,0)</f>
        <v>6.9618740422718331E-2</v>
      </c>
      <c r="I39" s="29">
        <f>IFERROR(HistoricalFS!I75/HistoricalFS!I6,0)</f>
        <v>6.5094468481714934E-2</v>
      </c>
      <c r="J39" s="29">
        <f>IFERROR(HistoricalFS!J75/HistoricalFS!J6,0)</f>
        <v>0.10828151039627769</v>
      </c>
      <c r="K39" s="29">
        <f>IFERROR(HistoricalFS!K75/HistoricalFS!K6,0)</f>
        <v>3.358436675167676E-2</v>
      </c>
      <c r="L39" s="49"/>
      <c r="M39" s="29">
        <f>IFERROR(AVERAGE(C39:K39),0)</f>
        <v>7.605553102690768E-2</v>
      </c>
      <c r="N39" s="29">
        <f>IFERROR(MEDIAN(C39:K39),0)</f>
        <v>6.823864878931156E-2</v>
      </c>
    </row>
    <row r="40" spans="2:14" x14ac:dyDescent="0.25">
      <c r="B40" s="30" t="s">
        <v>117</v>
      </c>
      <c r="C40" s="31">
        <f>IFERROR(HistoricalFS!C75/HistoricalFS!C69,HistoricalFS!B57)</f>
        <v>2.5707377564367539E-2</v>
      </c>
      <c r="D40" s="31">
        <f>IFERROR(HistoricalFS!D75/HistoricalFS!D69,HistoricalFS!C57)</f>
        <v>9.1788039940881153E-2</v>
      </c>
      <c r="E40" s="31">
        <f>IFERROR(HistoricalFS!E75/HistoricalFS!E69,HistoricalFS!D57)</f>
        <v>4.1018605351209297E-2</v>
      </c>
      <c r="F40" s="31">
        <f>IFERROR(HistoricalFS!F75/HistoricalFS!F69,HistoricalFS!E57)</f>
        <v>4.8808406511991122E-2</v>
      </c>
      <c r="G40" s="31">
        <f>IFERROR(HistoricalFS!G75/HistoricalFS!G69,HistoricalFS!F57)</f>
        <v>0.12756681151865809</v>
      </c>
      <c r="H40" s="31">
        <f>IFERROR(HistoricalFS!H75/HistoricalFS!H69,HistoricalFS!G57)</f>
        <v>7.6018356701988962E-2</v>
      </c>
      <c r="I40" s="31">
        <f>IFERROR(HistoricalFS!I75/HistoricalFS!I69,HistoricalFS!H57)</f>
        <v>8.1597016766837976E-2</v>
      </c>
      <c r="J40" s="31">
        <f>IFERROR(HistoricalFS!J75/HistoricalFS!J69,HistoricalFS!I57)</f>
        <v>0.10069191646038317</v>
      </c>
      <c r="K40" s="31">
        <f>IFERROR(HistoricalFS!K75/HistoricalFS!K69,HistoricalFS!J57)</f>
        <v>2.3827415651908369E-2</v>
      </c>
      <c r="L40" s="48"/>
      <c r="M40" s="31">
        <f>IFERROR(AVERAGE(C40:K40),0)</f>
        <v>6.8558216274247311E-2</v>
      </c>
      <c r="N40" s="31">
        <f>IFERROR(MEDIAN(C40:K40),0)</f>
        <v>7.6018356701988962E-2</v>
      </c>
    </row>
    <row r="41" spans="2:14" x14ac:dyDescent="0.25">
      <c r="B41" s="32" t="s">
        <v>118</v>
      </c>
      <c r="C41" s="33">
        <f>IFERROR(HistoricalFS!C75/HistoricalFS!C54,0)</f>
        <v>5.9369376909235466E-2</v>
      </c>
      <c r="D41" s="33">
        <f>IFERROR(HistoricalFS!D75/HistoricalFS!D54,0)</f>
        <v>0.29833308503418249</v>
      </c>
      <c r="E41" s="33">
        <f>IFERROR(HistoricalFS!E75/HistoricalFS!E54,0)</f>
        <v>0.1340119225939207</v>
      </c>
      <c r="F41" s="33">
        <f>IFERROR(HistoricalFS!F75/HistoricalFS!F54,0)</f>
        <v>0.21840714495002658</v>
      </c>
      <c r="G41" s="33">
        <f>IFERROR(HistoricalFS!G75/HistoricalFS!G54,0)</f>
        <v>0.70783234638604187</v>
      </c>
      <c r="H41" s="33">
        <f>IFERROR(HistoricalFS!H75/HistoricalFS!H54,0)</f>
        <v>0.47775733885184335</v>
      </c>
      <c r="I41" s="33">
        <f>IFERROR(HistoricalFS!I75/HistoricalFS!I54,0)</f>
        <v>0.6110110770681122</v>
      </c>
      <c r="J41" s="33">
        <f>IFERROR(HistoricalFS!J75/HistoricalFS!J54,0)</f>
        <v>0.79836099371198843</v>
      </c>
      <c r="K41" s="33">
        <f>IFERROR(HistoricalFS!K75/HistoricalFS!K54,0)</f>
        <v>0.13204513723096264</v>
      </c>
      <c r="L41" s="46"/>
      <c r="M41" s="33">
        <f>IFERROR(AVERAGE(C41:K41),0)</f>
        <v>0.38190315808181263</v>
      </c>
      <c r="N41" s="33">
        <f>IFERROR(MEDIAN(C41:K41),0)</f>
        <v>0.29833308503418249</v>
      </c>
    </row>
  </sheetData>
  <mergeCells count="1">
    <mergeCell ref="B2:N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Analysis'!D6:K6</xm:f>
              <xm:sqref>L6</xm:sqref>
            </x14:sparkline>
            <x14:sparkline>
              <xm:f>'Ratio Analysis'!D7:K7</xm:f>
              <xm:sqref>L7</xm:sqref>
            </x14:sparkline>
            <x14:sparkline>
              <xm:f>'Ratio Analysis'!D8:K8</xm:f>
              <xm:sqref>L8</xm:sqref>
            </x14:sparkline>
            <x14:sparkline>
              <xm:f>'Ratio Analysis'!D9:K9</xm:f>
              <xm:sqref>L9</xm:sqref>
            </x14:sparkline>
            <x14:sparkline>
              <xm:f>'Ratio Analysis'!D10:K10</xm:f>
              <xm:sqref>L10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Analysis'!C12:K12</xm:f>
              <xm:sqref>L12</xm:sqref>
            </x14:sparkline>
            <x14:sparkline>
              <xm:f>'Ratio Analysis'!C13:K13</xm:f>
              <xm:sqref>L13</xm:sqref>
            </x14:sparkline>
            <x14:sparkline>
              <xm:f>'Ratio Analysis'!C14:K14</xm:f>
              <xm:sqref>L14</xm:sqref>
            </x14:sparkline>
            <x14:sparkline>
              <xm:f>'Ratio Analysis'!C15:K15</xm:f>
              <xm:sqref>L15</xm:sqref>
            </x14:sparkline>
            <x14:sparkline>
              <xm:f>'Ratio Analysis'!C16:K16</xm:f>
              <xm:sqref>L16</xm:sqref>
            </x14:sparkline>
            <x14:sparkline>
              <xm:f>'Ratio Analysis'!C17:K17</xm:f>
              <xm:sqref>L17</xm:sqref>
            </x14:sparkline>
            <x14:sparkline>
              <xm:f>'Ratio Analysis'!C18:K18</xm:f>
              <xm:sqref>L18</xm:sqref>
            </x14:sparkline>
            <x14:sparkline>
              <xm:f>'Ratio Analysis'!C19:K19</xm:f>
              <xm:sqref>L19</xm:sqref>
            </x14:sparkline>
            <x14:sparkline>
              <xm:f>'Ratio Analysis'!C20:K20</xm:f>
              <xm:sqref>L20</xm:sqref>
            </x14:sparkline>
            <x14:sparkline>
              <xm:f>'Ratio Analysis'!C21:K21</xm:f>
              <xm:sqref>L21</xm:sqref>
            </x14:sparkline>
            <x14:sparkline>
              <xm:f>'Ratio Analysis'!C22:K22</xm:f>
              <xm:sqref>L22</xm:sqref>
            </x14:sparkline>
            <x14:sparkline>
              <xm:f>'Ratio Analysis'!C23:K23</xm:f>
              <xm:sqref>L23</xm:sqref>
            </x14:sparkline>
            <x14:sparkline>
              <xm:f>'Ratio Analysis'!C24:K24</xm:f>
              <xm:sqref>L24</xm:sqref>
            </x14:sparkline>
            <x14:sparkline>
              <xm:f>'Ratio Analysis'!C25:K25</xm:f>
              <xm:sqref>L25</xm:sqref>
            </x14:sparkline>
            <x14:sparkline>
              <xm:f>'Ratio Analysis'!C26:K26</xm:f>
              <xm:sqref>L26</xm:sqref>
            </x14:sparkline>
            <x14:sparkline>
              <xm:f>'Ratio Analysis'!C27:K27</xm:f>
              <xm:sqref>L27</xm:sqref>
            </x14:sparkline>
            <x14:sparkline>
              <xm:f>'Ratio Analysis'!C28:K28</xm:f>
              <xm:sqref>L28</xm:sqref>
            </x14:sparkline>
            <x14:sparkline>
              <xm:f>'Ratio Analysis'!C29:K29</xm:f>
              <xm:sqref>L29</xm:sqref>
            </x14:sparkline>
            <x14:sparkline>
              <xm:f>'Ratio Analysis'!C30:K30</xm:f>
              <xm:sqref>L30</xm:sqref>
            </x14:sparkline>
            <x14:sparkline>
              <xm:f>'Ratio Analysis'!C31:K31</xm:f>
              <xm:sqref>L31</xm:sqref>
            </x14:sparkline>
            <x14:sparkline>
              <xm:f>'Ratio Analysis'!C32:K32</xm:f>
              <xm:sqref>L32</xm:sqref>
            </x14:sparkline>
            <x14:sparkline>
              <xm:f>'Ratio Analysis'!C33:K33</xm:f>
              <xm:sqref>L33</xm:sqref>
            </x14:sparkline>
            <x14:sparkline>
              <xm:f>'Ratio Analysis'!C34:K34</xm:f>
              <xm:sqref>L34</xm:sqref>
            </x14:sparkline>
            <x14:sparkline>
              <xm:f>'Ratio Analysis'!C35:K35</xm:f>
              <xm:sqref>L35</xm:sqref>
            </x14:sparkline>
            <x14:sparkline>
              <xm:f>'Ratio Analysis'!C36:K36</xm:f>
              <xm:sqref>L36</xm:sqref>
            </x14:sparkline>
            <x14:sparkline>
              <xm:f>'Ratio Analysis'!C37:K37</xm:f>
              <xm:sqref>L37</xm:sqref>
            </x14:sparkline>
            <x14:sparkline>
              <xm:f>'Ratio Analysis'!C38:K38</xm:f>
              <xm:sqref>L38</xm:sqref>
            </x14:sparkline>
            <x14:sparkline>
              <xm:f>'Ratio Analysis'!C39:K39</xm:f>
              <xm:sqref>L39</xm:sqref>
            </x14:sparkline>
            <x14:sparkline>
              <xm:f>'Ratio Analysis'!C40:K40</xm:f>
              <xm:sqref>L40</xm:sqref>
            </x14:sparkline>
            <x14:sparkline>
              <xm:f>'Ratio Analysis'!C41:K41</xm:f>
              <xm:sqref>L41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5"/>
  <sheetViews>
    <sheetView showGridLines="0" zoomScaleNormal="100" workbookViewId="0">
      <selection activeCell="M13" sqref="M13"/>
    </sheetView>
  </sheetViews>
  <sheetFormatPr defaultRowHeight="15" x14ac:dyDescent="0.25"/>
  <cols>
    <col min="1" max="1" width="1.85546875" customWidth="1"/>
    <col min="2" max="2" width="12" bestFit="1" customWidth="1"/>
    <col min="3" max="3" width="6.28515625" bestFit="1" customWidth="1"/>
    <col min="4" max="4" width="12.28515625" customWidth="1"/>
    <col min="5" max="5" width="21.7109375" customWidth="1"/>
    <col min="6" max="15" width="14.85546875" customWidth="1"/>
    <col min="16" max="16" width="2.7109375" customWidth="1"/>
    <col min="17" max="17" width="15.140625" customWidth="1"/>
    <col min="18" max="18" width="6.28515625" bestFit="1" customWidth="1"/>
    <col min="19" max="19" width="10.140625" customWidth="1"/>
    <col min="20" max="20" width="17.7109375" customWidth="1"/>
    <col min="21" max="21" width="2.7109375" customWidth="1"/>
    <col min="22" max="22" width="16.7109375" customWidth="1"/>
    <col min="23" max="23" width="13.5703125" customWidth="1"/>
    <col min="24" max="24" width="7.7109375" customWidth="1"/>
    <col min="25" max="25" width="12.7109375" bestFit="1" customWidth="1"/>
  </cols>
  <sheetData>
    <row r="2" spans="2:15" ht="11.25" customHeight="1" x14ac:dyDescent="0.25">
      <c r="B2" s="71" t="str">
        <f>'Data Sheet'!$B$1&amp;" - "&amp;'Data Sheet'!A17&amp;" Forecasting"</f>
        <v>WELSPUN CORP LTD - Sales Forecasting</v>
      </c>
      <c r="C2" s="71"/>
      <c r="D2" s="71"/>
      <c r="E2" s="71"/>
      <c r="G2" s="72" t="str">
        <f>'Data Sheet'!$B$1&amp;" - "&amp;'Data Sheet'!A34&amp;" Forecasting"</f>
        <v>WELSPUN CORP LTD - EBITDA Forecasting</v>
      </c>
      <c r="H2" s="72"/>
      <c r="I2" s="72"/>
      <c r="J2" s="72"/>
      <c r="L2" s="72" t="str">
        <f>'Data Sheet'!$B$1&amp;" - "&amp;HistoricalFS!B38&amp;" Forecasting"</f>
        <v>WELSPUN CORP LTD - Earnings per Share Forecasting</v>
      </c>
      <c r="M2" s="72"/>
      <c r="N2" s="72"/>
      <c r="O2" s="72"/>
    </row>
    <row r="3" spans="2:15" ht="6" customHeight="1" x14ac:dyDescent="0.25"/>
    <row r="4" spans="2:15" x14ac:dyDescent="0.25">
      <c r="B4" s="65" t="s">
        <v>119</v>
      </c>
      <c r="C4" s="66" t="s">
        <v>120</v>
      </c>
      <c r="D4" s="66" t="s">
        <v>11</v>
      </c>
      <c r="E4" s="66" t="s">
        <v>59</v>
      </c>
      <c r="G4" s="63" t="s">
        <v>119</v>
      </c>
      <c r="H4" s="64" t="s">
        <v>120</v>
      </c>
      <c r="I4" s="64" t="s">
        <v>27</v>
      </c>
      <c r="J4" s="64" t="s">
        <v>126</v>
      </c>
      <c r="L4" s="63" t="s">
        <v>119</v>
      </c>
      <c r="M4" s="64" t="s">
        <v>120</v>
      </c>
      <c r="N4" s="64" t="s">
        <v>127</v>
      </c>
      <c r="O4" s="64" t="s">
        <v>128</v>
      </c>
    </row>
    <row r="5" spans="2:15" x14ac:dyDescent="0.25">
      <c r="B5" s="25">
        <v>1</v>
      </c>
      <c r="C5" s="26">
        <f>'Data Sheet'!$B$16</f>
        <v>41729</v>
      </c>
      <c r="D5" s="27">
        <f t="array" ref="D5:D14">TRANSPOSE('Data Sheet'!B17:K17)</f>
        <v>7704.73</v>
      </c>
      <c r="G5" s="25">
        <v>1</v>
      </c>
      <c r="H5" s="26">
        <f>'Data Sheet'!$B$16</f>
        <v>41729</v>
      </c>
      <c r="I5" s="27">
        <f t="array" ref="I5:I14">TRANSPOSE('Data Sheet'!B34:K34)</f>
        <v>819.25</v>
      </c>
      <c r="L5" s="25">
        <v>1</v>
      </c>
      <c r="M5" s="26">
        <f>'Data Sheet'!$B$16</f>
        <v>41729</v>
      </c>
      <c r="N5" s="27">
        <f t="array" ref="N5:N14">TRANSPOSE(HistoricalFS!C38:L38)</f>
        <v>-2.8893115252947612</v>
      </c>
    </row>
    <row r="6" spans="2:15" x14ac:dyDescent="0.25">
      <c r="B6" s="25">
        <f>B5+1</f>
        <v>2</v>
      </c>
      <c r="C6" s="26">
        <f>C5+365</f>
        <v>42094</v>
      </c>
      <c r="D6" s="27">
        <v>8450.49</v>
      </c>
      <c r="E6" s="13">
        <f>D6/D5-1</f>
        <v>9.6792489808208648E-2</v>
      </c>
      <c r="G6" s="25">
        <f>G5+1</f>
        <v>2</v>
      </c>
      <c r="H6" s="26">
        <f>H5+365</f>
        <v>42094</v>
      </c>
      <c r="I6" s="27">
        <v>806.31</v>
      </c>
      <c r="J6" s="13">
        <f>I6/I5-1</f>
        <v>-1.579493439121149E-2</v>
      </c>
      <c r="L6" s="25">
        <f>L5+1</f>
        <v>2</v>
      </c>
      <c r="M6" s="26">
        <f>M5+365</f>
        <v>42094</v>
      </c>
      <c r="N6" s="27">
        <v>4.4810030395136806</v>
      </c>
      <c r="O6" s="13">
        <f>N6/N5-1</f>
        <v>-2.5508895459296443</v>
      </c>
    </row>
    <row r="7" spans="2:15" x14ac:dyDescent="0.25">
      <c r="B7" s="25">
        <f t="shared" ref="B7:B25" si="0">B6+1</f>
        <v>3</v>
      </c>
      <c r="C7" s="26">
        <f t="shared" ref="C7:C25" si="1">C6+365</f>
        <v>42459</v>
      </c>
      <c r="D7" s="27">
        <v>7235.5</v>
      </c>
      <c r="E7" s="13">
        <f t="shared" ref="E7:E19" si="2">D7/D6-1</f>
        <v>-0.14377746142531378</v>
      </c>
      <c r="G7" s="25">
        <f t="shared" ref="G7:G25" si="3">G6+1</f>
        <v>3</v>
      </c>
      <c r="H7" s="26">
        <f t="shared" ref="H7:H25" si="4">H6+365</f>
        <v>42459</v>
      </c>
      <c r="I7" s="27">
        <v>858.65</v>
      </c>
      <c r="J7" s="13">
        <f t="shared" ref="J7:J19" si="5">I7/I6-1</f>
        <v>6.4912998722575832E-2</v>
      </c>
      <c r="L7" s="25">
        <f t="shared" ref="L7:L25" si="6">L6+1</f>
        <v>3</v>
      </c>
      <c r="M7" s="26">
        <f t="shared" ref="M7:M25" si="7">M6+365</f>
        <v>42459</v>
      </c>
      <c r="N7" s="27">
        <v>3.012820512820483</v>
      </c>
      <c r="O7" s="13">
        <f t="shared" ref="O7:O19" si="8">N7/N6-1</f>
        <v>-0.32764595644026573</v>
      </c>
    </row>
    <row r="8" spans="2:15" x14ac:dyDescent="0.25">
      <c r="B8" s="25">
        <f t="shared" si="0"/>
        <v>4</v>
      </c>
      <c r="C8" s="26">
        <f t="shared" si="1"/>
        <v>42824</v>
      </c>
      <c r="D8" s="27">
        <v>5898.71</v>
      </c>
      <c r="E8" s="13">
        <f t="shared" si="2"/>
        <v>-0.18475433625872439</v>
      </c>
      <c r="G8" s="25">
        <f t="shared" si="3"/>
        <v>4</v>
      </c>
      <c r="H8" s="26">
        <f t="shared" si="4"/>
        <v>42824</v>
      </c>
      <c r="I8" s="27">
        <v>674.02</v>
      </c>
      <c r="J8" s="13">
        <f t="shared" si="5"/>
        <v>-0.21502358353228901</v>
      </c>
      <c r="L8" s="25">
        <f t="shared" si="6"/>
        <v>4</v>
      </c>
      <c r="M8" s="26">
        <f t="shared" si="7"/>
        <v>42824</v>
      </c>
      <c r="N8" s="27">
        <v>-4.8442684766214041</v>
      </c>
      <c r="O8" s="13">
        <f t="shared" si="8"/>
        <v>-2.6078848560700987</v>
      </c>
    </row>
    <row r="9" spans="2:15" x14ac:dyDescent="0.25">
      <c r="B9" s="25">
        <f t="shared" si="0"/>
        <v>5</v>
      </c>
      <c r="C9" s="26">
        <f t="shared" si="1"/>
        <v>43189</v>
      </c>
      <c r="D9" s="27">
        <v>6347.01</v>
      </c>
      <c r="E9" s="13">
        <f t="shared" si="2"/>
        <v>7.5999667723960052E-2</v>
      </c>
      <c r="G9" s="25">
        <f t="shared" si="3"/>
        <v>5</v>
      </c>
      <c r="H9" s="26">
        <f t="shared" si="4"/>
        <v>43189</v>
      </c>
      <c r="I9" s="27">
        <v>606.82000000000005</v>
      </c>
      <c r="J9" s="13">
        <f t="shared" si="5"/>
        <v>-9.9700305628912966E-2</v>
      </c>
      <c r="L9" s="25">
        <f t="shared" si="6"/>
        <v>5</v>
      </c>
      <c r="M9" s="26">
        <f t="shared" si="7"/>
        <v>43189</v>
      </c>
      <c r="N9" s="27">
        <v>0.92760180995477903</v>
      </c>
      <c r="O9" s="13">
        <f t="shared" si="8"/>
        <v>-1.191484393243565</v>
      </c>
    </row>
    <row r="10" spans="2:15" x14ac:dyDescent="0.25">
      <c r="B10" s="25">
        <f t="shared" si="0"/>
        <v>6</v>
      </c>
      <c r="C10" s="26">
        <f t="shared" si="1"/>
        <v>43554</v>
      </c>
      <c r="D10" s="27">
        <v>8953.48</v>
      </c>
      <c r="E10" s="13">
        <f t="shared" si="2"/>
        <v>0.41066108293511427</v>
      </c>
      <c r="G10" s="25">
        <f t="shared" si="3"/>
        <v>6</v>
      </c>
      <c r="H10" s="26">
        <f t="shared" si="4"/>
        <v>43554</v>
      </c>
      <c r="I10" s="27">
        <v>546.09</v>
      </c>
      <c r="J10" s="13">
        <f t="shared" si="5"/>
        <v>-0.10007910088658911</v>
      </c>
      <c r="L10" s="25">
        <f t="shared" si="6"/>
        <v>6</v>
      </c>
      <c r="M10" s="26">
        <f t="shared" si="7"/>
        <v>43554</v>
      </c>
      <c r="N10" s="27">
        <v>3.1787330316741893</v>
      </c>
      <c r="O10" s="13">
        <f t="shared" si="8"/>
        <v>2.4268292682925594</v>
      </c>
    </row>
    <row r="11" spans="2:15" x14ac:dyDescent="0.25">
      <c r="B11" s="25">
        <f t="shared" si="0"/>
        <v>7</v>
      </c>
      <c r="C11" s="26">
        <f t="shared" si="1"/>
        <v>43919</v>
      </c>
      <c r="D11" s="27">
        <v>9956.76</v>
      </c>
      <c r="E11" s="13">
        <f t="shared" si="2"/>
        <v>0.1120547541291208</v>
      </c>
      <c r="G11" s="25">
        <f t="shared" si="3"/>
        <v>7</v>
      </c>
      <c r="H11" s="26">
        <f t="shared" si="4"/>
        <v>43919</v>
      </c>
      <c r="I11" s="27">
        <v>1425.23</v>
      </c>
      <c r="J11" s="13">
        <f t="shared" si="5"/>
        <v>1.6098811551209504</v>
      </c>
      <c r="L11" s="25">
        <f t="shared" si="6"/>
        <v>7</v>
      </c>
      <c r="M11" s="26">
        <f t="shared" si="7"/>
        <v>43919</v>
      </c>
      <c r="N11" s="27">
        <v>14.293599080107317</v>
      </c>
      <c r="O11" s="13">
        <f t="shared" si="8"/>
        <v>3.4966340166601224</v>
      </c>
    </row>
    <row r="12" spans="2:15" x14ac:dyDescent="0.25">
      <c r="B12" s="25">
        <f t="shared" si="0"/>
        <v>8</v>
      </c>
      <c r="C12" s="26">
        <f t="shared" si="1"/>
        <v>44284</v>
      </c>
      <c r="D12" s="27">
        <v>7152.56</v>
      </c>
      <c r="E12" s="13">
        <f t="shared" si="2"/>
        <v>-0.28163780185522191</v>
      </c>
      <c r="G12" s="25">
        <f t="shared" si="3"/>
        <v>8</v>
      </c>
      <c r="H12" s="26">
        <f t="shared" si="4"/>
        <v>44284</v>
      </c>
      <c r="I12" s="27">
        <v>1354.3400000000001</v>
      </c>
      <c r="J12" s="13">
        <f t="shared" si="5"/>
        <v>-4.9739340317001335E-2</v>
      </c>
      <c r="L12" s="25">
        <f t="shared" si="6"/>
        <v>8</v>
      </c>
      <c r="M12" s="26">
        <f t="shared" si="7"/>
        <v>44284</v>
      </c>
      <c r="N12" s="27">
        <v>7.5619011115369936</v>
      </c>
      <c r="O12" s="13">
        <f t="shared" si="8"/>
        <v>-0.47095891880295981</v>
      </c>
    </row>
    <row r="13" spans="2:15" x14ac:dyDescent="0.25">
      <c r="B13" s="25">
        <f t="shared" si="0"/>
        <v>9</v>
      </c>
      <c r="C13" s="26">
        <f t="shared" si="1"/>
        <v>44649</v>
      </c>
      <c r="D13" s="27">
        <v>6505.11</v>
      </c>
      <c r="E13" s="13">
        <f t="shared" si="2"/>
        <v>-9.0520037580950174E-2</v>
      </c>
      <c r="G13" s="25">
        <f t="shared" si="3"/>
        <v>9</v>
      </c>
      <c r="H13" s="26">
        <f t="shared" si="4"/>
        <v>44649</v>
      </c>
      <c r="I13" s="27">
        <v>1011.84</v>
      </c>
      <c r="J13" s="13">
        <f t="shared" si="5"/>
        <v>-0.25289070691259219</v>
      </c>
      <c r="L13" s="25">
        <f t="shared" si="6"/>
        <v>9</v>
      </c>
      <c r="M13" s="26">
        <f t="shared" si="7"/>
        <v>44649</v>
      </c>
      <c r="N13" s="27">
        <v>-3.8348026063626111</v>
      </c>
      <c r="O13" s="13">
        <f t="shared" si="8"/>
        <v>-1.5071214962745221</v>
      </c>
    </row>
    <row r="14" spans="2:15" x14ac:dyDescent="0.25">
      <c r="B14" s="25">
        <f t="shared" si="0"/>
        <v>10</v>
      </c>
      <c r="C14" s="26">
        <f t="shared" si="1"/>
        <v>45014</v>
      </c>
      <c r="D14" s="27">
        <v>9758.1</v>
      </c>
      <c r="E14" s="13">
        <f t="shared" si="2"/>
        <v>0.50006687050641729</v>
      </c>
      <c r="G14" s="25">
        <f t="shared" si="3"/>
        <v>10</v>
      </c>
      <c r="H14" s="26">
        <f t="shared" si="4"/>
        <v>45014</v>
      </c>
      <c r="I14" s="27">
        <v>887.28</v>
      </c>
      <c r="J14" s="13">
        <f t="shared" si="5"/>
        <v>-0.12310246679316894</v>
      </c>
      <c r="L14" s="25">
        <f t="shared" si="6"/>
        <v>10</v>
      </c>
      <c r="M14" s="26">
        <f t="shared" si="7"/>
        <v>45014</v>
      </c>
      <c r="N14" s="27">
        <v>-7.134225621414898</v>
      </c>
      <c r="O14" s="13">
        <f t="shared" si="8"/>
        <v>0.86038926999214116</v>
      </c>
    </row>
    <row r="15" spans="2:15" x14ac:dyDescent="0.25">
      <c r="B15" s="58">
        <f t="shared" si="0"/>
        <v>11</v>
      </c>
      <c r="C15" s="59">
        <f t="shared" si="1"/>
        <v>45379</v>
      </c>
      <c r="D15" s="60">
        <f>FORECAST(B15,$D$5:$D$14,$B$5:$B$14)</f>
        <v>8437.1980000000003</v>
      </c>
      <c r="E15" s="61">
        <f t="shared" si="2"/>
        <v>-0.1353646714011949</v>
      </c>
      <c r="G15" s="58">
        <f t="shared" si="3"/>
        <v>11</v>
      </c>
      <c r="H15" s="59">
        <f t="shared" si="4"/>
        <v>45379</v>
      </c>
      <c r="I15" s="60">
        <f>FORECAST(G15,$I$5:$I$14,$G$5:$G$14)</f>
        <v>1123.0606666666667</v>
      </c>
      <c r="J15" s="61">
        <f t="shared" si="5"/>
        <v>0.26573422895440757</v>
      </c>
      <c r="L15" s="58">
        <f t="shared" si="6"/>
        <v>11</v>
      </c>
      <c r="M15" s="59">
        <f t="shared" si="7"/>
        <v>45379</v>
      </c>
      <c r="N15" s="60">
        <f>FORECAST(L15,$N$5:$N$14,$L$5:$L$14)</f>
        <v>1.0084807189004725</v>
      </c>
      <c r="O15" s="61">
        <f t="shared" si="8"/>
        <v>-1.1413581196357603</v>
      </c>
    </row>
    <row r="16" spans="2:15" x14ac:dyDescent="0.25">
      <c r="B16" s="58">
        <f t="shared" si="0"/>
        <v>12</v>
      </c>
      <c r="C16" s="59">
        <f t="shared" si="1"/>
        <v>45744</v>
      </c>
      <c r="D16" s="60">
        <f t="shared" ref="D16:D19" si="9">FORECAST(B16,$D$5:$D$14,$B$5:$B$14)</f>
        <v>8553.7349090909083</v>
      </c>
      <c r="E16" s="61">
        <f t="shared" si="2"/>
        <v>1.3812276195356299E-2</v>
      </c>
      <c r="G16" s="58">
        <f t="shared" si="3"/>
        <v>12</v>
      </c>
      <c r="H16" s="59">
        <f t="shared" si="4"/>
        <v>45744</v>
      </c>
      <c r="I16" s="60">
        <f t="shared" ref="I16:I19" si="10">FORECAST(G16,$I$5:$I$14,$G$5:$G$14)</f>
        <v>1163.8020606060609</v>
      </c>
      <c r="J16" s="61">
        <f t="shared" si="5"/>
        <v>3.6277108751674003E-2</v>
      </c>
      <c r="L16" s="58">
        <f t="shared" si="6"/>
        <v>12</v>
      </c>
      <c r="M16" s="59">
        <f t="shared" si="7"/>
        <v>45744</v>
      </c>
      <c r="N16" s="60">
        <f t="shared" ref="N16:N19" si="11">FORECAST(L16,$N$5:$N$14,$L$5:$L$14)</f>
        <v>0.9236035704112171</v>
      </c>
      <c r="O16" s="61">
        <f t="shared" si="8"/>
        <v>-8.4163382500555217E-2</v>
      </c>
    </row>
    <row r="17" spans="2:15" x14ac:dyDescent="0.25">
      <c r="B17" s="58">
        <f t="shared" si="0"/>
        <v>13</v>
      </c>
      <c r="C17" s="59">
        <f t="shared" si="1"/>
        <v>46109</v>
      </c>
      <c r="D17" s="60">
        <f t="shared" si="9"/>
        <v>8670.2718181818182</v>
      </c>
      <c r="E17" s="61">
        <f t="shared" si="2"/>
        <v>1.3624096412790943E-2</v>
      </c>
      <c r="G17" s="58">
        <f t="shared" si="3"/>
        <v>13</v>
      </c>
      <c r="H17" s="59">
        <f t="shared" si="4"/>
        <v>46109</v>
      </c>
      <c r="I17" s="60">
        <f t="shared" si="10"/>
        <v>1204.5434545454548</v>
      </c>
      <c r="J17" s="61">
        <f t="shared" si="5"/>
        <v>3.5007150544292154E-2</v>
      </c>
      <c r="L17" s="58">
        <f t="shared" si="6"/>
        <v>13</v>
      </c>
      <c r="M17" s="59">
        <f t="shared" si="7"/>
        <v>46109</v>
      </c>
      <c r="N17" s="60">
        <f t="shared" si="11"/>
        <v>0.8387264219219619</v>
      </c>
      <c r="O17" s="61">
        <f t="shared" si="8"/>
        <v>-9.1897813313416732E-2</v>
      </c>
    </row>
    <row r="18" spans="2:15" x14ac:dyDescent="0.25">
      <c r="B18" s="58">
        <f t="shared" si="0"/>
        <v>14</v>
      </c>
      <c r="C18" s="59">
        <f t="shared" si="1"/>
        <v>46474</v>
      </c>
      <c r="D18" s="60">
        <f t="shared" si="9"/>
        <v>8786.808727272728</v>
      </c>
      <c r="E18" s="61">
        <f t="shared" si="2"/>
        <v>1.3440975269832789E-2</v>
      </c>
      <c r="G18" s="58">
        <f t="shared" si="3"/>
        <v>14</v>
      </c>
      <c r="H18" s="59">
        <f t="shared" si="4"/>
        <v>46474</v>
      </c>
      <c r="I18" s="60">
        <f t="shared" si="10"/>
        <v>1245.2848484848487</v>
      </c>
      <c r="J18" s="61">
        <f t="shared" si="5"/>
        <v>3.3823100184267041E-2</v>
      </c>
      <c r="L18" s="58">
        <f t="shared" si="6"/>
        <v>14</v>
      </c>
      <c r="M18" s="59">
        <f t="shared" si="7"/>
        <v>46474</v>
      </c>
      <c r="N18" s="60">
        <f t="shared" si="11"/>
        <v>0.75384927343270647</v>
      </c>
      <c r="O18" s="61">
        <f t="shared" si="8"/>
        <v>-0.10119765667421965</v>
      </c>
    </row>
    <row r="19" spans="2:15" x14ac:dyDescent="0.25">
      <c r="B19" s="58">
        <f t="shared" si="0"/>
        <v>15</v>
      </c>
      <c r="C19" s="59">
        <f t="shared" si="1"/>
        <v>46839</v>
      </c>
      <c r="D19" s="60">
        <f t="shared" si="9"/>
        <v>8903.345636363636</v>
      </c>
      <c r="E19" s="61">
        <f t="shared" si="2"/>
        <v>1.3262711492648904E-2</v>
      </c>
      <c r="G19" s="58">
        <f t="shared" si="3"/>
        <v>15</v>
      </c>
      <c r="H19" s="59">
        <f t="shared" si="4"/>
        <v>46839</v>
      </c>
      <c r="I19" s="60">
        <f t="shared" si="10"/>
        <v>1286.0262424242428</v>
      </c>
      <c r="J19" s="61">
        <f t="shared" si="5"/>
        <v>3.2716525852671152E-2</v>
      </c>
      <c r="L19" s="58">
        <f t="shared" si="6"/>
        <v>15</v>
      </c>
      <c r="M19" s="59">
        <f t="shared" si="7"/>
        <v>46839</v>
      </c>
      <c r="N19" s="60">
        <f t="shared" si="11"/>
        <v>0.66897212494345126</v>
      </c>
      <c r="O19" s="61">
        <f t="shared" si="8"/>
        <v>-0.11259166982115809</v>
      </c>
    </row>
    <row r="20" spans="2:15" x14ac:dyDescent="0.25">
      <c r="B20" s="58">
        <f t="shared" si="0"/>
        <v>16</v>
      </c>
      <c r="C20" s="59">
        <f t="shared" si="1"/>
        <v>47204</v>
      </c>
      <c r="D20" s="60">
        <f t="shared" ref="D20:D25" si="12">FORECAST(B20,$D$5:$D$14,$B$5:$B$14)</f>
        <v>9019.8825454545458</v>
      </c>
      <c r="E20" s="61">
        <f t="shared" ref="E20:E25" si="13">D20/D19-1</f>
        <v>1.308911434539195E-2</v>
      </c>
      <c r="G20" s="58">
        <f t="shared" si="3"/>
        <v>16</v>
      </c>
      <c r="H20" s="59">
        <f t="shared" si="4"/>
        <v>47204</v>
      </c>
      <c r="I20" s="60">
        <f t="shared" ref="I20:I25" si="14">FORECAST(G20,$I$5:$I$14,$G$5:$G$14)</f>
        <v>1326.7676363636365</v>
      </c>
      <c r="J20" s="61">
        <f t="shared" ref="J20:J25" si="15">I20/I19-1</f>
        <v>3.16800642128372E-2</v>
      </c>
      <c r="L20" s="58">
        <f t="shared" si="6"/>
        <v>16</v>
      </c>
      <c r="M20" s="59">
        <f t="shared" si="7"/>
        <v>47204</v>
      </c>
      <c r="N20" s="60">
        <f t="shared" ref="N20:N25" si="16">FORECAST(L20,$N$5:$N$14,$L$5:$L$14)</f>
        <v>0.58409497645419584</v>
      </c>
      <c r="O20" s="61">
        <f t="shared" ref="O20:O25" si="17">N20/N19-1</f>
        <v>-0.12687695843295432</v>
      </c>
    </row>
    <row r="21" spans="2:15" x14ac:dyDescent="0.25">
      <c r="B21" s="58">
        <f t="shared" si="0"/>
        <v>17</v>
      </c>
      <c r="C21" s="59">
        <f t="shared" si="1"/>
        <v>47569</v>
      </c>
      <c r="D21" s="60">
        <f t="shared" si="12"/>
        <v>9136.4194545454557</v>
      </c>
      <c r="E21" s="61">
        <f t="shared" si="13"/>
        <v>1.2920002949443843E-2</v>
      </c>
      <c r="G21" s="58">
        <f t="shared" si="3"/>
        <v>17</v>
      </c>
      <c r="H21" s="59">
        <f t="shared" si="4"/>
        <v>47569</v>
      </c>
      <c r="I21" s="60">
        <f t="shared" si="14"/>
        <v>1367.5090303030306</v>
      </c>
      <c r="J21" s="61">
        <f t="shared" si="15"/>
        <v>3.0707256359566282E-2</v>
      </c>
      <c r="L21" s="58">
        <f t="shared" si="6"/>
        <v>17</v>
      </c>
      <c r="M21" s="59">
        <f t="shared" si="7"/>
        <v>47569</v>
      </c>
      <c r="N21" s="60">
        <f t="shared" si="16"/>
        <v>0.49921782796494041</v>
      </c>
      <c r="O21" s="61">
        <f t="shared" si="17"/>
        <v>-0.14531395048885754</v>
      </c>
    </row>
    <row r="22" spans="2:15" x14ac:dyDescent="0.25">
      <c r="B22" s="58">
        <f t="shared" si="0"/>
        <v>18</v>
      </c>
      <c r="C22" s="59">
        <f t="shared" si="1"/>
        <v>47934</v>
      </c>
      <c r="D22" s="60">
        <f t="shared" si="12"/>
        <v>9252.9563636363637</v>
      </c>
      <c r="E22" s="61">
        <f t="shared" si="13"/>
        <v>1.2755205654763291E-2</v>
      </c>
      <c r="G22" s="58">
        <f t="shared" si="3"/>
        <v>18</v>
      </c>
      <c r="H22" s="59">
        <f t="shared" si="4"/>
        <v>47934</v>
      </c>
      <c r="I22" s="60">
        <f t="shared" si="14"/>
        <v>1408.2504242424245</v>
      </c>
      <c r="J22" s="61">
        <f t="shared" si="15"/>
        <v>2.9792413093144843E-2</v>
      </c>
      <c r="L22" s="58">
        <f t="shared" si="6"/>
        <v>18</v>
      </c>
      <c r="M22" s="59">
        <f t="shared" si="7"/>
        <v>47934</v>
      </c>
      <c r="N22" s="60">
        <f t="shared" si="16"/>
        <v>0.4143406794756852</v>
      </c>
      <c r="O22" s="61">
        <f t="shared" si="17"/>
        <v>-0.17002026717526608</v>
      </c>
    </row>
    <row r="23" spans="2:15" x14ac:dyDescent="0.25">
      <c r="B23" s="58">
        <f t="shared" si="0"/>
        <v>19</v>
      </c>
      <c r="C23" s="59">
        <f t="shared" si="1"/>
        <v>48299</v>
      </c>
      <c r="D23" s="60">
        <f t="shared" si="12"/>
        <v>9369.4932727272735</v>
      </c>
      <c r="E23" s="61">
        <f t="shared" si="13"/>
        <v>1.2594559458736221E-2</v>
      </c>
      <c r="G23" s="58">
        <f t="shared" si="3"/>
        <v>19</v>
      </c>
      <c r="H23" s="59">
        <f t="shared" si="4"/>
        <v>48299</v>
      </c>
      <c r="I23" s="60">
        <f t="shared" si="14"/>
        <v>1448.9918181818184</v>
      </c>
      <c r="J23" s="61">
        <f t="shared" si="15"/>
        <v>2.8930503579511324E-2</v>
      </c>
      <c r="L23" s="58">
        <f t="shared" si="6"/>
        <v>19</v>
      </c>
      <c r="M23" s="59">
        <f t="shared" si="7"/>
        <v>48299</v>
      </c>
      <c r="N23" s="60">
        <f t="shared" si="16"/>
        <v>0.32946353098642978</v>
      </c>
      <c r="O23" s="61">
        <f t="shared" si="17"/>
        <v>-0.20484869744544665</v>
      </c>
    </row>
    <row r="24" spans="2:15" x14ac:dyDescent="0.25">
      <c r="B24" s="58">
        <f t="shared" si="0"/>
        <v>20</v>
      </c>
      <c r="C24" s="59">
        <f t="shared" si="1"/>
        <v>48664</v>
      </c>
      <c r="D24" s="60">
        <f t="shared" si="12"/>
        <v>9486.0301818181815</v>
      </c>
      <c r="E24" s="61">
        <f t="shared" si="13"/>
        <v>1.243790946839396E-2</v>
      </c>
      <c r="G24" s="58">
        <f t="shared" si="3"/>
        <v>20</v>
      </c>
      <c r="H24" s="59">
        <f t="shared" si="4"/>
        <v>48664</v>
      </c>
      <c r="I24" s="60">
        <f t="shared" si="14"/>
        <v>1489.7332121212125</v>
      </c>
      <c r="J24" s="61">
        <f t="shared" si="15"/>
        <v>2.8117062793712622E-2</v>
      </c>
      <c r="L24" s="58">
        <f t="shared" si="6"/>
        <v>20</v>
      </c>
      <c r="M24" s="59">
        <f t="shared" si="7"/>
        <v>48664</v>
      </c>
      <c r="N24" s="60">
        <f t="shared" si="16"/>
        <v>0.24458638249717457</v>
      </c>
      <c r="O24" s="61">
        <f t="shared" si="17"/>
        <v>-0.25762228746571403</v>
      </c>
    </row>
    <row r="25" spans="2:15" x14ac:dyDescent="0.25">
      <c r="B25" s="58">
        <f t="shared" si="0"/>
        <v>21</v>
      </c>
      <c r="C25" s="59">
        <f t="shared" si="1"/>
        <v>49029</v>
      </c>
      <c r="D25" s="60">
        <f t="shared" si="12"/>
        <v>9602.5670909090913</v>
      </c>
      <c r="E25" s="61">
        <f t="shared" si="13"/>
        <v>1.2285108402277256E-2</v>
      </c>
      <c r="G25" s="58">
        <f t="shared" si="3"/>
        <v>21</v>
      </c>
      <c r="H25" s="59">
        <f t="shared" si="4"/>
        <v>49029</v>
      </c>
      <c r="I25" s="60">
        <f t="shared" si="14"/>
        <v>1530.4746060606062</v>
      </c>
      <c r="J25" s="61">
        <f t="shared" si="15"/>
        <v>2.7348114150843594E-2</v>
      </c>
      <c r="L25" s="58">
        <f t="shared" si="6"/>
        <v>21</v>
      </c>
      <c r="M25" s="59">
        <f t="shared" si="7"/>
        <v>49029</v>
      </c>
      <c r="N25" s="60">
        <f t="shared" si="16"/>
        <v>0.15970923400791914</v>
      </c>
      <c r="O25" s="61">
        <f t="shared" si="17"/>
        <v>-0.3470231973778668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9" activePane="bottomRight" state="frozen"/>
      <selection activeCell="C4" sqref="C4"/>
      <selection pane="topRight" activeCell="C4" sqref="C4"/>
      <selection pane="bottomLeft" activeCell="C4" sqref="C4"/>
      <selection pane="bottomRight" activeCell="D6" sqref="D6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73" t="str">
        <f>IF(B2&lt;&gt;B3, "A NEW VERSION OF THE WORKSHEET IS AVAILABLE", "")</f>
        <v/>
      </c>
      <c r="F1" s="73"/>
      <c r="G1" s="73"/>
      <c r="H1" s="73"/>
      <c r="I1" s="73"/>
      <c r="J1" s="73"/>
      <c r="K1" s="73"/>
    </row>
    <row r="2" spans="1:11" x14ac:dyDescent="0.2">
      <c r="A2" s="1" t="s">
        <v>1</v>
      </c>
      <c r="B2" s="2">
        <v>2.1</v>
      </c>
      <c r="E2" s="74" t="s">
        <v>2</v>
      </c>
      <c r="F2" s="74"/>
      <c r="G2" s="74"/>
      <c r="H2" s="74"/>
      <c r="I2" s="74"/>
      <c r="J2" s="74"/>
      <c r="K2" s="74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  <v>26.166687339417027</v>
      </c>
    </row>
    <row r="7" spans="1:11" x14ac:dyDescent="0.2">
      <c r="A7" s="2" t="s">
        <v>6</v>
      </c>
      <c r="B7" s="3">
        <v>5</v>
      </c>
    </row>
    <row r="8" spans="1:11" x14ac:dyDescent="0.2">
      <c r="A8" s="2" t="s">
        <v>7</v>
      </c>
      <c r="B8" s="3">
        <v>564.35</v>
      </c>
    </row>
    <row r="9" spans="1:11" x14ac:dyDescent="0.2">
      <c r="A9" s="2" t="s">
        <v>8</v>
      </c>
      <c r="B9" s="3">
        <v>14767.17</v>
      </c>
    </row>
    <row r="15" spans="1:11" x14ac:dyDescent="0.2">
      <c r="A15" s="1" t="s">
        <v>9</v>
      </c>
      <c r="B15" s="2">
        <f>B26+B34</f>
        <v>1225.55</v>
      </c>
      <c r="K15" s="2">
        <f>K17-K18-K20-K21-K22-K23-K19</f>
        <v>-2734.579999999999</v>
      </c>
    </row>
    <row r="16" spans="1:11" s="6" customFormat="1" x14ac:dyDescent="0.2">
      <c r="A16" s="4" t="s">
        <v>10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x14ac:dyDescent="0.2">
      <c r="A17" s="2" t="s">
        <v>11</v>
      </c>
      <c r="B17" s="3">
        <v>7704.73</v>
      </c>
      <c r="C17" s="3">
        <v>8450.49</v>
      </c>
      <c r="D17" s="3">
        <v>7235.5</v>
      </c>
      <c r="E17" s="3">
        <v>5898.71</v>
      </c>
      <c r="F17" s="3">
        <v>6347.01</v>
      </c>
      <c r="G17" s="3">
        <v>8953.48</v>
      </c>
      <c r="H17" s="3">
        <v>9956.76</v>
      </c>
      <c r="I17" s="3">
        <v>7152.56</v>
      </c>
      <c r="J17" s="3">
        <v>6505.11</v>
      </c>
      <c r="K17" s="3">
        <v>9758.1</v>
      </c>
    </row>
    <row r="18" spans="1:11" ht="15" x14ac:dyDescent="0.25">
      <c r="A18" s="2" t="s">
        <v>12</v>
      </c>
      <c r="B18" s="7">
        <v>4654.9399999999996</v>
      </c>
      <c r="C18" s="7">
        <v>5812.06</v>
      </c>
      <c r="D18" s="7">
        <v>4410.34</v>
      </c>
      <c r="E18" s="7">
        <v>4212.76</v>
      </c>
      <c r="F18" s="7">
        <v>4363.79</v>
      </c>
      <c r="G18" s="7">
        <v>6287.46</v>
      </c>
      <c r="H18" s="7">
        <v>7358.29</v>
      </c>
      <c r="I18" s="7">
        <v>4243.97</v>
      </c>
      <c r="J18" s="7">
        <v>4305.09</v>
      </c>
      <c r="K18" s="7">
        <v>8892.99</v>
      </c>
    </row>
    <row r="19" spans="1:11" ht="15" x14ac:dyDescent="0.25">
      <c r="A19" s="2" t="s">
        <v>13</v>
      </c>
      <c r="B19" s="7">
        <v>-314.82</v>
      </c>
      <c r="C19" s="7">
        <v>-24.42</v>
      </c>
      <c r="D19" s="7">
        <v>-21.14</v>
      </c>
      <c r="E19" s="7">
        <v>172.56</v>
      </c>
      <c r="F19" s="7">
        <v>-35.9</v>
      </c>
      <c r="G19" s="7">
        <v>10.71</v>
      </c>
      <c r="H19" s="7">
        <v>823.49</v>
      </c>
      <c r="I19" s="7">
        <v>-515.49</v>
      </c>
      <c r="J19" s="7">
        <v>-452.95</v>
      </c>
      <c r="K19" s="7">
        <v>1639.01</v>
      </c>
    </row>
    <row r="20" spans="1:11" x14ac:dyDescent="0.2">
      <c r="A20" s="2" t="s">
        <v>14</v>
      </c>
      <c r="B20" s="3">
        <v>110.15</v>
      </c>
      <c r="C20" s="3">
        <v>110.21</v>
      </c>
      <c r="D20" s="3">
        <v>116.76</v>
      </c>
      <c r="E20" s="3">
        <v>106.26</v>
      </c>
      <c r="F20" s="3">
        <v>91.33</v>
      </c>
      <c r="G20" s="3">
        <v>113.28</v>
      </c>
      <c r="H20" s="3">
        <v>122.31</v>
      </c>
      <c r="I20" s="3">
        <v>197.81</v>
      </c>
      <c r="J20" s="3">
        <v>162.38999999999999</v>
      </c>
      <c r="K20" s="3">
        <v>305.61</v>
      </c>
    </row>
    <row r="21" spans="1:11" x14ac:dyDescent="0.2">
      <c r="A21" s="2" t="s">
        <v>15</v>
      </c>
      <c r="B21" s="3">
        <v>809.05</v>
      </c>
      <c r="C21" s="3">
        <v>840.49</v>
      </c>
      <c r="D21" s="3">
        <v>951.14</v>
      </c>
      <c r="E21" s="3">
        <v>666.91</v>
      </c>
      <c r="F21" s="3">
        <v>699.2</v>
      </c>
      <c r="G21" s="3">
        <v>949.58</v>
      </c>
      <c r="H21" s="3">
        <v>1172.8</v>
      </c>
      <c r="I21" s="3">
        <v>758.86</v>
      </c>
      <c r="J21" s="3">
        <v>203.58</v>
      </c>
      <c r="K21" s="3">
        <v>446.39</v>
      </c>
    </row>
    <row r="22" spans="1:11" x14ac:dyDescent="0.2">
      <c r="A22" s="2" t="s">
        <v>16</v>
      </c>
      <c r="B22" s="3">
        <v>529.82000000000005</v>
      </c>
      <c r="C22" s="3">
        <v>531.80999999999995</v>
      </c>
      <c r="D22" s="3">
        <v>558.03</v>
      </c>
      <c r="E22" s="3">
        <v>430.99</v>
      </c>
      <c r="F22" s="3">
        <v>417.67</v>
      </c>
      <c r="G22" s="3">
        <v>572.64</v>
      </c>
      <c r="H22" s="3">
        <v>637.03</v>
      </c>
      <c r="I22" s="3">
        <v>455.46</v>
      </c>
      <c r="J22" s="3">
        <v>384.54</v>
      </c>
      <c r="K22" s="3">
        <v>542.02</v>
      </c>
    </row>
    <row r="23" spans="1:11" x14ac:dyDescent="0.2">
      <c r="A23" s="2" t="s">
        <v>17</v>
      </c>
      <c r="B23" s="3">
        <v>231.69</v>
      </c>
      <c r="C23" s="3">
        <v>249.11</v>
      </c>
      <c r="D23" s="3">
        <v>242.37</v>
      </c>
      <c r="E23" s="3">
        <v>120.18</v>
      </c>
      <c r="F23" s="3">
        <v>115.38</v>
      </c>
      <c r="G23" s="3">
        <v>156.43</v>
      </c>
      <c r="H23" s="3">
        <v>141.16999999999999</v>
      </c>
      <c r="I23" s="3">
        <v>111.12</v>
      </c>
      <c r="J23" s="3">
        <v>479.57</v>
      </c>
      <c r="K23" s="3">
        <v>666.66</v>
      </c>
    </row>
    <row r="24" spans="1:11" x14ac:dyDescent="0.2">
      <c r="A24" s="2" t="s">
        <v>18</v>
      </c>
      <c r="B24" s="3">
        <v>384.36</v>
      </c>
      <c r="C24" s="3">
        <v>27.18</v>
      </c>
      <c r="D24" s="3">
        <v>148.97999999999999</v>
      </c>
      <c r="E24" s="3">
        <v>15.05</v>
      </c>
      <c r="F24" s="3">
        <v>150.62</v>
      </c>
      <c r="G24" s="3">
        <v>241.15</v>
      </c>
      <c r="H24" s="3">
        <v>185.97</v>
      </c>
      <c r="I24" s="3">
        <v>85.8</v>
      </c>
      <c r="J24" s="3">
        <v>44.01</v>
      </c>
      <c r="K24" s="3">
        <v>49.41</v>
      </c>
    </row>
    <row r="25" spans="1:11" x14ac:dyDescent="0.2">
      <c r="A25" s="2" t="s">
        <v>19</v>
      </c>
      <c r="B25" s="3">
        <v>174.01</v>
      </c>
      <c r="C25" s="3">
        <v>95.6</v>
      </c>
      <c r="D25" s="3">
        <v>99.38</v>
      </c>
      <c r="E25" s="3">
        <v>138.59</v>
      </c>
      <c r="F25" s="3">
        <v>128.41</v>
      </c>
      <c r="G25" s="3">
        <v>-105.94</v>
      </c>
      <c r="H25" s="3">
        <v>281.14</v>
      </c>
      <c r="I25" s="3">
        <v>629.36</v>
      </c>
      <c r="J25" s="3">
        <v>544.22</v>
      </c>
      <c r="K25" s="3">
        <v>385.73</v>
      </c>
    </row>
    <row r="26" spans="1:11" x14ac:dyDescent="0.2">
      <c r="A26" s="2" t="s">
        <v>20</v>
      </c>
      <c r="B26" s="3">
        <v>406.3</v>
      </c>
      <c r="C26" s="3">
        <v>436.5</v>
      </c>
      <c r="D26" s="3">
        <v>386.48</v>
      </c>
      <c r="E26" s="3">
        <v>386.08</v>
      </c>
      <c r="F26" s="3">
        <v>258.16000000000003</v>
      </c>
      <c r="G26" s="3">
        <v>259.73</v>
      </c>
      <c r="H26" s="3">
        <v>233.29</v>
      </c>
      <c r="I26" s="3">
        <v>246.47</v>
      </c>
      <c r="J26" s="3">
        <v>254.75</v>
      </c>
      <c r="K26" s="3">
        <v>302.97000000000003</v>
      </c>
    </row>
    <row r="27" spans="1:11" ht="15" x14ac:dyDescent="0.25">
      <c r="A27" s="2" t="s">
        <v>21</v>
      </c>
      <c r="B27" s="3">
        <v>296.39999999999998</v>
      </c>
      <c r="C27" s="3">
        <v>283.02999999999997</v>
      </c>
      <c r="D27" s="3">
        <v>241.14</v>
      </c>
      <c r="E27" s="3">
        <v>235.71</v>
      </c>
      <c r="F27" s="3">
        <v>170.15</v>
      </c>
      <c r="G27" s="3">
        <v>177.37</v>
      </c>
      <c r="H27" s="3">
        <v>144.02000000000001</v>
      </c>
      <c r="I27" s="3">
        <v>84.95</v>
      </c>
      <c r="J27" s="7">
        <v>101.89</v>
      </c>
      <c r="K27" s="7">
        <v>243.16</v>
      </c>
    </row>
    <row r="28" spans="1:11" x14ac:dyDescent="0.2">
      <c r="A28" s="2" t="s">
        <v>22</v>
      </c>
      <c r="B28" s="3">
        <v>141.21</v>
      </c>
      <c r="C28" s="3">
        <v>231.28</v>
      </c>
      <c r="D28" s="3">
        <v>258.5</v>
      </c>
      <c r="E28" s="3">
        <v>35.92</v>
      </c>
      <c r="F28" s="3">
        <v>173.22</v>
      </c>
      <c r="G28" s="3">
        <v>100.61</v>
      </c>
      <c r="H28" s="3">
        <v>1066.51</v>
      </c>
      <c r="I28" s="3">
        <v>1081.99</v>
      </c>
      <c r="J28" s="3">
        <v>660.56</v>
      </c>
      <c r="K28" s="3">
        <v>333.63</v>
      </c>
    </row>
    <row r="29" spans="1:11" x14ac:dyDescent="0.2">
      <c r="A29" s="2" t="s">
        <v>23</v>
      </c>
      <c r="B29" s="3">
        <v>43.16</v>
      </c>
      <c r="C29" s="3">
        <v>17.739999999999998</v>
      </c>
      <c r="D29" s="3">
        <v>79.22</v>
      </c>
      <c r="E29" s="3">
        <v>25.8</v>
      </c>
      <c r="F29" s="3">
        <v>20.21</v>
      </c>
      <c r="G29" s="3">
        <v>122.25</v>
      </c>
      <c r="H29" s="3">
        <v>412.45</v>
      </c>
      <c r="I29" s="3">
        <v>255.34</v>
      </c>
      <c r="J29" s="3">
        <v>216.39</v>
      </c>
      <c r="K29" s="3">
        <v>134.46</v>
      </c>
    </row>
    <row r="30" spans="1:11" x14ac:dyDescent="0.2">
      <c r="A30" s="2" t="s">
        <v>24</v>
      </c>
      <c r="B30" s="3">
        <v>73.39</v>
      </c>
      <c r="C30" s="3">
        <v>69.040000000000006</v>
      </c>
      <c r="D30" s="3">
        <v>151.81</v>
      </c>
      <c r="E30" s="3">
        <v>26.43</v>
      </c>
      <c r="F30" s="3">
        <v>158.30000000000001</v>
      </c>
      <c r="G30" s="3">
        <v>-13.26</v>
      </c>
      <c r="H30" s="3">
        <v>635.47</v>
      </c>
      <c r="I30" s="3">
        <v>767.58</v>
      </c>
      <c r="J30" s="3">
        <v>438.81</v>
      </c>
      <c r="K30" s="3">
        <v>206.69</v>
      </c>
    </row>
    <row r="31" spans="1:11" x14ac:dyDescent="0.2">
      <c r="A31" s="2" t="s">
        <v>25</v>
      </c>
      <c r="B31" s="3">
        <v>13.15</v>
      </c>
      <c r="C31" s="3">
        <v>13.16</v>
      </c>
      <c r="D31" s="3">
        <v>13.26</v>
      </c>
      <c r="E31" s="3">
        <v>13.26</v>
      </c>
      <c r="F31" s="3">
        <v>13.26</v>
      </c>
      <c r="G31" s="3">
        <v>13.26</v>
      </c>
      <c r="H31" s="3">
        <v>273.92</v>
      </c>
      <c r="I31" s="3">
        <v>130.44</v>
      </c>
      <c r="J31" s="3">
        <v>130.47999999999999</v>
      </c>
      <c r="K31" s="3">
        <v>130.77000000000001</v>
      </c>
    </row>
    <row r="32" spans="1:11" x14ac:dyDescent="0.2">
      <c r="A32" s="2" t="s">
        <v>26</v>
      </c>
      <c r="B32" s="8">
        <f>B29/B28</f>
        <v>0.30564407619856948</v>
      </c>
      <c r="C32" s="8">
        <f t="shared" ref="C32:K32" si="0">C29/C28</f>
        <v>7.6703562781044621E-2</v>
      </c>
      <c r="D32" s="8">
        <f t="shared" si="0"/>
        <v>0.3064603481624758</v>
      </c>
      <c r="E32" s="8">
        <f t="shared" si="0"/>
        <v>0.71826280623608019</v>
      </c>
      <c r="F32" s="8">
        <f t="shared" si="0"/>
        <v>0.1166724396720933</v>
      </c>
      <c r="G32" s="8">
        <f t="shared" si="0"/>
        <v>1.2150879634231191</v>
      </c>
      <c r="H32" s="8">
        <f t="shared" si="0"/>
        <v>0.38672867577425435</v>
      </c>
      <c r="I32" s="8">
        <f t="shared" si="0"/>
        <v>0.23599109049066996</v>
      </c>
      <c r="J32" s="8">
        <f t="shared" si="0"/>
        <v>0.3275856848734407</v>
      </c>
      <c r="K32" s="8">
        <f t="shared" si="0"/>
        <v>0.40302131103318051</v>
      </c>
    </row>
    <row r="34" spans="1:11" x14ac:dyDescent="0.2">
      <c r="A34" s="2" t="s">
        <v>27</v>
      </c>
      <c r="B34" s="2">
        <f>+B30+B29+B27+B26</f>
        <v>819.25</v>
      </c>
      <c r="C34" s="2">
        <f t="shared" ref="C34:K34" si="1">+C30+C29+C27+C26</f>
        <v>806.31</v>
      </c>
      <c r="D34" s="2">
        <f t="shared" si="1"/>
        <v>858.65</v>
      </c>
      <c r="E34" s="2">
        <f t="shared" si="1"/>
        <v>674.02</v>
      </c>
      <c r="F34" s="2">
        <f t="shared" si="1"/>
        <v>606.82000000000005</v>
      </c>
      <c r="G34" s="2">
        <f t="shared" si="1"/>
        <v>546.09</v>
      </c>
      <c r="H34" s="2">
        <f t="shared" si="1"/>
        <v>1425.23</v>
      </c>
      <c r="I34" s="2">
        <f t="shared" si="1"/>
        <v>1354.3400000000001</v>
      </c>
      <c r="J34" s="2">
        <f t="shared" si="1"/>
        <v>1011.84</v>
      </c>
      <c r="K34" s="2">
        <f t="shared" si="1"/>
        <v>887.28</v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44469</v>
      </c>
      <c r="C41" s="5">
        <v>44561</v>
      </c>
      <c r="D41" s="5">
        <v>44651</v>
      </c>
      <c r="E41" s="5">
        <v>44742</v>
      </c>
      <c r="F41" s="5">
        <v>44834</v>
      </c>
      <c r="G41" s="5">
        <v>44926</v>
      </c>
      <c r="H41" s="5">
        <v>45016</v>
      </c>
      <c r="I41" s="5">
        <v>45107</v>
      </c>
      <c r="J41" s="5">
        <v>45199</v>
      </c>
      <c r="K41" s="5">
        <v>45291</v>
      </c>
    </row>
    <row r="42" spans="1:11" x14ac:dyDescent="0.2">
      <c r="A42" s="2" t="s">
        <v>11</v>
      </c>
      <c r="B42" s="3">
        <v>1542.11</v>
      </c>
      <c r="C42" s="3">
        <v>1441.81</v>
      </c>
      <c r="D42" s="3">
        <v>2011.06</v>
      </c>
      <c r="E42" s="3">
        <v>1321.82</v>
      </c>
      <c r="F42" s="3">
        <v>1963.81</v>
      </c>
      <c r="G42" s="3">
        <v>2402.3200000000002</v>
      </c>
      <c r="H42" s="3">
        <v>4070.15</v>
      </c>
      <c r="I42" s="3">
        <v>4069.27</v>
      </c>
      <c r="J42" s="3">
        <v>4059.45</v>
      </c>
      <c r="K42" s="3">
        <v>4749.71</v>
      </c>
    </row>
    <row r="43" spans="1:11" x14ac:dyDescent="0.2">
      <c r="A43" s="2" t="s">
        <v>29</v>
      </c>
      <c r="B43" s="3">
        <v>1426.87</v>
      </c>
      <c r="C43" s="3">
        <v>1347.18</v>
      </c>
      <c r="D43" s="3">
        <v>1939.85</v>
      </c>
      <c r="E43" s="3">
        <v>1292.95</v>
      </c>
      <c r="F43" s="3">
        <v>2095.04</v>
      </c>
      <c r="G43" s="3">
        <v>2235.94</v>
      </c>
      <c r="H43" s="3">
        <v>3649.6</v>
      </c>
      <c r="I43" s="3">
        <v>3712.43</v>
      </c>
      <c r="J43" s="3">
        <v>3659.93</v>
      </c>
      <c r="K43" s="3">
        <v>4286.74</v>
      </c>
    </row>
    <row r="44" spans="1:11" x14ac:dyDescent="0.2">
      <c r="A44" s="2" t="s">
        <v>19</v>
      </c>
      <c r="B44" s="3">
        <v>54.14</v>
      </c>
      <c r="C44" s="3">
        <v>57.57</v>
      </c>
      <c r="D44" s="3">
        <v>415.41</v>
      </c>
      <c r="E44" s="3">
        <v>76.27</v>
      </c>
      <c r="F44" s="3">
        <v>190.61</v>
      </c>
      <c r="G44" s="3">
        <v>37.5</v>
      </c>
      <c r="H44" s="3">
        <v>90.81</v>
      </c>
      <c r="I44" s="3">
        <v>49.51</v>
      </c>
      <c r="J44" s="3">
        <v>226.67</v>
      </c>
      <c r="K44" s="3">
        <v>61.76</v>
      </c>
    </row>
    <row r="45" spans="1:11" x14ac:dyDescent="0.2">
      <c r="A45" s="2" t="s">
        <v>20</v>
      </c>
      <c r="B45" s="3">
        <v>63.47</v>
      </c>
      <c r="C45" s="3">
        <v>64.17</v>
      </c>
      <c r="D45" s="3">
        <v>63.38</v>
      </c>
      <c r="E45" s="3">
        <v>61.25</v>
      </c>
      <c r="F45" s="3">
        <v>70.040000000000006</v>
      </c>
      <c r="G45" s="3">
        <v>80.44</v>
      </c>
      <c r="H45" s="3">
        <v>91.24</v>
      </c>
      <c r="I45" s="3">
        <v>85.87</v>
      </c>
      <c r="J45" s="3">
        <v>85.68</v>
      </c>
      <c r="K45" s="3">
        <v>89.55</v>
      </c>
    </row>
    <row r="46" spans="1:11" ht="15" x14ac:dyDescent="0.25">
      <c r="A46" s="2" t="s">
        <v>21</v>
      </c>
      <c r="B46" s="7">
        <v>23.01</v>
      </c>
      <c r="C46" s="7">
        <v>27.21</v>
      </c>
      <c r="D46" s="7">
        <v>29.93</v>
      </c>
      <c r="E46" s="7">
        <v>30.57</v>
      </c>
      <c r="F46" s="7">
        <v>47.46</v>
      </c>
      <c r="G46" s="7">
        <v>70.42</v>
      </c>
      <c r="H46" s="7">
        <v>94.71</v>
      </c>
      <c r="I46" s="7">
        <v>92.32</v>
      </c>
      <c r="J46" s="7">
        <v>74.98</v>
      </c>
      <c r="K46" s="7">
        <v>62.5</v>
      </c>
    </row>
    <row r="47" spans="1:11" x14ac:dyDescent="0.2">
      <c r="A47" s="2" t="s">
        <v>22</v>
      </c>
      <c r="B47" s="3">
        <v>82.9</v>
      </c>
      <c r="C47" s="3">
        <v>60.82</v>
      </c>
      <c r="D47" s="3">
        <v>393.31</v>
      </c>
      <c r="E47" s="3">
        <v>13.32</v>
      </c>
      <c r="F47" s="3">
        <v>-58.12</v>
      </c>
      <c r="G47" s="3">
        <v>53.02</v>
      </c>
      <c r="H47" s="3">
        <v>325.41000000000003</v>
      </c>
      <c r="I47" s="3">
        <v>228.16</v>
      </c>
      <c r="J47" s="3">
        <v>465.53</v>
      </c>
      <c r="K47" s="3">
        <v>372.68</v>
      </c>
    </row>
    <row r="48" spans="1:11" x14ac:dyDescent="0.2">
      <c r="A48" s="2" t="s">
        <v>23</v>
      </c>
      <c r="B48" s="3">
        <v>27.43</v>
      </c>
      <c r="C48" s="3">
        <v>22.22</v>
      </c>
      <c r="D48" s="3">
        <v>129.75</v>
      </c>
      <c r="E48" s="3">
        <v>14.27</v>
      </c>
      <c r="F48" s="3">
        <v>5.0599999999999996</v>
      </c>
      <c r="G48" s="3">
        <v>29.8</v>
      </c>
      <c r="H48" s="3">
        <v>85.33</v>
      </c>
      <c r="I48" s="3">
        <v>59.71</v>
      </c>
      <c r="J48" s="3">
        <v>78.959999999999994</v>
      </c>
      <c r="K48" s="3">
        <v>78.98</v>
      </c>
    </row>
    <row r="49" spans="1:11" x14ac:dyDescent="0.2">
      <c r="A49" s="2" t="s">
        <v>24</v>
      </c>
      <c r="B49" s="3">
        <v>62.7</v>
      </c>
      <c r="C49" s="3">
        <v>45.79</v>
      </c>
      <c r="D49" s="3">
        <v>236.14</v>
      </c>
      <c r="E49" s="3">
        <v>4.1100000000000003</v>
      </c>
      <c r="F49" s="3">
        <v>-56.59</v>
      </c>
      <c r="G49" s="3">
        <v>23.24</v>
      </c>
      <c r="H49" s="3">
        <v>235.93</v>
      </c>
      <c r="I49" s="3">
        <v>165.39</v>
      </c>
      <c r="J49" s="3">
        <v>384.67</v>
      </c>
      <c r="K49" s="3">
        <v>291.86</v>
      </c>
    </row>
    <row r="50" spans="1:11" x14ac:dyDescent="0.2">
      <c r="A50" s="2" t="s">
        <v>30</v>
      </c>
      <c r="B50" s="3">
        <v>115.24</v>
      </c>
      <c r="C50" s="3">
        <v>94.63</v>
      </c>
      <c r="D50" s="3">
        <v>71.209999999999994</v>
      </c>
      <c r="E50" s="3">
        <v>28.87</v>
      </c>
      <c r="F50" s="3">
        <v>-131.22999999999999</v>
      </c>
      <c r="G50" s="3">
        <v>166.38</v>
      </c>
      <c r="H50" s="3">
        <v>420.55</v>
      </c>
      <c r="I50" s="3">
        <v>356.84</v>
      </c>
      <c r="J50" s="3">
        <v>399.52</v>
      </c>
      <c r="K50" s="3">
        <v>462.97</v>
      </c>
    </row>
    <row r="51" spans="1:11" x14ac:dyDescent="0.2">
      <c r="A51" s="2" t="s">
        <v>27</v>
      </c>
      <c r="B51" s="2">
        <f>B49+B48+B46+B45</f>
        <v>176.61</v>
      </c>
      <c r="C51" s="2">
        <f t="shared" ref="C51:K51" si="2">C49+C48+C46+C45</f>
        <v>159.38999999999999</v>
      </c>
      <c r="D51" s="2">
        <f t="shared" si="2"/>
        <v>459.2</v>
      </c>
      <c r="E51" s="2">
        <f t="shared" si="2"/>
        <v>110.2</v>
      </c>
      <c r="F51" s="2">
        <f t="shared" si="2"/>
        <v>65.97</v>
      </c>
      <c r="G51" s="2">
        <f t="shared" si="2"/>
        <v>203.9</v>
      </c>
      <c r="H51" s="2">
        <f t="shared" si="2"/>
        <v>507.21</v>
      </c>
      <c r="I51" s="2">
        <f t="shared" si="2"/>
        <v>403.28999999999996</v>
      </c>
      <c r="J51" s="2">
        <f t="shared" si="2"/>
        <v>624.29</v>
      </c>
      <c r="K51" s="2">
        <f t="shared" si="2"/>
        <v>522.89</v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2">
      <c r="A57" s="2" t="s">
        <v>32</v>
      </c>
      <c r="B57" s="3">
        <v>131.47</v>
      </c>
      <c r="C57" s="3">
        <v>131.59</v>
      </c>
      <c r="D57" s="3">
        <v>132.61000000000001</v>
      </c>
      <c r="E57" s="3">
        <v>132.61000000000001</v>
      </c>
      <c r="F57" s="3">
        <v>132.61000000000001</v>
      </c>
      <c r="G57" s="3">
        <v>132.61000000000001</v>
      </c>
      <c r="H57" s="3">
        <v>130.44</v>
      </c>
      <c r="I57" s="3">
        <v>130.44</v>
      </c>
      <c r="J57" s="3">
        <v>130.47999999999999</v>
      </c>
      <c r="K57" s="3">
        <v>130.77000000000001</v>
      </c>
    </row>
    <row r="58" spans="1:11" x14ac:dyDescent="0.2">
      <c r="A58" s="2" t="s">
        <v>33</v>
      </c>
      <c r="B58" s="3">
        <v>2717.76</v>
      </c>
      <c r="C58" s="3">
        <v>2667.23</v>
      </c>
      <c r="D58" s="3">
        <v>2666.28</v>
      </c>
      <c r="E58" s="3">
        <v>2676.82</v>
      </c>
      <c r="F58" s="3">
        <v>2721.42</v>
      </c>
      <c r="G58" s="3">
        <v>2665.03</v>
      </c>
      <c r="H58" s="3">
        <v>3084.8</v>
      </c>
      <c r="I58" s="3">
        <v>3952.31</v>
      </c>
      <c r="J58" s="3">
        <v>4297.84</v>
      </c>
      <c r="K58" s="3">
        <v>4582.37</v>
      </c>
    </row>
    <row r="59" spans="1:11" ht="15" x14ac:dyDescent="0.25">
      <c r="A59" s="2" t="s">
        <v>34</v>
      </c>
      <c r="B59" s="7">
        <v>3823.52</v>
      </c>
      <c r="C59" s="7">
        <v>3020.55</v>
      </c>
      <c r="D59" s="7">
        <v>2643.72</v>
      </c>
      <c r="E59" s="7">
        <v>1842.98</v>
      </c>
      <c r="F59" s="7">
        <v>1386.43</v>
      </c>
      <c r="G59" s="7">
        <v>1304.7</v>
      </c>
      <c r="H59" s="7">
        <v>1060.75</v>
      </c>
      <c r="I59" s="7">
        <v>970.1</v>
      </c>
      <c r="J59" s="7">
        <v>1654.51</v>
      </c>
      <c r="K59" s="7">
        <v>3345.09</v>
      </c>
    </row>
    <row r="60" spans="1:11" x14ac:dyDescent="0.2">
      <c r="A60" s="2" t="s">
        <v>35</v>
      </c>
      <c r="B60" s="3">
        <v>2157.4</v>
      </c>
      <c r="C60" s="3">
        <v>3998.14</v>
      </c>
      <c r="D60" s="3">
        <v>3194.69</v>
      </c>
      <c r="E60" s="3">
        <v>3594.53</v>
      </c>
      <c r="F60" s="3">
        <v>3452.45</v>
      </c>
      <c r="G60" s="3">
        <v>4097.3900000000003</v>
      </c>
      <c r="H60" s="3">
        <v>3667.07</v>
      </c>
      <c r="I60" s="3">
        <v>2638.83</v>
      </c>
      <c r="J60" s="3">
        <v>3086.02</v>
      </c>
      <c r="K60" s="3">
        <v>7215.42</v>
      </c>
    </row>
    <row r="61" spans="1:11" s="1" customFormat="1" x14ac:dyDescent="0.2">
      <c r="A61" s="1" t="s">
        <v>36</v>
      </c>
      <c r="B61" s="3">
        <v>8830.15</v>
      </c>
      <c r="C61" s="3">
        <v>9817.51</v>
      </c>
      <c r="D61" s="3">
        <v>8637.2999999999993</v>
      </c>
      <c r="E61" s="3">
        <v>8246.94</v>
      </c>
      <c r="F61" s="3">
        <v>7692.91</v>
      </c>
      <c r="G61" s="3">
        <v>8199.73</v>
      </c>
      <c r="H61" s="3">
        <v>7943.06</v>
      </c>
      <c r="I61" s="3">
        <v>7691.68</v>
      </c>
      <c r="J61" s="3">
        <v>9168.85</v>
      </c>
      <c r="K61" s="3">
        <v>15273.65</v>
      </c>
    </row>
    <row r="62" spans="1:11" x14ac:dyDescent="0.2">
      <c r="A62" s="2" t="s">
        <v>37</v>
      </c>
      <c r="B62" s="3">
        <v>4923.1099999999997</v>
      </c>
      <c r="C62" s="3">
        <v>4661.8599999999997</v>
      </c>
      <c r="D62" s="3">
        <v>3730.46</v>
      </c>
      <c r="E62" s="3">
        <v>3355.89</v>
      </c>
      <c r="F62" s="3">
        <v>3045.8</v>
      </c>
      <c r="G62" s="3">
        <v>1567.38</v>
      </c>
      <c r="H62" s="3">
        <v>1617.12</v>
      </c>
      <c r="I62" s="3">
        <v>2599.04</v>
      </c>
      <c r="J62" s="3">
        <v>2433.2399999999998</v>
      </c>
      <c r="K62" s="3">
        <v>4909.9799999999996</v>
      </c>
    </row>
    <row r="63" spans="1:11" x14ac:dyDescent="0.2">
      <c r="A63" s="2" t="s">
        <v>38</v>
      </c>
      <c r="B63" s="3">
        <v>114.57</v>
      </c>
      <c r="C63" s="3">
        <v>80.08</v>
      </c>
      <c r="D63" s="3">
        <v>34.44</v>
      </c>
      <c r="E63" s="3">
        <v>32.229999999999997</v>
      </c>
      <c r="F63" s="3">
        <v>16.57</v>
      </c>
      <c r="G63" s="3">
        <v>46.98</v>
      </c>
      <c r="H63" s="3">
        <v>82.51</v>
      </c>
      <c r="I63" s="3">
        <v>147.22999999999999</v>
      </c>
      <c r="J63" s="3">
        <v>1261.27</v>
      </c>
      <c r="K63" s="3">
        <v>86.9</v>
      </c>
    </row>
    <row r="64" spans="1:11" ht="15" x14ac:dyDescent="0.25">
      <c r="A64" s="2" t="s">
        <v>39</v>
      </c>
      <c r="B64" s="3">
        <v>1139.81</v>
      </c>
      <c r="C64" s="7">
        <v>804.86</v>
      </c>
      <c r="D64" s="3">
        <v>1017.35</v>
      </c>
      <c r="E64" s="3">
        <v>725.28</v>
      </c>
      <c r="F64" s="3">
        <v>487.62</v>
      </c>
      <c r="G64" s="3">
        <v>475.6</v>
      </c>
      <c r="H64" s="3">
        <v>783.55</v>
      </c>
      <c r="I64" s="3">
        <v>1712.61</v>
      </c>
      <c r="J64" s="3">
        <v>2306.7199999999998</v>
      </c>
      <c r="K64" s="3">
        <v>1537.17</v>
      </c>
    </row>
    <row r="65" spans="1:11" x14ac:dyDescent="0.2">
      <c r="A65" s="2" t="s">
        <v>40</v>
      </c>
      <c r="B65" s="3">
        <v>2652.66</v>
      </c>
      <c r="C65" s="3">
        <v>4270.71</v>
      </c>
      <c r="D65" s="3">
        <v>3855.05</v>
      </c>
      <c r="E65" s="3">
        <v>4133.54</v>
      </c>
      <c r="F65" s="3">
        <v>4142.92</v>
      </c>
      <c r="G65" s="3">
        <v>6109.77</v>
      </c>
      <c r="H65" s="3">
        <v>5459.88</v>
      </c>
      <c r="I65" s="3">
        <v>3232.8</v>
      </c>
      <c r="J65" s="3">
        <v>3167.62</v>
      </c>
      <c r="K65" s="3">
        <v>8739.6</v>
      </c>
    </row>
    <row r="66" spans="1:11" s="1" customFormat="1" x14ac:dyDescent="0.2">
      <c r="A66" s="1" t="s">
        <v>36</v>
      </c>
      <c r="B66" s="3">
        <v>8830.15</v>
      </c>
      <c r="C66" s="3">
        <v>9817.51</v>
      </c>
      <c r="D66" s="3">
        <v>8637.2999999999993</v>
      </c>
      <c r="E66" s="3">
        <v>8246.94</v>
      </c>
      <c r="F66" s="3">
        <v>7692.91</v>
      </c>
      <c r="G66" s="3">
        <v>8199.73</v>
      </c>
      <c r="H66" s="3">
        <v>7943.06</v>
      </c>
      <c r="I66" s="3">
        <v>7691.68</v>
      </c>
      <c r="J66" s="3">
        <v>9168.85</v>
      </c>
      <c r="K66" s="3">
        <v>15273.65</v>
      </c>
    </row>
    <row r="67" spans="1:11" x14ac:dyDescent="0.2">
      <c r="A67" s="2" t="s">
        <v>41</v>
      </c>
      <c r="B67" s="3">
        <v>637.38</v>
      </c>
      <c r="C67" s="3">
        <v>1130.05</v>
      </c>
      <c r="D67" s="3">
        <v>1400.67</v>
      </c>
      <c r="E67" s="3">
        <v>1465.19</v>
      </c>
      <c r="F67" s="3">
        <v>1314.06</v>
      </c>
      <c r="G67" s="3">
        <v>1180.69</v>
      </c>
      <c r="H67" s="3">
        <v>1247.03</v>
      </c>
      <c r="I67" s="3">
        <v>668.8</v>
      </c>
      <c r="J67" s="3">
        <v>812.56</v>
      </c>
      <c r="K67" s="3">
        <v>1140.47</v>
      </c>
    </row>
    <row r="68" spans="1:11" ht="15" x14ac:dyDescent="0.25">
      <c r="A68" s="2" t="s">
        <v>42</v>
      </c>
      <c r="B68" s="7">
        <v>1281.53</v>
      </c>
      <c r="C68" s="7">
        <v>2208.21</v>
      </c>
      <c r="D68" s="7">
        <v>1293.19</v>
      </c>
      <c r="E68" s="7">
        <v>1764.66</v>
      </c>
      <c r="F68" s="7">
        <v>1511.86</v>
      </c>
      <c r="G68" s="7">
        <v>2222.7600000000002</v>
      </c>
      <c r="H68" s="7">
        <v>2268.1999999999998</v>
      </c>
      <c r="I68" s="7">
        <v>1212.99</v>
      </c>
      <c r="J68" s="7">
        <v>1019.46</v>
      </c>
      <c r="K68" s="7">
        <v>5686.16</v>
      </c>
    </row>
    <row r="69" spans="1:11" x14ac:dyDescent="0.2">
      <c r="A69" s="2" t="s">
        <v>43</v>
      </c>
      <c r="B69" s="3">
        <v>140.83000000000001</v>
      </c>
      <c r="C69" s="3">
        <v>332.75</v>
      </c>
      <c r="D69" s="3">
        <v>555.55999999999995</v>
      </c>
      <c r="E69" s="3">
        <v>229.62</v>
      </c>
      <c r="F69" s="3">
        <v>628.19000000000005</v>
      </c>
      <c r="G69" s="3">
        <v>670.42</v>
      </c>
      <c r="H69" s="3">
        <v>513.59</v>
      </c>
      <c r="I69" s="3">
        <v>258.89</v>
      </c>
      <c r="J69" s="3">
        <v>701.48</v>
      </c>
      <c r="K69" s="3">
        <v>1202.29</v>
      </c>
    </row>
    <row r="70" spans="1:11" x14ac:dyDescent="0.2">
      <c r="A70" s="2" t="s">
        <v>44</v>
      </c>
      <c r="B70" s="3">
        <v>262948300</v>
      </c>
      <c r="C70" s="3">
        <v>263176080</v>
      </c>
      <c r="D70" s="3">
        <v>265226109</v>
      </c>
      <c r="E70" s="3">
        <v>265226109</v>
      </c>
      <c r="F70" s="3">
        <v>265226109</v>
      </c>
      <c r="G70" s="3">
        <v>265226109</v>
      </c>
      <c r="H70" s="3">
        <v>260884395</v>
      </c>
      <c r="I70" s="3">
        <v>260884395</v>
      </c>
      <c r="J70" s="3">
        <v>260949395</v>
      </c>
      <c r="K70" s="3">
        <v>261529395</v>
      </c>
    </row>
    <row r="71" spans="1:11" ht="16.5" x14ac:dyDescent="0.3">
      <c r="A71" s="2" t="s">
        <v>45</v>
      </c>
      <c r="B71" s="9"/>
      <c r="C71" s="9"/>
      <c r="G71" s="9"/>
      <c r="H71" s="9"/>
    </row>
    <row r="72" spans="1:11" x14ac:dyDescent="0.2">
      <c r="A72" s="2" t="s">
        <v>46</v>
      </c>
      <c r="B72" s="3">
        <v>5</v>
      </c>
      <c r="C72" s="3">
        <v>5</v>
      </c>
      <c r="D72" s="3">
        <v>5</v>
      </c>
      <c r="E72" s="3">
        <v>5</v>
      </c>
      <c r="F72" s="3">
        <v>5</v>
      </c>
      <c r="G72" s="3">
        <v>5</v>
      </c>
      <c r="H72" s="3">
        <v>5</v>
      </c>
      <c r="I72" s="3">
        <v>5</v>
      </c>
      <c r="J72" s="3">
        <v>5</v>
      </c>
      <c r="K72" s="3">
        <v>5</v>
      </c>
    </row>
    <row r="73" spans="1:11" x14ac:dyDescent="0.2">
      <c r="H73" s="2">
        <f>H62-G62+H45</f>
        <v>140.97999999999979</v>
      </c>
      <c r="I73" s="2">
        <f t="shared" ref="I73:K73" si="3">I62-H62+I45</f>
        <v>1067.79</v>
      </c>
      <c r="J73" s="2">
        <f t="shared" si="3"/>
        <v>-80.120000000000175</v>
      </c>
      <c r="K73" s="2">
        <f t="shared" si="3"/>
        <v>2566.29</v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  <c r="L81" s="5"/>
    </row>
    <row r="82" spans="1:12" s="1" customFormat="1" x14ac:dyDescent="0.2">
      <c r="A82" s="2" t="s">
        <v>48</v>
      </c>
      <c r="B82" s="3">
        <v>227</v>
      </c>
      <c r="C82" s="3">
        <v>901.13</v>
      </c>
      <c r="D82" s="3">
        <v>354.29</v>
      </c>
      <c r="E82" s="3">
        <v>402.52</v>
      </c>
      <c r="F82" s="3">
        <v>981.36</v>
      </c>
      <c r="G82" s="3">
        <v>623.33000000000004</v>
      </c>
      <c r="H82" s="3">
        <v>648.13</v>
      </c>
      <c r="I82" s="3">
        <v>774.49</v>
      </c>
      <c r="J82" s="3">
        <v>218.47</v>
      </c>
      <c r="K82" s="3">
        <v>-185.13</v>
      </c>
    </row>
    <row r="83" spans="1:12" x14ac:dyDescent="0.2">
      <c r="A83" s="2" t="s">
        <v>49</v>
      </c>
      <c r="B83" s="3">
        <v>-228.76</v>
      </c>
      <c r="C83" s="3">
        <v>337.71</v>
      </c>
      <c r="D83" s="3">
        <v>-326.33999999999997</v>
      </c>
      <c r="E83" s="3">
        <v>618.1</v>
      </c>
      <c r="F83" s="3">
        <v>184.19</v>
      </c>
      <c r="G83" s="3">
        <v>-254.64</v>
      </c>
      <c r="H83" s="3">
        <v>-48.89</v>
      </c>
      <c r="I83" s="3">
        <v>-847.68</v>
      </c>
      <c r="J83" s="3">
        <v>-200.8</v>
      </c>
      <c r="K83" s="3">
        <v>-347.5</v>
      </c>
    </row>
    <row r="84" spans="1:12" x14ac:dyDescent="0.2">
      <c r="A84" s="2" t="s">
        <v>50</v>
      </c>
      <c r="B84" s="3">
        <v>-526.53</v>
      </c>
      <c r="C84" s="3">
        <v>-1105.83</v>
      </c>
      <c r="D84" s="3">
        <v>-98.7</v>
      </c>
      <c r="E84" s="3">
        <v>-978.69</v>
      </c>
      <c r="F84" s="3">
        <v>-760.88</v>
      </c>
      <c r="G84" s="3">
        <v>-335.3</v>
      </c>
      <c r="H84" s="3">
        <v>-743.09</v>
      </c>
      <c r="I84" s="3">
        <v>-198.12</v>
      </c>
      <c r="J84" s="3">
        <v>452.74</v>
      </c>
      <c r="K84" s="3">
        <v>908.76</v>
      </c>
    </row>
    <row r="85" spans="1:12" s="1" customFormat="1" x14ac:dyDescent="0.2">
      <c r="A85" s="2" t="s">
        <v>51</v>
      </c>
      <c r="B85" s="3">
        <v>-528.29</v>
      </c>
      <c r="C85" s="3">
        <v>133.01</v>
      </c>
      <c r="D85" s="3">
        <v>-70.75</v>
      </c>
      <c r="E85" s="3">
        <v>41.92</v>
      </c>
      <c r="F85" s="3">
        <v>404.68</v>
      </c>
      <c r="G85" s="3">
        <v>33.39</v>
      </c>
      <c r="H85" s="3">
        <v>-143.85</v>
      </c>
      <c r="I85" s="3">
        <v>-271.31</v>
      </c>
      <c r="J85" s="3">
        <v>470.41</v>
      </c>
      <c r="K85" s="3">
        <v>376.13</v>
      </c>
    </row>
    <row r="90" spans="1:12" s="1" customFormat="1" x14ac:dyDescent="0.2">
      <c r="A90" s="1" t="s">
        <v>52</v>
      </c>
      <c r="B90" s="3">
        <v>68.75</v>
      </c>
      <c r="C90" s="3">
        <v>53.85</v>
      </c>
      <c r="D90" s="3">
        <v>98.7</v>
      </c>
      <c r="E90" s="3">
        <v>82.6</v>
      </c>
      <c r="F90" s="3">
        <v>134.9</v>
      </c>
      <c r="G90" s="3">
        <v>136.19999999999999</v>
      </c>
      <c r="H90" s="3">
        <v>62.05</v>
      </c>
      <c r="I90" s="3">
        <v>138.35</v>
      </c>
      <c r="J90" s="3">
        <v>167.4</v>
      </c>
      <c r="K90" s="3">
        <v>200.5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26.29</v>
      </c>
      <c r="C93" s="10">
        <v>26.32</v>
      </c>
      <c r="D93" s="10">
        <v>26.52</v>
      </c>
      <c r="E93" s="10">
        <v>26.52</v>
      </c>
      <c r="F93" s="10">
        <v>26.52</v>
      </c>
      <c r="G93" s="10">
        <v>26.52</v>
      </c>
      <c r="H93" s="10">
        <v>26.09</v>
      </c>
      <c r="I93" s="10">
        <v>26.09</v>
      </c>
      <c r="J93" s="10">
        <v>26.09</v>
      </c>
      <c r="K93" s="10">
        <v>26.15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HistoricalFS</vt:lpstr>
      <vt:lpstr>Ratio Analysis</vt:lpstr>
      <vt:lpstr>Forecasting</vt:lpstr>
      <vt:lpstr>Data Sheet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ray</dc:creator>
  <cp:lastModifiedBy>NAMAHA SHIVAY</cp:lastModifiedBy>
  <cp:lastPrinted>2024-05-01T11:19:53Z</cp:lastPrinted>
  <dcterms:created xsi:type="dcterms:W3CDTF">2023-01-14T08:22:33Z</dcterms:created>
  <dcterms:modified xsi:type="dcterms:W3CDTF">2024-06-08T14:27:03Z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