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b17c6545b7781650/Desktop/Fall24Classes/Homework/"/>
    </mc:Choice>
  </mc:AlternateContent>
  <xr:revisionPtr revIDLastSave="66" documentId="13_ncr:1_{C6086E4D-EC80-44E9-90E0-2D8C47F18476}" xr6:coauthVersionLast="47" xr6:coauthVersionMax="47" xr10:uidLastSave="{3344FC24-B70D-4C5D-B7AE-4985066ECC13}"/>
  <bookViews>
    <workbookView xWindow="-108" yWindow="-108" windowWidth="23256" windowHeight="14616" activeTab="1" xr2:uid="{00000000-000D-0000-FFFF-FFFF00000000}"/>
  </bookViews>
  <sheets>
    <sheet name="Question 1" sheetId="1" r:id="rId1"/>
    <sheet name="Question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" l="1"/>
  <c r="F22" i="2" s="1"/>
  <c r="G8" i="2"/>
  <c r="G10" i="2"/>
  <c r="G9" i="2"/>
  <c r="M10" i="1"/>
  <c r="M9" i="1"/>
  <c r="M8" i="1"/>
  <c r="K9" i="1"/>
  <c r="K8" i="1"/>
  <c r="C19" i="1"/>
  <c r="C15" i="1"/>
  <c r="F12" i="1" s="1"/>
  <c r="O8" i="1" s="1"/>
  <c r="C17" i="1"/>
  <c r="C10" i="1"/>
  <c r="C9" i="1"/>
  <c r="C11" i="1" s="1"/>
  <c r="C7" i="1"/>
  <c r="C8" i="1" s="1"/>
  <c r="C4" i="1"/>
  <c r="C17" i="2"/>
  <c r="C15" i="2"/>
  <c r="C18" i="2" s="1"/>
  <c r="C13" i="2"/>
  <c r="C10" i="2"/>
  <c r="C8" i="2"/>
  <c r="C6" i="2"/>
  <c r="C4" i="2"/>
  <c r="F21" i="2" l="1"/>
  <c r="G11" i="2"/>
  <c r="F15" i="2" s="1"/>
  <c r="F8" i="1"/>
  <c r="O9" i="1"/>
  <c r="F17" i="2" l="1"/>
  <c r="F18" i="2"/>
  <c r="F9" i="1"/>
  <c r="F10" i="1"/>
  <c r="F19" i="2" l="1"/>
  <c r="F20" i="2" s="1"/>
  <c r="F23" i="2" s="1"/>
  <c r="G15" i="2" s="1"/>
  <c r="G16" i="2" s="1"/>
  <c r="F11" i="1"/>
  <c r="G22" i="2" l="1"/>
  <c r="G21" i="2"/>
  <c r="G17" i="2"/>
  <c r="G18" i="2"/>
  <c r="I8" i="1"/>
  <c r="G19" i="2" l="1"/>
  <c r="G20" i="2" s="1"/>
  <c r="G23" i="2" s="1"/>
  <c r="H15" i="2" s="1"/>
  <c r="I15" i="2" s="1"/>
  <c r="O10" i="1"/>
  <c r="P14" i="1" s="1"/>
  <c r="M14" i="1"/>
  <c r="K10" i="1"/>
  <c r="J14" i="1" s="1"/>
  <c r="H16" i="2" l="1"/>
  <c r="J15" i="1"/>
  <c r="J16" i="1" s="1"/>
  <c r="J17" i="1" s="1"/>
  <c r="J18" i="1"/>
  <c r="M15" i="1"/>
  <c r="M16" i="1" s="1"/>
  <c r="M17" i="1" s="1"/>
  <c r="M18" i="1"/>
  <c r="P15" i="1"/>
  <c r="P16" i="1" s="1"/>
  <c r="P17" i="1" s="1"/>
  <c r="P18" i="1"/>
  <c r="H21" i="2" l="1"/>
  <c r="H22" i="2"/>
  <c r="H17" i="2"/>
  <c r="H18" i="2"/>
  <c r="H19" i="2" l="1"/>
  <c r="H20" i="2" s="1"/>
  <c r="H23" i="2" s="1"/>
</calcChain>
</file>

<file path=xl/sharedStrings.xml><?xml version="1.0" encoding="utf-8"?>
<sst xmlns="http://schemas.openxmlformats.org/spreadsheetml/2006/main" count="153" uniqueCount="84">
  <si>
    <t>Units</t>
  </si>
  <si>
    <t>Value</t>
  </si>
  <si>
    <t>Quantity</t>
  </si>
  <si>
    <t>Given</t>
  </si>
  <si>
    <t>Density</t>
  </si>
  <si>
    <t>kg/m3</t>
  </si>
  <si>
    <t>lbm/ft3</t>
  </si>
  <si>
    <t>psi</t>
  </si>
  <si>
    <t>lbm/ft s2</t>
  </si>
  <si>
    <t>P1-P2</t>
  </si>
  <si>
    <t>Temp</t>
  </si>
  <si>
    <t>C</t>
  </si>
  <si>
    <t>F</t>
  </si>
  <si>
    <t>Viscosity</t>
  </si>
  <si>
    <t>cP</t>
  </si>
  <si>
    <t>lbm/ft s</t>
  </si>
  <si>
    <t>Length</t>
  </si>
  <si>
    <t>ft</t>
  </si>
  <si>
    <t>epsilon</t>
  </si>
  <si>
    <t>in</t>
  </si>
  <si>
    <t>e/D</t>
  </si>
  <si>
    <t>ft2</t>
  </si>
  <si>
    <t>Diameter (inside)</t>
  </si>
  <si>
    <t>(nominal)</t>
  </si>
  <si>
    <t>Area (inside)</t>
  </si>
  <si>
    <t>Type</t>
  </si>
  <si>
    <t>Number</t>
  </si>
  <si>
    <t>Fittings</t>
  </si>
  <si>
    <t>Elbow</t>
  </si>
  <si>
    <t>Specifications</t>
  </si>
  <si>
    <t>90*, threded, standard</t>
  </si>
  <si>
    <t>Angle Valve</t>
  </si>
  <si>
    <t>90*, fill line size</t>
  </si>
  <si>
    <t>r/D</t>
  </si>
  <si>
    <t>(L/D)eq</t>
  </si>
  <si>
    <t>K1</t>
  </si>
  <si>
    <t>Ki</t>
  </si>
  <si>
    <t>Kd</t>
  </si>
  <si>
    <t>Fully Turbulent friction factos</t>
  </si>
  <si>
    <t>Pipe</t>
  </si>
  <si>
    <t>Elbows</t>
  </si>
  <si>
    <t>Total</t>
  </si>
  <si>
    <t>interations</t>
  </si>
  <si>
    <t>Q</t>
  </si>
  <si>
    <t>Flow Rate</t>
  </si>
  <si>
    <t>Re</t>
  </si>
  <si>
    <t>f</t>
  </si>
  <si>
    <t>A</t>
  </si>
  <si>
    <t>B</t>
  </si>
  <si>
    <t>Kpipe</t>
  </si>
  <si>
    <t>Kelbows</t>
  </si>
  <si>
    <t>Kav</t>
  </si>
  <si>
    <t>Ksum</t>
  </si>
  <si>
    <t>Q (ft3/s)</t>
  </si>
  <si>
    <t>gal/min</t>
  </si>
  <si>
    <t>Unit</t>
  </si>
  <si>
    <t>viscosity</t>
  </si>
  <si>
    <t>density</t>
  </si>
  <si>
    <t>ft3/s</t>
  </si>
  <si>
    <t>P2 (guage)</t>
  </si>
  <si>
    <t>P1 (guage)</t>
  </si>
  <si>
    <t>z1-z2</t>
  </si>
  <si>
    <t>90*, flanged, welded</t>
  </si>
  <si>
    <t>Globe Valves</t>
  </si>
  <si>
    <t>Major Losses</t>
  </si>
  <si>
    <t>3K</t>
  </si>
  <si>
    <t>Equivalent L/D</t>
  </si>
  <si>
    <t>Crane Method</t>
  </si>
  <si>
    <t>Kelbow</t>
  </si>
  <si>
    <t>Kglobal</t>
  </si>
  <si>
    <t>K values</t>
  </si>
  <si>
    <t>Re and f values</t>
  </si>
  <si>
    <t>fT</t>
  </si>
  <si>
    <t>Pump Calculations</t>
  </si>
  <si>
    <t>Crane</t>
  </si>
  <si>
    <t>neg ws</t>
  </si>
  <si>
    <t>ft2/s2</t>
  </si>
  <si>
    <t>lbf ft/lbm</t>
  </si>
  <si>
    <t>neg Ws</t>
  </si>
  <si>
    <t>Mass Flow</t>
  </si>
  <si>
    <t>lbm/s</t>
  </si>
  <si>
    <t>lbf ft/s</t>
  </si>
  <si>
    <t>hp</t>
  </si>
  <si>
    <t>Pump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</si>
</sst>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/>
      <bottom/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2" borderId="3" xfId="0" applyFont="1" applyFill="1" applyBorder="1"/>
    <xf numFmtId="0" fontId="1" fillId="3" borderId="3" xfId="0" applyFont="1" applyFill="1" applyBorder="1"/>
    <xf numFmtId="0" fontId="1" fillId="4" borderId="3" xfId="0" applyFont="1" applyFill="1" applyBorder="1"/>
    <xf numFmtId="0" fontId="1" fillId="0" borderId="13" xfId="0" applyFont="1" applyBorder="1"/>
    <xf numFmtId="0" fontId="1" fillId="0" borderId="11" xfId="0" applyFont="1" applyBorder="1"/>
    <xf numFmtId="0" fontId="1" fillId="0" borderId="10" xfId="0" applyFont="1" applyBorder="1"/>
    <xf numFmtId="0" fontId="1" fillId="0" borderId="9" xfId="0" applyFont="1" applyBorder="1"/>
    <xf numFmtId="0" fontId="1" fillId="5" borderId="15" xfId="0" applyFont="1" applyFill="1" applyBorder="1"/>
    <xf numFmtId="0" fontId="1" fillId="5" borderId="14" xfId="0" applyFont="1" applyFill="1" applyBorder="1"/>
    <xf numFmtId="0" fontId="1" fillId="5" borderId="16" xfId="0" applyFont="1" applyFill="1" applyBorder="1"/>
    <xf numFmtId="0" fontId="1" fillId="5" borderId="17" xfId="0" applyFont="1" applyFill="1" applyBorder="1"/>
    <xf numFmtId="0" fontId="1" fillId="2" borderId="11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</cellXfs>
  <cellStyles count="1">
    <cellStyle name="Normal" xfId="0" builtinId="0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border diagonalUp="0" diagonalDown="0">
        <left style="thin">
          <color theme="1" tint="0.34998626667073579"/>
        </left>
        <right/>
        <top style="thin">
          <color theme="1" tint="0.3499862666707357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border diagonalUp="0" diagonalDown="0">
        <left/>
        <right style="thin">
          <color theme="1" tint="0.34998626667073579"/>
        </right>
        <top style="thin">
          <color theme="1" tint="0.34998626667073579"/>
        </top>
        <bottom/>
        <vertical/>
        <horizontal/>
      </border>
    </dxf>
    <dxf>
      <border outline="0">
        <top style="thin">
          <color theme="1" tint="0.34998626667073579"/>
        </top>
      </border>
    </dxf>
    <dxf>
      <border outline="0">
        <bottom style="thin">
          <color theme="1" tint="0.34998626667073579"/>
        </bottom>
      </border>
    </dxf>
    <dxf>
      <border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border diagonalUp="0" diagonalDown="0" outline="0">
        <left style="thin">
          <color theme="1" tint="0.34998626667073579"/>
        </left>
        <right style="thin">
          <color theme="1" tint="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border diagonalUp="0" diagonalDown="0">
        <left style="thin">
          <color theme="1" tint="0.34998626667073579"/>
        </left>
        <right style="thin">
          <color theme="1" tint="0.34998626667073579"/>
        </right>
        <top/>
        <bottom style="thin">
          <color theme="1" tint="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border diagonalUp="0" diagonalDown="0">
        <left style="thin">
          <color theme="1" tint="0.34998626667073579"/>
        </left>
        <right style="thin">
          <color theme="1" tint="0.34998626667073579"/>
        </right>
        <top/>
        <bottom style="thin">
          <color theme="1" tint="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border diagonalUp="0" diagonalDown="0">
        <left style="thin">
          <color theme="1" tint="0.34998626667073579"/>
        </left>
        <right style="thin">
          <color theme="1" tint="0.34998626667073579"/>
        </right>
        <top/>
        <bottom style="thin">
          <color theme="1" tint="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border diagonalUp="0" diagonalDown="0">
        <left style="thin">
          <color theme="1" tint="0.34998626667073579"/>
        </left>
        <right style="thin">
          <color theme="1" tint="0.34998626667073579"/>
        </right>
        <top/>
        <bottom style="thin">
          <color theme="1" tint="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border diagonalUp="0" diagonalDown="0">
        <left style="thin">
          <color theme="1" tint="0.34998626667073579"/>
        </left>
        <right style="thin">
          <color theme="1" tint="0.34998626667073579"/>
        </right>
        <top/>
        <bottom style="thin">
          <color theme="1" tint="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border diagonalUp="0" diagonalDown="0">
        <left style="thin">
          <color theme="1" tint="0.34998626667073579"/>
        </left>
        <right style="thin">
          <color theme="1" tint="0.34998626667073579"/>
        </right>
        <top/>
        <bottom style="thin">
          <color theme="1" tint="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border diagonalUp="0" diagonalDown="0">
        <left style="thin">
          <color theme="1" tint="0.34998626667073579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border diagonalUp="0" diagonalDown="0">
        <left/>
        <right style="thin">
          <color theme="1" tint="0.34998626667073579"/>
        </right>
        <top/>
        <bottom/>
        <vertical/>
        <horizontal/>
      </border>
    </dxf>
    <dxf>
      <border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border outline="0">
        <bottom style="thin">
          <color theme="1" tint="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border diagonalUp="0" diagonalDown="0" outline="0">
        <left style="thin">
          <color theme="1" tint="0.34998626667073579"/>
        </left>
        <right style="thin">
          <color theme="1" tint="0.34998626667073579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border diagonalUp="0" diagonalDown="0">
        <left style="thin">
          <color theme="1" tint="0.34998626667073579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border diagonalUp="0" diagonalDown="0">
        <left style="thin">
          <color theme="1" tint="0.34998626667073579"/>
        </left>
        <right style="thin">
          <color theme="1" tint="0.34998626667073579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border diagonalUp="0" diagonalDown="0">
        <left/>
        <right style="thin">
          <color theme="1" tint="0.34998626667073579"/>
        </right>
        <top/>
        <bottom/>
        <vertical/>
        <horizontal/>
      </border>
    </dxf>
    <dxf>
      <border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border outline="0">
        <bottom style="thin">
          <color theme="1" tint="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border diagonalUp="0" diagonalDown="0" outline="0">
        <left style="thin">
          <color theme="1" tint="0.34998626667073579"/>
        </left>
        <right style="thin">
          <color theme="1" tint="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border diagonalUp="0" diagonalDown="0">
        <left style="thin">
          <color theme="1" tint="0.34998626667073579"/>
        </left>
        <right style="thin">
          <color theme="1" tint="0.34998626667073579"/>
        </right>
        <top/>
        <bottom style="thin">
          <color theme="1" tint="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border diagonalUp="0" diagonalDown="0">
        <left style="thin">
          <color theme="1" tint="0.34998626667073579"/>
        </left>
        <right style="thin">
          <color theme="1" tint="0.34998626667073579"/>
        </right>
        <top/>
        <bottom style="thin">
          <color theme="1" tint="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border diagonalUp="0" diagonalDown="0">
        <left style="thin">
          <color theme="1" tint="0.34998626667073579"/>
        </left>
        <right style="thin">
          <color theme="1" tint="0.34998626667073579"/>
        </right>
        <top/>
        <bottom style="thin">
          <color theme="1" tint="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border diagonalUp="0" diagonalDown="0">
        <left style="thin">
          <color theme="1" tint="0.34998626667073579"/>
        </left>
        <right style="thin">
          <color theme="1" tint="0.34998626667073579"/>
        </right>
        <top/>
        <bottom style="thin">
          <color theme="1" tint="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border diagonalUp="0" diagonalDown="0">
        <left style="thin">
          <color theme="1" tint="0.34998626667073579"/>
        </left>
        <right style="thin">
          <color theme="1" tint="0.34998626667073579"/>
        </right>
        <top/>
        <bottom style="thin">
          <color theme="1" tint="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border diagonalUp="0" diagonalDown="0">
        <left style="thin">
          <color theme="1" tint="0.34998626667073579"/>
        </left>
        <right style="thin">
          <color theme="1" tint="0.34998626667073579"/>
        </right>
        <top/>
        <bottom style="thin">
          <color theme="1" tint="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border diagonalUp="0" diagonalDown="0">
        <left style="thin">
          <color theme="1" tint="0.34998626667073579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border diagonalUp="0" diagonalDown="0">
        <left/>
        <right style="thin">
          <color theme="1" tint="0.34998626667073579"/>
        </right>
        <top/>
        <bottom/>
        <vertical/>
        <horizontal/>
      </border>
    </dxf>
    <dxf>
      <border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border outline="0">
        <bottom style="thin">
          <color theme="1" tint="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border diagonalUp="0" diagonalDown="0" outline="0">
        <left style="thin">
          <color theme="1" tint="0.34998626667073579"/>
        </left>
        <right style="thin">
          <color theme="1" tint="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3776E80-D3B2-4BED-8BFD-81AC68EAF090}" name="Table5" displayName="Table5" ref="A2:C19" totalsRowShown="0" headerRowDxfId="6" headerRowBorderDxfId="4" tableBorderDxfId="5" totalsRowBorderDxfId="3">
  <autoFilter ref="A2:C19" xr:uid="{63776E80-D3B2-4BED-8BFD-81AC68EAF090}"/>
  <tableColumns count="3">
    <tableColumn id="1" xr3:uid="{07CA367D-DD83-48BA-8CAD-6B6F25617A5C}" name="Quantity" dataDxfId="2"/>
    <tableColumn id="2" xr3:uid="{5BE034B2-AE6D-4381-B0D6-A04DCFC5A71A}" name="Unit" dataDxfId="1"/>
    <tableColumn id="3" xr3:uid="{49E2FE4A-189E-41BA-90D2-1D207892279E}" name="Value" dataDxfId="0"/>
  </tableColumns>
  <tableStyleInfo name="TableStyleDark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6C7B79F-8C8A-4EE2-8B3A-C8F105B716D1}" name="Table47" displayName="Table47" ref="E2:L4" totalsRowShown="0" headerRowDxfId="34" headerRowBorderDxfId="33" tableBorderDxfId="32">
  <autoFilter ref="E2:L4" xr:uid="{46C7B79F-8C8A-4EE2-8B3A-C8F105B716D1}"/>
  <tableColumns count="8">
    <tableColumn id="1" xr3:uid="{7CB7B2B5-F8BF-4F50-A144-9E5E370DBE0D}" name="Type" dataDxfId="31"/>
    <tableColumn id="2" xr3:uid="{EBEC350F-EC40-46D1-A9BA-B07293B28BA1}" name="Specifications" dataDxfId="30"/>
    <tableColumn id="3" xr3:uid="{55F0B80F-E5E1-4CCF-A1DF-01358119310E}" name="Number" dataDxfId="29"/>
    <tableColumn id="4" xr3:uid="{2E25BCEA-21C9-495D-B933-A6D007A3A770}" name="r/D" dataDxfId="28"/>
    <tableColumn id="5" xr3:uid="{A93557E0-068D-47EC-903E-C5CB0F86552E}" name="(L/D)eq" dataDxfId="27"/>
    <tableColumn id="6" xr3:uid="{43CF597A-9D29-4493-8502-5999C1629C41}" name="K1" dataDxfId="26"/>
    <tableColumn id="7" xr3:uid="{90434562-4A27-46B4-A2EE-B23EA07F87E5}" name="Ki" dataDxfId="25"/>
    <tableColumn id="8" xr3:uid="{EC069F80-CF06-43EC-94F8-EE88788A99BC}" name="Kd" dataDxfId="24"/>
  </tableColumns>
  <tableStyleInfo name="TableStyleDark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3C8784-44A9-48CC-A4B7-6147513290F5}" name="Table2" displayName="Table2" ref="A2:C18" totalsRowShown="0" headerRowDxfId="23" headerRowBorderDxfId="22" tableBorderDxfId="21">
  <autoFilter ref="A2:C18" xr:uid="{5E3C8784-44A9-48CC-A4B7-6147513290F5}"/>
  <tableColumns count="3">
    <tableColumn id="1" xr3:uid="{A46061FE-C423-4C1C-92E2-D6BA9F8D67A3}" name="Quantity" dataDxfId="20"/>
    <tableColumn id="2" xr3:uid="{67C7E5AE-F6E8-4FF9-B326-A37F76CDBFCA}" name="Units" dataDxfId="19"/>
    <tableColumn id="3" xr3:uid="{01728CC4-FB8E-4742-9D79-7BAB63A4F015}" name="Value" dataDxfId="18"/>
  </tableColumns>
  <tableStyleInfo name="TableStyleDark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72CA8D-68D2-49D2-AEC0-C00852B0EEFE}" name="Table4" displayName="Table4" ref="E2:L4" totalsRowShown="0" headerRowDxfId="17" headerRowBorderDxfId="16" tableBorderDxfId="15">
  <autoFilter ref="E2:L4" xr:uid="{4672CA8D-68D2-49D2-AEC0-C00852B0EEFE}"/>
  <tableColumns count="8">
    <tableColumn id="1" xr3:uid="{AC23AE87-50CB-4A90-AC98-150333024A7E}" name="Type" dataDxfId="14"/>
    <tableColumn id="2" xr3:uid="{F8D4B7CB-6B96-473E-BFA0-AF104D5CF375}" name="Specifications" dataDxfId="13"/>
    <tableColumn id="3" xr3:uid="{03259BC0-CF74-490A-87CD-3CEDFF1D2CC2}" name="Number" dataDxfId="12"/>
    <tableColumn id="4" xr3:uid="{CEB30F0F-1D02-4560-BB42-C00210996698}" name="r/D" dataDxfId="11"/>
    <tableColumn id="5" xr3:uid="{077F03B1-5716-452A-BFF2-86597921FBD6}" name="(L/D)eq" dataDxfId="10"/>
    <tableColumn id="6" xr3:uid="{B6FE7BD7-5A84-4984-9E72-760941487FE7}" name="K1" dataDxfId="9"/>
    <tableColumn id="7" xr3:uid="{3C2B5018-430D-44B1-A6A0-03B9B8FCB3F4}" name="Ki" dataDxfId="8"/>
    <tableColumn id="8" xr3:uid="{605A8531-EDD2-4EFA-B5EA-4BD999E504D4}" name="Kd" dataDxfId="7"/>
  </tableColumns>
  <tableStyleInfo name="TableStyleDark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Red Orange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workbookViewId="0">
      <selection activeCell="L27" sqref="L27"/>
    </sheetView>
  </sheetViews>
  <sheetFormatPr defaultColWidth="9.109375" defaultRowHeight="14.4" x14ac:dyDescent="0.3"/>
  <cols>
    <col min="1" max="1" width="10.88671875" style="3" customWidth="1"/>
    <col min="2" max="5" width="9.109375" style="3"/>
    <col min="6" max="6" width="12" style="3" bestFit="1" customWidth="1"/>
    <col min="7" max="16384" width="9.109375" style="3"/>
  </cols>
  <sheetData>
    <row r="1" spans="1:16" x14ac:dyDescent="0.3">
      <c r="A1" s="23" t="s">
        <v>3</v>
      </c>
      <c r="B1" s="24"/>
      <c r="C1" s="25"/>
      <c r="E1" s="23" t="s">
        <v>27</v>
      </c>
      <c r="F1" s="24"/>
      <c r="G1" s="24"/>
      <c r="H1" s="24"/>
      <c r="I1" s="24"/>
      <c r="J1" s="24"/>
      <c r="K1" s="24"/>
      <c r="L1" s="25"/>
    </row>
    <row r="2" spans="1:16" x14ac:dyDescent="0.3">
      <c r="A2" s="4" t="s">
        <v>2</v>
      </c>
      <c r="B2" s="2" t="s">
        <v>55</v>
      </c>
      <c r="C2" s="5" t="s">
        <v>1</v>
      </c>
      <c r="E2" s="4" t="s">
        <v>25</v>
      </c>
      <c r="F2" s="5" t="s">
        <v>29</v>
      </c>
      <c r="G2" s="2" t="s">
        <v>26</v>
      </c>
      <c r="H2" s="2" t="s">
        <v>33</v>
      </c>
      <c r="I2" s="2" t="s">
        <v>34</v>
      </c>
      <c r="J2" s="2" t="s">
        <v>35</v>
      </c>
      <c r="K2" s="2" t="s">
        <v>36</v>
      </c>
      <c r="L2" s="2" t="s">
        <v>37</v>
      </c>
    </row>
    <row r="3" spans="1:16" x14ac:dyDescent="0.3">
      <c r="A3" s="14" t="s">
        <v>56</v>
      </c>
      <c r="B3" s="1" t="s">
        <v>14</v>
      </c>
      <c r="C3" s="15">
        <v>60</v>
      </c>
      <c r="E3" s="7" t="s">
        <v>28</v>
      </c>
      <c r="F3" s="8" t="s">
        <v>62</v>
      </c>
      <c r="G3" s="2">
        <v>18</v>
      </c>
      <c r="H3" s="2">
        <v>1</v>
      </c>
      <c r="I3" s="2">
        <v>20</v>
      </c>
      <c r="J3" s="2">
        <v>800</v>
      </c>
      <c r="K3" s="2">
        <v>9.0999999999999998E-2</v>
      </c>
      <c r="L3" s="2">
        <v>4</v>
      </c>
    </row>
    <row r="4" spans="1:16" x14ac:dyDescent="0.3">
      <c r="A4" s="12"/>
      <c r="B4" s="3" t="s">
        <v>15</v>
      </c>
      <c r="C4" s="13">
        <f>C3*6.72*10^-4</f>
        <v>4.0320000000000002E-2</v>
      </c>
      <c r="E4" s="7" t="s">
        <v>63</v>
      </c>
      <c r="F4" s="8"/>
      <c r="G4" s="2">
        <v>4</v>
      </c>
      <c r="H4" s="2">
        <v>1</v>
      </c>
      <c r="I4" s="2">
        <v>340</v>
      </c>
      <c r="J4" s="2">
        <v>1500</v>
      </c>
      <c r="K4" s="6">
        <v>1.7</v>
      </c>
      <c r="L4" s="6">
        <v>3.6</v>
      </c>
    </row>
    <row r="5" spans="1:16" x14ac:dyDescent="0.3">
      <c r="A5" s="12" t="s">
        <v>57</v>
      </c>
      <c r="B5" s="3" t="s">
        <v>6</v>
      </c>
      <c r="C5" s="13">
        <v>55</v>
      </c>
    </row>
    <row r="6" spans="1:16" x14ac:dyDescent="0.3">
      <c r="A6" s="12" t="s">
        <v>44</v>
      </c>
      <c r="B6" s="3" t="s">
        <v>54</v>
      </c>
      <c r="C6" s="13">
        <v>500</v>
      </c>
      <c r="H6" s="20" t="s">
        <v>70</v>
      </c>
      <c r="I6" s="22"/>
      <c r="J6" s="22"/>
      <c r="K6" s="22"/>
      <c r="L6" s="22"/>
      <c r="M6" s="22"/>
      <c r="N6" s="22"/>
      <c r="O6" s="21"/>
    </row>
    <row r="7" spans="1:16" x14ac:dyDescent="0.3">
      <c r="A7" s="12"/>
      <c r="B7" s="3" t="s">
        <v>58</v>
      </c>
      <c r="C7" s="13">
        <f>C6/60*35.3147/264.172</f>
        <v>1.1140059001963367</v>
      </c>
      <c r="E7" s="26" t="s">
        <v>71</v>
      </c>
      <c r="F7" s="27"/>
      <c r="H7" s="20" t="s">
        <v>64</v>
      </c>
      <c r="I7" s="21"/>
      <c r="J7" s="20" t="s">
        <v>65</v>
      </c>
      <c r="K7" s="21"/>
      <c r="L7" s="20" t="s">
        <v>66</v>
      </c>
      <c r="M7" s="21"/>
      <c r="N7" s="20" t="s">
        <v>67</v>
      </c>
      <c r="O7" s="21"/>
    </row>
    <row r="8" spans="1:16" x14ac:dyDescent="0.3">
      <c r="A8" s="14" t="s">
        <v>79</v>
      </c>
      <c r="B8" s="1" t="s">
        <v>80</v>
      </c>
      <c r="C8" s="15">
        <f>C7*C5</f>
        <v>61.270324510798517</v>
      </c>
      <c r="D8" s="13"/>
      <c r="E8" s="17" t="s">
        <v>45</v>
      </c>
      <c r="F8" s="16">
        <f>4*C7*C5/PI()/C4/C17</f>
        <v>4030.1679646961493</v>
      </c>
      <c r="G8" s="12"/>
      <c r="H8" s="18" t="s">
        <v>49</v>
      </c>
      <c r="I8" s="18">
        <f>4*$F$11*$C$13/$C$17</f>
        <v>34.041057354558767</v>
      </c>
      <c r="J8" s="18" t="s">
        <v>68</v>
      </c>
      <c r="K8" s="18">
        <f>(J3/$F$8+K3*(1+L3/$C$18^0.3))*G3</f>
        <v>9.0386694151592017</v>
      </c>
      <c r="L8" s="18" t="s">
        <v>68</v>
      </c>
      <c r="M8" s="18">
        <f>4*$F$11*I3*G3</f>
        <v>14.70828985647098</v>
      </c>
      <c r="N8" s="18" t="s">
        <v>68</v>
      </c>
      <c r="O8" s="18">
        <f>4*$F$12*I3*G3</f>
        <v>5.4240366318890114</v>
      </c>
    </row>
    <row r="9" spans="1:16" x14ac:dyDescent="0.3">
      <c r="A9" s="12" t="s">
        <v>60</v>
      </c>
      <c r="B9" s="3" t="s">
        <v>8</v>
      </c>
      <c r="C9" s="13">
        <f>2*32.174*144+C5*32.174*15</f>
        <v>35809.661999999997</v>
      </c>
      <c r="D9" s="13"/>
      <c r="E9" s="17" t="s">
        <v>47</v>
      </c>
      <c r="F9" s="16">
        <f>(2.457*LN(1/((7/F8)^0.9+0.27*C15)))^16</f>
        <v>2.1577578443791452E+18</v>
      </c>
      <c r="G9" s="12"/>
      <c r="H9" s="18"/>
      <c r="I9" s="18"/>
      <c r="J9" s="18" t="s">
        <v>69</v>
      </c>
      <c r="K9" s="18">
        <f>(J4/$F$8+K4*(1+L4/$C$18^0.3))*G4</f>
        <v>22.589759569542412</v>
      </c>
      <c r="L9" s="18" t="s">
        <v>69</v>
      </c>
      <c r="M9" s="18">
        <f>4*$F$11*I4*G4</f>
        <v>55.564650568890372</v>
      </c>
      <c r="N9" s="18" t="s">
        <v>69</v>
      </c>
      <c r="O9" s="18">
        <f>4*$F$12*I4*G4</f>
        <v>20.49080505380293</v>
      </c>
    </row>
    <row r="10" spans="1:16" x14ac:dyDescent="0.3">
      <c r="A10" s="12" t="s">
        <v>59</v>
      </c>
      <c r="B10" s="3" t="s">
        <v>8</v>
      </c>
      <c r="C10" s="13">
        <f>20*32.174*144</f>
        <v>92661.119999999995</v>
      </c>
      <c r="D10" s="13"/>
      <c r="E10" s="18" t="s">
        <v>48</v>
      </c>
      <c r="F10" s="19">
        <f>(37530/F8)^16</f>
        <v>3198060577834767.5</v>
      </c>
      <c r="G10" s="12"/>
      <c r="H10" s="19"/>
      <c r="I10" s="19"/>
      <c r="J10" s="19" t="s">
        <v>52</v>
      </c>
      <c r="K10" s="19">
        <f>$I$8+K9+K8</f>
        <v>65.669486339260388</v>
      </c>
      <c r="L10" s="19" t="s">
        <v>52</v>
      </c>
      <c r="M10" s="19">
        <f>$I$8+M9+M8</f>
        <v>104.31399777992011</v>
      </c>
      <c r="N10" s="19" t="s">
        <v>52</v>
      </c>
      <c r="O10" s="19">
        <f>$I$8+O9+O8</f>
        <v>59.955899040250706</v>
      </c>
    </row>
    <row r="11" spans="1:16" x14ac:dyDescent="0.3">
      <c r="A11" s="12" t="s">
        <v>9</v>
      </c>
      <c r="B11" s="3" t="s">
        <v>8</v>
      </c>
      <c r="C11" s="13">
        <f>C9-C10</f>
        <v>-56851.457999999999</v>
      </c>
      <c r="D11" s="13"/>
      <c r="E11" s="17" t="s">
        <v>46</v>
      </c>
      <c r="F11" s="16">
        <f>2*((8/F8)^12+1/(F9+F10)^(3/2))^(1/12)</f>
        <v>1.0214090178104847E-2</v>
      </c>
      <c r="G11" s="12"/>
    </row>
    <row r="12" spans="1:16" x14ac:dyDescent="0.3">
      <c r="A12" s="14" t="s">
        <v>61</v>
      </c>
      <c r="B12" s="1" t="s">
        <v>17</v>
      </c>
      <c r="C12" s="15">
        <v>-60</v>
      </c>
      <c r="D12" s="13"/>
      <c r="E12" s="17" t="s">
        <v>72</v>
      </c>
      <c r="F12" s="16">
        <f>0.0625/(LOG10(3.7/C15))^2</f>
        <v>3.76669210547848E-3</v>
      </c>
      <c r="H12" s="20" t="s">
        <v>73</v>
      </c>
      <c r="I12" s="22"/>
      <c r="J12" s="22"/>
      <c r="K12" s="22"/>
      <c r="L12" s="22"/>
      <c r="M12" s="22"/>
      <c r="N12" s="22"/>
      <c r="O12" s="22"/>
      <c r="P12" s="21"/>
    </row>
    <row r="13" spans="1:16" x14ac:dyDescent="0.3">
      <c r="A13" s="12" t="s">
        <v>16</v>
      </c>
      <c r="B13" s="3" t="s">
        <v>17</v>
      </c>
      <c r="C13" s="13">
        <v>400</v>
      </c>
      <c r="H13" s="20" t="s">
        <v>65</v>
      </c>
      <c r="I13" s="22"/>
      <c r="J13" s="21"/>
      <c r="K13" s="20" t="s">
        <v>66</v>
      </c>
      <c r="L13" s="22"/>
      <c r="M13" s="21"/>
      <c r="N13" s="20" t="s">
        <v>74</v>
      </c>
      <c r="O13" s="22"/>
      <c r="P13" s="21"/>
    </row>
    <row r="14" spans="1:16" x14ac:dyDescent="0.3">
      <c r="A14" s="14" t="s">
        <v>18</v>
      </c>
      <c r="B14" s="1" t="s">
        <v>19</v>
      </c>
      <c r="C14" s="15">
        <v>1.8E-3</v>
      </c>
      <c r="H14" s="19" t="s">
        <v>75</v>
      </c>
      <c r="I14" s="19" t="s">
        <v>76</v>
      </c>
      <c r="J14" s="19">
        <f>8*$C$7^2/PI()^2*K10/$C$17^4-$C$11/$C$5-$C$12*32.174</f>
        <v>4207.6502223874268</v>
      </c>
      <c r="K14" s="19" t="s">
        <v>75</v>
      </c>
      <c r="L14" s="19" t="s">
        <v>76</v>
      </c>
      <c r="M14" s="19">
        <f>8*$C$7^2/PI()^2*M10/$C$17^4-$C$11/$C$5-$C$12*32.174</f>
        <v>4939.4403194300103</v>
      </c>
      <c r="N14" s="19" t="s">
        <v>75</v>
      </c>
      <c r="O14" s="19" t="s">
        <v>76</v>
      </c>
      <c r="P14" s="19">
        <f>8*$C$7^2/PI()^2*O10/$C$17^4-$C$11/$C$5-$C$12*32.174</f>
        <v>4099.4551269358035</v>
      </c>
    </row>
    <row r="15" spans="1:16" x14ac:dyDescent="0.3">
      <c r="A15" s="12" t="s">
        <v>20</v>
      </c>
      <c r="C15" s="13">
        <f>C14/C16</f>
        <v>3.1244575594514839E-4</v>
      </c>
      <c r="H15" s="19"/>
      <c r="I15" s="19" t="s">
        <v>77</v>
      </c>
      <c r="J15" s="19">
        <f>J14/32.174</f>
        <v>130.77796426889498</v>
      </c>
      <c r="K15" s="19"/>
      <c r="L15" s="19" t="s">
        <v>77</v>
      </c>
      <c r="M15" s="19">
        <f>M14/32.174</f>
        <v>153.52273013706753</v>
      </c>
      <c r="N15" s="19"/>
      <c r="O15" s="19" t="s">
        <v>77</v>
      </c>
      <c r="P15" s="19">
        <f>P14/32.174</f>
        <v>127.41515282326735</v>
      </c>
    </row>
    <row r="16" spans="1:16" x14ac:dyDescent="0.3">
      <c r="A16" s="14" t="s">
        <v>22</v>
      </c>
      <c r="B16" s="1" t="s">
        <v>19</v>
      </c>
      <c r="C16" s="15">
        <v>5.7610000000000001</v>
      </c>
      <c r="H16" s="19" t="s">
        <v>78</v>
      </c>
      <c r="I16" s="19" t="s">
        <v>81</v>
      </c>
      <c r="J16" s="19">
        <f>J15*$C$8</f>
        <v>8012.8083096168084</v>
      </c>
      <c r="K16" s="19" t="s">
        <v>78</v>
      </c>
      <c r="L16" s="19" t="s">
        <v>81</v>
      </c>
      <c r="M16" s="19">
        <f>M15*$C$8</f>
        <v>9406.3874952818751</v>
      </c>
      <c r="N16" s="19" t="s">
        <v>78</v>
      </c>
      <c r="O16" s="19" t="s">
        <v>81</v>
      </c>
      <c r="P16" s="19">
        <f>P15*$C$8</f>
        <v>7806.7677610745759</v>
      </c>
    </row>
    <row r="17" spans="1:16" x14ac:dyDescent="0.3">
      <c r="A17" s="14"/>
      <c r="B17" s="1" t="s">
        <v>17</v>
      </c>
      <c r="C17" s="15">
        <f>C16/12</f>
        <v>0.48008333333333336</v>
      </c>
      <c r="H17" s="19"/>
      <c r="I17" s="19" t="s">
        <v>82</v>
      </c>
      <c r="J17" s="19">
        <f>J16/737.562*1.34102</f>
        <v>14.568722628555069</v>
      </c>
      <c r="K17" s="19"/>
      <c r="L17" s="19" t="s">
        <v>82</v>
      </c>
      <c r="M17" s="19">
        <f>M16/737.562*1.34102</f>
        <v>17.102499530782364</v>
      </c>
      <c r="N17" s="19"/>
      <c r="O17" s="19" t="s">
        <v>82</v>
      </c>
      <c r="P17" s="19">
        <f>P16/737.562*1.34102</f>
        <v>14.194103957302881</v>
      </c>
    </row>
    <row r="18" spans="1:16" x14ac:dyDescent="0.3">
      <c r="A18" s="12" t="s">
        <v>23</v>
      </c>
      <c r="B18" s="3" t="s">
        <v>19</v>
      </c>
      <c r="C18" s="13">
        <v>6</v>
      </c>
      <c r="H18" s="19" t="s">
        <v>83</v>
      </c>
      <c r="I18" s="19" t="s">
        <v>17</v>
      </c>
      <c r="J18" s="19">
        <f>J14/32.174</f>
        <v>130.77796426889498</v>
      </c>
      <c r="K18" s="19" t="s">
        <v>83</v>
      </c>
      <c r="L18" s="19" t="s">
        <v>17</v>
      </c>
      <c r="M18" s="19">
        <f>M14/32.174</f>
        <v>153.52273013706753</v>
      </c>
      <c r="N18" s="19" t="s">
        <v>83</v>
      </c>
      <c r="O18" s="19" t="s">
        <v>17</v>
      </c>
      <c r="P18" s="19">
        <f>P14/32.174</f>
        <v>127.41515282326735</v>
      </c>
    </row>
    <row r="19" spans="1:16" x14ac:dyDescent="0.3">
      <c r="A19" s="14"/>
      <c r="B19" s="1" t="s">
        <v>17</v>
      </c>
      <c r="C19" s="15">
        <f>C18/12</f>
        <v>0.5</v>
      </c>
    </row>
  </sheetData>
  <mergeCells count="12">
    <mergeCell ref="A1:C1"/>
    <mergeCell ref="E1:L1"/>
    <mergeCell ref="E7:F7"/>
    <mergeCell ref="H7:I7"/>
    <mergeCell ref="J7:K7"/>
    <mergeCell ref="L7:M7"/>
    <mergeCell ref="N7:O7"/>
    <mergeCell ref="H6:O6"/>
    <mergeCell ref="H12:P12"/>
    <mergeCell ref="H13:J13"/>
    <mergeCell ref="K13:M13"/>
    <mergeCell ref="N13:P13"/>
  </mergeCells>
  <pageMargins left="0.7" right="0.7" top="0.75" bottom="0.75" header="0.3" footer="0.3"/>
  <picture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106FB-F0B4-488C-A96C-20D7EEFBA8F4}">
  <dimension ref="A1:L23"/>
  <sheetViews>
    <sheetView tabSelected="1" workbookViewId="0">
      <selection activeCell="Q14" sqref="Q14"/>
    </sheetView>
  </sheetViews>
  <sheetFormatPr defaultColWidth="9.109375" defaultRowHeight="14.4" x14ac:dyDescent="0.3"/>
  <cols>
    <col min="1" max="1" width="10.88671875" style="2" customWidth="1"/>
    <col min="2" max="5" width="9.109375" style="2"/>
    <col min="6" max="6" width="10.44140625" style="2" customWidth="1"/>
    <col min="7" max="16384" width="9.109375" style="2"/>
  </cols>
  <sheetData>
    <row r="1" spans="1:12" x14ac:dyDescent="0.3">
      <c r="A1" s="23" t="s">
        <v>3</v>
      </c>
      <c r="B1" s="24"/>
      <c r="C1" s="25"/>
      <c r="E1" s="23" t="s">
        <v>27</v>
      </c>
      <c r="F1" s="24"/>
      <c r="G1" s="24"/>
      <c r="H1" s="24"/>
      <c r="I1" s="24"/>
      <c r="J1" s="24"/>
      <c r="K1" s="24"/>
      <c r="L1" s="25"/>
    </row>
    <row r="2" spans="1:12" x14ac:dyDescent="0.3">
      <c r="A2" s="4" t="s">
        <v>2</v>
      </c>
      <c r="B2" s="2" t="s">
        <v>0</v>
      </c>
      <c r="C2" s="5" t="s">
        <v>1</v>
      </c>
      <c r="E2" s="4" t="s">
        <v>25</v>
      </c>
      <c r="F2" s="5" t="s">
        <v>29</v>
      </c>
      <c r="G2" s="2" t="s">
        <v>26</v>
      </c>
      <c r="H2" s="2" t="s">
        <v>33</v>
      </c>
      <c r="I2" s="2" t="s">
        <v>34</v>
      </c>
      <c r="J2" s="2" t="s">
        <v>35</v>
      </c>
      <c r="K2" s="2" t="s">
        <v>36</v>
      </c>
      <c r="L2" s="2" t="s">
        <v>37</v>
      </c>
    </row>
    <row r="3" spans="1:12" x14ac:dyDescent="0.3">
      <c r="A3" s="7" t="s">
        <v>4</v>
      </c>
      <c r="B3" s="6" t="s">
        <v>5</v>
      </c>
      <c r="C3" s="8">
        <v>1000</v>
      </c>
      <c r="E3" s="7" t="s">
        <v>28</v>
      </c>
      <c r="F3" s="8" t="s">
        <v>30</v>
      </c>
      <c r="G3" s="2">
        <v>16</v>
      </c>
      <c r="H3" s="2">
        <v>1</v>
      </c>
      <c r="I3" s="2">
        <v>30</v>
      </c>
      <c r="J3" s="2">
        <v>800</v>
      </c>
      <c r="K3" s="2">
        <v>0.14000000000000001</v>
      </c>
      <c r="L3" s="2">
        <v>4</v>
      </c>
    </row>
    <row r="4" spans="1:12" x14ac:dyDescent="0.3">
      <c r="A4" s="7"/>
      <c r="B4" s="2" t="s">
        <v>6</v>
      </c>
      <c r="C4" s="5">
        <f>C3*2.20462/3.28084^3</f>
        <v>62.427880340578326</v>
      </c>
      <c r="E4" s="7" t="s">
        <v>31</v>
      </c>
      <c r="F4" s="8" t="s">
        <v>32</v>
      </c>
      <c r="G4" s="2">
        <v>1</v>
      </c>
      <c r="H4" s="2">
        <v>1</v>
      </c>
      <c r="I4" s="2">
        <v>150</v>
      </c>
      <c r="J4" s="2">
        <v>1000</v>
      </c>
      <c r="K4" s="6">
        <v>0.69</v>
      </c>
      <c r="L4" s="6">
        <v>4</v>
      </c>
    </row>
    <row r="5" spans="1:12" x14ac:dyDescent="0.3">
      <c r="A5" s="4" t="s">
        <v>9</v>
      </c>
      <c r="B5" s="2" t="s">
        <v>7</v>
      </c>
      <c r="C5" s="5">
        <v>90</v>
      </c>
    </row>
    <row r="6" spans="1:12" x14ac:dyDescent="0.3">
      <c r="A6" s="4"/>
      <c r="B6" s="2" t="s">
        <v>8</v>
      </c>
      <c r="C6" s="5">
        <f>C5*32.174*144</f>
        <v>416975.04</v>
      </c>
    </row>
    <row r="7" spans="1:12" x14ac:dyDescent="0.3">
      <c r="A7" s="7" t="s">
        <v>10</v>
      </c>
      <c r="B7" s="6" t="s">
        <v>11</v>
      </c>
      <c r="C7" s="8">
        <v>20</v>
      </c>
      <c r="E7" s="9" t="s">
        <v>38</v>
      </c>
      <c r="F7" s="9"/>
      <c r="G7" s="9"/>
    </row>
    <row r="8" spans="1:12" x14ac:dyDescent="0.3">
      <c r="A8" s="4"/>
      <c r="B8" s="2" t="s">
        <v>12</v>
      </c>
      <c r="C8" s="5">
        <f>C7*1.8+32</f>
        <v>68</v>
      </c>
      <c r="E8" s="10" t="s">
        <v>39</v>
      </c>
      <c r="F8" s="10"/>
      <c r="G8" s="10">
        <f>4*C11/C15*(0.0625/(LOG10(3.7/C13))^2)</f>
        <v>124.3041504903608</v>
      </c>
    </row>
    <row r="9" spans="1:12" x14ac:dyDescent="0.3">
      <c r="A9" s="4" t="s">
        <v>13</v>
      </c>
      <c r="B9" s="2" t="s">
        <v>14</v>
      </c>
      <c r="C9" s="5">
        <v>0.95</v>
      </c>
      <c r="E9" s="10" t="s">
        <v>40</v>
      </c>
      <c r="F9" s="10"/>
      <c r="G9" s="10">
        <f>G3*(K3*(1+L3/$C$16^0.3))</f>
        <v>12.007639683821385</v>
      </c>
    </row>
    <row r="10" spans="1:12" x14ac:dyDescent="0.3">
      <c r="A10" s="4"/>
      <c r="B10" s="2" t="s">
        <v>15</v>
      </c>
      <c r="C10" s="5">
        <f>C9*6.72*10^-4</f>
        <v>6.3840000000000001E-4</v>
      </c>
      <c r="E10" s="10" t="s">
        <v>31</v>
      </c>
      <c r="F10" s="10"/>
      <c r="G10" s="10">
        <f>G4*(K4*(1+L4/$C$16^0.3))</f>
        <v>3.6987818668914079</v>
      </c>
    </row>
    <row r="11" spans="1:12" x14ac:dyDescent="0.3">
      <c r="A11" s="7" t="s">
        <v>16</v>
      </c>
      <c r="B11" s="6" t="s">
        <v>17</v>
      </c>
      <c r="C11" s="8">
        <v>250</v>
      </c>
      <c r="E11" s="10" t="s">
        <v>41</v>
      </c>
      <c r="F11" s="10"/>
      <c r="G11" s="10">
        <f>SUM(G8:G10)</f>
        <v>140.0105720410736</v>
      </c>
    </row>
    <row r="12" spans="1:12" x14ac:dyDescent="0.3">
      <c r="A12" s="4" t="s">
        <v>18</v>
      </c>
      <c r="B12" s="2" t="s">
        <v>19</v>
      </c>
      <c r="C12" s="5">
        <v>6.0000000000000001E-3</v>
      </c>
    </row>
    <row r="13" spans="1:12" x14ac:dyDescent="0.3">
      <c r="A13" s="7" t="s">
        <v>20</v>
      </c>
      <c r="C13" s="5">
        <f>C12/C14</f>
        <v>7.2815533980582527E-3</v>
      </c>
      <c r="E13" s="20" t="s">
        <v>42</v>
      </c>
      <c r="F13" s="22"/>
      <c r="G13" s="22"/>
      <c r="H13" s="21"/>
      <c r="I13" s="9" t="s">
        <v>43</v>
      </c>
    </row>
    <row r="14" spans="1:12" x14ac:dyDescent="0.3">
      <c r="A14" s="4" t="s">
        <v>22</v>
      </c>
      <c r="B14" s="2" t="s">
        <v>19</v>
      </c>
      <c r="C14" s="5">
        <v>0.82399999999999995</v>
      </c>
      <c r="E14" s="10"/>
      <c r="F14" s="10">
        <v>1</v>
      </c>
      <c r="G14" s="10">
        <v>2</v>
      </c>
      <c r="H14" s="10">
        <v>3</v>
      </c>
      <c r="I14" s="9" t="s">
        <v>54</v>
      </c>
    </row>
    <row r="15" spans="1:12" x14ac:dyDescent="0.3">
      <c r="A15" s="7"/>
      <c r="B15" s="6" t="s">
        <v>17</v>
      </c>
      <c r="C15" s="8">
        <f>C14/12</f>
        <v>6.8666666666666668E-2</v>
      </c>
      <c r="E15" s="10" t="s">
        <v>53</v>
      </c>
      <c r="F15" s="10">
        <f>PI()/2/SQRT(2)*SQRT($C$6/$C$4/G11*$C$15^4)</f>
        <v>3.6172800267356905E-2</v>
      </c>
      <c r="G15" s="10">
        <f>PI()/2/SQRT(2)*SQRT($C$6/$C$4/F23*$C$15^4)</f>
        <v>3.5498536957561708E-2</v>
      </c>
      <c r="H15" s="10">
        <f>PI()/2/SQRT(2)*SQRT($C$6/$C$4/G23*$C$15^4)</f>
        <v>3.5487508134427345E-2</v>
      </c>
      <c r="I15" s="11">
        <f>H15*60/35.3147*264.172</f>
        <v>15.927881588496476</v>
      </c>
    </row>
    <row r="16" spans="1:12" x14ac:dyDescent="0.3">
      <c r="A16" s="7" t="s">
        <v>23</v>
      </c>
      <c r="B16" s="6" t="s">
        <v>19</v>
      </c>
      <c r="C16" s="8">
        <v>0.75</v>
      </c>
      <c r="E16" s="10" t="s">
        <v>45</v>
      </c>
      <c r="F16" s="10">
        <f>4*$C$4*F15/PI()/$C$10/$C$15</f>
        <v>65589.148725280669</v>
      </c>
      <c r="G16" s="10">
        <f>4*$C$4*G15/PI()/$C$10/$C$15</f>
        <v>64366.562799411207</v>
      </c>
      <c r="H16" s="10">
        <f>4*$C$4*H15/PI()/$C$10/$C$15</f>
        <v>64346.565146050736</v>
      </c>
    </row>
    <row r="17" spans="1:8" x14ac:dyDescent="0.3">
      <c r="A17" s="7"/>
      <c r="B17" s="6" t="s">
        <v>17</v>
      </c>
      <c r="C17" s="8">
        <f>C16/12</f>
        <v>6.25E-2</v>
      </c>
      <c r="E17" s="10" t="s">
        <v>47</v>
      </c>
      <c r="F17" s="10">
        <f>(2.457*LN(1/((7/F16)^0.9+(0.27*$C$13))))^16</f>
        <v>6.5630614496884849E+18</v>
      </c>
      <c r="G17" s="10">
        <f>(2.457*LN(1/((7/G16)^0.9+(0.27*$C$13))))^16</f>
        <v>6.5281344447576361E+18</v>
      </c>
      <c r="H17" s="10">
        <f>(2.457*LN(1/((7/H16)^0.9+(0.27*$C$13))))^16</f>
        <v>6.5275547500438651E+18</v>
      </c>
    </row>
    <row r="18" spans="1:8" x14ac:dyDescent="0.3">
      <c r="A18" s="7" t="s">
        <v>24</v>
      </c>
      <c r="B18" s="6" t="s">
        <v>21</v>
      </c>
      <c r="C18" s="8">
        <f>PI()*C15^2/4</f>
        <v>3.7032396068815681E-3</v>
      </c>
      <c r="E18" s="10" t="s">
        <v>48</v>
      </c>
      <c r="F18" s="10">
        <f>(37530/F16)^16</f>
        <v>1.3205204225686184E-4</v>
      </c>
      <c r="G18" s="10">
        <f>(37530/G16)^16</f>
        <v>1.7843988663840499E-4</v>
      </c>
      <c r="H18" s="10">
        <f>(37530/H16)^16</f>
        <v>1.7932924778662427E-4</v>
      </c>
    </row>
    <row r="19" spans="1:8" x14ac:dyDescent="0.3">
      <c r="E19" s="10" t="s">
        <v>46</v>
      </c>
      <c r="F19" s="10">
        <f>2*((8/F16)^12+1/(F17+F18)^(3/2))^(1/12)</f>
        <v>8.8897937852188171E-3</v>
      </c>
      <c r="G19" s="10">
        <f>2*((8/G16)^12+1/(G17+G18)^(3/2))^(1/12)</f>
        <v>8.8957252177423278E-3</v>
      </c>
      <c r="H19" s="10">
        <f>2*((8/H16)^12+1/(H17+H18)^(3/2))^(1/12)</f>
        <v>8.8958239646072333E-3</v>
      </c>
    </row>
    <row r="20" spans="1:8" x14ac:dyDescent="0.3">
      <c r="E20" s="10" t="s">
        <v>49</v>
      </c>
      <c r="F20" s="10">
        <f>4*F19*$C$11/$C$15</f>
        <v>129.46301628959444</v>
      </c>
      <c r="G20" s="10">
        <f>4*G19*$C$11/$C$15</f>
        <v>129.54939637488826</v>
      </c>
      <c r="H20" s="10">
        <f>4*H19*$C$11/$C$15</f>
        <v>129.55083443602766</v>
      </c>
    </row>
    <row r="21" spans="1:8" x14ac:dyDescent="0.3">
      <c r="E21" s="10" t="s">
        <v>50</v>
      </c>
      <c r="F21" s="10">
        <f>$G3*($J3/F$16+$K3*(1+$L3/$C$16^0.3))</f>
        <v>12.202793916629203</v>
      </c>
      <c r="G21" s="10">
        <f>$G3*($J3/G$16+$K3*(1+$L3/$C$16^0.3))</f>
        <v>12.206500698660554</v>
      </c>
      <c r="H21" s="10">
        <f>$G3*($J3/H$16+$K3*(1+$L3/$C$16^0.3))</f>
        <v>12.206562500772797</v>
      </c>
    </row>
    <row r="22" spans="1:8" x14ac:dyDescent="0.3">
      <c r="E22" s="10" t="s">
        <v>51</v>
      </c>
      <c r="F22" s="10">
        <f>$G4*($J4/F$16+$K4*(1+$L4/$C$16^0.3))</f>
        <v>3.7140282913295186</v>
      </c>
      <c r="G22" s="10">
        <f>$G4*($J4/G$16+$K4*(1+$L4/$C$16^0.3))</f>
        <v>3.7143178836757178</v>
      </c>
      <c r="H22" s="10">
        <f>$G4*($J4/H$16+$K4*(1+$L4/$C$16^0.3))</f>
        <v>3.7143227119657372</v>
      </c>
    </row>
    <row r="23" spans="1:8" x14ac:dyDescent="0.3">
      <c r="E23" s="10" t="s">
        <v>52</v>
      </c>
      <c r="F23" s="10">
        <f>SUM(F20:F22)</f>
        <v>145.37983849755315</v>
      </c>
      <c r="G23" s="10">
        <f>SUM(G20:G22)</f>
        <v>145.47021495722453</v>
      </c>
      <c r="H23" s="10">
        <f>SUM(H20:H22)</f>
        <v>145.4717196487662</v>
      </c>
    </row>
  </sheetData>
  <mergeCells count="3">
    <mergeCell ref="A1:C1"/>
    <mergeCell ref="E1:L1"/>
    <mergeCell ref="E13:H13"/>
  </mergeCells>
  <phoneticPr fontId="2" type="noConversion"/>
  <pageMargins left="0.7" right="0.7" top="0.75" bottom="0.75" header="0.3" footer="0.3"/>
  <picture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1</vt:lpstr>
      <vt:lpstr>Question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Roosa</dc:creator>
  <cp:lastModifiedBy>William Roosa</cp:lastModifiedBy>
  <dcterms:created xsi:type="dcterms:W3CDTF">2015-06-05T18:17:20Z</dcterms:created>
  <dcterms:modified xsi:type="dcterms:W3CDTF">2024-10-28T00:59:31Z</dcterms:modified>
</cp:coreProperties>
</file>