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17c6545b7781650/Desktop/Fall24Classes/Homework/"/>
    </mc:Choice>
  </mc:AlternateContent>
  <xr:revisionPtr revIDLastSave="386" documentId="11_F25DC773A252ABDACC10489A691F551C5ADE58EE" xr6:coauthVersionLast="47" xr6:coauthVersionMax="47" xr10:uidLastSave="{3384FA9A-9818-45D6-8252-29853D7BA9A7}"/>
  <bookViews>
    <workbookView xWindow="-96" yWindow="0" windowWidth="11712" windowHeight="14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6" i="1" l="1"/>
  <c r="E103" i="1"/>
  <c r="C106" i="1"/>
  <c r="C103" i="1"/>
  <c r="A106" i="1"/>
  <c r="A104" i="1"/>
  <c r="A97" i="1"/>
  <c r="A96" i="1"/>
  <c r="F91" i="1"/>
  <c r="F92" i="1"/>
  <c r="G91" i="1" s="1"/>
  <c r="G92" i="1" s="1"/>
  <c r="F93" i="1"/>
  <c r="F94" i="1"/>
  <c r="F95" i="1"/>
  <c r="F96" i="1"/>
  <c r="E92" i="1"/>
  <c r="E93" i="1"/>
  <c r="E94" i="1"/>
  <c r="E95" i="1"/>
  <c r="E96" i="1"/>
  <c r="D96" i="1"/>
  <c r="D95" i="1"/>
  <c r="D94" i="1"/>
  <c r="D93" i="1"/>
  <c r="D92" i="1"/>
  <c r="F70" i="1"/>
  <c r="A93" i="1"/>
  <c r="D87" i="1"/>
  <c r="A90" i="1"/>
  <c r="A85" i="1"/>
  <c r="D31" i="1"/>
  <c r="G85" i="1"/>
  <c r="G83" i="1"/>
  <c r="I63" i="1"/>
  <c r="G81" i="1"/>
  <c r="D83" i="1"/>
  <c r="A81" i="1"/>
  <c r="K76" i="1"/>
  <c r="I76" i="1"/>
  <c r="G76" i="1"/>
  <c r="D76" i="1"/>
  <c r="G70" i="1"/>
  <c r="G71" i="1"/>
  <c r="G73" i="1" s="1"/>
  <c r="G72" i="1"/>
  <c r="F72" i="1"/>
  <c r="F73" i="1"/>
  <c r="E73" i="1"/>
  <c r="E72" i="1"/>
  <c r="E71" i="1"/>
  <c r="A76" i="1"/>
  <c r="A73" i="1"/>
  <c r="A70" i="1"/>
  <c r="A69" i="1"/>
  <c r="I66" i="1"/>
  <c r="I60" i="1"/>
  <c r="F63" i="1"/>
  <c r="J5" i="1"/>
  <c r="C61" i="1"/>
  <c r="A64" i="1"/>
  <c r="A62" i="1"/>
  <c r="H30" i="1"/>
  <c r="A53" i="1"/>
  <c r="C51" i="1"/>
  <c r="C52" i="1" s="1"/>
  <c r="F51" i="1" s="1"/>
  <c r="F54" i="1" s="1"/>
  <c r="F55" i="1" s="1"/>
  <c r="A45" i="1"/>
  <c r="C43" i="1"/>
  <c r="C44" i="1" s="1"/>
  <c r="F43" i="1" s="1"/>
  <c r="F46" i="1" s="1"/>
  <c r="F47" i="1" s="1"/>
  <c r="C35" i="1"/>
  <c r="F35" i="1"/>
  <c r="F38" i="1"/>
  <c r="F39" i="1"/>
  <c r="F30" i="1"/>
  <c r="C36" i="1"/>
  <c r="A37" i="1"/>
  <c r="J29" i="1"/>
  <c r="J26" i="1"/>
  <c r="G26" i="1"/>
  <c r="D26" i="1"/>
  <c r="B26" i="1"/>
  <c r="A27" i="1" s="1"/>
  <c r="A18" i="1"/>
  <c r="A20" i="1" s="1"/>
  <c r="J17" i="1"/>
  <c r="J18" i="1" s="1"/>
  <c r="J9" i="1"/>
  <c r="J10" i="1" s="1"/>
  <c r="A10" i="1"/>
  <c r="A12" i="1"/>
  <c r="P17" i="1"/>
  <c r="M5" i="1"/>
  <c r="K4" i="1"/>
  <c r="G4" i="1"/>
  <c r="D3" i="1"/>
  <c r="A5" i="1"/>
  <c r="G93" i="1" l="1"/>
  <c r="G94" i="1" s="1"/>
  <c r="G95" i="1"/>
  <c r="G96" i="1"/>
  <c r="E91" i="1"/>
  <c r="H70" i="1"/>
  <c r="H71" i="1" s="1"/>
  <c r="F71" i="1"/>
  <c r="D9" i="1"/>
  <c r="D12" i="1" s="1"/>
  <c r="G9" i="1" s="1"/>
  <c r="G10" i="1" s="1"/>
  <c r="M9" i="1" s="1"/>
  <c r="P9" i="1"/>
  <c r="D17" i="1"/>
  <c r="D20" i="1" s="1"/>
  <c r="G17" i="1" s="1"/>
  <c r="G18" i="1" s="1"/>
  <c r="M17" i="1" s="1"/>
  <c r="M20" i="1" s="1"/>
  <c r="M21" i="1" s="1"/>
  <c r="H72" i="1" l="1"/>
  <c r="H73" i="1"/>
  <c r="M12" i="1"/>
  <c r="M13" i="1" s="1"/>
</calcChain>
</file>

<file path=xl/sharedStrings.xml><?xml version="1.0" encoding="utf-8"?>
<sst xmlns="http://schemas.openxmlformats.org/spreadsheetml/2006/main" count="215" uniqueCount="90">
  <si>
    <t>Question 1</t>
  </si>
  <si>
    <t>Volumetric Flow</t>
  </si>
  <si>
    <t>Barrels/day</t>
  </si>
  <si>
    <t>Converted to ft^3/s</t>
  </si>
  <si>
    <t>ft^3/s</t>
  </si>
  <si>
    <t>Change in height</t>
  </si>
  <si>
    <t>ft</t>
  </si>
  <si>
    <t>Length</t>
  </si>
  <si>
    <t>viscosity</t>
  </si>
  <si>
    <t>cp</t>
  </si>
  <si>
    <t>lbm/ft s</t>
  </si>
  <si>
    <t>density</t>
  </si>
  <si>
    <t>SG</t>
  </si>
  <si>
    <t>degree API</t>
  </si>
  <si>
    <t>density of water</t>
  </si>
  <si>
    <t>kg/m3</t>
  </si>
  <si>
    <t>lbm/ft3</t>
  </si>
  <si>
    <t>(a)</t>
  </si>
  <si>
    <t>Diameter</t>
  </si>
  <si>
    <t>inch</t>
  </si>
  <si>
    <t>Reynolds Number</t>
  </si>
  <si>
    <t>Area</t>
  </si>
  <si>
    <t>ft2</t>
  </si>
  <si>
    <t>Friction factor</t>
  </si>
  <si>
    <t>viscous losses</t>
  </si>
  <si>
    <t>ft2/s2</t>
  </si>
  <si>
    <t>ft lbf/lbm</t>
  </si>
  <si>
    <t>gravity effects</t>
  </si>
  <si>
    <t>ft lbf/lmb</t>
  </si>
  <si>
    <t>shaft work mass density</t>
  </si>
  <si>
    <t>mass flow</t>
  </si>
  <si>
    <t>lbm/s</t>
  </si>
  <si>
    <t>Shaft work</t>
  </si>
  <si>
    <t>ft lbf/s</t>
  </si>
  <si>
    <t>hp</t>
  </si>
  <si>
    <t>(b)</t>
  </si>
  <si>
    <t>Question 2</t>
  </si>
  <si>
    <t>degree AP!</t>
  </si>
  <si>
    <t>Viscosity</t>
  </si>
  <si>
    <t>length</t>
  </si>
  <si>
    <t>Q</t>
  </si>
  <si>
    <t>gal/min</t>
  </si>
  <si>
    <t>ft3/s</t>
  </si>
  <si>
    <t>in</t>
  </si>
  <si>
    <t>epsilion</t>
  </si>
  <si>
    <t>epsilion/diameter</t>
  </si>
  <si>
    <t>Reynolds number</t>
  </si>
  <si>
    <t>friction factor</t>
  </si>
  <si>
    <t>Viscous Losses</t>
  </si>
  <si>
    <t>Mass flow</t>
  </si>
  <si>
    <t>(c)</t>
  </si>
  <si>
    <t>diameter</t>
  </si>
  <si>
    <t>epsilon</t>
  </si>
  <si>
    <t>area</t>
  </si>
  <si>
    <t>steel, light rust</t>
  </si>
  <si>
    <t>galvanized iron</t>
  </si>
  <si>
    <t>plastic</t>
  </si>
  <si>
    <t>epsilon/diameter</t>
  </si>
  <si>
    <t>Pa s</t>
  </si>
  <si>
    <t>delta h</t>
  </si>
  <si>
    <t>m</t>
  </si>
  <si>
    <t>lbm / ft s</t>
  </si>
  <si>
    <t>psig</t>
  </si>
  <si>
    <t>p2 (guage)</t>
  </si>
  <si>
    <t>p1 (guage)</t>
  </si>
  <si>
    <t>p1-p2</t>
  </si>
  <si>
    <t>Driving forces (also viscous losses)</t>
  </si>
  <si>
    <t>sqrt(F*Re^2)</t>
  </si>
  <si>
    <t>friction factor guess</t>
  </si>
  <si>
    <t>Getting Friction  factor</t>
  </si>
  <si>
    <t>f</t>
  </si>
  <si>
    <t>Re</t>
  </si>
  <si>
    <t>A</t>
  </si>
  <si>
    <t>B</t>
  </si>
  <si>
    <t>Vavg</t>
  </si>
  <si>
    <t>deltaKE</t>
  </si>
  <si>
    <t>Relative contribution</t>
  </si>
  <si>
    <t>mi</t>
  </si>
  <si>
    <t>Density  (same as last)</t>
  </si>
  <si>
    <t>Viscosity (same as last)</t>
  </si>
  <si>
    <t>f*Re^5</t>
  </si>
  <si>
    <t>Getting Diameter</t>
  </si>
  <si>
    <t>D</t>
  </si>
  <si>
    <t>epsilon/D</t>
  </si>
  <si>
    <t>use the 24 in schedule 40 pipe</t>
  </si>
  <si>
    <t>Average Velocity</t>
  </si>
  <si>
    <t>ft/s</t>
  </si>
  <si>
    <t>relative contribution</t>
  </si>
  <si>
    <t>new viscous losses</t>
  </si>
  <si>
    <t>So it is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</si>
</sst>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7"/>
  <sheetViews>
    <sheetView tabSelected="1" topLeftCell="A76" workbookViewId="0">
      <selection activeCell="F107" sqref="F107"/>
    </sheetView>
  </sheetViews>
  <sheetFormatPr defaultRowHeight="14.4" x14ac:dyDescent="0.3"/>
  <cols>
    <col min="1" max="1" width="12" bestFit="1" customWidth="1"/>
    <col min="4" max="4" width="12" bestFit="1" customWidth="1"/>
    <col min="5" max="5" width="11" bestFit="1" customWidth="1"/>
  </cols>
  <sheetData>
    <row r="1" spans="1:17" x14ac:dyDescent="0.3">
      <c r="A1" t="s">
        <v>0</v>
      </c>
    </row>
    <row r="2" spans="1:17" x14ac:dyDescent="0.3">
      <c r="A2" t="s">
        <v>1</v>
      </c>
      <c r="D2" t="s">
        <v>5</v>
      </c>
      <c r="G2" t="s">
        <v>8</v>
      </c>
      <c r="J2" t="s">
        <v>11</v>
      </c>
    </row>
    <row r="3" spans="1:17" x14ac:dyDescent="0.3">
      <c r="A3">
        <v>800</v>
      </c>
      <c r="B3" t="s">
        <v>2</v>
      </c>
      <c r="D3">
        <f>0-20</f>
        <v>-20</v>
      </c>
      <c r="E3" t="s">
        <v>6</v>
      </c>
      <c r="G3">
        <v>3</v>
      </c>
      <c r="H3" t="s">
        <v>9</v>
      </c>
      <c r="J3" t="s">
        <v>13</v>
      </c>
      <c r="K3">
        <v>35</v>
      </c>
      <c r="M3" t="s">
        <v>14</v>
      </c>
    </row>
    <row r="4" spans="1:17" x14ac:dyDescent="0.3">
      <c r="A4" t="s">
        <v>3</v>
      </c>
      <c r="G4">
        <f>G3*6.72*10^-4</f>
        <v>2.016E-3</v>
      </c>
      <c r="H4" t="s">
        <v>10</v>
      </c>
      <c r="J4" t="s">
        <v>12</v>
      </c>
      <c r="K4">
        <f>141.5/(131.5+K3)</f>
        <v>0.8498498498498499</v>
      </c>
      <c r="M4">
        <v>1000</v>
      </c>
      <c r="N4" t="s">
        <v>15</v>
      </c>
    </row>
    <row r="5" spans="1:17" x14ac:dyDescent="0.3">
      <c r="A5">
        <f>A3*42*35.3147/264.17/24/3600</f>
        <v>5.1987335596185964E-2</v>
      </c>
      <c r="B5" t="s">
        <v>4</v>
      </c>
      <c r="D5" t="s">
        <v>7</v>
      </c>
      <c r="J5">
        <f>K4*M5</f>
        <v>53.054279831797409</v>
      </c>
      <c r="K5" t="s">
        <v>16</v>
      </c>
      <c r="M5">
        <f>M4*2.20462/35.3147</f>
        <v>62.427827505259842</v>
      </c>
      <c r="N5" t="s">
        <v>16</v>
      </c>
    </row>
    <row r="6" spans="1:17" x14ac:dyDescent="0.3">
      <c r="D6">
        <v>900</v>
      </c>
      <c r="E6" t="s">
        <v>6</v>
      </c>
    </row>
    <row r="7" spans="1:17" x14ac:dyDescent="0.3">
      <c r="A7" t="s">
        <v>17</v>
      </c>
    </row>
    <row r="8" spans="1:17" x14ac:dyDescent="0.3">
      <c r="A8" t="s">
        <v>18</v>
      </c>
      <c r="D8" t="s">
        <v>20</v>
      </c>
      <c r="G8" t="s">
        <v>24</v>
      </c>
      <c r="J8" t="s">
        <v>27</v>
      </c>
      <c r="M8" t="s">
        <v>29</v>
      </c>
      <c r="P8" t="s">
        <v>30</v>
      </c>
    </row>
    <row r="9" spans="1:17" x14ac:dyDescent="0.3">
      <c r="A9">
        <v>1.61</v>
      </c>
      <c r="B9" t="s">
        <v>19</v>
      </c>
      <c r="D9">
        <f>$J$5*$A$5/A12*A10/$G$4</f>
        <v>12983.534747352827</v>
      </c>
      <c r="G9">
        <f>2*D12*($A$5/A12)^2*$D$6/A10</f>
        <v>1344.2899745008413</v>
      </c>
      <c r="H9" t="s">
        <v>25</v>
      </c>
      <c r="J9">
        <f>32.174*$D$3</f>
        <v>-643.48</v>
      </c>
      <c r="K9" t="s">
        <v>25</v>
      </c>
      <c r="M9">
        <f>-(G10-J10)</f>
        <v>-61.781872769964608</v>
      </c>
      <c r="N9" t="s">
        <v>26</v>
      </c>
      <c r="P9">
        <f>$A$5*$J$5</f>
        <v>2.7581506504296125</v>
      </c>
      <c r="Q9" t="s">
        <v>31</v>
      </c>
    </row>
    <row r="10" spans="1:17" x14ac:dyDescent="0.3">
      <c r="A10">
        <f>A9/12</f>
        <v>0.13416666666666668</v>
      </c>
      <c r="B10" t="s">
        <v>6</v>
      </c>
      <c r="G10">
        <f>G9/32.174</f>
        <v>41.781872769964608</v>
      </c>
      <c r="H10" t="s">
        <v>26</v>
      </c>
      <c r="J10">
        <f>J9/32.174</f>
        <v>-20</v>
      </c>
      <c r="K10" t="s">
        <v>28</v>
      </c>
    </row>
    <row r="11" spans="1:17" x14ac:dyDescent="0.3">
      <c r="A11" t="s">
        <v>21</v>
      </c>
      <c r="D11" t="s">
        <v>23</v>
      </c>
      <c r="M11" t="s">
        <v>32</v>
      </c>
    </row>
    <row r="12" spans="1:17" x14ac:dyDescent="0.3">
      <c r="A12">
        <f>A10^2*PI()/4</f>
        <v>1.413771235654532E-2</v>
      </c>
      <c r="B12" t="s">
        <v>22</v>
      </c>
      <c r="D12">
        <f>0.0791/D9^(1/4)</f>
        <v>7.4101712953876355E-3</v>
      </c>
      <c r="M12">
        <f>M9*P9</f>
        <v>-170.40371256523744</v>
      </c>
      <c r="N12" t="s">
        <v>33</v>
      </c>
    </row>
    <row r="13" spans="1:17" x14ac:dyDescent="0.3">
      <c r="M13">
        <f>M12/737.562*1.34102</f>
        <v>-0.3098245118705068</v>
      </c>
      <c r="N13" t="s">
        <v>34</v>
      </c>
    </row>
    <row r="15" spans="1:17" x14ac:dyDescent="0.3">
      <c r="A15" t="s">
        <v>35</v>
      </c>
    </row>
    <row r="16" spans="1:17" x14ac:dyDescent="0.3">
      <c r="A16" t="s">
        <v>18</v>
      </c>
      <c r="D16" t="s">
        <v>20</v>
      </c>
      <c r="G16" t="s">
        <v>24</v>
      </c>
      <c r="J16" t="s">
        <v>27</v>
      </c>
      <c r="M16" t="s">
        <v>29</v>
      </c>
      <c r="P16" t="s">
        <v>30</v>
      </c>
    </row>
    <row r="17" spans="1:17" x14ac:dyDescent="0.3">
      <c r="A17">
        <v>1.0489999999999999</v>
      </c>
      <c r="B17" t="s">
        <v>19</v>
      </c>
      <c r="D17">
        <f>$J$5*$A$5/A20*A18/$G$4</f>
        <v>19927.064769531033</v>
      </c>
      <c r="G17">
        <f>2*D20*($A$5/A20)^2*$D$6/A18</f>
        <v>10285.663260684694</v>
      </c>
      <c r="H17" t="s">
        <v>25</v>
      </c>
      <c r="J17">
        <f>32.174*$D$3</f>
        <v>-643.48</v>
      </c>
      <c r="K17" t="s">
        <v>25</v>
      </c>
      <c r="M17">
        <f>-(G18-J18)</f>
        <v>-339.68866975460605</v>
      </c>
      <c r="N17" t="s">
        <v>26</v>
      </c>
      <c r="P17">
        <f>$A$5*$J$5</f>
        <v>2.7581506504296125</v>
      </c>
      <c r="Q17" t="s">
        <v>31</v>
      </c>
    </row>
    <row r="18" spans="1:17" x14ac:dyDescent="0.3">
      <c r="A18">
        <f>A17/12</f>
        <v>8.7416666666666656E-2</v>
      </c>
      <c r="B18" t="s">
        <v>6</v>
      </c>
      <c r="G18">
        <f>G17/32.174</f>
        <v>319.68866975460605</v>
      </c>
      <c r="H18" t="s">
        <v>26</v>
      </c>
      <c r="J18">
        <f>J17/32.174</f>
        <v>-20</v>
      </c>
      <c r="K18" t="s">
        <v>28</v>
      </c>
    </row>
    <row r="19" spans="1:17" x14ac:dyDescent="0.3">
      <c r="A19" t="s">
        <v>21</v>
      </c>
      <c r="D19" t="s">
        <v>23</v>
      </c>
      <c r="M19" t="s">
        <v>32</v>
      </c>
    </row>
    <row r="20" spans="1:17" x14ac:dyDescent="0.3">
      <c r="A20">
        <f>A18^2*PI()/4</f>
        <v>6.0017564194494114E-3</v>
      </c>
      <c r="B20" t="s">
        <v>22</v>
      </c>
      <c r="D20">
        <f>0.0791/D17^(1/4)</f>
        <v>6.6575686040652136E-3</v>
      </c>
      <c r="M20">
        <f>M17*P17</f>
        <v>-936.91252542723657</v>
      </c>
      <c r="N20" t="s">
        <v>33</v>
      </c>
    </row>
    <row r="21" spans="1:17" x14ac:dyDescent="0.3">
      <c r="M21">
        <f>M20/737.562*1.34102</f>
        <v>-1.7034750093530209</v>
      </c>
      <c r="N21" t="s">
        <v>34</v>
      </c>
    </row>
    <row r="23" spans="1:17" x14ac:dyDescent="0.3">
      <c r="A23" t="s">
        <v>36</v>
      </c>
    </row>
    <row r="24" spans="1:17" x14ac:dyDescent="0.3">
      <c r="A24" t="s">
        <v>11</v>
      </c>
      <c r="D24" t="s">
        <v>14</v>
      </c>
      <c r="G24" t="s">
        <v>38</v>
      </c>
      <c r="J24" t="s">
        <v>18</v>
      </c>
    </row>
    <row r="25" spans="1:17" x14ac:dyDescent="0.3">
      <c r="A25" t="s">
        <v>37</v>
      </c>
      <c r="B25">
        <v>35</v>
      </c>
      <c r="D25">
        <v>1000</v>
      </c>
      <c r="E25" t="s">
        <v>15</v>
      </c>
      <c r="G25">
        <v>4</v>
      </c>
      <c r="H25" t="s">
        <v>9</v>
      </c>
      <c r="J25">
        <v>4.0259999999999998</v>
      </c>
      <c r="K25" t="s">
        <v>43</v>
      </c>
    </row>
    <row r="26" spans="1:17" x14ac:dyDescent="0.3">
      <c r="A26" t="s">
        <v>12</v>
      </c>
      <c r="B26">
        <f>141.5/(131.5+B25)</f>
        <v>0.8498498498498499</v>
      </c>
      <c r="D26">
        <f>D25*2.20462/35.3147</f>
        <v>62.427827505259842</v>
      </c>
      <c r="E26" t="s">
        <v>16</v>
      </c>
      <c r="G26">
        <f>G25*6.72*10^-4</f>
        <v>2.6879999999999999E-3</v>
      </c>
      <c r="H26" t="s">
        <v>10</v>
      </c>
      <c r="J26">
        <f>J25/12</f>
        <v>0.33549999999999996</v>
      </c>
      <c r="K26" t="s">
        <v>6</v>
      </c>
    </row>
    <row r="27" spans="1:17" x14ac:dyDescent="0.3">
      <c r="A27">
        <f>B26*D26</f>
        <v>53.054279831797409</v>
      </c>
      <c r="B27" t="s">
        <v>16</v>
      </c>
    </row>
    <row r="28" spans="1:17" x14ac:dyDescent="0.3">
      <c r="J28" t="s">
        <v>21</v>
      </c>
    </row>
    <row r="29" spans="1:17" x14ac:dyDescent="0.3">
      <c r="A29" t="s">
        <v>39</v>
      </c>
      <c r="D29" t="s">
        <v>40</v>
      </c>
      <c r="F29" t="s">
        <v>49</v>
      </c>
      <c r="H29" t="s">
        <v>46</v>
      </c>
      <c r="J29">
        <f>J26^2/4*PI()</f>
        <v>8.8404613621557604E-2</v>
      </c>
      <c r="K29" t="s">
        <v>22</v>
      </c>
    </row>
    <row r="30" spans="1:17" x14ac:dyDescent="0.3">
      <c r="A30">
        <v>2000</v>
      </c>
      <c r="B30" t="s">
        <v>6</v>
      </c>
      <c r="D30">
        <v>500</v>
      </c>
      <c r="E30" t="s">
        <v>41</v>
      </c>
      <c r="F30">
        <f>D31*A27</f>
        <v>59.103228223491691</v>
      </c>
      <c r="G30" t="s">
        <v>31</v>
      </c>
      <c r="H30">
        <f>A27*D31/J29*J26/G26</f>
        <v>83444.848879223675</v>
      </c>
    </row>
    <row r="31" spans="1:17" x14ac:dyDescent="0.3">
      <c r="D31">
        <f>D30/264.17*35.3147/60</f>
        <v>1.1140143342039848</v>
      </c>
      <c r="E31" t="s">
        <v>42</v>
      </c>
    </row>
    <row r="33" spans="1:7" x14ac:dyDescent="0.3">
      <c r="A33" t="s">
        <v>17</v>
      </c>
      <c r="B33" t="s">
        <v>56</v>
      </c>
    </row>
    <row r="34" spans="1:7" x14ac:dyDescent="0.3">
      <c r="A34" t="s">
        <v>44</v>
      </c>
      <c r="C34" t="s">
        <v>48</v>
      </c>
      <c r="F34" t="s">
        <v>29</v>
      </c>
    </row>
    <row r="35" spans="1:7" x14ac:dyDescent="0.3">
      <c r="A35">
        <v>8.0000000000000007E-5</v>
      </c>
      <c r="B35" t="s">
        <v>43</v>
      </c>
      <c r="C35">
        <f>2*A39*($D$31/$J$29)^2*$A$30/$J$26</f>
        <v>8992.7552511608374</v>
      </c>
      <c r="D35" t="s">
        <v>25</v>
      </c>
      <c r="F35">
        <f>-C36</f>
        <v>-279.50379968797284</v>
      </c>
      <c r="G35" t="s">
        <v>26</v>
      </c>
    </row>
    <row r="36" spans="1:7" x14ac:dyDescent="0.3">
      <c r="A36" t="s">
        <v>45</v>
      </c>
      <c r="C36">
        <f>C35/32.174</f>
        <v>279.50379968797284</v>
      </c>
      <c r="D36" t="s">
        <v>26</v>
      </c>
    </row>
    <row r="37" spans="1:7" x14ac:dyDescent="0.3">
      <c r="A37">
        <f>A35/$J$25</f>
        <v>1.9870839542970694E-5</v>
      </c>
      <c r="F37" t="s">
        <v>32</v>
      </c>
    </row>
    <row r="38" spans="1:7" x14ac:dyDescent="0.3">
      <c r="A38" t="s">
        <v>47</v>
      </c>
      <c r="F38">
        <f>F35*$F$30</f>
        <v>-16519.576862291364</v>
      </c>
      <c r="G38" t="s">
        <v>33</v>
      </c>
    </row>
    <row r="39" spans="1:7" x14ac:dyDescent="0.3">
      <c r="A39">
        <v>4.7499999999999999E-3</v>
      </c>
      <c r="F39">
        <f>F38/737.562*1.34102</f>
        <v>-30.035553572269134</v>
      </c>
      <c r="G39" t="s">
        <v>34</v>
      </c>
    </row>
    <row r="41" spans="1:7" x14ac:dyDescent="0.3">
      <c r="A41" t="s">
        <v>35</v>
      </c>
      <c r="B41" t="s">
        <v>54</v>
      </c>
    </row>
    <row r="42" spans="1:7" x14ac:dyDescent="0.3">
      <c r="A42" t="s">
        <v>44</v>
      </c>
      <c r="C42" t="s">
        <v>48</v>
      </c>
      <c r="F42" t="s">
        <v>29</v>
      </c>
    </row>
    <row r="43" spans="1:7" x14ac:dyDescent="0.3">
      <c r="A43">
        <v>1.4999999999999999E-2</v>
      </c>
      <c r="B43" t="s">
        <v>43</v>
      </c>
      <c r="C43">
        <f>2*A47*($D$31/$J$29)^2*$A$30/$J$26</f>
        <v>14577.729565039672</v>
      </c>
      <c r="D43" t="s">
        <v>25</v>
      </c>
      <c r="F43">
        <f>-C44</f>
        <v>-453.09037002050326</v>
      </c>
      <c r="G43" t="s">
        <v>26</v>
      </c>
    </row>
    <row r="44" spans="1:7" x14ac:dyDescent="0.3">
      <c r="A44" t="s">
        <v>45</v>
      </c>
      <c r="C44">
        <f>C43/32.174</f>
        <v>453.09037002050326</v>
      </c>
      <c r="D44" t="s">
        <v>26</v>
      </c>
    </row>
    <row r="45" spans="1:7" x14ac:dyDescent="0.3">
      <c r="A45">
        <f>A43/$J$25</f>
        <v>3.7257824143070045E-3</v>
      </c>
      <c r="F45" t="s">
        <v>32</v>
      </c>
    </row>
    <row r="46" spans="1:7" x14ac:dyDescent="0.3">
      <c r="A46" t="s">
        <v>47</v>
      </c>
      <c r="F46">
        <f>F43*$F$30</f>
        <v>-26779.1035451881</v>
      </c>
      <c r="G46" t="s">
        <v>33</v>
      </c>
    </row>
    <row r="47" spans="1:7" x14ac:dyDescent="0.3">
      <c r="A47">
        <v>7.7000000000000002E-3</v>
      </c>
      <c r="F47">
        <f>F46/737.562*1.34102</f>
        <v>-48.689213159257321</v>
      </c>
      <c r="G47" t="s">
        <v>34</v>
      </c>
    </row>
    <row r="49" spans="1:10" x14ac:dyDescent="0.3">
      <c r="A49" t="s">
        <v>50</v>
      </c>
      <c r="B49" t="s">
        <v>55</v>
      </c>
    </row>
    <row r="50" spans="1:10" x14ac:dyDescent="0.3">
      <c r="A50" t="s">
        <v>44</v>
      </c>
      <c r="C50" t="s">
        <v>48</v>
      </c>
      <c r="F50" t="s">
        <v>29</v>
      </c>
    </row>
    <row r="51" spans="1:10" x14ac:dyDescent="0.3">
      <c r="A51">
        <v>6.0000000000000001E-3</v>
      </c>
      <c r="B51" t="s">
        <v>43</v>
      </c>
      <c r="C51">
        <f>2*A55*($D$31/$J$29)^2*$A$30/$J$26</f>
        <v>11359.269790940005</v>
      </c>
      <c r="D51" t="s">
        <v>25</v>
      </c>
      <c r="F51">
        <f>-C52</f>
        <v>-353.05743118480774</v>
      </c>
      <c r="G51" t="s">
        <v>26</v>
      </c>
    </row>
    <row r="52" spans="1:10" x14ac:dyDescent="0.3">
      <c r="A52" t="s">
        <v>45</v>
      </c>
      <c r="C52">
        <f>C51/32.174</f>
        <v>353.05743118480774</v>
      </c>
      <c r="D52" t="s">
        <v>26</v>
      </c>
    </row>
    <row r="53" spans="1:10" x14ac:dyDescent="0.3">
      <c r="A53">
        <f>A51/$J$25</f>
        <v>1.4903129657228018E-3</v>
      </c>
      <c r="F53" t="s">
        <v>32</v>
      </c>
    </row>
    <row r="54" spans="1:10" x14ac:dyDescent="0.3">
      <c r="A54" t="s">
        <v>47</v>
      </c>
      <c r="F54">
        <f>F51*$F$30</f>
        <v>-20866.833931315403</v>
      </c>
      <c r="G54" t="s">
        <v>33</v>
      </c>
    </row>
    <row r="55" spans="1:10" x14ac:dyDescent="0.3">
      <c r="A55">
        <v>6.0000000000000001E-3</v>
      </c>
      <c r="F55">
        <f>F54/737.562*1.34102</f>
        <v>-37.939646617603103</v>
      </c>
      <c r="G55" t="s">
        <v>34</v>
      </c>
    </row>
    <row r="57" spans="1:10" x14ac:dyDescent="0.3">
      <c r="A57">
        <v>3</v>
      </c>
    </row>
    <row r="58" spans="1:10" x14ac:dyDescent="0.3">
      <c r="A58" t="s">
        <v>7</v>
      </c>
      <c r="C58" t="s">
        <v>52</v>
      </c>
      <c r="F58" t="s">
        <v>11</v>
      </c>
      <c r="I58" t="s">
        <v>63</v>
      </c>
    </row>
    <row r="59" spans="1:10" x14ac:dyDescent="0.3">
      <c r="A59">
        <v>100</v>
      </c>
      <c r="B59" t="s">
        <v>6</v>
      </c>
      <c r="C59">
        <v>1.4999999999999999E-2</v>
      </c>
      <c r="D59" t="s">
        <v>43</v>
      </c>
      <c r="F59">
        <v>62.427827505259842</v>
      </c>
      <c r="G59" t="s">
        <v>16</v>
      </c>
      <c r="I59">
        <v>5</v>
      </c>
      <c r="J59" t="s">
        <v>62</v>
      </c>
    </row>
    <row r="60" spans="1:10" x14ac:dyDescent="0.3">
      <c r="A60" t="s">
        <v>51</v>
      </c>
      <c r="C60" t="s">
        <v>57</v>
      </c>
      <c r="I60">
        <f>I59*32.174*144</f>
        <v>23165.279999999999</v>
      </c>
      <c r="J60" t="s">
        <v>10</v>
      </c>
    </row>
    <row r="61" spans="1:10" x14ac:dyDescent="0.3">
      <c r="A61">
        <v>1.5</v>
      </c>
      <c r="B61" t="s">
        <v>43</v>
      </c>
      <c r="C61">
        <f>C59/A61</f>
        <v>0.01</v>
      </c>
      <c r="F61" t="s">
        <v>38</v>
      </c>
    </row>
    <row r="62" spans="1:10" x14ac:dyDescent="0.3">
      <c r="A62">
        <f>A61/12</f>
        <v>0.125</v>
      </c>
      <c r="B62" t="s">
        <v>6</v>
      </c>
      <c r="F62">
        <v>1E-3</v>
      </c>
      <c r="G62" t="s">
        <v>58</v>
      </c>
      <c r="I62" t="s">
        <v>64</v>
      </c>
    </row>
    <row r="63" spans="1:10" x14ac:dyDescent="0.3">
      <c r="A63" t="s">
        <v>53</v>
      </c>
      <c r="C63" t="s">
        <v>59</v>
      </c>
      <c r="F63">
        <f>F62*2.20426/3.28084</f>
        <v>6.7185842650053032E-4</v>
      </c>
      <c r="G63" t="s">
        <v>61</v>
      </c>
      <c r="I63">
        <f>C64*32.174*F59</f>
        <v>40171.058443084607</v>
      </c>
    </row>
    <row r="64" spans="1:10" x14ac:dyDescent="0.3">
      <c r="A64">
        <f>A62^2*PI()/4</f>
        <v>1.2271846303085129E-2</v>
      </c>
      <c r="B64" t="s">
        <v>22</v>
      </c>
      <c r="C64">
        <v>20</v>
      </c>
      <c r="D64" t="s">
        <v>60</v>
      </c>
    </row>
    <row r="65" spans="1:11" x14ac:dyDescent="0.3">
      <c r="I65" t="s">
        <v>65</v>
      </c>
    </row>
    <row r="66" spans="1:11" x14ac:dyDescent="0.3">
      <c r="I66">
        <f>I63-I60</f>
        <v>17005.778443084608</v>
      </c>
    </row>
    <row r="67" spans="1:11" x14ac:dyDescent="0.3">
      <c r="A67" t="s">
        <v>17</v>
      </c>
    </row>
    <row r="68" spans="1:11" x14ac:dyDescent="0.3">
      <c r="A68" t="s">
        <v>66</v>
      </c>
    </row>
    <row r="69" spans="1:11" x14ac:dyDescent="0.3">
      <c r="A69">
        <f>I66/F59</f>
        <v>272.40701979660895</v>
      </c>
      <c r="B69" t="s">
        <v>25</v>
      </c>
      <c r="E69" t="s">
        <v>69</v>
      </c>
    </row>
    <row r="70" spans="1:11" x14ac:dyDescent="0.3">
      <c r="A70">
        <f>A69/32.174</f>
        <v>8.4666817864303141</v>
      </c>
      <c r="B70" t="s">
        <v>26</v>
      </c>
      <c r="D70" t="s">
        <v>70</v>
      </c>
      <c r="E70">
        <v>9.7794134668770499E-3</v>
      </c>
      <c r="F70">
        <f>2*((8/E71^12)+1/(E72+E73)^(3/2))^(1/12)</f>
        <v>9.8731782291503409E-3</v>
      </c>
      <c r="G70">
        <f t="shared" ref="G70:I70" si="0">2*((8/F71^12)+1/(F72+F73)^(3/2))^(1/12)</f>
        <v>9.8748601950446914E-3</v>
      </c>
      <c r="H70">
        <f t="shared" si="0"/>
        <v>9.8748902823623478E-3</v>
      </c>
    </row>
    <row r="71" spans="1:11" x14ac:dyDescent="0.3">
      <c r="D71" t="s">
        <v>71</v>
      </c>
      <c r="E71">
        <f>$A$73/SQRT(E70)</f>
        <v>48462.210344136438</v>
      </c>
      <c r="F71">
        <f>$A$73/SQRT(F70)</f>
        <v>48231.54056012338</v>
      </c>
      <c r="G71">
        <f t="shared" ref="G71:I71" si="1">$A$73/SQRT(G70)</f>
        <v>48227.432792551932</v>
      </c>
      <c r="H71">
        <f t="shared" si="1"/>
        <v>48227.359321599135</v>
      </c>
    </row>
    <row r="72" spans="1:11" x14ac:dyDescent="0.3">
      <c r="A72" t="s">
        <v>67</v>
      </c>
      <c r="D72" t="s">
        <v>72</v>
      </c>
      <c r="E72">
        <f>(2.457*LN(1/((7/E71)^0.9+0.27*$C$61)))^16</f>
        <v>2.8352029368794276E+18</v>
      </c>
      <c r="F72">
        <f>(2.457*LN(1/((7/F71)^0.9+0.27*$C$61)))^16</f>
        <v>2.8313419220141368E+18</v>
      </c>
      <c r="G72">
        <f t="shared" ref="G72:I72" si="2">(2.457*LN(1/((7/G71)^0.9+0.27*$C$61)))^16</f>
        <v>2.8312729093381908E+18</v>
      </c>
      <c r="H72">
        <f t="shared" si="2"/>
        <v>2.8312716749054203E+18</v>
      </c>
    </row>
    <row r="73" spans="1:11" x14ac:dyDescent="0.3">
      <c r="A73">
        <f>SQRT(A69*F59^2*A62^3/2/A59/F63^2)</f>
        <v>4792.472421213748</v>
      </c>
      <c r="D73" t="s">
        <v>73</v>
      </c>
      <c r="E73">
        <f>(37530/E71)^16</f>
        <v>1.6734222468417052E-2</v>
      </c>
      <c r="F73">
        <f>(37530/F71)^16</f>
        <v>1.8061710959991106E-2</v>
      </c>
      <c r="G73">
        <f t="shared" ref="G73:I73" si="3">(37530/G71)^16</f>
        <v>1.8086341165889953E-2</v>
      </c>
      <c r="H73">
        <f t="shared" si="3"/>
        <v>1.808678202300331E-2</v>
      </c>
    </row>
    <row r="75" spans="1:11" x14ac:dyDescent="0.3">
      <c r="A75" t="s">
        <v>68</v>
      </c>
      <c r="D75" t="s">
        <v>40</v>
      </c>
      <c r="G75" t="s">
        <v>74</v>
      </c>
      <c r="I75" t="s">
        <v>75</v>
      </c>
      <c r="K75" t="s">
        <v>76</v>
      </c>
    </row>
    <row r="76" spans="1:11" x14ac:dyDescent="0.3">
      <c r="A76">
        <f>(1/(-4*LOG10(C61/3.7+1.255/A73)))^2</f>
        <v>9.7794134668770499E-3</v>
      </c>
      <c r="D76">
        <f>H71*A64*F63/F59/A62</f>
        <v>5.0955717832091268E-2</v>
      </c>
      <c r="E76" t="s">
        <v>42</v>
      </c>
      <c r="G76">
        <f>D76/A64</f>
        <v>4.1522454383478591</v>
      </c>
      <c r="I76">
        <f>G76^2/2</f>
        <v>8.6205710901403023</v>
      </c>
      <c r="K76">
        <f>I76/A69</f>
        <v>3.1645921226908173E-2</v>
      </c>
    </row>
    <row r="78" spans="1:11" x14ac:dyDescent="0.3">
      <c r="A78">
        <v>4</v>
      </c>
    </row>
    <row r="79" spans="1:11" x14ac:dyDescent="0.3">
      <c r="A79" t="s">
        <v>39</v>
      </c>
      <c r="D79" t="s">
        <v>78</v>
      </c>
      <c r="G79" t="s">
        <v>63</v>
      </c>
    </row>
    <row r="80" spans="1:11" x14ac:dyDescent="0.3">
      <c r="A80">
        <v>2</v>
      </c>
      <c r="B80" t="s">
        <v>77</v>
      </c>
      <c r="D80">
        <v>62.427827505259842</v>
      </c>
      <c r="E80" t="s">
        <v>16</v>
      </c>
      <c r="G80">
        <v>30</v>
      </c>
      <c r="H80" t="s">
        <v>62</v>
      </c>
    </row>
    <row r="81" spans="1:8" x14ac:dyDescent="0.3">
      <c r="A81">
        <f>A80*5280</f>
        <v>10560</v>
      </c>
      <c r="B81" t="s">
        <v>6</v>
      </c>
      <c r="G81">
        <f>G80*32.174*144</f>
        <v>138991.67999999999</v>
      </c>
      <c r="H81" t="s">
        <v>10</v>
      </c>
    </row>
    <row r="82" spans="1:8" x14ac:dyDescent="0.3">
      <c r="D82" t="s">
        <v>79</v>
      </c>
      <c r="G82" t="s">
        <v>64</v>
      </c>
    </row>
    <row r="83" spans="1:8" x14ac:dyDescent="0.3">
      <c r="A83" t="s">
        <v>1</v>
      </c>
      <c r="D83">
        <f>F63</f>
        <v>6.7185842650053032E-4</v>
      </c>
      <c r="E83" t="s">
        <v>10</v>
      </c>
      <c r="G83">
        <f>D80*32.174*150</f>
        <v>301282.9383231345</v>
      </c>
      <c r="H83" t="s">
        <v>10</v>
      </c>
    </row>
    <row r="84" spans="1:8" x14ac:dyDescent="0.3">
      <c r="A84">
        <v>10000</v>
      </c>
      <c r="B84" t="s">
        <v>41</v>
      </c>
      <c r="G84" t="s">
        <v>65</v>
      </c>
    </row>
    <row r="85" spans="1:8" x14ac:dyDescent="0.3">
      <c r="A85">
        <f>A84/264.17*35.3147/60</f>
        <v>22.280286684079694</v>
      </c>
      <c r="B85" t="s">
        <v>42</v>
      </c>
      <c r="D85" t="s">
        <v>52</v>
      </c>
      <c r="G85">
        <f>G83-G81</f>
        <v>162291.25832313451</v>
      </c>
      <c r="H85" t="s">
        <v>10</v>
      </c>
    </row>
    <row r="86" spans="1:8" x14ac:dyDescent="0.3">
      <c r="D86">
        <v>1.8E-3</v>
      </c>
      <c r="E86" t="s">
        <v>43</v>
      </c>
    </row>
    <row r="87" spans="1:8" x14ac:dyDescent="0.3">
      <c r="D87">
        <f>D86/12</f>
        <v>1.4999999999999999E-4</v>
      </c>
      <c r="E87" t="s">
        <v>6</v>
      </c>
    </row>
    <row r="88" spans="1:8" x14ac:dyDescent="0.3">
      <c r="A88" t="s">
        <v>17</v>
      </c>
    </row>
    <row r="89" spans="1:8" x14ac:dyDescent="0.3">
      <c r="A89" t="s">
        <v>24</v>
      </c>
    </row>
    <row r="90" spans="1:8" x14ac:dyDescent="0.3">
      <c r="A90">
        <f>G85/D80</f>
        <v>2599.6621187796532</v>
      </c>
      <c r="B90" t="s">
        <v>25</v>
      </c>
      <c r="D90" t="s">
        <v>81</v>
      </c>
    </row>
    <row r="91" spans="1:8" x14ac:dyDescent="0.3">
      <c r="C91" t="s">
        <v>70</v>
      </c>
      <c r="D91">
        <v>5.0000000000000001E-3</v>
      </c>
      <c r="E91">
        <f>2*((8/D92^12)+1/(D95+D96)^(3/2))^(1/12)</f>
        <v>3.2002389585277955E-3</v>
      </c>
      <c r="F91">
        <f t="shared" ref="F91:H91" si="4">2*((8/E92^12)+1/(E95+E96)^(3/2))^(1/12)</f>
        <v>3.208385358823178E-3</v>
      </c>
      <c r="G91">
        <f t="shared" si="4"/>
        <v>3.2083261710696576E-3</v>
      </c>
    </row>
    <row r="92" spans="1:8" x14ac:dyDescent="0.3">
      <c r="A92" t="s">
        <v>80</v>
      </c>
      <c r="C92" t="s">
        <v>71</v>
      </c>
      <c r="D92">
        <f>($A$93/D91)^(1/5)</f>
        <v>1312349.7314961585</v>
      </c>
      <c r="E92">
        <f>($A$93/E91)^(1/5)</f>
        <v>1434851.9954250804</v>
      </c>
      <c r="F92">
        <f t="shared" ref="F92:H92" si="5">($A$93/F91)^(1/5)</f>
        <v>1434122.6086958833</v>
      </c>
      <c r="G92">
        <f t="shared" si="5"/>
        <v>1434127.9000449898</v>
      </c>
    </row>
    <row r="93" spans="1:8" x14ac:dyDescent="0.3">
      <c r="A93">
        <f>32*A90*D80^5*A85^3/PI()^3/A81/D83^5</f>
        <v>1.9463365486965536E+28</v>
      </c>
      <c r="C93" t="s">
        <v>82</v>
      </c>
      <c r="D93">
        <f>4*$A$85*$D$80/PI()/$D$83/D92</f>
        <v>2.0085458951862205</v>
      </c>
      <c r="E93">
        <f>4*$A$85*$D$80/PI()/$D$83/E92</f>
        <v>1.8370638049427865</v>
      </c>
      <c r="F93">
        <f t="shared" ref="F93:H93" si="6">4*$A$85*$D$80/PI()/$D$83/F92</f>
        <v>1.8379981253083457</v>
      </c>
      <c r="G93">
        <f t="shared" si="6"/>
        <v>1.8379913438422453</v>
      </c>
    </row>
    <row r="94" spans="1:8" x14ac:dyDescent="0.3">
      <c r="C94" t="s">
        <v>83</v>
      </c>
      <c r="D94">
        <f>$D$87/D93</f>
        <v>7.4680892460310389E-5</v>
      </c>
      <c r="E94">
        <f>$D$87/E93</f>
        <v>8.1652036035118327E-5</v>
      </c>
      <c r="F94">
        <f t="shared" ref="F94:H94" si="7">$D$87/F93</f>
        <v>8.1610529376810833E-5</v>
      </c>
      <c r="G94">
        <f t="shared" si="7"/>
        <v>8.1610830487607828E-5</v>
      </c>
    </row>
    <row r="95" spans="1:8" x14ac:dyDescent="0.3">
      <c r="A95" t="s">
        <v>82</v>
      </c>
      <c r="C95" t="s">
        <v>72</v>
      </c>
      <c r="D95">
        <f>(2.457*LN(1/((7/D92)^0.9+0.27*D94)))^16</f>
        <v>2.3269159821255146E+22</v>
      </c>
      <c r="E95">
        <f>(2.457*LN(1/((7/E92)^0.9+0.27*E94)))^16</f>
        <v>2.2800677867994688E+22</v>
      </c>
      <c r="F95">
        <f t="shared" ref="F95:H95" si="8">(2.457*LN(1/((7/F92)^0.9+0.27*F94)))^16</f>
        <v>2.2804043131922569E+22</v>
      </c>
      <c r="G95">
        <f t="shared" si="8"/>
        <v>2.2804018740288045E+22</v>
      </c>
    </row>
    <row r="96" spans="1:8" x14ac:dyDescent="0.3">
      <c r="A96">
        <f>(32*G91*A85^2*A81/PI()^2/A90)^(1/5)</f>
        <v>1.8379913438422444</v>
      </c>
      <c r="B96" t="s">
        <v>6</v>
      </c>
      <c r="C96" t="s">
        <v>73</v>
      </c>
      <c r="D96">
        <f>(37530/D92)^16</f>
        <v>2.001076274848193E-25</v>
      </c>
      <c r="E96">
        <f>(37530/E92)^16</f>
        <v>4.7989180556304071E-26</v>
      </c>
      <c r="F96">
        <f t="shared" ref="F96:H96" si="9">(37530/F92)^16</f>
        <v>4.8381186147651879E-26</v>
      </c>
      <c r="G96">
        <f t="shared" si="9"/>
        <v>4.8378330116056538E-26</v>
      </c>
    </row>
    <row r="97" spans="1:6" x14ac:dyDescent="0.3">
      <c r="A97">
        <f>A96*12</f>
        <v>22.055896126106934</v>
      </c>
      <c r="B97" t="s">
        <v>43</v>
      </c>
    </row>
    <row r="99" spans="1:6" x14ac:dyDescent="0.3">
      <c r="A99" t="s">
        <v>84</v>
      </c>
    </row>
    <row r="100" spans="1:6" x14ac:dyDescent="0.3">
      <c r="A100">
        <v>22.623999999999999</v>
      </c>
      <c r="B100" t="s">
        <v>43</v>
      </c>
    </row>
    <row r="101" spans="1:6" x14ac:dyDescent="0.3">
      <c r="A101" t="s">
        <v>35</v>
      </c>
    </row>
    <row r="102" spans="1:6" x14ac:dyDescent="0.3">
      <c r="A102" t="s">
        <v>18</v>
      </c>
      <c r="C102" t="s">
        <v>85</v>
      </c>
      <c r="E102" t="s">
        <v>88</v>
      </c>
    </row>
    <row r="103" spans="1:6" x14ac:dyDescent="0.3">
      <c r="A103">
        <v>22.623999999999999</v>
      </c>
      <c r="B103" t="s">
        <v>43</v>
      </c>
      <c r="C103">
        <f>A85/A106</f>
        <v>7.9809502053325998</v>
      </c>
      <c r="D103" t="s">
        <v>86</v>
      </c>
      <c r="E103">
        <f>32*G91*A85^2*A81/PI()^2/A104^5</f>
        <v>2289.2513769371949</v>
      </c>
      <c r="F103" t="s">
        <v>25</v>
      </c>
    </row>
    <row r="104" spans="1:6" x14ac:dyDescent="0.3">
      <c r="A104">
        <f>A103/12</f>
        <v>1.8853333333333333</v>
      </c>
      <c r="B104" t="s">
        <v>6</v>
      </c>
    </row>
    <row r="105" spans="1:6" x14ac:dyDescent="0.3">
      <c r="A105" t="s">
        <v>21</v>
      </c>
      <c r="C105" t="s">
        <v>75</v>
      </c>
      <c r="E105" t="s">
        <v>87</v>
      </c>
    </row>
    <row r="106" spans="1:6" x14ac:dyDescent="0.3">
      <c r="A106">
        <f>A104^2*PI()/4</f>
        <v>2.7916834600963636</v>
      </c>
      <c r="B106" t="s">
        <v>22</v>
      </c>
      <c r="C106">
        <f>C103^2/2</f>
        <v>31.847783089999233</v>
      </c>
      <c r="D106" t="s">
        <v>25</v>
      </c>
      <c r="E106">
        <f>C106/E103</f>
        <v>1.3911876786816046E-2</v>
      </c>
    </row>
    <row r="107" spans="1:6" x14ac:dyDescent="0.3">
      <c r="E107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2024-10-21T18:14:52Z</dcterms:modified>
</cp:coreProperties>
</file>