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85" documentId="13_ncr:1_{F55CA141-A2F5-48D8-B381-6353C167D1CA}" xr6:coauthVersionLast="47" xr6:coauthVersionMax="47" xr10:uidLastSave="{8E236EA9-CCD2-4375-ADF1-D5D2A2966F60}"/>
  <bookViews>
    <workbookView xWindow="-96" yWindow="0" windowWidth="11712" windowHeight="14496" firstSheet="1" activeTab="2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solver_adj" localSheetId="0" hidden="1">'Question 1'!$D$14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'Question 1'!$G$3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39" i="3"/>
  <c r="D23" i="3"/>
  <c r="D25" i="2"/>
  <c r="D14" i="2"/>
  <c r="D15" i="2" s="1"/>
  <c r="D18" i="2"/>
  <c r="D20" i="2"/>
  <c r="D18" i="1"/>
  <c r="D15" i="1"/>
  <c r="F10" i="1"/>
  <c r="D31" i="3"/>
  <c r="D31" i="2"/>
  <c r="D5" i="2"/>
  <c r="D7" i="2"/>
  <c r="D12" i="2"/>
  <c r="D15" i="3"/>
  <c r="D30" i="3"/>
  <c r="D22" i="3"/>
  <c r="D28" i="3"/>
  <c r="D29" i="3"/>
  <c r="D16" i="3"/>
  <c r="D11" i="3"/>
  <c r="D12" i="3" s="1"/>
  <c r="D34" i="3"/>
  <c r="D19" i="3"/>
  <c r="D21" i="3"/>
  <c r="D9" i="3"/>
  <c r="D7" i="3"/>
  <c r="D5" i="3"/>
  <c r="D3" i="3"/>
  <c r="D22" i="2"/>
  <c r="D23" i="2" s="1"/>
  <c r="D8" i="2"/>
  <c r="D9" i="2" s="1"/>
  <c r="F11" i="1"/>
  <c r="G7" i="1"/>
  <c r="G6" i="1"/>
  <c r="G8" i="1"/>
  <c r="D3" i="2"/>
  <c r="G3" i="1"/>
  <c r="D11" i="1"/>
  <c r="D12" i="1"/>
  <c r="D13" i="1" s="1"/>
  <c r="D16" i="1" s="1"/>
  <c r="D17" i="1" s="1"/>
  <c r="D10" i="1"/>
  <c r="D9" i="1"/>
  <c r="D5" i="1"/>
  <c r="D3" i="1"/>
  <c r="D16" i="2" l="1"/>
  <c r="D19" i="2"/>
  <c r="D29" i="2"/>
  <c r="D26" i="2"/>
  <c r="D27" i="2" s="1"/>
  <c r="D35" i="3"/>
  <c r="D10" i="3"/>
  <c r="D30" i="2" l="1"/>
  <c r="D25" i="3"/>
  <c r="D24" i="3"/>
  <c r="D26" i="3" s="1"/>
  <c r="D27" i="3" s="1"/>
  <c r="D41" i="3" s="1"/>
  <c r="D36" i="3" l="1"/>
</calcChain>
</file>

<file path=xl/sharedStrings.xml><?xml version="1.0" encoding="utf-8"?>
<sst xmlns="http://schemas.openxmlformats.org/spreadsheetml/2006/main" count="126" uniqueCount="71">
  <si>
    <t>Density</t>
  </si>
  <si>
    <t>kg/m3</t>
  </si>
  <si>
    <t>Viscosity</t>
  </si>
  <si>
    <t>cP</t>
  </si>
  <si>
    <t>kg/m s</t>
  </si>
  <si>
    <t>Particle Diameter</t>
  </si>
  <si>
    <t>mm</t>
  </si>
  <si>
    <t>m</t>
  </si>
  <si>
    <t>porosity (epsilon)</t>
  </si>
  <si>
    <t>gravity</t>
  </si>
  <si>
    <t>m/s2</t>
  </si>
  <si>
    <t>height</t>
  </si>
  <si>
    <t>ft</t>
  </si>
  <si>
    <t>Superficial Velocoty</t>
  </si>
  <si>
    <t>m/s</t>
  </si>
  <si>
    <t>Viscous Losses</t>
  </si>
  <si>
    <t>m2/s2</t>
  </si>
  <si>
    <t>Zero Func</t>
  </si>
  <si>
    <t>length</t>
  </si>
  <si>
    <t>Area</t>
  </si>
  <si>
    <t>in2</t>
  </si>
  <si>
    <t>ft2</t>
  </si>
  <si>
    <t>m2</t>
  </si>
  <si>
    <t>Flow rate</t>
  </si>
  <si>
    <t>m3/s</t>
  </si>
  <si>
    <t>cm3/s</t>
  </si>
  <si>
    <t>Reynolds; Porous</t>
  </si>
  <si>
    <t>Laminar</t>
  </si>
  <si>
    <t>Fluid Density</t>
  </si>
  <si>
    <t>Fluid Viscosity</t>
  </si>
  <si>
    <t>Reactor Diameter</t>
  </si>
  <si>
    <t>A</t>
  </si>
  <si>
    <t>B</t>
  </si>
  <si>
    <t>C</t>
  </si>
  <si>
    <t>Reator Depth</t>
  </si>
  <si>
    <t>particle diameter</t>
  </si>
  <si>
    <t>in</t>
  </si>
  <si>
    <t>particle density</t>
  </si>
  <si>
    <t>porosity (Vfrac)</t>
  </si>
  <si>
    <t>fluidization velocity</t>
  </si>
  <si>
    <t>fluidization flow rate</t>
  </si>
  <si>
    <t>gpm</t>
  </si>
  <si>
    <t>Sweep velocity</t>
  </si>
  <si>
    <t>sweep flow rate</t>
  </si>
  <si>
    <t>New Diameter</t>
  </si>
  <si>
    <t>temperature</t>
  </si>
  <si>
    <t>F</t>
  </si>
  <si>
    <t>Inside Diameter</t>
  </si>
  <si>
    <t>epsilon</t>
  </si>
  <si>
    <t>epsilon/diameter</t>
  </si>
  <si>
    <t>Particle Density</t>
  </si>
  <si>
    <t>Particle diameter</t>
  </si>
  <si>
    <t>Terminal Velocity</t>
  </si>
  <si>
    <t>Pressure Gradient</t>
  </si>
  <si>
    <t>Pa/m</t>
  </si>
  <si>
    <t>Average Velocity</t>
  </si>
  <si>
    <t>Phi (Solid Fraction)</t>
  </si>
  <si>
    <t>Fluid Pressure Drop</t>
  </si>
  <si>
    <t>kg/m s2</t>
  </si>
  <si>
    <t>Reynolds Number</t>
  </si>
  <si>
    <t>fanning friction factor</t>
  </si>
  <si>
    <t>Length</t>
  </si>
  <si>
    <t>Particle Froude Number</t>
  </si>
  <si>
    <t>Vr/Vavg</t>
  </si>
  <si>
    <t>Xo</t>
  </si>
  <si>
    <t>X*</t>
  </si>
  <si>
    <t>particle pressure drop</t>
  </si>
  <si>
    <t>total Pressure Drop</t>
  </si>
  <si>
    <t>Phi (solid Fraction)</t>
  </si>
  <si>
    <t>Terminal Froude Number ^ 2</t>
  </si>
  <si>
    <t>Min Bed Voidage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</si>
</sst>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E16" sqref="E16"/>
    </sheetView>
  </sheetViews>
  <sheetFormatPr defaultRowHeight="14.4" x14ac:dyDescent="0.3"/>
  <cols>
    <col min="4" max="4" width="12" bestFit="1" customWidth="1"/>
    <col min="7" max="7" width="12" bestFit="1" customWidth="1"/>
  </cols>
  <sheetData>
    <row r="1" spans="1:7" x14ac:dyDescent="0.3">
      <c r="A1" t="s">
        <v>0</v>
      </c>
      <c r="C1" t="s">
        <v>1</v>
      </c>
      <c r="D1">
        <v>1000</v>
      </c>
    </row>
    <row r="2" spans="1:7" x14ac:dyDescent="0.3">
      <c r="A2" t="s">
        <v>2</v>
      </c>
      <c r="C2" t="s">
        <v>3</v>
      </c>
      <c r="D2">
        <v>1</v>
      </c>
    </row>
    <row r="3" spans="1:7" x14ac:dyDescent="0.3">
      <c r="C3" t="s">
        <v>4</v>
      </c>
      <c r="D3">
        <f>D2/1000</f>
        <v>1E-3</v>
      </c>
      <c r="F3" t="s">
        <v>17</v>
      </c>
      <c r="G3">
        <f>D15-1.75*D14^2*(1-D6)/D5/D6^3*D10-180*D14*D3*(1-D6)^2*D10/D5^2/D6^3/D1</f>
        <v>7.4671789120905885E-6</v>
      </c>
    </row>
    <row r="4" spans="1:7" x14ac:dyDescent="0.3">
      <c r="A4" t="s">
        <v>5</v>
      </c>
      <c r="C4" t="s">
        <v>6</v>
      </c>
      <c r="D4">
        <v>0.76</v>
      </c>
    </row>
    <row r="5" spans="1:7" x14ac:dyDescent="0.3">
      <c r="C5" t="s">
        <v>7</v>
      </c>
      <c r="D5">
        <f>D4/1000</f>
        <v>7.6000000000000004E-4</v>
      </c>
    </row>
    <row r="6" spans="1:7" x14ac:dyDescent="0.3">
      <c r="A6" t="s">
        <v>8</v>
      </c>
      <c r="D6">
        <v>0.33</v>
      </c>
      <c r="F6" t="s">
        <v>31</v>
      </c>
      <c r="G6">
        <f>1.75*(1-D6)*D10/D5/D6^3</f>
        <v>13085.11919870462</v>
      </c>
    </row>
    <row r="7" spans="1:7" x14ac:dyDescent="0.3">
      <c r="A7" t="s">
        <v>9</v>
      </c>
      <c r="C7" t="s">
        <v>10</v>
      </c>
      <c r="D7">
        <v>9.81</v>
      </c>
      <c r="F7" t="s">
        <v>32</v>
      </c>
      <c r="G7">
        <f>180*D3*(1-D6)^2*D10/D5^2/D6^3/D1</f>
        <v>1186.5153198223886</v>
      </c>
    </row>
    <row r="8" spans="1:7" x14ac:dyDescent="0.3">
      <c r="A8" t="s">
        <v>11</v>
      </c>
      <c r="C8" t="s">
        <v>12</v>
      </c>
      <c r="D8">
        <v>1.25</v>
      </c>
      <c r="F8" t="s">
        <v>33</v>
      </c>
      <c r="G8">
        <f>-D15</f>
        <v>-3.7376554498902705</v>
      </c>
    </row>
    <row r="9" spans="1:7" x14ac:dyDescent="0.3">
      <c r="C9" t="s">
        <v>7</v>
      </c>
      <c r="D9">
        <f>D8/3.2808</f>
        <v>0.38100463301633747</v>
      </c>
    </row>
    <row r="10" spans="1:7" x14ac:dyDescent="0.3">
      <c r="A10" t="s">
        <v>18</v>
      </c>
      <c r="C10" t="s">
        <v>7</v>
      </c>
      <c r="D10">
        <f>1/3.2808</f>
        <v>0.30480370641306997</v>
      </c>
      <c r="F10">
        <f>(-G7+SQRT(G7^2-4*G6*G8))/2/G6</f>
        <v>3.0476778115361624E-3</v>
      </c>
    </row>
    <row r="11" spans="1:7" x14ac:dyDescent="0.3">
      <c r="A11" t="s">
        <v>19</v>
      </c>
      <c r="C11" t="s">
        <v>20</v>
      </c>
      <c r="D11">
        <f>2^2/4*PI()</f>
        <v>3.1415926535897931</v>
      </c>
      <c r="F11">
        <f>(-G7-SQRT(G7^2-4*G6*G8))/2/G6</f>
        <v>-9.3724369540859442E-2</v>
      </c>
    </row>
    <row r="12" spans="1:7" x14ac:dyDescent="0.3">
      <c r="C12" t="s">
        <v>21</v>
      </c>
      <c r="D12">
        <f>D11/144</f>
        <v>2.1816615649929118E-2</v>
      </c>
    </row>
    <row r="13" spans="1:7" x14ac:dyDescent="0.3">
      <c r="C13" t="s">
        <v>22</v>
      </c>
      <c r="D13">
        <f>D12/3.2808^2</f>
        <v>2.0268792097926673E-3</v>
      </c>
    </row>
    <row r="14" spans="1:7" x14ac:dyDescent="0.3">
      <c r="A14" t="s">
        <v>13</v>
      </c>
      <c r="C14" t="s">
        <v>14</v>
      </c>
      <c r="D14">
        <v>3.0476719145654508E-3</v>
      </c>
    </row>
    <row r="15" spans="1:7" x14ac:dyDescent="0.3">
      <c r="A15" t="s">
        <v>15</v>
      </c>
      <c r="C15" t="s">
        <v>16</v>
      </c>
      <c r="D15">
        <f>D9*D7</f>
        <v>3.7376554498902705</v>
      </c>
    </row>
    <row r="16" spans="1:7" x14ac:dyDescent="0.3">
      <c r="A16" t="s">
        <v>23</v>
      </c>
      <c r="C16" t="s">
        <v>24</v>
      </c>
      <c r="D16">
        <f>D14*D13</f>
        <v>6.1772628419017262E-6</v>
      </c>
    </row>
    <row r="17" spans="1:5" x14ac:dyDescent="0.3">
      <c r="C17" t="s">
        <v>25</v>
      </c>
      <c r="D17">
        <f>D16*100^3</f>
        <v>6.1772628419017259</v>
      </c>
    </row>
    <row r="18" spans="1:5" x14ac:dyDescent="0.3">
      <c r="A18" t="s">
        <v>26</v>
      </c>
      <c r="D18">
        <f>D5*D14*D1/(1-D6)/D3</f>
        <v>3.4570606792085714</v>
      </c>
      <c r="E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4C3-34A9-4851-8117-5700EE5613F7}">
  <dimension ref="A1:D31"/>
  <sheetViews>
    <sheetView workbookViewId="0">
      <selection activeCell="D26" sqref="D26"/>
    </sheetView>
  </sheetViews>
  <sheetFormatPr defaultRowHeight="14.4" x14ac:dyDescent="0.3"/>
  <sheetData>
    <row r="1" spans="1:4" x14ac:dyDescent="0.3">
      <c r="A1" t="s">
        <v>28</v>
      </c>
      <c r="C1" t="s">
        <v>1</v>
      </c>
      <c r="D1">
        <v>1000</v>
      </c>
    </row>
    <row r="2" spans="1:4" x14ac:dyDescent="0.3">
      <c r="A2" t="s">
        <v>29</v>
      </c>
      <c r="C2" t="s">
        <v>3</v>
      </c>
      <c r="D2">
        <v>1</v>
      </c>
    </row>
    <row r="3" spans="1:4" x14ac:dyDescent="0.3">
      <c r="C3" t="s">
        <v>4</v>
      </c>
      <c r="D3">
        <f>D2/1000</f>
        <v>1E-3</v>
      </c>
    </row>
    <row r="4" spans="1:4" x14ac:dyDescent="0.3">
      <c r="A4" t="s">
        <v>30</v>
      </c>
      <c r="C4" t="s">
        <v>12</v>
      </c>
      <c r="D4">
        <v>1</v>
      </c>
    </row>
    <row r="5" spans="1:4" x14ac:dyDescent="0.3">
      <c r="C5" t="s">
        <v>7</v>
      </c>
      <c r="D5">
        <f>D4/3.2808</f>
        <v>0.30480370641306997</v>
      </c>
    </row>
    <row r="6" spans="1:4" x14ac:dyDescent="0.3">
      <c r="A6" t="s">
        <v>34</v>
      </c>
      <c r="C6" t="s">
        <v>12</v>
      </c>
      <c r="D6">
        <v>1</v>
      </c>
    </row>
    <row r="7" spans="1:4" x14ac:dyDescent="0.3">
      <c r="C7" t="s">
        <v>7</v>
      </c>
      <c r="D7">
        <f>D6/3.2808</f>
        <v>0.30480370641306997</v>
      </c>
    </row>
    <row r="8" spans="1:4" x14ac:dyDescent="0.3">
      <c r="A8" t="s">
        <v>35</v>
      </c>
      <c r="C8" t="s">
        <v>36</v>
      </c>
      <c r="D8">
        <f>1/16</f>
        <v>6.25E-2</v>
      </c>
    </row>
    <row r="9" spans="1:4" x14ac:dyDescent="0.3">
      <c r="C9" t="s">
        <v>7</v>
      </c>
      <c r="D9">
        <f>D8/12/3.2808</f>
        <v>1.5875193042347393E-3</v>
      </c>
    </row>
    <row r="10" spans="1:4" x14ac:dyDescent="0.3">
      <c r="A10" t="s">
        <v>37</v>
      </c>
      <c r="C10" t="s">
        <v>1</v>
      </c>
      <c r="D10">
        <v>11300</v>
      </c>
    </row>
    <row r="11" spans="1:4" x14ac:dyDescent="0.3">
      <c r="A11" t="s">
        <v>38</v>
      </c>
      <c r="D11">
        <v>0.38</v>
      </c>
    </row>
    <row r="12" spans="1:4" x14ac:dyDescent="0.3">
      <c r="A12" t="s">
        <v>70</v>
      </c>
      <c r="D12">
        <f>14^-(1/3)</f>
        <v>0.41491326668312178</v>
      </c>
    </row>
    <row r="14" spans="1:4" x14ac:dyDescent="0.3">
      <c r="A14" t="s">
        <v>39</v>
      </c>
      <c r="C14" t="s">
        <v>14</v>
      </c>
      <c r="D14">
        <f>$D$3/$D$1/D9*(((180*(1-$D$11)/3.5)^2+$D$11^3/1.75*(D9^3*$D$1*9.81*($D$10-$D$1)/$D$3^2))^(1/2)-180*(1-$D$11)/3.5)</f>
        <v>5.3624114296040436E-2</v>
      </c>
    </row>
    <row r="15" spans="1:4" x14ac:dyDescent="0.3">
      <c r="A15" t="s">
        <v>40</v>
      </c>
      <c r="C15" t="s">
        <v>24</v>
      </c>
      <c r="D15">
        <f>D14*PI()*(D5/2)^2</f>
        <v>3.9128256867668439E-3</v>
      </c>
    </row>
    <row r="16" spans="1:4" x14ac:dyDescent="0.3">
      <c r="C16" t="s">
        <v>41</v>
      </c>
      <c r="D16">
        <f>D15*60*264.17</f>
        <v>62.019069700391832</v>
      </c>
    </row>
    <row r="18" spans="1:4" x14ac:dyDescent="0.3">
      <c r="A18" t="s">
        <v>42</v>
      </c>
      <c r="C18" t="s">
        <v>14</v>
      </c>
      <c r="D18">
        <f>$D$3/$D$1/D9*((14.42+1.827*(D9^3*9.81*$D$1*($D$10-$D$1)/$D$3^2)^(1/2))^(1/2)-3.798)^2</f>
        <v>0.58581105463972027</v>
      </c>
    </row>
    <row r="19" spans="1:4" x14ac:dyDescent="0.3">
      <c r="A19" t="s">
        <v>43</v>
      </c>
      <c r="C19" t="s">
        <v>24</v>
      </c>
      <c r="D19">
        <f>D18*PI()*(D5/2)^2</f>
        <v>4.274525691057475E-2</v>
      </c>
    </row>
    <row r="20" spans="1:4" x14ac:dyDescent="0.3">
      <c r="C20" t="s">
        <v>41</v>
      </c>
      <c r="D20">
        <f>D19*60*264.17</f>
        <v>677.52087108399201</v>
      </c>
    </row>
    <row r="22" spans="1:4" x14ac:dyDescent="0.3">
      <c r="A22" t="s">
        <v>44</v>
      </c>
      <c r="C22" t="s">
        <v>36</v>
      </c>
      <c r="D22">
        <f>1/8</f>
        <v>0.125</v>
      </c>
    </row>
    <row r="23" spans="1:4" x14ac:dyDescent="0.3">
      <c r="C23" t="s">
        <v>7</v>
      </c>
      <c r="D23">
        <f>D22/12/3.2808</f>
        <v>3.1750386084694786E-3</v>
      </c>
    </row>
    <row r="25" spans="1:4" x14ac:dyDescent="0.3">
      <c r="A25" t="s">
        <v>39</v>
      </c>
      <c r="C25" t="s">
        <v>14</v>
      </c>
      <c r="D25">
        <f>$D$3/$D$1/D23*(((180*(1-$D$11)/3.5)^2+$D$11^3/1.75*(D23^3*$D$1*9.81*($D$10-$D$1)/$D$3^2))^(1/2)-180*(1-$D$11)/3.5)</f>
        <v>9.0754993732306027E-2</v>
      </c>
    </row>
    <row r="26" spans="1:4" x14ac:dyDescent="0.3">
      <c r="A26" t="s">
        <v>40</v>
      </c>
      <c r="C26" t="s">
        <v>24</v>
      </c>
      <c r="D26">
        <f>D25*PI()*(D5/2)^2</f>
        <v>6.6221787593114959E-3</v>
      </c>
    </row>
    <row r="27" spans="1:4" x14ac:dyDescent="0.3">
      <c r="C27" t="s">
        <v>41</v>
      </c>
      <c r="D27">
        <f>D26*60*264.17</f>
        <v>104.96285777083908</v>
      </c>
    </row>
    <row r="29" spans="1:4" x14ac:dyDescent="0.3">
      <c r="A29" t="s">
        <v>42</v>
      </c>
      <c r="C29" t="s">
        <v>14</v>
      </c>
      <c r="D29">
        <f>$D$3/$D$1/D23*((14.42+1.827*(D23^3*9.81*$D$1*($D$10-$D$1)/$D$3^2)^(1/2))^(1/2)-3.798)^2</f>
        <v>0.90647400454132443</v>
      </c>
    </row>
    <row r="30" spans="1:4" x14ac:dyDescent="0.3">
      <c r="A30" t="s">
        <v>43</v>
      </c>
      <c r="C30" t="s">
        <v>24</v>
      </c>
      <c r="D30">
        <f>D29*PI()*(D5/2)^2</f>
        <v>6.6143279304803307E-2</v>
      </c>
    </row>
    <row r="31" spans="1:4" x14ac:dyDescent="0.3">
      <c r="C31" t="s">
        <v>41</v>
      </c>
      <c r="D31">
        <f>D30*60*264.17</f>
        <v>1048.3842056369933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AC11-7BAC-44E5-AAA1-7BC3E0AE7623}">
  <dimension ref="A1:D41"/>
  <sheetViews>
    <sheetView tabSelected="1" topLeftCell="A10" workbookViewId="0">
      <selection activeCell="D40" sqref="D40"/>
    </sheetView>
  </sheetViews>
  <sheetFormatPr defaultRowHeight="14.4" x14ac:dyDescent="0.3"/>
  <cols>
    <col min="4" max="4" width="8.88671875" customWidth="1"/>
  </cols>
  <sheetData>
    <row r="1" spans="1:4" x14ac:dyDescent="0.3">
      <c r="A1" t="s">
        <v>28</v>
      </c>
      <c r="C1" t="s">
        <v>1</v>
      </c>
      <c r="D1">
        <v>998.2</v>
      </c>
    </row>
    <row r="2" spans="1:4" x14ac:dyDescent="0.3">
      <c r="A2" t="s">
        <v>45</v>
      </c>
      <c r="C2" t="s">
        <v>33</v>
      </c>
      <c r="D2">
        <v>20</v>
      </c>
    </row>
    <row r="3" spans="1:4" x14ac:dyDescent="0.3">
      <c r="C3" t="s">
        <v>46</v>
      </c>
      <c r="D3">
        <f>D2*1.8+32</f>
        <v>68</v>
      </c>
    </row>
    <row r="4" spans="1:4" x14ac:dyDescent="0.3">
      <c r="A4" t="s">
        <v>29</v>
      </c>
      <c r="C4" t="s">
        <v>3</v>
      </c>
      <c r="D4">
        <v>1</v>
      </c>
    </row>
    <row r="5" spans="1:4" x14ac:dyDescent="0.3">
      <c r="C5" t="s">
        <v>4</v>
      </c>
      <c r="D5">
        <f>D4/1000</f>
        <v>1E-3</v>
      </c>
    </row>
    <row r="6" spans="1:4" x14ac:dyDescent="0.3">
      <c r="A6" t="s">
        <v>47</v>
      </c>
      <c r="C6" t="s">
        <v>36</v>
      </c>
      <c r="D6">
        <v>6.0650000000000004</v>
      </c>
    </row>
    <row r="7" spans="1:4" x14ac:dyDescent="0.3">
      <c r="C7" t="s">
        <v>7</v>
      </c>
      <c r="D7">
        <f>D6/12/3.2808</f>
        <v>0.15405287328293912</v>
      </c>
    </row>
    <row r="8" spans="1:4" x14ac:dyDescent="0.3">
      <c r="A8" t="s">
        <v>48</v>
      </c>
      <c r="C8" t="s">
        <v>36</v>
      </c>
      <c r="D8">
        <v>1.8E-3</v>
      </c>
    </row>
    <row r="9" spans="1:4" x14ac:dyDescent="0.3">
      <c r="C9" t="s">
        <v>7</v>
      </c>
      <c r="D9">
        <f>D8/12/3.2808</f>
        <v>4.5720555961960493E-5</v>
      </c>
    </row>
    <row r="10" spans="1:4" x14ac:dyDescent="0.3">
      <c r="A10" t="s">
        <v>49</v>
      </c>
      <c r="D10">
        <f>D9/D7</f>
        <v>2.9678483099752678E-4</v>
      </c>
    </row>
    <row r="11" spans="1:4" x14ac:dyDescent="0.3">
      <c r="A11" t="s">
        <v>51</v>
      </c>
      <c r="C11" t="s">
        <v>36</v>
      </c>
      <c r="D11">
        <f>1/16</f>
        <v>6.25E-2</v>
      </c>
    </row>
    <row r="12" spans="1:4" x14ac:dyDescent="0.3">
      <c r="C12" t="s">
        <v>7</v>
      </c>
      <c r="D12">
        <f>D11/12/3.2808</f>
        <v>1.5875193042347393E-3</v>
      </c>
    </row>
    <row r="13" spans="1:4" x14ac:dyDescent="0.3">
      <c r="A13" t="s">
        <v>50</v>
      </c>
      <c r="C13" t="s">
        <v>1</v>
      </c>
      <c r="D13">
        <v>1163</v>
      </c>
    </row>
    <row r="15" spans="1:4" x14ac:dyDescent="0.3">
      <c r="A15" t="s">
        <v>52</v>
      </c>
      <c r="C15" t="s">
        <v>14</v>
      </c>
      <c r="D15">
        <f>D5/D1/D12*((14.42+1.827*(D12^3*9.81*D1*(D13-D1)/D5^2)^(1/2))^(1/2)-3.798)^2</f>
        <v>4.9978865466914699E-2</v>
      </c>
    </row>
    <row r="16" spans="1:4" x14ac:dyDescent="0.3">
      <c r="A16" t="s">
        <v>53</v>
      </c>
      <c r="C16" t="s">
        <v>54</v>
      </c>
      <c r="D16">
        <f>(D15/0.022)^2*4*D1/D7</f>
        <v>133762.74698015497</v>
      </c>
    </row>
    <row r="18" spans="1:4" x14ac:dyDescent="0.3">
      <c r="A18" t="s">
        <v>61</v>
      </c>
      <c r="C18" t="s">
        <v>12</v>
      </c>
      <c r="D18">
        <v>60</v>
      </c>
    </row>
    <row r="19" spans="1:4" x14ac:dyDescent="0.3">
      <c r="C19" t="s">
        <v>7</v>
      </c>
      <c r="D19">
        <f>D18/3.2808</f>
        <v>18.288222384784198</v>
      </c>
    </row>
    <row r="20" spans="1:4" x14ac:dyDescent="0.3">
      <c r="A20" t="s">
        <v>23</v>
      </c>
      <c r="C20" t="s">
        <v>41</v>
      </c>
      <c r="D20">
        <v>100</v>
      </c>
    </row>
    <row r="21" spans="1:4" x14ac:dyDescent="0.3">
      <c r="C21" t="s">
        <v>24</v>
      </c>
      <c r="D21">
        <f>D20/60/264.17</f>
        <v>6.3090686552851067E-3</v>
      </c>
    </row>
    <row r="22" spans="1:4" x14ac:dyDescent="0.3">
      <c r="A22" t="s">
        <v>55</v>
      </c>
      <c r="C22" t="s">
        <v>14</v>
      </c>
      <c r="D22">
        <f>D21/PI()/(D7/2)^2</f>
        <v>0.33848214640392288</v>
      </c>
    </row>
    <row r="23" spans="1:4" x14ac:dyDescent="0.3">
      <c r="A23" t="s">
        <v>59</v>
      </c>
      <c r="D23">
        <f>D1*D22*D7/D5</f>
        <v>52050.287743525478</v>
      </c>
    </row>
    <row r="24" spans="1:4" x14ac:dyDescent="0.3">
      <c r="A24" t="s">
        <v>31</v>
      </c>
      <c r="D24">
        <f>(2.457*LN(1/((7/D23)^0.9+(0.27*D10))))^16</f>
        <v>3.3388508644191902E+20</v>
      </c>
    </row>
    <row r="25" spans="1:4" x14ac:dyDescent="0.3">
      <c r="A25" t="s">
        <v>32</v>
      </c>
      <c r="D25">
        <f>(37530/D23)^16</f>
        <v>5.3368730867422989E-3</v>
      </c>
    </row>
    <row r="26" spans="1:4" x14ac:dyDescent="0.3">
      <c r="A26" t="s">
        <v>60</v>
      </c>
      <c r="D26">
        <f>2*((8/D23)^12+1/(D24+D25)^(3/2))^(1/12)</f>
        <v>5.4397678762717807E-3</v>
      </c>
    </row>
    <row r="27" spans="1:4" x14ac:dyDescent="0.3">
      <c r="A27" t="s">
        <v>57</v>
      </c>
      <c r="C27" t="s">
        <v>58</v>
      </c>
      <c r="D27">
        <f>2*D1*D22^2*D19/D7*D26</f>
        <v>147.70702570484983</v>
      </c>
    </row>
    <row r="28" spans="1:4" x14ac:dyDescent="0.3">
      <c r="A28" t="s">
        <v>62</v>
      </c>
      <c r="D28">
        <f>D22/((D13/D1-1)*D12*9.81)^(1/2)</f>
        <v>6.6753176105875438</v>
      </c>
    </row>
    <row r="29" spans="1:4" x14ac:dyDescent="0.3">
      <c r="A29" t="s">
        <v>69</v>
      </c>
      <c r="D29">
        <f>(D15/((D13/D1-1)*D7*9.81)^(1/2))^2</f>
        <v>1.0011388953588296E-2</v>
      </c>
    </row>
    <row r="30" spans="1:4" x14ac:dyDescent="0.3">
      <c r="A30" t="s">
        <v>63</v>
      </c>
      <c r="D30">
        <f>1*10^-1</f>
        <v>0.1</v>
      </c>
    </row>
    <row r="31" spans="1:4" x14ac:dyDescent="0.3">
      <c r="A31" t="s">
        <v>64</v>
      </c>
      <c r="D31">
        <f>D30^2/(1-D30)</f>
        <v>1.1111111111111113E-2</v>
      </c>
    </row>
    <row r="33" spans="1:4" x14ac:dyDescent="0.3">
      <c r="A33" t="s">
        <v>56</v>
      </c>
      <c r="D33">
        <v>0.2</v>
      </c>
    </row>
    <row r="34" spans="1:4" x14ac:dyDescent="0.3">
      <c r="A34" t="s">
        <v>65</v>
      </c>
      <c r="D34">
        <f>D31</f>
        <v>1.1111111111111113E-2</v>
      </c>
    </row>
    <row r="35" spans="1:4" x14ac:dyDescent="0.3">
      <c r="A35" t="s">
        <v>66</v>
      </c>
      <c r="C35" t="s">
        <v>58</v>
      </c>
      <c r="D35">
        <f>D34*D33*$D$1*9.81*$D$19*($D$13/$D$1-1)*($D$22/$D$15)^2</f>
        <v>3013.5884386750272</v>
      </c>
    </row>
    <row r="36" spans="1:4" x14ac:dyDescent="0.3">
      <c r="A36" t="s">
        <v>67</v>
      </c>
      <c r="D36">
        <f>D35+$D$27</f>
        <v>3161.2954643798771</v>
      </c>
    </row>
    <row r="38" spans="1:4" x14ac:dyDescent="0.3">
      <c r="A38" t="s">
        <v>68</v>
      </c>
      <c r="D38">
        <v>0.4</v>
      </c>
    </row>
    <row r="39" spans="1:4" x14ac:dyDescent="0.3">
      <c r="A39" t="s">
        <v>65</v>
      </c>
      <c r="D39">
        <f>D34+0.1*D29^2*(D38-0.25)</f>
        <v>1.1112614529742814E-2</v>
      </c>
    </row>
    <row r="40" spans="1:4" x14ac:dyDescent="0.3">
      <c r="A40" t="s">
        <v>66</v>
      </c>
      <c r="C40" t="s">
        <v>58</v>
      </c>
      <c r="D40">
        <f>D39*D38*$D$1*9.81*$D$19*($D$13/$D$1-1)*($D$22/$D$15)^2</f>
        <v>6027.9924006513129</v>
      </c>
    </row>
    <row r="41" spans="1:4" x14ac:dyDescent="0.3">
      <c r="A41" t="s">
        <v>67</v>
      </c>
      <c r="D41">
        <f>D40+$D$27</f>
        <v>6175.6994263561628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2024-12-02T22:32:31Z</dcterms:modified>
</cp:coreProperties>
</file>