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3195" documentId="13_ncr:1_{29C0E984-6CC3-4A57-A32C-1185715039DC}" xr6:coauthVersionLast="47" xr6:coauthVersionMax="47" xr10:uidLastSave="{A7462820-28F2-4634-B7A9-AE30F656C31A}"/>
  <bookViews>
    <workbookView xWindow="-108" yWindow="-108" windowWidth="23256" windowHeight="14616" activeTab="3" xr2:uid="{00000000-000D-0000-FFFF-FFFF00000000}"/>
  </bookViews>
  <sheets>
    <sheet name="13.32a" sheetId="1" r:id="rId1"/>
    <sheet name="13.32b" sheetId="2" r:id="rId2"/>
    <sheet name="13.32c" sheetId="3" r:id="rId3"/>
    <sheet name="13.65" sheetId="4" r:id="rId4"/>
  </sheets>
  <definedNames>
    <definedName name="solver_adj" localSheetId="2" hidden="1">'13.32c'!$M$5,'13.32c'!$N$5</definedName>
    <definedName name="solver_adj" localSheetId="3" hidden="1">'13.65'!$Q$27,'13.65'!$R$27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'13.32c'!$K$9</definedName>
    <definedName name="solver_lhs1" localSheetId="3" hidden="1">'13.65'!$R$46</definedName>
    <definedName name="solver_lhs10" localSheetId="2" hidden="1">'13.32c'!$K$9</definedName>
    <definedName name="solver_lhs2" localSheetId="2" hidden="1">'13.32c'!$K$9</definedName>
    <definedName name="solver_lhs3" localSheetId="2" hidden="1">'13.32c'!$K$9</definedName>
    <definedName name="solver_lhs4" localSheetId="2" hidden="1">'13.32c'!$K$9</definedName>
    <definedName name="solver_lhs5" localSheetId="2" hidden="1">'13.32c'!$K$9</definedName>
    <definedName name="solver_lhs6" localSheetId="2" hidden="1">'13.32c'!$K$9</definedName>
    <definedName name="solver_lhs7" localSheetId="2" hidden="1">'13.32c'!$K$9</definedName>
    <definedName name="solver_lhs8" localSheetId="2" hidden="1">'13.32c'!$K$9</definedName>
    <definedName name="solver_lhs9" localSheetId="2" hidden="1">'13.32c'!$K$9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0</definedName>
    <definedName name="solver_num" localSheetId="3" hidden="1">1</definedName>
    <definedName name="solver_nwt" localSheetId="2" hidden="1">1</definedName>
    <definedName name="solver_nwt" localSheetId="3" hidden="1">1</definedName>
    <definedName name="solver_opt" localSheetId="2" hidden="1">'13.32c'!$K$16</definedName>
    <definedName name="solver_opt" localSheetId="3" hidden="1">'13.65'!$R$44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2</definedName>
    <definedName name="solver_rel10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0</definedName>
    <definedName name="solver_rhs1" localSheetId="3" hidden="1">0</definedName>
    <definedName name="solver_rhs10" localSheetId="2" hidden="1">0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3</definedName>
    <definedName name="solver_typ" localSheetId="3" hidden="1">3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4" l="1"/>
  <c r="R40" i="4"/>
  <c r="R38" i="4"/>
  <c r="R37" i="4"/>
  <c r="R39" i="4" s="1"/>
  <c r="R46" i="4" s="1"/>
  <c r="O40" i="4"/>
  <c r="O38" i="4"/>
  <c r="O37" i="4"/>
  <c r="O39" i="4" s="1"/>
  <c r="O46" i="4" s="1"/>
  <c r="L40" i="4"/>
  <c r="L38" i="4"/>
  <c r="L37" i="4"/>
  <c r="L39" i="4" s="1"/>
  <c r="L46" i="4" s="1"/>
  <c r="N22" i="4"/>
  <c r="R31" i="4"/>
  <c r="R35" i="4" s="1"/>
  <c r="O31" i="4"/>
  <c r="O35" i="4" s="1"/>
  <c r="L31" i="4"/>
  <c r="L35" i="4" s="1"/>
  <c r="S22" i="4"/>
  <c r="I32" i="4"/>
  <c r="I34" i="4" s="1"/>
  <c r="F32" i="4"/>
  <c r="F33" i="4" s="1"/>
  <c r="C32" i="4"/>
  <c r="C34" i="4" s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S3" i="3"/>
  <c r="V3" i="3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U23" i="3" s="1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U80" i="3" s="1"/>
  <c r="V80" i="3" s="1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V103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N8" i="3"/>
  <c r="M8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G14" i="3"/>
  <c r="F14" i="3"/>
  <c r="E14" i="3"/>
  <c r="G13" i="3"/>
  <c r="F13" i="3"/>
  <c r="H13" i="3" s="1"/>
  <c r="E13" i="3"/>
  <c r="G12" i="3"/>
  <c r="F12" i="3"/>
  <c r="H12" i="3" s="1"/>
  <c r="E12" i="3"/>
  <c r="G11" i="3"/>
  <c r="F11" i="3"/>
  <c r="H11" i="3" s="1"/>
  <c r="I11" i="3" s="1"/>
  <c r="E11" i="3"/>
  <c r="G10" i="3"/>
  <c r="F10" i="3"/>
  <c r="H10" i="3" s="1"/>
  <c r="E10" i="3"/>
  <c r="G9" i="3"/>
  <c r="F9" i="3"/>
  <c r="H9" i="3" s="1"/>
  <c r="E9" i="3"/>
  <c r="G8" i="3"/>
  <c r="F8" i="3"/>
  <c r="H8" i="3" s="1"/>
  <c r="E8" i="3"/>
  <c r="G7" i="3"/>
  <c r="F7" i="3"/>
  <c r="H7" i="3" s="1"/>
  <c r="E7" i="3"/>
  <c r="G6" i="3"/>
  <c r="F6" i="3"/>
  <c r="H6" i="3" s="1"/>
  <c r="E6" i="3"/>
  <c r="G5" i="3"/>
  <c r="F5" i="3"/>
  <c r="H5" i="3" s="1"/>
  <c r="E5" i="3"/>
  <c r="G4" i="3"/>
  <c r="F4" i="3"/>
  <c r="H4" i="3" s="1"/>
  <c r="E4" i="3"/>
  <c r="F3" i="3"/>
  <c r="H3" i="3" s="1"/>
  <c r="E3" i="3"/>
  <c r="T103" i="2"/>
  <c r="U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U22" i="2" s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U42" i="2" s="1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U56" i="2" s="1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N10" i="2"/>
  <c r="M10" i="2"/>
  <c r="N7" i="2"/>
  <c r="M4" i="2"/>
  <c r="N4" i="2"/>
  <c r="K4" i="2"/>
  <c r="K5" i="2"/>
  <c r="K6" i="2"/>
  <c r="K7" i="2"/>
  <c r="K8" i="2"/>
  <c r="K9" i="2"/>
  <c r="K10" i="2"/>
  <c r="K11" i="2"/>
  <c r="K12" i="2"/>
  <c r="K13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H9" i="2" s="1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H4" i="2" s="1"/>
  <c r="I4" i="2" s="1"/>
  <c r="J4" i="2" s="1"/>
  <c r="E4" i="2"/>
  <c r="F3" i="2"/>
  <c r="E3" i="2"/>
  <c r="S3" i="1"/>
  <c r="U3" i="1" s="1"/>
  <c r="V3" i="1" s="1"/>
  <c r="S4" i="1"/>
  <c r="U4" i="1" s="1"/>
  <c r="V4" i="1" s="1"/>
  <c r="S5" i="1"/>
  <c r="S6" i="1"/>
  <c r="S7" i="1"/>
  <c r="S8" i="1"/>
  <c r="U8" i="1" s="1"/>
  <c r="V8" i="1" s="1"/>
  <c r="S9" i="1"/>
  <c r="S10" i="1"/>
  <c r="S11" i="1"/>
  <c r="S12" i="1"/>
  <c r="V12" i="1" s="1"/>
  <c r="S13" i="1"/>
  <c r="S14" i="1"/>
  <c r="S15" i="1"/>
  <c r="S16" i="1"/>
  <c r="S17" i="1"/>
  <c r="S18" i="1"/>
  <c r="S19" i="1"/>
  <c r="S20" i="1"/>
  <c r="S21" i="1"/>
  <c r="U21" i="1" s="1"/>
  <c r="V21" i="1" s="1"/>
  <c r="S22" i="1"/>
  <c r="S23" i="1"/>
  <c r="S24" i="1"/>
  <c r="U24" i="1" s="1"/>
  <c r="V24" i="1" s="1"/>
  <c r="S25" i="1"/>
  <c r="S26" i="1"/>
  <c r="S27" i="1"/>
  <c r="S28" i="1"/>
  <c r="U28" i="1" s="1"/>
  <c r="V28" i="1" s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U41" i="1" s="1"/>
  <c r="V41" i="1" s="1"/>
  <c r="S42" i="1"/>
  <c r="S43" i="1"/>
  <c r="S44" i="1"/>
  <c r="U44" i="1" s="1"/>
  <c r="V44" i="1" s="1"/>
  <c r="S45" i="1"/>
  <c r="S46" i="1"/>
  <c r="S47" i="1"/>
  <c r="S48" i="1"/>
  <c r="U48" i="1" s="1"/>
  <c r="V48" i="1" s="1"/>
  <c r="S49" i="1"/>
  <c r="S50" i="1"/>
  <c r="S51" i="1"/>
  <c r="S52" i="1"/>
  <c r="V52" i="1" s="1"/>
  <c r="S53" i="1"/>
  <c r="S54" i="1"/>
  <c r="S55" i="1"/>
  <c r="S56" i="1"/>
  <c r="S57" i="1"/>
  <c r="S58" i="1"/>
  <c r="S59" i="1"/>
  <c r="S60" i="1"/>
  <c r="S61" i="1"/>
  <c r="U61" i="1" s="1"/>
  <c r="V61" i="1" s="1"/>
  <c r="S62" i="1"/>
  <c r="S63" i="1"/>
  <c r="S64" i="1"/>
  <c r="U64" i="1" s="1"/>
  <c r="V64" i="1" s="1"/>
  <c r="S65" i="1"/>
  <c r="S66" i="1"/>
  <c r="S67" i="1"/>
  <c r="S68" i="1"/>
  <c r="U68" i="1" s="1"/>
  <c r="V68" i="1" s="1"/>
  <c r="S69" i="1"/>
  <c r="S70" i="1"/>
  <c r="S71" i="1"/>
  <c r="S72" i="1"/>
  <c r="V72" i="1" s="1"/>
  <c r="S73" i="1"/>
  <c r="S74" i="1"/>
  <c r="S75" i="1"/>
  <c r="S76" i="1"/>
  <c r="S77" i="1"/>
  <c r="S78" i="1"/>
  <c r="S79" i="1"/>
  <c r="S80" i="1"/>
  <c r="S81" i="1"/>
  <c r="U81" i="1" s="1"/>
  <c r="V81" i="1" s="1"/>
  <c r="S82" i="1"/>
  <c r="S83" i="1"/>
  <c r="S84" i="1"/>
  <c r="U84" i="1" s="1"/>
  <c r="V84" i="1" s="1"/>
  <c r="S85" i="1"/>
  <c r="S86" i="1"/>
  <c r="S87" i="1"/>
  <c r="S88" i="1"/>
  <c r="U88" i="1" s="1"/>
  <c r="V88" i="1" s="1"/>
  <c r="S89" i="1"/>
  <c r="S90" i="1"/>
  <c r="S91" i="1"/>
  <c r="S92" i="1"/>
  <c r="V92" i="1" s="1"/>
  <c r="S93" i="1"/>
  <c r="S94" i="1"/>
  <c r="S95" i="1"/>
  <c r="S96" i="1"/>
  <c r="S97" i="1"/>
  <c r="S98" i="1"/>
  <c r="S99" i="1"/>
  <c r="S100" i="1"/>
  <c r="S101" i="1"/>
  <c r="U101" i="1" s="1"/>
  <c r="V101" i="1" s="1"/>
  <c r="S102" i="1"/>
  <c r="S103" i="1"/>
  <c r="T3" i="1"/>
  <c r="V11" i="1"/>
  <c r="V31" i="1"/>
  <c r="V51" i="1"/>
  <c r="V71" i="1"/>
  <c r="V91" i="1"/>
  <c r="U6" i="1"/>
  <c r="V6" i="1" s="1"/>
  <c r="U7" i="1"/>
  <c r="V7" i="1" s="1"/>
  <c r="U10" i="1"/>
  <c r="V10" i="1" s="1"/>
  <c r="U11" i="1"/>
  <c r="U12" i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3" i="1"/>
  <c r="V23" i="1" s="1"/>
  <c r="U26" i="1"/>
  <c r="V26" i="1" s="1"/>
  <c r="U27" i="1"/>
  <c r="V27" i="1" s="1"/>
  <c r="U30" i="1"/>
  <c r="V30" i="1" s="1"/>
  <c r="U31" i="1"/>
  <c r="U32" i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3" i="1"/>
  <c r="V43" i="1" s="1"/>
  <c r="U46" i="1"/>
  <c r="V46" i="1" s="1"/>
  <c r="U47" i="1"/>
  <c r="V47" i="1" s="1"/>
  <c r="U50" i="1"/>
  <c r="V50" i="1" s="1"/>
  <c r="U51" i="1"/>
  <c r="U52" i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3" i="1"/>
  <c r="V63" i="1" s="1"/>
  <c r="U66" i="1"/>
  <c r="V66" i="1" s="1"/>
  <c r="U67" i="1"/>
  <c r="V67" i="1" s="1"/>
  <c r="U70" i="1"/>
  <c r="V70" i="1" s="1"/>
  <c r="U71" i="1"/>
  <c r="U72" i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3" i="1"/>
  <c r="V83" i="1" s="1"/>
  <c r="U86" i="1"/>
  <c r="V86" i="1" s="1"/>
  <c r="U87" i="1"/>
  <c r="V87" i="1" s="1"/>
  <c r="U90" i="1"/>
  <c r="V90" i="1" s="1"/>
  <c r="U91" i="1"/>
  <c r="U92" i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3" i="1"/>
  <c r="V10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G4" i="1"/>
  <c r="G5" i="1"/>
  <c r="G6" i="1"/>
  <c r="G7" i="1"/>
  <c r="G8" i="1"/>
  <c r="G9" i="1"/>
  <c r="G10" i="1"/>
  <c r="G11" i="1"/>
  <c r="G12" i="1"/>
  <c r="G13" i="1"/>
  <c r="G14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U20" i="3" l="1"/>
  <c r="V20" i="3" s="1"/>
  <c r="U94" i="3"/>
  <c r="V94" i="3" s="1"/>
  <c r="U74" i="3"/>
  <c r="V74" i="3" s="1"/>
  <c r="U54" i="3"/>
  <c r="V54" i="3" s="1"/>
  <c r="U34" i="3"/>
  <c r="V34" i="3" s="1"/>
  <c r="U90" i="3"/>
  <c r="V90" i="3" s="1"/>
  <c r="U70" i="3"/>
  <c r="V70" i="3" s="1"/>
  <c r="U50" i="3"/>
  <c r="V50" i="3" s="1"/>
  <c r="U10" i="3"/>
  <c r="V10" i="3" s="1"/>
  <c r="U89" i="3"/>
  <c r="V89" i="3" s="1"/>
  <c r="U49" i="3"/>
  <c r="V49" i="3" s="1"/>
  <c r="U29" i="3"/>
  <c r="V29" i="3" s="1"/>
  <c r="U9" i="3"/>
  <c r="V9" i="3" s="1"/>
  <c r="U30" i="3"/>
  <c r="V30" i="3" s="1"/>
  <c r="U93" i="3"/>
  <c r="V93" i="3" s="1"/>
  <c r="U73" i="3"/>
  <c r="V73" i="3" s="1"/>
  <c r="U33" i="3"/>
  <c r="V33" i="3" s="1"/>
  <c r="U13" i="3"/>
  <c r="V13" i="3" s="1"/>
  <c r="U19" i="3"/>
  <c r="V19" i="3" s="1"/>
  <c r="U98" i="3"/>
  <c r="V98" i="3" s="1"/>
  <c r="U78" i="3"/>
  <c r="V78" i="3" s="1"/>
  <c r="U38" i="3"/>
  <c r="V38" i="3" s="1"/>
  <c r="U6" i="3"/>
  <c r="V6" i="3" s="1"/>
  <c r="U8" i="3"/>
  <c r="V8" i="3" s="1"/>
  <c r="U14" i="3"/>
  <c r="V14" i="3" s="1"/>
  <c r="U87" i="3"/>
  <c r="V87" i="3" s="1"/>
  <c r="U67" i="3"/>
  <c r="V67" i="3" s="1"/>
  <c r="U47" i="3"/>
  <c r="V47" i="3" s="1"/>
  <c r="U27" i="3"/>
  <c r="V27" i="3" s="1"/>
  <c r="U7" i="3"/>
  <c r="V7" i="3" s="1"/>
  <c r="U86" i="3"/>
  <c r="V86" i="3" s="1"/>
  <c r="U66" i="3"/>
  <c r="V66" i="3" s="1"/>
  <c r="U46" i="3"/>
  <c r="V46" i="3" s="1"/>
  <c r="U26" i="3"/>
  <c r="V26" i="3" s="1"/>
  <c r="U22" i="3"/>
  <c r="V22" i="3" s="1"/>
  <c r="U65" i="3"/>
  <c r="V65" i="3" s="1"/>
  <c r="U44" i="3"/>
  <c r="V44" i="3" s="1"/>
  <c r="U99" i="3"/>
  <c r="V99" i="3" s="1"/>
  <c r="U79" i="3"/>
  <c r="V79" i="3" s="1"/>
  <c r="U97" i="3"/>
  <c r="V97" i="3" s="1"/>
  <c r="U77" i="3"/>
  <c r="V77" i="3" s="1"/>
  <c r="U57" i="3"/>
  <c r="V57" i="3" s="1"/>
  <c r="U37" i="3"/>
  <c r="V37" i="3" s="1"/>
  <c r="U17" i="3"/>
  <c r="V17" i="3" s="1"/>
  <c r="U85" i="3"/>
  <c r="V85" i="3" s="1"/>
  <c r="U45" i="3"/>
  <c r="V45" i="3" s="1"/>
  <c r="U25" i="3"/>
  <c r="V25" i="3" s="1"/>
  <c r="U5" i="3"/>
  <c r="V5" i="3" s="1"/>
  <c r="V23" i="3"/>
  <c r="U72" i="3"/>
  <c r="V72" i="3" s="1"/>
  <c r="U52" i="3"/>
  <c r="V52" i="3" s="1"/>
  <c r="U32" i="3"/>
  <c r="V32" i="3" s="1"/>
  <c r="U12" i="3"/>
  <c r="V12" i="3" s="1"/>
  <c r="U21" i="3"/>
  <c r="V21" i="3" s="1"/>
  <c r="U91" i="3"/>
  <c r="V91" i="3" s="1"/>
  <c r="U71" i="3"/>
  <c r="V71" i="3" s="1"/>
  <c r="U51" i="3"/>
  <c r="V51" i="3" s="1"/>
  <c r="U31" i="3"/>
  <c r="V31" i="3" s="1"/>
  <c r="U11" i="3"/>
  <c r="V11" i="3" s="1"/>
  <c r="U18" i="3"/>
  <c r="V18" i="3" s="1"/>
  <c r="U64" i="3"/>
  <c r="V64" i="3" s="1"/>
  <c r="U63" i="3"/>
  <c r="V63" i="3" s="1"/>
  <c r="U62" i="3"/>
  <c r="V62" i="3" s="1"/>
  <c r="U4" i="3"/>
  <c r="V4" i="3" s="1"/>
  <c r="U61" i="3"/>
  <c r="V61" i="3" s="1"/>
  <c r="U102" i="3"/>
  <c r="V102" i="3" s="1"/>
  <c r="U60" i="3"/>
  <c r="V60" i="3" s="1"/>
  <c r="U101" i="3"/>
  <c r="V101" i="3" s="1"/>
  <c r="U59" i="3"/>
  <c r="V59" i="3" s="1"/>
  <c r="U100" i="3"/>
  <c r="V100" i="3" s="1"/>
  <c r="U58" i="3"/>
  <c r="V58" i="3" s="1"/>
  <c r="U43" i="3"/>
  <c r="V43" i="3" s="1"/>
  <c r="U84" i="3"/>
  <c r="V84" i="3" s="1"/>
  <c r="U42" i="3"/>
  <c r="V42" i="3" s="1"/>
  <c r="U83" i="3"/>
  <c r="V83" i="3" s="1"/>
  <c r="U41" i="3"/>
  <c r="V41" i="3" s="1"/>
  <c r="U82" i="3"/>
  <c r="V82" i="3" s="1"/>
  <c r="U40" i="3"/>
  <c r="V40" i="3" s="1"/>
  <c r="U81" i="3"/>
  <c r="V81" i="3" s="1"/>
  <c r="U39" i="3"/>
  <c r="V39" i="3" s="1"/>
  <c r="U24" i="3"/>
  <c r="V24" i="3" s="1"/>
  <c r="U96" i="3"/>
  <c r="V96" i="3" s="1"/>
  <c r="U76" i="3"/>
  <c r="V76" i="3" s="1"/>
  <c r="U56" i="3"/>
  <c r="V56" i="3" s="1"/>
  <c r="U36" i="3"/>
  <c r="V36" i="3" s="1"/>
  <c r="U16" i="3"/>
  <c r="V16" i="3" s="1"/>
  <c r="U95" i="3"/>
  <c r="V95" i="3" s="1"/>
  <c r="U75" i="3"/>
  <c r="V75" i="3" s="1"/>
  <c r="U55" i="3"/>
  <c r="V55" i="3" s="1"/>
  <c r="U35" i="3"/>
  <c r="V35" i="3" s="1"/>
  <c r="U15" i="3"/>
  <c r="V15" i="3" s="1"/>
  <c r="U53" i="3"/>
  <c r="V53" i="3" s="1"/>
  <c r="U92" i="3"/>
  <c r="V92" i="3" s="1"/>
  <c r="U69" i="3"/>
  <c r="V69" i="3" s="1"/>
  <c r="U88" i="3"/>
  <c r="V88" i="3" s="1"/>
  <c r="U68" i="3"/>
  <c r="V68" i="3" s="1"/>
  <c r="U48" i="3"/>
  <c r="V48" i="3" s="1"/>
  <c r="U28" i="3"/>
  <c r="V28" i="3" s="1"/>
  <c r="L34" i="4"/>
  <c r="L44" i="4" s="1"/>
  <c r="C33" i="4"/>
  <c r="C35" i="4" s="1"/>
  <c r="C36" i="4" s="1"/>
  <c r="O32" i="4"/>
  <c r="R32" i="4"/>
  <c r="R33" i="4"/>
  <c r="L33" i="4"/>
  <c r="O33" i="4"/>
  <c r="I33" i="4"/>
  <c r="F34" i="4"/>
  <c r="F35" i="4" s="1"/>
  <c r="F36" i="4" s="1"/>
  <c r="K16" i="3"/>
  <c r="I8" i="3"/>
  <c r="I9" i="3"/>
  <c r="I10" i="3"/>
  <c r="I4" i="3"/>
  <c r="I5" i="3"/>
  <c r="I12" i="3"/>
  <c r="I6" i="3"/>
  <c r="I13" i="3"/>
  <c r="I7" i="3"/>
  <c r="M7" i="2"/>
  <c r="H10" i="2"/>
  <c r="H11" i="2"/>
  <c r="I11" i="2"/>
  <c r="J11" i="2" s="1"/>
  <c r="H5" i="2"/>
  <c r="H12" i="2"/>
  <c r="H3" i="2"/>
  <c r="H6" i="2"/>
  <c r="H13" i="2"/>
  <c r="H7" i="2"/>
  <c r="H8" i="2"/>
  <c r="I5" i="2"/>
  <c r="J5" i="2" s="1"/>
  <c r="I12" i="2"/>
  <c r="J12" i="2" s="1"/>
  <c r="I6" i="2"/>
  <c r="J6" i="2" s="1"/>
  <c r="I13" i="2"/>
  <c r="J13" i="2" s="1"/>
  <c r="I8" i="2"/>
  <c r="J8" i="2" s="1"/>
  <c r="I9" i="2"/>
  <c r="J9" i="2" s="1"/>
  <c r="I10" i="2"/>
  <c r="J10" i="2" s="1"/>
  <c r="I7" i="2"/>
  <c r="J7" i="2" s="1"/>
  <c r="V85" i="1"/>
  <c r="V65" i="1"/>
  <c r="V45" i="1"/>
  <c r="V25" i="1"/>
  <c r="V5" i="1"/>
  <c r="V22" i="1"/>
  <c r="U89" i="1"/>
  <c r="V89" i="1" s="1"/>
  <c r="U69" i="1"/>
  <c r="V69" i="1" s="1"/>
  <c r="U49" i="1"/>
  <c r="V49" i="1" s="1"/>
  <c r="U29" i="1"/>
  <c r="V29" i="1" s="1"/>
  <c r="U9" i="1"/>
  <c r="V9" i="1" s="1"/>
  <c r="U85" i="1"/>
  <c r="U65" i="1"/>
  <c r="U45" i="1"/>
  <c r="U25" i="1"/>
  <c r="U5" i="1"/>
  <c r="U102" i="1"/>
  <c r="V102" i="1" s="1"/>
  <c r="U82" i="1"/>
  <c r="V82" i="1" s="1"/>
  <c r="U62" i="1"/>
  <c r="V62" i="1" s="1"/>
  <c r="U42" i="1"/>
  <c r="V42" i="1" s="1"/>
  <c r="U22" i="1"/>
  <c r="H7" i="1"/>
  <c r="I7" i="1"/>
  <c r="J7" i="1" s="1"/>
  <c r="H10" i="1"/>
  <c r="I10" i="1" s="1"/>
  <c r="J10" i="1" s="1"/>
  <c r="H13" i="1"/>
  <c r="I13" i="1" s="1"/>
  <c r="J13" i="1" s="1"/>
  <c r="H9" i="1"/>
  <c r="I9" i="1" s="1"/>
  <c r="J9" i="1" s="1"/>
  <c r="H8" i="1"/>
  <c r="I8" i="1" s="1"/>
  <c r="J8" i="1" s="1"/>
  <c r="I4" i="1"/>
  <c r="J4" i="1" s="1"/>
  <c r="H12" i="1"/>
  <c r="I12" i="1" s="1"/>
  <c r="J12" i="1" s="1"/>
  <c r="H11" i="1"/>
  <c r="I11" i="1"/>
  <c r="J11" i="1" s="1"/>
  <c r="H6" i="1"/>
  <c r="I6" i="1" s="1"/>
  <c r="J6" i="1" s="1"/>
  <c r="H5" i="1"/>
  <c r="I5" i="1" s="1"/>
  <c r="J5" i="1" s="1"/>
  <c r="R34" i="4" l="1"/>
  <c r="R44" i="4" s="1"/>
  <c r="O34" i="4"/>
  <c r="O44" i="4" s="1"/>
  <c r="I35" i="4"/>
  <c r="I36" i="4" s="1"/>
  <c r="L4" i="1"/>
  <c r="M6" i="1" s="1"/>
  <c r="M4" i="1"/>
  <c r="M7" i="1" s="1"/>
  <c r="M10" i="1" l="1"/>
  <c r="M9" i="1"/>
</calcChain>
</file>

<file path=xl/sharedStrings.xml><?xml version="1.0" encoding="utf-8"?>
<sst xmlns="http://schemas.openxmlformats.org/spreadsheetml/2006/main" count="148" uniqueCount="46">
  <si>
    <t>P/kPa</t>
  </si>
  <si>
    <t>x1</t>
  </si>
  <si>
    <t>y1</t>
  </si>
  <si>
    <t>y2</t>
  </si>
  <si>
    <t>x2</t>
  </si>
  <si>
    <t>gamma1</t>
  </si>
  <si>
    <t>gamma2</t>
  </si>
  <si>
    <t>ExcessG/RT</t>
  </si>
  <si>
    <t>Y</t>
  </si>
  <si>
    <t>Intercept</t>
  </si>
  <si>
    <t>Slope</t>
  </si>
  <si>
    <t>A1</t>
  </si>
  <si>
    <t>A0</t>
  </si>
  <si>
    <t>A12</t>
  </si>
  <si>
    <t>A21</t>
  </si>
  <si>
    <t>P</t>
  </si>
  <si>
    <t>P2sat</t>
  </si>
  <si>
    <t>P1sat</t>
  </si>
  <si>
    <t>A'12</t>
  </si>
  <si>
    <t>A'21</t>
  </si>
  <si>
    <t>1/Y</t>
  </si>
  <si>
    <t>upsidownV12</t>
  </si>
  <si>
    <t>upsidownV21</t>
  </si>
  <si>
    <t>Difference</t>
  </si>
  <si>
    <t>ExcessG/RT Wilson</t>
  </si>
  <si>
    <t>ExcessG/RT Experiment</t>
  </si>
  <si>
    <t>kPa</t>
  </si>
  <si>
    <t>(B)</t>
  </si>
  <si>
    <t>B11</t>
  </si>
  <si>
    <t>B22</t>
  </si>
  <si>
    <t>B12</t>
  </si>
  <si>
    <t>cm3/mol</t>
  </si>
  <si>
    <t>Delta12</t>
  </si>
  <si>
    <t>phihatv1</t>
  </si>
  <si>
    <t>phisat1</t>
  </si>
  <si>
    <t>bigphi1</t>
  </si>
  <si>
    <t>Gas Constant</t>
  </si>
  <si>
    <t>cm3 kPa/mol K</t>
  </si>
  <si>
    <t>T</t>
  </si>
  <si>
    <t>K</t>
  </si>
  <si>
    <t>Just both sides of 13.13 subtacted from each other using P's and y1's calculated from part a as guesses</t>
  </si>
  <si>
    <t>phihatv2</t>
  </si>
  <si>
    <t>phisat2</t>
  </si>
  <si>
    <t>bigphi2</t>
  </si>
  <si>
    <t>solver function 1</t>
  </si>
  <si>
    <t>solver function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</si>
</sst>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theme="4" tint="0.5999938962981048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3" xfId="0" applyFill="1" applyBorder="1"/>
    <xf numFmtId="0" fontId="0" fillId="8" borderId="1" xfId="0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GE/RTx1x2</a:t>
            </a:r>
            <a:r>
              <a:rPr lang="en-US" baseline="0"/>
              <a:t> vs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5"/>
            <c:dispRSqr val="0"/>
            <c:dispEq val="1"/>
            <c:trendlineLbl>
              <c:layout>
                <c:manualLayout>
                  <c:x val="2.1830708661417322E-3"/>
                  <c:y val="9.8022382618839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'13.32a'!$C$4:$C$13</c:f>
              <c:numCache>
                <c:formatCode>General</c:formatCode>
                <c:ptCount val="10"/>
                <c:pt idx="0">
                  <c:v>0.1686</c:v>
                </c:pt>
                <c:pt idx="1">
                  <c:v>0.2167</c:v>
                </c:pt>
                <c:pt idx="2">
                  <c:v>0.3039</c:v>
                </c:pt>
                <c:pt idx="3">
                  <c:v>0.36809999999999998</c:v>
                </c:pt>
                <c:pt idx="4">
                  <c:v>0.4461</c:v>
                </c:pt>
                <c:pt idx="5">
                  <c:v>0.5282</c:v>
                </c:pt>
                <c:pt idx="6">
                  <c:v>0.60440000000000005</c:v>
                </c:pt>
                <c:pt idx="7">
                  <c:v>0.6804</c:v>
                </c:pt>
                <c:pt idx="8">
                  <c:v>0.72550000000000003</c:v>
                </c:pt>
                <c:pt idx="9">
                  <c:v>0.77759999999999996</c:v>
                </c:pt>
              </c:numCache>
            </c:numRef>
          </c:xVal>
          <c:yVal>
            <c:numRef>
              <c:f>'13.32a'!$J$4:$J$13</c:f>
              <c:numCache>
                <c:formatCode>General</c:formatCode>
                <c:ptCount val="10"/>
                <c:pt idx="0">
                  <c:v>0.62293504917215348</c:v>
                </c:pt>
                <c:pt idx="1">
                  <c:v>0.61229227071827541</c:v>
                </c:pt>
                <c:pt idx="2">
                  <c:v>0.63732548919746512</c:v>
                </c:pt>
                <c:pt idx="3">
                  <c:v>0.63464125817090966</c:v>
                </c:pt>
                <c:pt idx="4">
                  <c:v>0.59988279418281076</c:v>
                </c:pt>
                <c:pt idx="5">
                  <c:v>0.59317062934109788</c:v>
                </c:pt>
                <c:pt idx="6">
                  <c:v>0.57068203558385699</c:v>
                </c:pt>
                <c:pt idx="7">
                  <c:v>0.5360073140598306</c:v>
                </c:pt>
                <c:pt idx="8">
                  <c:v>0.52307377213777884</c:v>
                </c:pt>
                <c:pt idx="9">
                  <c:v>0.49746797341859855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B-4389-BB21-C6BEFAFF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62848"/>
        <c:axId val="950444608"/>
      </c:scatterChart>
      <c:valAx>
        <c:axId val="9504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4608"/>
        <c:crosses val="autoZero"/>
        <c:crossBetween val="midCat"/>
      </c:valAx>
      <c:valAx>
        <c:axId val="950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GE/RTx1x2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'13.32a'!$Q$3:$Q$103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'13.32a'!$U$3:$U$103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21.399694235385777</c:v>
                </c:pt>
                <c:pt idx="2">
                  <c:v>22.793201267852798</c:v>
                </c:pt>
                <c:pt idx="3">
                  <c:v>24.136249000493049</c:v>
                </c:pt>
                <c:pt idx="4">
                  <c:v>25.43142386651909</c:v>
                </c:pt>
                <c:pt idx="5">
                  <c:v>26.681178753667652</c:v>
                </c:pt>
                <c:pt idx="6">
                  <c:v>27.887840451612142</c:v>
                </c:pt>
                <c:pt idx="7">
                  <c:v>29.053616652865344</c:v>
                </c:pt>
                <c:pt idx="8">
                  <c:v>30.180602535592641</c:v>
                </c:pt>
                <c:pt idx="9">
                  <c:v>31.270786954842421</c:v>
                </c:pt>
                <c:pt idx="10">
                  <c:v>32.326058266921393</c:v>
                </c:pt>
                <c:pt idx="11">
                  <c:v>33.34820980999033</c:v>
                </c:pt>
                <c:pt idx="12">
                  <c:v>34.338945062419207</c:v>
                </c:pt>
                <c:pt idx="13">
                  <c:v>35.299882499012057</c:v>
                </c:pt>
                <c:pt idx="14">
                  <c:v>36.232560163883285</c:v>
                </c:pt>
                <c:pt idx="15">
                  <c:v>37.138439977530773</c:v>
                </c:pt>
                <c:pt idx="16">
                  <c:v>38.018911794500816</c:v>
                </c:pt>
                <c:pt idx="17">
                  <c:v>38.875297226968712</c:v>
                </c:pt>
                <c:pt idx="18">
                  <c:v>39.708853248561944</c:v>
                </c:pt>
                <c:pt idx="19">
                  <c:v>40.520775591823863</c:v>
                </c:pt>
                <c:pt idx="20">
                  <c:v>41.312201951850582</c:v>
                </c:pt>
                <c:pt idx="21">
                  <c:v>42.084215007827552</c:v>
                </c:pt>
                <c:pt idx="22">
                  <c:v>42.837845273440408</c:v>
                </c:pt>
                <c:pt idx="23">
                  <c:v>43.574073786434212</c:v>
                </c:pt>
                <c:pt idx="24">
                  <c:v>44.293834646941335</c:v>
                </c:pt>
                <c:pt idx="25">
                  <c:v>44.998017413588776</c:v>
                </c:pt>
                <c:pt idx="26">
                  <c:v>45.687469365826509</c:v>
                </c:pt>
                <c:pt idx="27">
                  <c:v>46.362997640387697</c:v>
                </c:pt>
                <c:pt idx="28">
                  <c:v>47.025371249295645</c:v>
                </c:pt>
                <c:pt idx="29">
                  <c:v>47.675322986369508</c:v>
                </c:pt>
                <c:pt idx="30">
                  <c:v>48.31355122874831</c:v>
                </c:pt>
                <c:pt idx="31">
                  <c:v>48.940721639548563</c:v>
                </c:pt>
                <c:pt idx="32">
                  <c:v>49.557468777393538</c:v>
                </c:pt>
                <c:pt idx="33">
                  <c:v>50.164397618198741</c:v>
                </c:pt>
                <c:pt idx="34">
                  <c:v>50.76208499426842</c:v>
                </c:pt>
                <c:pt idx="35">
                  <c:v>51.351080955448978</c:v>
                </c:pt>
                <c:pt idx="36">
                  <c:v>51.931910056796369</c:v>
                </c:pt>
                <c:pt idx="37">
                  <c:v>52.505072576944066</c:v>
                </c:pt>
                <c:pt idx="38">
                  <c:v>53.071045671105558</c:v>
                </c:pt>
                <c:pt idx="39">
                  <c:v>53.630284462407943</c:v>
                </c:pt>
                <c:pt idx="40">
                  <c:v>54.183223075031457</c:v>
                </c:pt>
                <c:pt idx="41">
                  <c:v>54.730275612422083</c:v>
                </c:pt>
                <c:pt idx="42">
                  <c:v>55.271837083649302</c:v>
                </c:pt>
                <c:pt idx="43">
                  <c:v>55.80828428079861</c:v>
                </c:pt>
                <c:pt idx="44">
                  <c:v>56.339976610117084</c:v>
                </c:pt>
                <c:pt idx="45">
                  <c:v>56.867256879470162</c:v>
                </c:pt>
                <c:pt idx="46">
                  <c:v>57.390452044516252</c:v>
                </c:pt>
                <c:pt idx="47">
                  <c:v>57.909873915865624</c:v>
                </c:pt>
                <c:pt idx="48">
                  <c:v>58.425819829356314</c:v>
                </c:pt>
                <c:pt idx="49">
                  <c:v>58.938573281455717</c:v>
                </c:pt>
                <c:pt idx="50">
                  <c:v>59.448404531679529</c:v>
                </c:pt>
                <c:pt idx="51">
                  <c:v>59.955571173809467</c:v>
                </c:pt>
                <c:pt idx="52">
                  <c:v>60.460318677588205</c:v>
                </c:pt>
                <c:pt idx="53">
                  <c:v>60.962880902472428</c:v>
                </c:pt>
                <c:pt idx="54">
                  <c:v>61.463480584934082</c:v>
                </c:pt>
                <c:pt idx="55">
                  <c:v>61.962329800713363</c:v>
                </c:pt>
                <c:pt idx="56">
                  <c:v>62.45963040334658</c:v>
                </c:pt>
                <c:pt idx="57">
                  <c:v>62.955574440215543</c:v>
                </c:pt>
                <c:pt idx="58">
                  <c:v>63.450344547293888</c:v>
                </c:pt>
                <c:pt idx="59">
                  <c:v>63.94411432369737</c:v>
                </c:pt>
                <c:pt idx="60">
                  <c:v>64.437048687082779</c:v>
                </c:pt>
                <c:pt idx="61">
                  <c:v>64.929304210878641</c:v>
                </c:pt>
                <c:pt idx="62">
                  <c:v>65.421029444275604</c:v>
                </c:pt>
                <c:pt idx="63">
                  <c:v>65.912365215850159</c:v>
                </c:pt>
                <c:pt idx="64">
                  <c:v>66.403444921645388</c:v>
                </c:pt>
                <c:pt idx="65">
                  <c:v>66.894394798484726</c:v>
                </c:pt>
                <c:pt idx="66">
                  <c:v>67.385334183249739</c:v>
                </c:pt>
                <c:pt idx="67">
                  <c:v>67.876375758810866</c:v>
                </c:pt>
                <c:pt idx="68">
                  <c:v>68.367625787259357</c:v>
                </c:pt>
                <c:pt idx="69">
                  <c:v>68.859184331051367</c:v>
                </c:pt>
                <c:pt idx="70">
                  <c:v>69.351145462638769</c:v>
                </c:pt>
                <c:pt idx="71">
                  <c:v>69.843597463127907</c:v>
                </c:pt>
                <c:pt idx="72">
                  <c:v>70.336623010474824</c:v>
                </c:pt>
                <c:pt idx="73">
                  <c:v>70.830299357695679</c:v>
                </c:pt>
                <c:pt idx="74">
                  <c:v>71.324698501542002</c:v>
                </c:pt>
                <c:pt idx="75">
                  <c:v>71.819887342063296</c:v>
                </c:pt>
                <c:pt idx="76">
                  <c:v>72.315927833453813</c:v>
                </c:pt>
                <c:pt idx="77">
                  <c:v>72.812877126555989</c:v>
                </c:pt>
                <c:pt idx="78">
                  <c:v>73.310787703369556</c:v>
                </c:pt>
                <c:pt idx="79">
                  <c:v>73.80970750389416</c:v>
                </c:pt>
                <c:pt idx="80">
                  <c:v>74.30968004561187</c:v>
                </c:pt>
                <c:pt idx="81">
                  <c:v>74.810744535896987</c:v>
                </c:pt>
                <c:pt idx="82">
                  <c:v>75.312935977621549</c:v>
                </c:pt>
                <c:pt idx="83">
                  <c:v>75.816285268208048</c:v>
                </c:pt>
                <c:pt idx="84">
                  <c:v>76.320819292363211</c:v>
                </c:pt>
                <c:pt idx="85">
                  <c:v>76.826561008712815</c:v>
                </c:pt>
                <c:pt idx="86">
                  <c:v>77.333529530540616</c:v>
                </c:pt>
                <c:pt idx="87">
                  <c:v>77.841740200822727</c:v>
                </c:pt>
                <c:pt idx="88">
                  <c:v>78.351204661734101</c:v>
                </c:pt>
                <c:pt idx="89">
                  <c:v>78.861930918792297</c:v>
                </c:pt>
                <c:pt idx="90">
                  <c:v>79.373923399792346</c:v>
                </c:pt>
                <c:pt idx="91">
                  <c:v>79.887183008675436</c:v>
                </c:pt>
                <c:pt idx="92">
                  <c:v>80.401707174464008</c:v>
                </c:pt>
                <c:pt idx="93">
                  <c:v>80.917489895387462</c:v>
                </c:pt>
                <c:pt idx="94">
                  <c:v>81.434521778312956</c:v>
                </c:pt>
                <c:pt idx="95">
                  <c:v>81.952790073589</c:v>
                </c:pt>
                <c:pt idx="96">
                  <c:v>82.472278705401465</c:v>
                </c:pt>
                <c:pt idx="97">
                  <c:v>82.992968297735686</c:v>
                </c:pt>
                <c:pt idx="98">
                  <c:v>83.514836196032391</c:v>
                </c:pt>
                <c:pt idx="99">
                  <c:v>84.037856484619837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D-4B6C-A39C-8CBAA263414B}"/>
            </c:ext>
          </c:extLst>
        </c:ser>
        <c:ser>
          <c:idx val="1"/>
          <c:order val="1"/>
          <c:tx>
            <c:v>Vapor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7.6845665790608919E-2</c:v>
                </c:pt>
                <c:pt idx="2">
                  <c:v>0.1418125331347625</c:v>
                </c:pt>
                <c:pt idx="3">
                  <c:v>0.19748479325435633</c:v>
                </c:pt>
                <c:pt idx="4">
                  <c:v>0.24574907590805861</c:v>
                </c:pt>
                <c:pt idx="5">
                  <c:v>0.2880149575363557</c:v>
                </c:pt>
                <c:pt idx="6">
                  <c:v>0.32535679646550925</c:v>
                </c:pt>
                <c:pt idx="7">
                  <c:v>0.35860780429814371</c:v>
                </c:pt>
                <c:pt idx="8">
                  <c:v>0.38842412174027852</c:v>
                </c:pt>
                <c:pt idx="9">
                  <c:v>0.41532949421326237</c:v>
                </c:pt>
                <c:pt idx="10">
                  <c:v>0.43974707080964659</c:v>
                </c:pt>
                <c:pt idx="11">
                  <c:v>0.46202245806015679</c:v>
                </c:pt>
                <c:pt idx="12">
                  <c:v>0.48244071142678524</c:v>
                </c:pt>
                <c:pt idx="13">
                  <c:v>0.50123904626375571</c:v>
                </c:pt>
                <c:pt idx="14">
                  <c:v>0.51861647562837654</c:v>
                </c:pt>
                <c:pt idx="15">
                  <c:v>0.5347412081895172</c:v>
                </c:pt>
                <c:pt idx="16">
                  <c:v>0.54975639090922168</c:v>
                </c:pt>
                <c:pt idx="17">
                  <c:v>0.56378461302434535</c:v>
                </c:pt>
                <c:pt idx="18">
                  <c:v>0.57693147222176855</c:v>
                </c:pt>
                <c:pt idx="19">
                  <c:v>0.58928842317021424</c:v>
                </c:pt>
                <c:pt idx="20">
                  <c:v>0.6009350714181787</c:v>
                </c:pt>
                <c:pt idx="21">
                  <c:v>0.6119410346808094</c:v>
                </c:pt>
                <c:pt idx="22">
                  <c:v>0.62236746379237529</c:v>
                </c:pt>
                <c:pt idx="23">
                  <c:v>0.63226829377136684</c:v>
                </c:pt>
                <c:pt idx="24">
                  <c:v>0.64169127925847635</c:v>
                </c:pt>
                <c:pt idx="25">
                  <c:v>0.65067885646828594</c:v>
                </c:pt>
                <c:pt idx="26">
                  <c:v>0.65926886463867762</c:v>
                </c:pt>
                <c:pt idx="27">
                  <c:v>0.66749515298438244</c:v>
                </c:pt>
                <c:pt idx="28">
                  <c:v>0.67538809380128917</c:v>
                </c:pt>
                <c:pt idx="29">
                  <c:v>0.68297501821982853</c:v>
                </c:pt>
                <c:pt idx="30">
                  <c:v>0.69028058787213686</c:v>
                </c:pt>
                <c:pt idx="31">
                  <c:v>0.69732711320003293</c:v>
                </c:pt>
                <c:pt idx="32">
                  <c:v>0.70413482712658759</c:v>
                </c:pt>
                <c:pt idx="33">
                  <c:v>0.71072212122147882</c:v>
                </c:pt>
                <c:pt idx="34">
                  <c:v>0.71710575021756873</c:v>
                </c:pt>
                <c:pt idx="35">
                  <c:v>0.72330100971337885</c:v>
                </c:pt>
                <c:pt idx="36">
                  <c:v>0.72932189107001177</c:v>
                </c:pt>
                <c:pt idx="37">
                  <c:v>0.73518121684041926</c:v>
                </c:pt>
                <c:pt idx="38">
                  <c:v>0.74089075952191985</c:v>
                </c:pt>
                <c:pt idx="39">
                  <c:v>0.74646134597469183</c:v>
                </c:pt>
                <c:pt idx="40">
                  <c:v>0.75190294948016634</c:v>
                </c:pt>
                <c:pt idx="41">
                  <c:v>0.75722477110850728</c:v>
                </c:pt>
                <c:pt idx="42">
                  <c:v>0.76243531181154522</c:v>
                </c:pt>
                <c:pt idx="43">
                  <c:v>0.76754243644701103</c:v>
                </c:pt>
                <c:pt idx="44">
                  <c:v>0.77255343076394312</c:v>
                </c:pt>
                <c:pt idx="45">
                  <c:v>0.77747505223155733</c:v>
                </c:pt>
                <c:pt idx="46">
                  <c:v>0.78231357546966007</c:v>
                </c:pt>
                <c:pt idx="47">
                  <c:v>0.78707483293381397</c:v>
                </c:pt>
                <c:pt idx="48">
                  <c:v>0.79176425141964457</c:v>
                </c:pt>
                <c:pt idx="49">
                  <c:v>0.7963868848752208</c:v>
                </c:pt>
                <c:pt idx="50">
                  <c:v>0.80094744394615658</c:v>
                </c:pt>
                <c:pt idx="51">
                  <c:v>0.80545032262315774</c:v>
                </c:pt>
                <c:pt idx="52">
                  <c:v>0.80989962231468426</c:v>
                </c:pt>
                <c:pt idx="53">
                  <c:v>0.81429917362698689</c:v>
                </c:pt>
                <c:pt idx="54">
                  <c:v>0.81865255609897547</c:v>
                </c:pt>
                <c:pt idx="55">
                  <c:v>0.82296311610934147</c:v>
                </c:pt>
                <c:pt idx="56">
                  <c:v>0.82723398314736518</c:v>
                </c:pt>
                <c:pt idx="57">
                  <c:v>0.83146808461630528</c:v>
                </c:pt>
                <c:pt idx="58">
                  <c:v>0.83566815931867677</c:v>
                </c:pt>
                <c:pt idx="59">
                  <c:v>0.83983676975567045</c:v>
                </c:pt>
                <c:pt idx="60">
                  <c:v>0.84397631335807677</c:v>
                </c:pt>
                <c:pt idx="61">
                  <c:v>0.84808903275305769</c:v>
                </c:pt>
                <c:pt idx="62">
                  <c:v>0.85217702515970739</c:v>
                </c:pt>
                <c:pt idx="63">
                  <c:v>0.85624225099632367</c:v>
                </c:pt>
                <c:pt idx="64">
                  <c:v>0.8602865417735166</c:v>
                </c:pt>
                <c:pt idx="65">
                  <c:v>0.86431160733951384</c:v>
                </c:pt>
                <c:pt idx="66">
                  <c:v>0.8683190425371865</c:v>
                </c:pt>
                <c:pt idx="67">
                  <c:v>0.87231033332626329</c:v>
                </c:pt>
                <c:pt idx="68">
                  <c:v>0.8762868624188479</c:v>
                </c:pt>
                <c:pt idx="69">
                  <c:v>0.88024991447160494</c:v>
                </c:pt>
                <c:pt idx="70">
                  <c:v>0.88420068087376302</c:v>
                </c:pt>
                <c:pt idx="71">
                  <c:v>0.88814026416633052</c:v>
                </c:pt>
                <c:pt idx="72">
                  <c:v>0.89206968212458437</c:v>
                </c:pt>
                <c:pt idx="73">
                  <c:v>0.89598987153290999</c:v>
                </c:pt>
                <c:pt idx="74">
                  <c:v>0.89990169167841083</c:v>
                </c:pt>
                <c:pt idx="75">
                  <c:v>0.90380592758732992</c:v>
                </c:pt>
                <c:pt idx="76">
                  <c:v>0.90770329302619501</c:v>
                </c:pt>
                <c:pt idx="77">
                  <c:v>0.91159443328768763</c:v>
                </c:pt>
                <c:pt idx="78">
                  <c:v>0.91547992777952869</c:v>
                </c:pt>
                <c:pt idx="79">
                  <c:v>0.91936029243312822</c:v>
                </c:pt>
                <c:pt idx="80">
                  <c:v>0.92323598194736278</c:v>
                </c:pt>
                <c:pt idx="81">
                  <c:v>0.92710739188159685</c:v>
                </c:pt>
                <c:pt idx="82">
                  <c:v>0.93097486061094159</c:v>
                </c:pt>
                <c:pt idx="83">
                  <c:v>0.93483867115571728</c:v>
                </c:pt>
                <c:pt idx="84">
                  <c:v>0.93869905289618227</c:v>
                </c:pt>
                <c:pt idx="85">
                  <c:v>0.94255618318274281</c:v>
                </c:pt>
                <c:pt idx="86">
                  <c:v>0.9464101888511165</c:v>
                </c:pt>
                <c:pt idx="87">
                  <c:v>0.95026114765122616</c:v>
                </c:pt>
                <c:pt idx="88">
                  <c:v>0.95410908959798824</c:v>
                </c:pt>
                <c:pt idx="89">
                  <c:v>0.95795399825158123</c:v>
                </c:pt>
                <c:pt idx="90">
                  <c:v>0.96179581193427233</c:v>
                </c:pt>
                <c:pt idx="91">
                  <c:v>0.96563442489039775</c:v>
                </c:pt>
                <c:pt idx="92">
                  <c:v>0.96946968839566694</c:v>
                </c:pt>
                <c:pt idx="93">
                  <c:v>0.97330141182155572</c:v>
                </c:pt>
                <c:pt idx="94">
                  <c:v>0.97712936366019199</c:v>
                </c:pt>
                <c:pt idx="95">
                  <c:v>0.98095327251479658</c:v>
                </c:pt>
                <c:pt idx="96">
                  <c:v>0.98477282806043187</c:v>
                </c:pt>
                <c:pt idx="97">
                  <c:v>0.98858768197951785</c:v>
                </c:pt>
                <c:pt idx="98">
                  <c:v>0.99239744887630721</c:v>
                </c:pt>
                <c:pt idx="99">
                  <c:v>0.99620170717425749</c:v>
                </c:pt>
                <c:pt idx="100">
                  <c:v>1</c:v>
                </c:pt>
              </c:numCache>
            </c:numRef>
          </c:xVal>
          <c:yVal>
            <c:numRef>
              <c:f>'13.32a'!$U$3:$U$103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21.399694235385777</c:v>
                </c:pt>
                <c:pt idx="2">
                  <c:v>22.793201267852798</c:v>
                </c:pt>
                <c:pt idx="3">
                  <c:v>24.136249000493049</c:v>
                </c:pt>
                <c:pt idx="4">
                  <c:v>25.43142386651909</c:v>
                </c:pt>
                <c:pt idx="5">
                  <c:v>26.681178753667652</c:v>
                </c:pt>
                <c:pt idx="6">
                  <c:v>27.887840451612142</c:v>
                </c:pt>
                <c:pt idx="7">
                  <c:v>29.053616652865344</c:v>
                </c:pt>
                <c:pt idx="8">
                  <c:v>30.180602535592641</c:v>
                </c:pt>
                <c:pt idx="9">
                  <c:v>31.270786954842421</c:v>
                </c:pt>
                <c:pt idx="10">
                  <c:v>32.326058266921393</c:v>
                </c:pt>
                <c:pt idx="11">
                  <c:v>33.34820980999033</c:v>
                </c:pt>
                <c:pt idx="12">
                  <c:v>34.338945062419207</c:v>
                </c:pt>
                <c:pt idx="13">
                  <c:v>35.299882499012057</c:v>
                </c:pt>
                <c:pt idx="14">
                  <c:v>36.232560163883285</c:v>
                </c:pt>
                <c:pt idx="15">
                  <c:v>37.138439977530773</c:v>
                </c:pt>
                <c:pt idx="16">
                  <c:v>38.018911794500816</c:v>
                </c:pt>
                <c:pt idx="17">
                  <c:v>38.875297226968712</c:v>
                </c:pt>
                <c:pt idx="18">
                  <c:v>39.708853248561944</c:v>
                </c:pt>
                <c:pt idx="19">
                  <c:v>40.520775591823863</c:v>
                </c:pt>
                <c:pt idx="20">
                  <c:v>41.312201951850582</c:v>
                </c:pt>
                <c:pt idx="21">
                  <c:v>42.084215007827552</c:v>
                </c:pt>
                <c:pt idx="22">
                  <c:v>42.837845273440408</c:v>
                </c:pt>
                <c:pt idx="23">
                  <c:v>43.574073786434212</c:v>
                </c:pt>
                <c:pt idx="24">
                  <c:v>44.293834646941335</c:v>
                </c:pt>
                <c:pt idx="25">
                  <c:v>44.998017413588776</c:v>
                </c:pt>
                <c:pt idx="26">
                  <c:v>45.687469365826509</c:v>
                </c:pt>
                <c:pt idx="27">
                  <c:v>46.362997640387697</c:v>
                </c:pt>
                <c:pt idx="28">
                  <c:v>47.025371249295645</c:v>
                </c:pt>
                <c:pt idx="29">
                  <c:v>47.675322986369508</c:v>
                </c:pt>
                <c:pt idx="30">
                  <c:v>48.31355122874831</c:v>
                </c:pt>
                <c:pt idx="31">
                  <c:v>48.940721639548563</c:v>
                </c:pt>
                <c:pt idx="32">
                  <c:v>49.557468777393538</c:v>
                </c:pt>
                <c:pt idx="33">
                  <c:v>50.164397618198741</c:v>
                </c:pt>
                <c:pt idx="34">
                  <c:v>50.76208499426842</c:v>
                </c:pt>
                <c:pt idx="35">
                  <c:v>51.351080955448978</c:v>
                </c:pt>
                <c:pt idx="36">
                  <c:v>51.931910056796369</c:v>
                </c:pt>
                <c:pt idx="37">
                  <c:v>52.505072576944066</c:v>
                </c:pt>
                <c:pt idx="38">
                  <c:v>53.071045671105558</c:v>
                </c:pt>
                <c:pt idx="39">
                  <c:v>53.630284462407943</c:v>
                </c:pt>
                <c:pt idx="40">
                  <c:v>54.183223075031457</c:v>
                </c:pt>
                <c:pt idx="41">
                  <c:v>54.730275612422083</c:v>
                </c:pt>
                <c:pt idx="42">
                  <c:v>55.271837083649302</c:v>
                </c:pt>
                <c:pt idx="43">
                  <c:v>55.80828428079861</c:v>
                </c:pt>
                <c:pt idx="44">
                  <c:v>56.339976610117084</c:v>
                </c:pt>
                <c:pt idx="45">
                  <c:v>56.867256879470162</c:v>
                </c:pt>
                <c:pt idx="46">
                  <c:v>57.390452044516252</c:v>
                </c:pt>
                <c:pt idx="47">
                  <c:v>57.909873915865624</c:v>
                </c:pt>
                <c:pt idx="48">
                  <c:v>58.425819829356314</c:v>
                </c:pt>
                <c:pt idx="49">
                  <c:v>58.938573281455717</c:v>
                </c:pt>
                <c:pt idx="50">
                  <c:v>59.448404531679529</c:v>
                </c:pt>
                <c:pt idx="51">
                  <c:v>59.955571173809467</c:v>
                </c:pt>
                <c:pt idx="52">
                  <c:v>60.460318677588205</c:v>
                </c:pt>
                <c:pt idx="53">
                  <c:v>60.962880902472428</c:v>
                </c:pt>
                <c:pt idx="54">
                  <c:v>61.463480584934082</c:v>
                </c:pt>
                <c:pt idx="55">
                  <c:v>61.962329800713363</c:v>
                </c:pt>
                <c:pt idx="56">
                  <c:v>62.45963040334658</c:v>
                </c:pt>
                <c:pt idx="57">
                  <c:v>62.955574440215543</c:v>
                </c:pt>
                <c:pt idx="58">
                  <c:v>63.450344547293888</c:v>
                </c:pt>
                <c:pt idx="59">
                  <c:v>63.94411432369737</c:v>
                </c:pt>
                <c:pt idx="60">
                  <c:v>64.437048687082779</c:v>
                </c:pt>
                <c:pt idx="61">
                  <c:v>64.929304210878641</c:v>
                </c:pt>
                <c:pt idx="62">
                  <c:v>65.421029444275604</c:v>
                </c:pt>
                <c:pt idx="63">
                  <c:v>65.912365215850159</c:v>
                </c:pt>
                <c:pt idx="64">
                  <c:v>66.403444921645388</c:v>
                </c:pt>
                <c:pt idx="65">
                  <c:v>66.894394798484726</c:v>
                </c:pt>
                <c:pt idx="66">
                  <c:v>67.385334183249739</c:v>
                </c:pt>
                <c:pt idx="67">
                  <c:v>67.876375758810866</c:v>
                </c:pt>
                <c:pt idx="68">
                  <c:v>68.367625787259357</c:v>
                </c:pt>
                <c:pt idx="69">
                  <c:v>68.859184331051367</c:v>
                </c:pt>
                <c:pt idx="70">
                  <c:v>69.351145462638769</c:v>
                </c:pt>
                <c:pt idx="71">
                  <c:v>69.843597463127907</c:v>
                </c:pt>
                <c:pt idx="72">
                  <c:v>70.336623010474824</c:v>
                </c:pt>
                <c:pt idx="73">
                  <c:v>70.830299357695679</c:v>
                </c:pt>
                <c:pt idx="74">
                  <c:v>71.324698501542002</c:v>
                </c:pt>
                <c:pt idx="75">
                  <c:v>71.819887342063296</c:v>
                </c:pt>
                <c:pt idx="76">
                  <c:v>72.315927833453813</c:v>
                </c:pt>
                <c:pt idx="77">
                  <c:v>72.812877126555989</c:v>
                </c:pt>
                <c:pt idx="78">
                  <c:v>73.310787703369556</c:v>
                </c:pt>
                <c:pt idx="79">
                  <c:v>73.80970750389416</c:v>
                </c:pt>
                <c:pt idx="80">
                  <c:v>74.30968004561187</c:v>
                </c:pt>
                <c:pt idx="81">
                  <c:v>74.810744535896987</c:v>
                </c:pt>
                <c:pt idx="82">
                  <c:v>75.312935977621549</c:v>
                </c:pt>
                <c:pt idx="83">
                  <c:v>75.816285268208048</c:v>
                </c:pt>
                <c:pt idx="84">
                  <c:v>76.320819292363211</c:v>
                </c:pt>
                <c:pt idx="85">
                  <c:v>76.826561008712815</c:v>
                </c:pt>
                <c:pt idx="86">
                  <c:v>77.333529530540616</c:v>
                </c:pt>
                <c:pt idx="87">
                  <c:v>77.841740200822727</c:v>
                </c:pt>
                <c:pt idx="88">
                  <c:v>78.351204661734101</c:v>
                </c:pt>
                <c:pt idx="89">
                  <c:v>78.861930918792297</c:v>
                </c:pt>
                <c:pt idx="90">
                  <c:v>79.373923399792346</c:v>
                </c:pt>
                <c:pt idx="91">
                  <c:v>79.887183008675436</c:v>
                </c:pt>
                <c:pt idx="92">
                  <c:v>80.401707174464008</c:v>
                </c:pt>
                <c:pt idx="93">
                  <c:v>80.917489895387462</c:v>
                </c:pt>
                <c:pt idx="94">
                  <c:v>81.434521778312956</c:v>
                </c:pt>
                <c:pt idx="95">
                  <c:v>81.952790073589</c:v>
                </c:pt>
                <c:pt idx="96">
                  <c:v>82.472278705401465</c:v>
                </c:pt>
                <c:pt idx="97">
                  <c:v>82.992968297735686</c:v>
                </c:pt>
                <c:pt idx="98">
                  <c:v>83.514836196032391</c:v>
                </c:pt>
                <c:pt idx="99">
                  <c:v>84.037856484619837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D-4B6C-A39C-8CBAA263414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'13.32a'!$C$3:$C$14</c:f>
              <c:numCache>
                <c:formatCode>General</c:formatCode>
                <c:ptCount val="12"/>
                <c:pt idx="0">
                  <c:v>0</c:v>
                </c:pt>
                <c:pt idx="1">
                  <c:v>0.1686</c:v>
                </c:pt>
                <c:pt idx="2">
                  <c:v>0.2167</c:v>
                </c:pt>
                <c:pt idx="3">
                  <c:v>0.3039</c:v>
                </c:pt>
                <c:pt idx="4">
                  <c:v>0.36809999999999998</c:v>
                </c:pt>
                <c:pt idx="5">
                  <c:v>0.4461</c:v>
                </c:pt>
                <c:pt idx="6">
                  <c:v>0.5282</c:v>
                </c:pt>
                <c:pt idx="7">
                  <c:v>0.60440000000000005</c:v>
                </c:pt>
                <c:pt idx="8">
                  <c:v>0.6804</c:v>
                </c:pt>
                <c:pt idx="9">
                  <c:v>0.72550000000000003</c:v>
                </c:pt>
                <c:pt idx="10">
                  <c:v>0.77759999999999996</c:v>
                </c:pt>
                <c:pt idx="11">
                  <c:v>1</c:v>
                </c:pt>
              </c:numCache>
            </c:numRef>
          </c:xVal>
          <c:yVal>
            <c:numRef>
              <c:f>'13.32a'!$B$3:$B$14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7D-4B6C-A39C-8CBAA263414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'13.32a'!$D$3:$D$14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0.57140000000000002</c:v>
                </c:pt>
                <c:pt idx="2">
                  <c:v>0.62680000000000002</c:v>
                </c:pt>
                <c:pt idx="3">
                  <c:v>0.69430000000000003</c:v>
                </c:pt>
                <c:pt idx="4">
                  <c:v>0.73450000000000004</c:v>
                </c:pt>
                <c:pt idx="5">
                  <c:v>0.7742</c:v>
                </c:pt>
                <c:pt idx="6">
                  <c:v>0.8085</c:v>
                </c:pt>
                <c:pt idx="7">
                  <c:v>0.83830000000000005</c:v>
                </c:pt>
                <c:pt idx="8">
                  <c:v>0.87329999999999997</c:v>
                </c:pt>
                <c:pt idx="9">
                  <c:v>0.89219999999999999</c:v>
                </c:pt>
                <c:pt idx="10">
                  <c:v>0.91410000000000002</c:v>
                </c:pt>
                <c:pt idx="11">
                  <c:v>1</c:v>
                </c:pt>
              </c:numCache>
            </c:numRef>
          </c:xVal>
          <c:yVal>
            <c:numRef>
              <c:f>'13.32a'!$B$3:$B$14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7D-4B6C-A39C-8CBAA263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9392"/>
        <c:axId val="72121712"/>
      </c:scatterChart>
      <c:valAx>
        <c:axId val="72129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1712"/>
        <c:crosses val="autoZero"/>
        <c:crossBetween val="midCat"/>
      </c:valAx>
      <c:valAx>
        <c:axId val="721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</a:t>
            </a:r>
            <a:r>
              <a:rPr lang="en-US" baseline="0"/>
              <a:t> Laar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'13.32b'!$P$4:$P$102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'13.32b'!$T$4:$T$102</c:f>
              <c:numCache>
                <c:formatCode>General</c:formatCode>
                <c:ptCount val="99"/>
                <c:pt idx="0">
                  <c:v>21.432572083175028</c:v>
                </c:pt>
                <c:pt idx="1">
                  <c:v>22.850360715873759</c:v>
                </c:pt>
                <c:pt idx="2">
                  <c:v>24.210307992841408</c:v>
                </c:pt>
                <c:pt idx="3">
                  <c:v>25.516080770326102</c:v>
                </c:pt>
                <c:pt idx="4">
                  <c:v>26.771092148849068</c:v>
                </c:pt>
                <c:pt idx="5">
                  <c:v>27.978521106249332</c:v>
                </c:pt>
                <c:pt idx="6">
                  <c:v>29.141330454613005</c:v>
                </c:pt>
                <c:pt idx="7">
                  <c:v>30.262283277101318</c:v>
                </c:pt>
                <c:pt idx="8">
                  <c:v>31.343957985006888</c:v>
                </c:pt>
                <c:pt idx="9">
                  <c:v>32.388762121372935</c:v>
                </c:pt>
                <c:pt idx="10">
                  <c:v>33.398945025011585</c:v>
                </c:pt>
                <c:pt idx="11">
                  <c:v>34.376609457584578</c:v>
                </c:pt>
                <c:pt idx="12">
                  <c:v>35.323722286412711</c:v>
                </c:pt>
                <c:pt idx="13">
                  <c:v>36.242124306727504</c:v>
                </c:pt>
                <c:pt idx="14">
                  <c:v>37.133539279053799</c:v>
                </c:pt>
                <c:pt idx="15">
                  <c:v>37.999582250212164</c:v>
                </c:pt>
                <c:pt idx="16">
                  <c:v>38.84176721996549</c:v>
                </c:pt>
                <c:pt idx="17">
                  <c:v>39.661514209524356</c:v>
                </c:pt>
                <c:pt idx="18">
                  <c:v>40.460155782900102</c:v>
                </c:pt>
                <c:pt idx="19">
                  <c:v>41.238943067390572</c:v>
                </c:pt>
                <c:pt idx="20">
                  <c:v>41.999051315245225</c:v>
                </c:pt>
                <c:pt idx="21">
                  <c:v>42.741585044735359</c:v>
                </c:pt>
                <c:pt idx="22">
                  <c:v>43.467582795406571</c:v>
                </c:pt>
                <c:pt idx="23">
                  <c:v>44.178021529176732</c:v>
                </c:pt>
                <c:pt idx="24">
                  <c:v>44.873820706128114</c:v>
                </c:pt>
                <c:pt idx="25">
                  <c:v>45.555846061296833</c:v>
                </c:pt>
                <c:pt idx="26">
                  <c:v>46.224913106458445</c:v>
                </c:pt>
                <c:pt idx="27">
                  <c:v>46.881790378821272</c:v>
                </c:pt>
                <c:pt idx="28">
                  <c:v>47.527202456647089</c:v>
                </c:pt>
                <c:pt idx="29">
                  <c:v>48.161832760102357</c:v>
                </c:pt>
                <c:pt idx="30">
                  <c:v>48.786326154085025</c:v>
                </c:pt>
                <c:pt idx="31">
                  <c:v>49.401291368356326</c:v>
                </c:pt>
                <c:pt idx="32">
                  <c:v>50.007303249020609</c:v>
                </c:pt>
                <c:pt idx="33">
                  <c:v>50.604904854225033</c:v>
                </c:pt>
                <c:pt idx="34">
                  <c:v>51.194609405886141</c:v>
                </c:pt>
                <c:pt idx="35">
                  <c:v>51.776902108278961</c:v>
                </c:pt>
                <c:pt idx="36">
                  <c:v>52.352241843439913</c:v>
                </c:pt>
                <c:pt idx="37">
                  <c:v>52.921062752527781</c:v>
                </c:pt>
                <c:pt idx="38">
                  <c:v>53.483775711550116</c:v>
                </c:pt>
                <c:pt idx="39">
                  <c:v>54.040769709190265</c:v>
                </c:pt>
                <c:pt idx="40">
                  <c:v>54.592413133854926</c:v>
                </c:pt>
                <c:pt idx="41">
                  <c:v>55.13905497650051</c:v>
                </c:pt>
                <c:pt idx="42">
                  <c:v>55.681025955281818</c:v>
                </c:pt>
                <c:pt idx="43">
                  <c:v>56.218639567596107</c:v>
                </c:pt>
                <c:pt idx="44">
                  <c:v>56.752193074663715</c:v>
                </c:pt>
                <c:pt idx="45">
                  <c:v>57.281968423391803</c:v>
                </c:pt>
                <c:pt idx="46">
                  <c:v>57.808233109904087</c:v>
                </c:pt>
                <c:pt idx="47">
                  <c:v>58.331240988787741</c:v>
                </c:pt>
                <c:pt idx="48">
                  <c:v>58.851233031802479</c:v>
                </c:pt>
                <c:pt idx="49">
                  <c:v>59.368438039516001</c:v>
                </c:pt>
                <c:pt idx="50">
                  <c:v>59.883073309072628</c:v>
                </c:pt>
                <c:pt idx="51">
                  <c:v>60.395345261063973</c:v>
                </c:pt>
                <c:pt idx="52">
                  <c:v>60.905450028252361</c:v>
                </c:pt>
                <c:pt idx="53">
                  <c:v>61.413574008696742</c:v>
                </c:pt>
                <c:pt idx="54">
                  <c:v>61.919894385645506</c:v>
                </c:pt>
                <c:pt idx="55">
                  <c:v>62.424579616390091</c:v>
                </c:pt>
                <c:pt idx="56">
                  <c:v>62.927789892115356</c:v>
                </c:pt>
                <c:pt idx="57">
                  <c:v>63.429677570638241</c:v>
                </c:pt>
                <c:pt idx="58">
                  <c:v>63.930387583791514</c:v>
                </c:pt>
                <c:pt idx="59">
                  <c:v>64.43005782108591</c:v>
                </c:pt>
                <c:pt idx="60">
                  <c:v>64.928819491169463</c:v>
                </c:pt>
                <c:pt idx="61">
                  <c:v>65.426797462497206</c:v>
                </c:pt>
                <c:pt idx="62">
                  <c:v>65.924110584526474</c:v>
                </c:pt>
                <c:pt idx="63">
                  <c:v>66.420871990662619</c:v>
                </c:pt>
                <c:pt idx="64">
                  <c:v>66.917189384096062</c:v>
                </c:pt>
                <c:pt idx="65">
                  <c:v>67.413165307594227</c:v>
                </c:pt>
                <c:pt idx="66">
                  <c:v>67.908897398239816</c:v>
                </c:pt>
                <c:pt idx="67">
                  <c:v>68.404478628040152</c:v>
                </c:pt>
                <c:pt idx="68">
                  <c:v>68.89999753127087</c:v>
                </c:pt>
                <c:pt idx="69">
                  <c:v>69.395538419359397</c:v>
                </c:pt>
                <c:pt idx="70">
                  <c:v>69.891181584060831</c:v>
                </c:pt>
                <c:pt idx="71">
                  <c:v>70.387003489629109</c:v>
                </c:pt>
                <c:pt idx="72">
                  <c:v>70.883076954640671</c:v>
                </c:pt>
                <c:pt idx="73">
                  <c:v>71.379471324084676</c:v>
                </c:pt>
                <c:pt idx="74">
                  <c:v>71.876252632294893</c:v>
                </c:pt>
                <c:pt idx="75">
                  <c:v>72.373483757260573</c:v>
                </c:pt>
                <c:pt idx="76">
                  <c:v>72.87122456681999</c:v>
                </c:pt>
                <c:pt idx="77">
                  <c:v>73.369532057207778</c:v>
                </c:pt>
                <c:pt idx="78">
                  <c:v>73.868460484397829</c:v>
                </c:pt>
                <c:pt idx="79">
                  <c:v>74.368061488655599</c:v>
                </c:pt>
                <c:pt idx="80">
                  <c:v>74.868384212687417</c:v>
                </c:pt>
                <c:pt idx="81">
                  <c:v>75.369475413751132</c:v>
                </c:pt>
                <c:pt idx="82">
                  <c:v>75.871379570068953</c:v>
                </c:pt>
                <c:pt idx="83">
                  <c:v>76.374138981863013</c:v>
                </c:pt>
                <c:pt idx="84">
                  <c:v>76.877793867314182</c:v>
                </c:pt>
                <c:pt idx="85">
                  <c:v>77.382382453726663</c:v>
                </c:pt>
                <c:pt idx="86">
                  <c:v>77.887941064163698</c:v>
                </c:pt>
                <c:pt idx="87">
                  <c:v>78.394504199803208</c:v>
                </c:pt>
                <c:pt idx="88">
                  <c:v>78.902104618248373</c:v>
                </c:pt>
                <c:pt idx="89">
                  <c:v>79.410773408012986</c:v>
                </c:pt>
                <c:pt idx="90">
                  <c:v>79.920540059388969</c:v>
                </c:pt>
                <c:pt idx="91">
                  <c:v>80.431432531891431</c:v>
                </c:pt>
                <c:pt idx="92">
                  <c:v>80.943477318464275</c:v>
                </c:pt>
                <c:pt idx="93">
                  <c:v>81.456699506619799</c:v>
                </c:pt>
                <c:pt idx="94">
                  <c:v>81.97112283667451</c:v>
                </c:pt>
                <c:pt idx="95">
                  <c:v>82.486769757235066</c:v>
                </c:pt>
                <c:pt idx="96">
                  <c:v>83.00366147807857</c:v>
                </c:pt>
                <c:pt idx="97">
                  <c:v>83.521818020563501</c:v>
                </c:pt>
                <c:pt idx="98">
                  <c:v>84.041258265699909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F-4EE2-AB84-0E275ADD4E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'13.32b'!$U$3:$U$102</c:f>
              <c:numCache>
                <c:formatCode>General</c:formatCode>
                <c:ptCount val="100"/>
                <c:pt idx="0">
                  <c:v>0</c:v>
                </c:pt>
                <c:pt idx="1">
                  <c:v>7.8249956676358076E-2</c:v>
                </c:pt>
                <c:pt idx="2">
                  <c:v>0.14391696210178437</c:v>
                </c:pt>
                <c:pt idx="3">
                  <c:v>0.19985418082344089</c:v>
                </c:pt>
                <c:pt idx="4">
                  <c:v>0.2481143331975901</c:v>
                </c:pt>
                <c:pt idx="5">
                  <c:v>0.29021198857896902</c:v>
                </c:pt>
                <c:pt idx="6">
                  <c:v>0.32728906282287923</c:v>
                </c:pt>
                <c:pt idx="7">
                  <c:v>0.36022278002875707</c:v>
                </c:pt>
                <c:pt idx="8">
                  <c:v>0.38969815668895791</c:v>
                </c:pt>
                <c:pt idx="9">
                  <c:v>0.41625790345119007</c:v>
                </c:pt>
                <c:pt idx="10">
                  <c:v>0.4403375474519084</c:v>
                </c:pt>
                <c:pt idx="11">
                  <c:v>0.4622906417767324</c:v>
                </c:pt>
                <c:pt idx="12">
                  <c:v>0.48240717950382744</c:v>
                </c:pt>
                <c:pt idx="13">
                  <c:v>0.50092725750794354</c:v>
                </c:pt>
                <c:pt idx="14">
                  <c:v>0.51805136074309543</c:v>
                </c:pt>
                <c:pt idx="15">
                  <c:v>0.53394820358219119</c:v>
                </c:pt>
                <c:pt idx="16">
                  <c:v>0.5487607794516044</c:v>
                </c:pt>
                <c:pt idx="17">
                  <c:v>0.56261107886962647</c:v>
                </c:pt>
                <c:pt idx="18">
                  <c:v>0.57560380574091019</c:v>
                </c:pt>
                <c:pt idx="19">
                  <c:v>0.58782933156947981</c:v>
                </c:pt>
                <c:pt idx="20">
                  <c:v>0.59936606388901914</c:v>
                </c:pt>
                <c:pt idx="21">
                  <c:v>0.61028236008906644</c:v>
                </c:pt>
                <c:pt idx="22">
                  <c:v>0.62063808528398845</c:v>
                </c:pt>
                <c:pt idx="23">
                  <c:v>0.6304858891431484</c:v>
                </c:pt>
                <c:pt idx="24">
                  <c:v>0.63987225910590761</c:v>
                </c:pt>
                <c:pt idx="25">
                  <c:v>0.64883839437596647</c:v>
                </c:pt>
                <c:pt idx="26">
                  <c:v>0.65742093529448886</c:v>
                </c:pt>
                <c:pt idx="27">
                  <c:v>0.66565257526243227</c:v>
                </c:pt>
                <c:pt idx="28">
                  <c:v>0.67356257670109609</c:v>
                </c:pt>
                <c:pt idx="29">
                  <c:v>0.68117720816095673</c:v>
                </c:pt>
                <c:pt idx="30">
                  <c:v>0.68852011628883614</c:v>
                </c:pt>
                <c:pt idx="31">
                  <c:v>0.69561264370511222</c:v>
                </c:pt>
                <c:pt idx="32">
                  <c:v>0.70247410175048208</c:v>
                </c:pt>
                <c:pt idx="33">
                  <c:v>0.70912200540489156</c:v>
                </c:pt>
                <c:pt idx="34">
                  <c:v>0.71557227636126219</c:v>
                </c:pt>
                <c:pt idx="35">
                  <c:v>0.72183941917916516</c:v>
                </c:pt>
                <c:pt idx="36">
                  <c:v>0.72793667459184241</c:v>
                </c:pt>
                <c:pt idx="37">
                  <c:v>0.73387615335043654</c:v>
                </c:pt>
                <c:pt idx="38">
                  <c:v>0.7396689534283527</c:v>
                </c:pt>
                <c:pt idx="39">
                  <c:v>0.74532526295021495</c:v>
                </c:pt>
                <c:pt idx="40">
                  <c:v>0.75085445083352653</c:v>
                </c:pt>
                <c:pt idx="41">
                  <c:v>0.75626514682086599</c:v>
                </c:pt>
                <c:pt idx="42">
                  <c:v>0.7615653123236078</c:v>
                </c:pt>
                <c:pt idx="43">
                  <c:v>0.76676230328472039</c:v>
                </c:pt>
                <c:pt idx="44">
                  <c:v>0.77186292609015539</c:v>
                </c:pt>
                <c:pt idx="45">
                  <c:v>0.77687348740930362</c:v>
                </c:pt>
                <c:pt idx="46">
                  <c:v>0.78179983871979952</c:v>
                </c:pt>
                <c:pt idx="47">
                  <c:v>0.78664741616643108</c:v>
                </c:pt>
                <c:pt idx="48">
                  <c:v>0.7914212763146995</c:v>
                </c:pt>
                <c:pt idx="49">
                  <c:v>0.79612612828390195</c:v>
                </c:pt>
                <c:pt idx="50">
                  <c:v>0.80076636268024393</c:v>
                </c:pt>
                <c:pt idx="51">
                  <c:v>0.80534607769557787</c:v>
                </c:pt>
                <c:pt idx="52">
                  <c:v>0.80986910269039125</c:v>
                </c:pt>
                <c:pt idx="53">
                  <c:v>0.81433901953937748</c:v>
                </c:pt>
                <c:pt idx="54">
                  <c:v>0.81875918198327302</c:v>
                </c:pt>
                <c:pt idx="55">
                  <c:v>0.82313273320077995</c:v>
                </c:pt>
                <c:pt idx="56">
                  <c:v>0.82746262178857488</c:v>
                </c:pt>
                <c:pt idx="57">
                  <c:v>0.83175161631504935</c:v>
                </c:pt>
                <c:pt idx="58">
                  <c:v>0.83600231859401875</c:v>
                </c:pt>
                <c:pt idx="59">
                  <c:v>0.84021717580774125</c:v>
                </c:pt>
                <c:pt idx="60">
                  <c:v>0.84439849159387104</c:v>
                </c:pt>
                <c:pt idx="61">
                  <c:v>0.84854843619809805</c:v>
                </c:pt>
                <c:pt idx="62">
                  <c:v>0.8526690557829667</c:v>
                </c:pt>
                <c:pt idx="63">
                  <c:v>0.85676228097348572</c:v>
                </c:pt>
                <c:pt idx="64">
                  <c:v>0.86082993471145752</c:v>
                </c:pt>
                <c:pt idx="65">
                  <c:v>0.8648737394828121</c:v>
                </c:pt>
                <c:pt idx="66">
                  <c:v>0.86889532397548963</c:v>
                </c:pt>
                <c:pt idx="67">
                  <c:v>0.87289622921945453</c:v>
                </c:pt>
                <c:pt idx="68">
                  <c:v>0.87687791425516126</c:v>
                </c:pt>
                <c:pt idx="69">
                  <c:v>0.88084176137210302</c:v>
                </c:pt>
                <c:pt idx="70">
                  <c:v>0.88478908095494502</c:v>
                </c:pt>
                <c:pt idx="71">
                  <c:v>0.88872111597103476</c:v>
                </c:pt>
                <c:pt idx="72">
                  <c:v>0.89263904612981138</c:v>
                </c:pt>
                <c:pt idx="73">
                  <c:v>0.89654399174169208</c:v>
                </c:pt>
                <c:pt idx="74">
                  <c:v>0.90043701730140713</c:v>
                </c:pt>
                <c:pt idx="75">
                  <c:v>0.90431913481840331</c:v>
                </c:pt>
                <c:pt idx="76">
                  <c:v>0.90819130691484407</c:v>
                </c:pt>
                <c:pt idx="77">
                  <c:v>0.91205444970985294</c:v>
                </c:pt>
                <c:pt idx="78">
                  <c:v>0.91590943550695403</c:v>
                </c:pt>
                <c:pt idx="79">
                  <c:v>0.91975709530014826</c:v>
                </c:pt>
                <c:pt idx="80">
                  <c:v>0.92359822111269363</c:v>
                </c:pt>
                <c:pt idx="81">
                  <c:v>0.92743356818142697</c:v>
                </c:pt>
                <c:pt idx="82">
                  <c:v>0.93126385699834846</c:v>
                </c:pt>
                <c:pt idx="83">
                  <c:v>0.9350897752201911</c:v>
                </c:pt>
                <c:pt idx="84">
                  <c:v>0.9389119794557802</c:v>
                </c:pt>
                <c:pt idx="85">
                  <c:v>0.94273109694017243</c:v>
                </c:pt>
                <c:pt idx="86">
                  <c:v>0.94654772710381052</c:v>
                </c:pt>
                <c:pt idx="87">
                  <c:v>0.95036244304425666</c:v>
                </c:pt>
                <c:pt idx="88">
                  <c:v>0.95417579290745214</c:v>
                </c:pt>
                <c:pt idx="89">
                  <c:v>0.95798830118488709</c:v>
                </c:pt>
                <c:pt idx="90">
                  <c:v>0.96180046993255996</c:v>
                </c:pt>
                <c:pt idx="91">
                  <c:v>0.96561277991714034</c:v>
                </c:pt>
                <c:pt idx="92">
                  <c:v>0.96942569169432113</c:v>
                </c:pt>
                <c:pt idx="93">
                  <c:v>0.97323964662396834</c:v>
                </c:pt>
                <c:pt idx="94">
                  <c:v>0.97705506782631546</c:v>
                </c:pt>
                <c:pt idx="95">
                  <c:v>0.98087236108313147</c:v>
                </c:pt>
                <c:pt idx="96">
                  <c:v>0.98469191568749126</c:v>
                </c:pt>
                <c:pt idx="97">
                  <c:v>0.98851410524551586</c:v>
                </c:pt>
                <c:pt idx="98">
                  <c:v>0.99233928843318586</c:v>
                </c:pt>
                <c:pt idx="99">
                  <c:v>0.99616780971112162</c:v>
                </c:pt>
              </c:numCache>
            </c:numRef>
          </c:xVal>
          <c:yVal>
            <c:numRef>
              <c:f>'13.32b'!$T$3:$T$102</c:f>
              <c:numCache>
                <c:formatCode>General</c:formatCode>
                <c:ptCount val="100"/>
                <c:pt idx="0">
                  <c:v>19.952999999999999</c:v>
                </c:pt>
                <c:pt idx="1">
                  <c:v>21.432572083175028</c:v>
                </c:pt>
                <c:pt idx="2">
                  <c:v>22.850360715873759</c:v>
                </c:pt>
                <c:pt idx="3">
                  <c:v>24.210307992841408</c:v>
                </c:pt>
                <c:pt idx="4">
                  <c:v>25.516080770326102</c:v>
                </c:pt>
                <c:pt idx="5">
                  <c:v>26.771092148849068</c:v>
                </c:pt>
                <c:pt idx="6">
                  <c:v>27.978521106249332</c:v>
                </c:pt>
                <c:pt idx="7">
                  <c:v>29.141330454613005</c:v>
                </c:pt>
                <c:pt idx="8">
                  <c:v>30.262283277101318</c:v>
                </c:pt>
                <c:pt idx="9">
                  <c:v>31.343957985006888</c:v>
                </c:pt>
                <c:pt idx="10">
                  <c:v>32.388762121372935</c:v>
                </c:pt>
                <c:pt idx="11">
                  <c:v>33.398945025011585</c:v>
                </c:pt>
                <c:pt idx="12">
                  <c:v>34.376609457584578</c:v>
                </c:pt>
                <c:pt idx="13">
                  <c:v>35.323722286412711</c:v>
                </c:pt>
                <c:pt idx="14">
                  <c:v>36.242124306727504</c:v>
                </c:pt>
                <c:pt idx="15">
                  <c:v>37.133539279053799</c:v>
                </c:pt>
                <c:pt idx="16">
                  <c:v>37.999582250212164</c:v>
                </c:pt>
                <c:pt idx="17">
                  <c:v>38.84176721996549</c:v>
                </c:pt>
                <c:pt idx="18">
                  <c:v>39.661514209524356</c:v>
                </c:pt>
                <c:pt idx="19">
                  <c:v>40.460155782900102</c:v>
                </c:pt>
                <c:pt idx="20">
                  <c:v>41.238943067390572</c:v>
                </c:pt>
                <c:pt idx="21">
                  <c:v>41.999051315245225</c:v>
                </c:pt>
                <c:pt idx="22">
                  <c:v>42.741585044735359</c:v>
                </c:pt>
                <c:pt idx="23">
                  <c:v>43.467582795406571</c:v>
                </c:pt>
                <c:pt idx="24">
                  <c:v>44.178021529176732</c:v>
                </c:pt>
                <c:pt idx="25">
                  <c:v>44.873820706128114</c:v>
                </c:pt>
                <c:pt idx="26">
                  <c:v>45.555846061296833</c:v>
                </c:pt>
                <c:pt idx="27">
                  <c:v>46.224913106458445</c:v>
                </c:pt>
                <c:pt idx="28">
                  <c:v>46.881790378821272</c:v>
                </c:pt>
                <c:pt idx="29">
                  <c:v>47.527202456647089</c:v>
                </c:pt>
                <c:pt idx="30">
                  <c:v>48.161832760102357</c:v>
                </c:pt>
                <c:pt idx="31">
                  <c:v>48.786326154085025</c:v>
                </c:pt>
                <c:pt idx="32">
                  <c:v>49.401291368356326</c:v>
                </c:pt>
                <c:pt idx="33">
                  <c:v>50.007303249020609</c:v>
                </c:pt>
                <c:pt idx="34">
                  <c:v>50.604904854225033</c:v>
                </c:pt>
                <c:pt idx="35">
                  <c:v>51.194609405886141</c:v>
                </c:pt>
                <c:pt idx="36">
                  <c:v>51.776902108278961</c:v>
                </c:pt>
                <c:pt idx="37">
                  <c:v>52.352241843439913</c:v>
                </c:pt>
                <c:pt idx="38">
                  <c:v>52.921062752527781</c:v>
                </c:pt>
                <c:pt idx="39">
                  <c:v>53.483775711550116</c:v>
                </c:pt>
                <c:pt idx="40">
                  <c:v>54.040769709190265</c:v>
                </c:pt>
                <c:pt idx="41">
                  <c:v>54.592413133854926</c:v>
                </c:pt>
                <c:pt idx="42">
                  <c:v>55.13905497650051</c:v>
                </c:pt>
                <c:pt idx="43">
                  <c:v>55.681025955281818</c:v>
                </c:pt>
                <c:pt idx="44">
                  <c:v>56.218639567596107</c:v>
                </c:pt>
                <c:pt idx="45">
                  <c:v>56.752193074663715</c:v>
                </c:pt>
                <c:pt idx="46">
                  <c:v>57.281968423391803</c:v>
                </c:pt>
                <c:pt idx="47">
                  <c:v>57.808233109904087</c:v>
                </c:pt>
                <c:pt idx="48">
                  <c:v>58.331240988787741</c:v>
                </c:pt>
                <c:pt idx="49">
                  <c:v>58.851233031802479</c:v>
                </c:pt>
                <c:pt idx="50">
                  <c:v>59.368438039516001</c:v>
                </c:pt>
                <c:pt idx="51">
                  <c:v>59.883073309072628</c:v>
                </c:pt>
                <c:pt idx="52">
                  <c:v>60.395345261063973</c:v>
                </c:pt>
                <c:pt idx="53">
                  <c:v>60.905450028252361</c:v>
                </c:pt>
                <c:pt idx="54">
                  <c:v>61.413574008696742</c:v>
                </c:pt>
                <c:pt idx="55">
                  <c:v>61.919894385645506</c:v>
                </c:pt>
                <c:pt idx="56">
                  <c:v>62.424579616390091</c:v>
                </c:pt>
                <c:pt idx="57">
                  <c:v>62.927789892115356</c:v>
                </c:pt>
                <c:pt idx="58">
                  <c:v>63.429677570638241</c:v>
                </c:pt>
                <c:pt idx="59">
                  <c:v>63.930387583791514</c:v>
                </c:pt>
                <c:pt idx="60">
                  <c:v>64.43005782108591</c:v>
                </c:pt>
                <c:pt idx="61">
                  <c:v>64.928819491169463</c:v>
                </c:pt>
                <c:pt idx="62">
                  <c:v>65.426797462497206</c:v>
                </c:pt>
                <c:pt idx="63">
                  <c:v>65.924110584526474</c:v>
                </c:pt>
                <c:pt idx="64">
                  <c:v>66.420871990662619</c:v>
                </c:pt>
                <c:pt idx="65">
                  <c:v>66.917189384096062</c:v>
                </c:pt>
                <c:pt idx="66">
                  <c:v>67.413165307594227</c:v>
                </c:pt>
                <c:pt idx="67">
                  <c:v>67.908897398239816</c:v>
                </c:pt>
                <c:pt idx="68">
                  <c:v>68.404478628040152</c:v>
                </c:pt>
                <c:pt idx="69">
                  <c:v>68.89999753127087</c:v>
                </c:pt>
                <c:pt idx="70">
                  <c:v>69.395538419359397</c:v>
                </c:pt>
                <c:pt idx="71">
                  <c:v>69.891181584060831</c:v>
                </c:pt>
                <c:pt idx="72">
                  <c:v>70.387003489629109</c:v>
                </c:pt>
                <c:pt idx="73">
                  <c:v>70.883076954640671</c:v>
                </c:pt>
                <c:pt idx="74">
                  <c:v>71.379471324084676</c:v>
                </c:pt>
                <c:pt idx="75">
                  <c:v>71.876252632294893</c:v>
                </c:pt>
                <c:pt idx="76">
                  <c:v>72.373483757260573</c:v>
                </c:pt>
                <c:pt idx="77">
                  <c:v>72.87122456681999</c:v>
                </c:pt>
                <c:pt idx="78">
                  <c:v>73.369532057207778</c:v>
                </c:pt>
                <c:pt idx="79">
                  <c:v>73.868460484397829</c:v>
                </c:pt>
                <c:pt idx="80">
                  <c:v>74.368061488655599</c:v>
                </c:pt>
                <c:pt idx="81">
                  <c:v>74.868384212687417</c:v>
                </c:pt>
                <c:pt idx="82">
                  <c:v>75.369475413751132</c:v>
                </c:pt>
                <c:pt idx="83">
                  <c:v>75.871379570068953</c:v>
                </c:pt>
                <c:pt idx="84">
                  <c:v>76.374138981863013</c:v>
                </c:pt>
                <c:pt idx="85">
                  <c:v>76.877793867314182</c:v>
                </c:pt>
                <c:pt idx="86">
                  <c:v>77.382382453726663</c:v>
                </c:pt>
                <c:pt idx="87">
                  <c:v>77.887941064163698</c:v>
                </c:pt>
                <c:pt idx="88">
                  <c:v>78.394504199803208</c:v>
                </c:pt>
                <c:pt idx="89">
                  <c:v>78.902104618248373</c:v>
                </c:pt>
                <c:pt idx="90">
                  <c:v>79.410773408012986</c:v>
                </c:pt>
                <c:pt idx="91">
                  <c:v>79.920540059388969</c:v>
                </c:pt>
                <c:pt idx="92">
                  <c:v>80.431432531891431</c:v>
                </c:pt>
                <c:pt idx="93">
                  <c:v>80.943477318464275</c:v>
                </c:pt>
                <c:pt idx="94">
                  <c:v>81.456699506619799</c:v>
                </c:pt>
                <c:pt idx="95">
                  <c:v>81.97112283667451</c:v>
                </c:pt>
                <c:pt idx="96">
                  <c:v>82.486769757235066</c:v>
                </c:pt>
                <c:pt idx="97">
                  <c:v>83.00366147807857</c:v>
                </c:pt>
                <c:pt idx="98">
                  <c:v>83.521818020563501</c:v>
                </c:pt>
                <c:pt idx="99">
                  <c:v>84.041258265699909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F-4EE2-AB84-0E275ADD4E2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'13.32b'!$C$3:$C$14</c:f>
              <c:numCache>
                <c:formatCode>General</c:formatCode>
                <c:ptCount val="12"/>
                <c:pt idx="0">
                  <c:v>0</c:v>
                </c:pt>
                <c:pt idx="1">
                  <c:v>0.1686</c:v>
                </c:pt>
                <c:pt idx="2">
                  <c:v>0.2167</c:v>
                </c:pt>
                <c:pt idx="3">
                  <c:v>0.3039</c:v>
                </c:pt>
                <c:pt idx="4">
                  <c:v>0.36809999999999998</c:v>
                </c:pt>
                <c:pt idx="5">
                  <c:v>0.4461</c:v>
                </c:pt>
                <c:pt idx="6">
                  <c:v>0.5282</c:v>
                </c:pt>
                <c:pt idx="7">
                  <c:v>0.60440000000000005</c:v>
                </c:pt>
                <c:pt idx="8">
                  <c:v>0.6804</c:v>
                </c:pt>
                <c:pt idx="9">
                  <c:v>0.72550000000000003</c:v>
                </c:pt>
                <c:pt idx="10">
                  <c:v>0.77759999999999996</c:v>
                </c:pt>
                <c:pt idx="11">
                  <c:v>1</c:v>
                </c:pt>
              </c:numCache>
            </c:numRef>
          </c:xVal>
          <c:yVal>
            <c:numRef>
              <c:f>'13.32b'!$B$3:$B$14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F-4EE2-AB84-0E275ADD4E22}"/>
            </c:ext>
          </c:extLst>
        </c:ser>
        <c:ser>
          <c:idx val="3"/>
          <c:order val="3"/>
          <c:tx>
            <c:strRef>
              <c:f>'13.32b'!$D$3:$D$14</c:f>
              <c:strCache>
                <c:ptCount val="12"/>
                <c:pt idx="0">
                  <c:v>0</c:v>
                </c:pt>
                <c:pt idx="1">
                  <c:v>0.5714</c:v>
                </c:pt>
                <c:pt idx="2">
                  <c:v>0.6268</c:v>
                </c:pt>
                <c:pt idx="3">
                  <c:v>0.6943</c:v>
                </c:pt>
                <c:pt idx="4">
                  <c:v>0.7345</c:v>
                </c:pt>
                <c:pt idx="5">
                  <c:v>0.7742</c:v>
                </c:pt>
                <c:pt idx="6">
                  <c:v>0.8085</c:v>
                </c:pt>
                <c:pt idx="7">
                  <c:v>0.8383</c:v>
                </c:pt>
                <c:pt idx="8">
                  <c:v>0.8733</c:v>
                </c:pt>
                <c:pt idx="9">
                  <c:v>0.8922</c:v>
                </c:pt>
                <c:pt idx="10">
                  <c:v>0.9141</c:v>
                </c:pt>
                <c:pt idx="11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'13.32b'!$D$3:$D$14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0.57140000000000002</c:v>
                </c:pt>
                <c:pt idx="2">
                  <c:v>0.62680000000000002</c:v>
                </c:pt>
                <c:pt idx="3">
                  <c:v>0.69430000000000003</c:v>
                </c:pt>
                <c:pt idx="4">
                  <c:v>0.73450000000000004</c:v>
                </c:pt>
                <c:pt idx="5">
                  <c:v>0.7742</c:v>
                </c:pt>
                <c:pt idx="6">
                  <c:v>0.8085</c:v>
                </c:pt>
                <c:pt idx="7">
                  <c:v>0.83830000000000005</c:v>
                </c:pt>
                <c:pt idx="8">
                  <c:v>0.87329999999999997</c:v>
                </c:pt>
                <c:pt idx="9">
                  <c:v>0.89219999999999999</c:v>
                </c:pt>
                <c:pt idx="10">
                  <c:v>0.91410000000000002</c:v>
                </c:pt>
                <c:pt idx="11">
                  <c:v>1</c:v>
                </c:pt>
              </c:numCache>
            </c:numRef>
          </c:xVal>
          <c:yVal>
            <c:numRef>
              <c:f>'13.32b'!$B$3:$B$14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F-4EE2-AB84-0E275ADD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44272"/>
        <c:axId val="72138032"/>
      </c:scatterChart>
      <c:valAx>
        <c:axId val="72144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x1/y1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8032"/>
        <c:crosses val="autoZero"/>
        <c:crossBetween val="midCat"/>
      </c:valAx>
      <c:valAx>
        <c:axId val="721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</a:t>
            </a:r>
            <a:r>
              <a:rPr lang="en-US" baseline="0"/>
              <a:t>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'13.32c'!$Q$3:$Q$103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'13.32c'!$U$3:$U$103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21.448994615636007</c:v>
                </c:pt>
                <c:pt idx="2">
                  <c:v>22.879892051702583</c:v>
                </c:pt>
                <c:pt idx="3">
                  <c:v>24.250203435553839</c:v>
                </c:pt>
                <c:pt idx="4">
                  <c:v>25.56408191014836</c:v>
                </c:pt>
                <c:pt idx="5">
                  <c:v>26.825355311253066</c:v>
                </c:pt>
                <c:pt idx="6">
                  <c:v>28.037555487397693</c:v>
                </c:pt>
                <c:pt idx="7">
                  <c:v>29.203944644669587</c:v>
                </c:pt>
                <c:pt idx="8">
                  <c:v>30.327539050857435</c:v>
                </c:pt>
                <c:pt idx="9">
                  <c:v>31.411130392291238</c:v>
                </c:pt>
                <c:pt idx="10">
                  <c:v>32.457305041052429</c:v>
                </c:pt>
                <c:pt idx="11">
                  <c:v>33.468461459256815</c:v>
                </c:pt>
                <c:pt idx="12">
                  <c:v>34.446825940177533</c:v>
                </c:pt>
                <c:pt idx="13">
                  <c:v>35.394466862509326</c:v>
                </c:pt>
                <c:pt idx="14">
                  <c:v>36.31330761359952</c:v>
                </c:pt>
                <c:pt idx="15">
                  <c:v>37.205138319574615</c:v>
                </c:pt>
                <c:pt idx="16">
                  <c:v>38.071626504624831</c:v>
                </c:pt>
                <c:pt idx="17">
                  <c:v>38.914326787973422</c:v>
                </c:pt>
                <c:pt idx="18">
                  <c:v>39.73468971499716</c:v>
                </c:pt>
                <c:pt idx="19">
                  <c:v>40.534069808358566</c:v>
                </c:pt>
                <c:pt idx="20">
                  <c:v>41.31373291567067</c:v>
                </c:pt>
                <c:pt idx="21">
                  <c:v>42.074862921979147</c:v>
                </c:pt>
                <c:pt idx="22">
                  <c:v>42.818567888072579</c:v>
                </c:pt>
                <c:pt idx="23">
                  <c:v>43.545885669200231</c:v>
                </c:pt>
                <c:pt idx="24">
                  <c:v>44.257789063081084</c:v>
                </c:pt>
                <c:pt idx="25">
                  <c:v>44.955190531039136</c:v>
                </c:pt>
                <c:pt idx="26">
                  <c:v>45.638946531616682</c:v>
                </c:pt>
                <c:pt idx="27">
                  <c:v>46.309861502033577</c:v>
                </c:pt>
                <c:pt idx="28">
                  <c:v>46.968691519314831</c:v>
                </c:pt>
                <c:pt idx="29">
                  <c:v>47.616147669749196</c:v>
                </c:pt>
                <c:pt idx="30">
                  <c:v>48.252899152523824</c:v>
                </c:pt>
                <c:pt idx="31">
                  <c:v>48.87957614086308</c:v>
                </c:pt>
                <c:pt idx="32">
                  <c:v>49.496772421749526</c:v>
                </c:pt>
                <c:pt idx="33">
                  <c:v>50.105047833290961</c:v>
                </c:pt>
                <c:pt idx="34">
                  <c:v>50.70493051699296</c:v>
                </c:pt>
                <c:pt idx="35">
                  <c:v>51.296919000577475</c:v>
                </c:pt>
                <c:pt idx="36">
                  <c:v>51.881484125534811</c:v>
                </c:pt>
                <c:pt idx="37">
                  <c:v>52.459070832289441</c:v>
                </c:pt>
                <c:pt idx="38">
                  <c:v>53.030099814685087</c:v>
                </c:pt>
                <c:pt idx="39">
                  <c:v>53.594969054435616</c:v>
                </c:pt>
                <c:pt idx="40">
                  <c:v>54.154055245233742</c:v>
                </c:pt>
                <c:pt idx="41">
                  <c:v>54.707715115348662</c:v>
                </c:pt>
                <c:pt idx="42">
                  <c:v>55.25628665676544</c:v>
                </c:pt>
                <c:pt idx="43">
                  <c:v>55.800090268216181</c:v>
                </c:pt>
                <c:pt idx="44">
                  <c:v>56.339429818816114</c:v>
                </c:pt>
                <c:pt idx="45">
                  <c:v>56.87459363844215</c:v>
                </c:pt>
                <c:pt idx="46">
                  <c:v>57.405855440468194</c:v>
                </c:pt>
                <c:pt idx="47">
                  <c:v>57.933475181998446</c:v>
                </c:pt>
                <c:pt idx="48">
                  <c:v>58.457699866308737</c:v>
                </c:pt>
                <c:pt idx="49">
                  <c:v>58.978764291815729</c:v>
                </c:pt>
                <c:pt idx="50">
                  <c:v>59.496891751537184</c:v>
                </c:pt>
                <c:pt idx="51">
                  <c:v>60.012294686683518</c:v>
                </c:pt>
                <c:pt idx="52">
                  <c:v>60.525175297725823</c:v>
                </c:pt>
                <c:pt idx="53">
                  <c:v>61.035726116016065</c:v>
                </c:pt>
                <c:pt idx="54">
                  <c:v>61.544130538790682</c:v>
                </c:pt>
                <c:pt idx="55">
                  <c:v>62.050563330164323</c:v>
                </c:pt>
                <c:pt idx="56">
                  <c:v>62.555191090516011</c:v>
                </c:pt>
                <c:pt idx="57">
                  <c:v>63.058172696482785</c:v>
                </c:pt>
                <c:pt idx="58">
                  <c:v>63.55965971360483</c:v>
                </c:pt>
                <c:pt idx="59">
                  <c:v>64.059796783509114</c:v>
                </c:pt>
                <c:pt idx="60">
                  <c:v>64.558721987375108</c:v>
                </c:pt>
                <c:pt idx="61">
                  <c:v>65.056567187294249</c:v>
                </c:pt>
                <c:pt idx="62">
                  <c:v>65.553458347013887</c:v>
                </c:pt>
                <c:pt idx="63">
                  <c:v>66.049515833445867</c:v>
                </c:pt>
                <c:pt idx="64">
                  <c:v>66.54485470021757</c:v>
                </c:pt>
                <c:pt idx="65">
                  <c:v>67.039584954449353</c:v>
                </c:pt>
                <c:pt idx="66">
                  <c:v>67.533811807856651</c:v>
                </c:pt>
                <c:pt idx="67">
                  <c:v>68.027635913195212</c:v>
                </c:pt>
                <c:pt idx="68">
                  <c:v>68.521153586994743</c:v>
                </c:pt>
                <c:pt idx="69">
                  <c:v>69.014457019459414</c:v>
                </c:pt>
                <c:pt idx="70">
                  <c:v>69.50763447235046</c:v>
                </c:pt>
                <c:pt idx="71">
                  <c:v>70.000770465610401</c:v>
                </c:pt>
                <c:pt idx="72">
                  <c:v>70.493945953433467</c:v>
                </c:pt>
                <c:pt idx="73">
                  <c:v>70.987238490439879</c:v>
                </c:pt>
                <c:pt idx="74">
                  <c:v>71.480722388564772</c:v>
                </c:pt>
                <c:pt idx="75">
                  <c:v>71.974468865231941</c:v>
                </c:pt>
                <c:pt idx="76">
                  <c:v>72.468546183343179</c:v>
                </c:pt>
                <c:pt idx="77">
                  <c:v>72.963019783578474</c:v>
                </c:pt>
                <c:pt idx="78">
                  <c:v>73.457952409469073</c:v>
                </c:pt>
                <c:pt idx="79">
                  <c:v>73.953404225674745</c:v>
                </c:pt>
                <c:pt idx="80">
                  <c:v>74.449432929867612</c:v>
                </c:pt>
                <c:pt idx="81">
                  <c:v>74.946093858599525</c:v>
                </c:pt>
                <c:pt idx="82">
                  <c:v>75.44344008750403</c:v>
                </c:pt>
                <c:pt idx="83">
                  <c:v>75.941522526162132</c:v>
                </c:pt>
                <c:pt idx="84">
                  <c:v>76.440390007939598</c:v>
                </c:pt>
                <c:pt idx="85">
                  <c:v>76.940089375083573</c:v>
                </c:pt>
                <c:pt idx="86">
                  <c:v>77.440665559348673</c:v>
                </c:pt>
                <c:pt idx="87">
                  <c:v>77.942161658404629</c:v>
                </c:pt>
                <c:pt idx="88">
                  <c:v>78.444619008262379</c:v>
                </c:pt>
                <c:pt idx="89">
                  <c:v>78.948077251941072</c:v>
                </c:pt>
                <c:pt idx="90">
                  <c:v>79.452574404583331</c:v>
                </c:pt>
                <c:pt idx="91">
                  <c:v>79.958146915214968</c:v>
                </c:pt>
                <c:pt idx="92">
                  <c:v>80.464829725331754</c:v>
                </c:pt>
                <c:pt idx="93">
                  <c:v>80.972656324486081</c:v>
                </c:pt>
                <c:pt idx="94">
                  <c:v>81.481658803034804</c:v>
                </c:pt>
                <c:pt idx="95">
                  <c:v>81.991867902200624</c:v>
                </c:pt>
                <c:pt idx="96">
                  <c:v>82.503313061589523</c:v>
                </c:pt>
                <c:pt idx="97">
                  <c:v>83.016022464299127</c:v>
                </c:pt>
                <c:pt idx="98">
                  <c:v>83.530023079743998</c:v>
                </c:pt>
                <c:pt idx="99">
                  <c:v>84.045340704317212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1-4301-8C93-078C9E1DA5CA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'13.32c'!$V$3:$V$103</c:f>
              <c:numCache>
                <c:formatCode>General</c:formatCode>
                <c:ptCount val="101"/>
                <c:pt idx="0">
                  <c:v>0</c:v>
                </c:pt>
                <c:pt idx="1">
                  <c:v>7.8951404104646711E-2</c:v>
                </c:pt>
                <c:pt idx="2">
                  <c:v>0.14500686695008544</c:v>
                </c:pt>
                <c:pt idx="3">
                  <c:v>0.20114070083085997</c:v>
                </c:pt>
                <c:pt idx="4">
                  <c:v>0.24947913296382332</c:v>
                </c:pt>
                <c:pt idx="5">
                  <c:v>0.29158244934474814</c:v>
                </c:pt>
                <c:pt idx="6">
                  <c:v>0.32862152905695441</c:v>
                </c:pt>
                <c:pt idx="7">
                  <c:v>0.36149218007103423</c:v>
                </c:pt>
                <c:pt idx="8">
                  <c:v>0.3908914253141455</c:v>
                </c:pt>
                <c:pt idx="9">
                  <c:v>0.41736973562607282</c:v>
                </c:pt>
                <c:pt idx="10">
                  <c:v>0.44136761580921324</c:v>
                </c:pt>
                <c:pt idx="11">
                  <c:v>0.46324175210231822</c:v>
                </c:pt>
                <c:pt idx="12">
                  <c:v>0.48328403800306008</c:v>
                </c:pt>
                <c:pt idx="13">
                  <c:v>0.50173564312760222</c:v>
                </c:pt>
                <c:pt idx="14">
                  <c:v>0.5187975691174016</c:v>
                </c:pt>
                <c:pt idx="15">
                  <c:v>0.53463867506414808</c:v>
                </c:pt>
                <c:pt idx="16">
                  <c:v>0.54940185296715094</c:v>
                </c:pt>
                <c:pt idx="17">
                  <c:v>0.56320883232335961</c:v>
                </c:pt>
                <c:pt idx="18">
                  <c:v>0.5761639562082812</c:v>
                </c:pt>
                <c:pt idx="19">
                  <c:v>0.58835717685819855</c:v>
                </c:pt>
                <c:pt idx="20">
                  <c:v>0.59986645269281824</c:v>
                </c:pt>
                <c:pt idx="21">
                  <c:v>0.61075968180997864</c:v>
                </c:pt>
                <c:pt idx="22">
                  <c:v>0.62109627325714056</c:v>
                </c:pt>
                <c:pt idx="23">
                  <c:v>0.63092843284751932</c:v>
                </c:pt>
                <c:pt idx="24">
                  <c:v>0.64030222224128919</c:v>
                </c:pt>
                <c:pt idx="25">
                  <c:v>0.64925843660171723</c:v>
                </c:pt>
                <c:pt idx="26">
                  <c:v>0.6578333360754276</c:v>
                </c:pt>
                <c:pt idx="27">
                  <c:v>0.66605925873056537</c:v>
                </c:pt>
                <c:pt idx="28">
                  <c:v>0.67396513677347003</c:v>
                </c:pt>
                <c:pt idx="29">
                  <c:v>0.68157693339179126</c:v>
                </c:pt>
                <c:pt idx="30">
                  <c:v>0.68891801410491071</c:v>
                </c:pt>
                <c:pt idx="31">
                  <c:v>0.6960094637959926</c:v>
                </c:pt>
                <c:pt idx="32">
                  <c:v>0.70287035847300638</c:v>
                </c:pt>
                <c:pt idx="33">
                  <c:v>0.70951799912396141</c:v>
                </c:pt>
                <c:pt idx="34">
                  <c:v>0.71596811369333713</c:v>
                </c:pt>
                <c:pt idx="35">
                  <c:v>0.72223503213590223</c:v>
                </c:pt>
                <c:pt idx="36">
                  <c:v>0.72833183864270123</c:v>
                </c:pt>
                <c:pt idx="37">
                  <c:v>0.73427050443742248</c:v>
                </c:pt>
                <c:pt idx="38">
                  <c:v>0.74006200397531863</c:v>
                </c:pt>
                <c:pt idx="39">
                  <c:v>0.74571641691471857</c:v>
                </c:pt>
                <c:pt idx="40">
                  <c:v>0.75124301785216863</c:v>
                </c:pt>
                <c:pt idx="41">
                  <c:v>0.75665035550008997</c:v>
                </c:pt>
                <c:pt idx="42">
                  <c:v>0.76194632272767615</c:v>
                </c:pt>
                <c:pt idx="43">
                  <c:v>0.76713821867141663</c:v>
                </c:pt>
                <c:pt idx="44">
                  <c:v>0.77223280394299065</c:v>
                </c:pt>
                <c:pt idx="45">
                  <c:v>0.77723634981285705</c:v>
                </c:pt>
                <c:pt idx="46">
                  <c:v>0.78215468212244121</c:v>
                </c:pt>
                <c:pt idx="47">
                  <c:v>0.78699322057219989</c:v>
                </c:pt>
                <c:pt idx="48">
                  <c:v>0.7917570139435981</c:v>
                </c:pt>
                <c:pt idx="49">
                  <c:v>0.79645077173739498</c:v>
                </c:pt>
                <c:pt idx="50">
                  <c:v>0.80107889264634013</c:v>
                </c:pt>
                <c:pt idx="51">
                  <c:v>0.80564549022556931</c:v>
                </c:pt>
                <c:pt idx="52">
                  <c:v>0.81015441607712457</c:v>
                </c:pt>
                <c:pt idx="53">
                  <c:v>0.81460928082485817</c:v>
                </c:pt>
                <c:pt idx="54">
                  <c:v>0.81901347312145256</c:v>
                </c:pt>
                <c:pt idx="55">
                  <c:v>0.82337017689955283</c:v>
                </c:pt>
                <c:pt idx="56">
                  <c:v>0.8276823870533051</c:v>
                </c:pt>
                <c:pt idx="57">
                  <c:v>0.83195292371436924</c:v>
                </c:pt>
                <c:pt idx="58">
                  <c:v>0.83618444526716362</c:v>
                </c:pt>
                <c:pt idx="59">
                  <c:v>0.84037946023132559</c:v>
                </c:pt>
                <c:pt idx="60">
                  <c:v>0.84454033812474649</c:v>
                </c:pt>
                <c:pt idx="61">
                  <c:v>0.84866931940776336</c:v>
                </c:pt>
                <c:pt idx="62">
                  <c:v>0.85276852459792329</c:v>
                </c:pt>
                <c:pt idx="63">
                  <c:v>0.85683996263492856</c:v>
                </c:pt>
                <c:pt idx="64">
                  <c:v>0.8608855385667713</c:v>
                </c:pt>
                <c:pt idx="65">
                  <c:v>0.86490706062049127</c:v>
                </c:pt>
                <c:pt idx="66">
                  <c:v>0.86890624671430794</c:v>
                </c:pt>
                <c:pt idx="67">
                  <c:v>0.87288473046199</c:v>
                </c:pt>
                <c:pt idx="68">
                  <c:v>0.87684406671510007</c:v>
                </c:pt>
                <c:pt idx="69">
                  <c:v>0.88078573668413651</c:v>
                </c:pt>
                <c:pt idx="70">
                  <c:v>0.88471115267548661</c:v>
                </c:pt>
                <c:pt idx="71">
                  <c:v>0.88862166247746299</c:v>
                </c:pt>
                <c:pt idx="72">
                  <c:v>0.8925185534254465</c:v>
                </c:pt>
                <c:pt idx="73">
                  <c:v>0.89640305617326455</c:v>
                </c:pt>
                <c:pt idx="74">
                  <c:v>0.90027634819534919</c:v>
                </c:pt>
                <c:pt idx="75">
                  <c:v>0.9041395570419104</c:v>
                </c:pt>
                <c:pt idx="76">
                  <c:v>0.90799376336728788</c:v>
                </c:pt>
                <c:pt idx="77">
                  <c:v>0.91184000374979457</c:v>
                </c:pt>
                <c:pt idx="78">
                  <c:v>0.91567927331969334</c:v>
                </c:pt>
                <c:pt idx="79">
                  <c:v>0.91951252821046037</c:v>
                </c:pt>
                <c:pt idx="80">
                  <c:v>0.92334068784713219</c:v>
                </c:pt>
                <c:pt idx="81">
                  <c:v>0.92716463708432661</c:v>
                </c:pt>
                <c:pt idx="82">
                  <c:v>0.93098522820543073</c:v>
                </c:pt>
                <c:pt idx="83">
                  <c:v>0.9348032827934587</c:v>
                </c:pt>
                <c:pt idx="84">
                  <c:v>0.9386195934831898</c:v>
                </c:pt>
                <c:pt idx="85">
                  <c:v>0.94243492560338593</c:v>
                </c:pt>
                <c:pt idx="86">
                  <c:v>0.94625001871715719</c:v>
                </c:pt>
                <c:pt idx="87">
                  <c:v>0.95006558806787267</c:v>
                </c:pt>
                <c:pt idx="88">
                  <c:v>0.9538823259374194</c:v>
                </c:pt>
                <c:pt idx="89">
                  <c:v>0.9577009029230491</c:v>
                </c:pt>
                <c:pt idx="90">
                  <c:v>0.9615219691385688</c:v>
                </c:pt>
                <c:pt idx="91">
                  <c:v>0.96534615534515889</c:v>
                </c:pt>
                <c:pt idx="92">
                  <c:v>0.96917407401670363</c:v>
                </c:pt>
                <c:pt idx="93">
                  <c:v>0.97300632034412715</c:v>
                </c:pt>
                <c:pt idx="94">
                  <c:v>0.97684347318288933</c:v>
                </c:pt>
                <c:pt idx="95">
                  <c:v>0.98068609594747869</c:v>
                </c:pt>
                <c:pt idx="96">
                  <c:v>0.98453473745644715</c:v>
                </c:pt>
                <c:pt idx="97">
                  <c:v>0.98838993273126929</c:v>
                </c:pt>
                <c:pt idx="98">
                  <c:v>0.99225220375206569</c:v>
                </c:pt>
                <c:pt idx="99">
                  <c:v>0.99612206017300542</c:v>
                </c:pt>
                <c:pt idx="100">
                  <c:v>1</c:v>
                </c:pt>
              </c:numCache>
            </c:numRef>
          </c:xVal>
          <c:yVal>
            <c:numRef>
              <c:f>'13.32c'!$U$3:$U$103</c:f>
              <c:numCache>
                <c:formatCode>General</c:formatCode>
                <c:ptCount val="101"/>
                <c:pt idx="0">
                  <c:v>19.952999999999999</c:v>
                </c:pt>
                <c:pt idx="1">
                  <c:v>21.448994615636007</c:v>
                </c:pt>
                <c:pt idx="2">
                  <c:v>22.879892051702583</c:v>
                </c:pt>
                <c:pt idx="3">
                  <c:v>24.250203435553839</c:v>
                </c:pt>
                <c:pt idx="4">
                  <c:v>25.56408191014836</c:v>
                </c:pt>
                <c:pt idx="5">
                  <c:v>26.825355311253066</c:v>
                </c:pt>
                <c:pt idx="6">
                  <c:v>28.037555487397693</c:v>
                </c:pt>
                <c:pt idx="7">
                  <c:v>29.203944644669587</c:v>
                </c:pt>
                <c:pt idx="8">
                  <c:v>30.327539050857435</c:v>
                </c:pt>
                <c:pt idx="9">
                  <c:v>31.411130392291238</c:v>
                </c:pt>
                <c:pt idx="10">
                  <c:v>32.457305041052429</c:v>
                </c:pt>
                <c:pt idx="11">
                  <c:v>33.468461459256815</c:v>
                </c:pt>
                <c:pt idx="12">
                  <c:v>34.446825940177533</c:v>
                </c:pt>
                <c:pt idx="13">
                  <c:v>35.394466862509326</c:v>
                </c:pt>
                <c:pt idx="14">
                  <c:v>36.31330761359952</c:v>
                </c:pt>
                <c:pt idx="15">
                  <c:v>37.205138319574615</c:v>
                </c:pt>
                <c:pt idx="16">
                  <c:v>38.071626504624831</c:v>
                </c:pt>
                <c:pt idx="17">
                  <c:v>38.914326787973422</c:v>
                </c:pt>
                <c:pt idx="18">
                  <c:v>39.73468971499716</c:v>
                </c:pt>
                <c:pt idx="19">
                  <c:v>40.534069808358566</c:v>
                </c:pt>
                <c:pt idx="20">
                  <c:v>41.31373291567067</c:v>
                </c:pt>
                <c:pt idx="21">
                  <c:v>42.074862921979147</c:v>
                </c:pt>
                <c:pt idx="22">
                  <c:v>42.818567888072579</c:v>
                </c:pt>
                <c:pt idx="23">
                  <c:v>43.545885669200231</c:v>
                </c:pt>
                <c:pt idx="24">
                  <c:v>44.257789063081084</c:v>
                </c:pt>
                <c:pt idx="25">
                  <c:v>44.955190531039136</c:v>
                </c:pt>
                <c:pt idx="26">
                  <c:v>45.638946531616682</c:v>
                </c:pt>
                <c:pt idx="27">
                  <c:v>46.309861502033577</c:v>
                </c:pt>
                <c:pt idx="28">
                  <c:v>46.968691519314831</c:v>
                </c:pt>
                <c:pt idx="29">
                  <c:v>47.616147669749196</c:v>
                </c:pt>
                <c:pt idx="30">
                  <c:v>48.252899152523824</c:v>
                </c:pt>
                <c:pt idx="31">
                  <c:v>48.87957614086308</c:v>
                </c:pt>
                <c:pt idx="32">
                  <c:v>49.496772421749526</c:v>
                </c:pt>
                <c:pt idx="33">
                  <c:v>50.105047833290961</c:v>
                </c:pt>
                <c:pt idx="34">
                  <c:v>50.70493051699296</c:v>
                </c:pt>
                <c:pt idx="35">
                  <c:v>51.296919000577475</c:v>
                </c:pt>
                <c:pt idx="36">
                  <c:v>51.881484125534811</c:v>
                </c:pt>
                <c:pt idx="37">
                  <c:v>52.459070832289441</c:v>
                </c:pt>
                <c:pt idx="38">
                  <c:v>53.030099814685087</c:v>
                </c:pt>
                <c:pt idx="39">
                  <c:v>53.594969054435616</c:v>
                </c:pt>
                <c:pt idx="40">
                  <c:v>54.154055245233742</c:v>
                </c:pt>
                <c:pt idx="41">
                  <c:v>54.707715115348662</c:v>
                </c:pt>
                <c:pt idx="42">
                  <c:v>55.25628665676544</c:v>
                </c:pt>
                <c:pt idx="43">
                  <c:v>55.800090268216181</c:v>
                </c:pt>
                <c:pt idx="44">
                  <c:v>56.339429818816114</c:v>
                </c:pt>
                <c:pt idx="45">
                  <c:v>56.87459363844215</c:v>
                </c:pt>
                <c:pt idx="46">
                  <c:v>57.405855440468194</c:v>
                </c:pt>
                <c:pt idx="47">
                  <c:v>57.933475181998446</c:v>
                </c:pt>
                <c:pt idx="48">
                  <c:v>58.457699866308737</c:v>
                </c:pt>
                <c:pt idx="49">
                  <c:v>58.978764291815729</c:v>
                </c:pt>
                <c:pt idx="50">
                  <c:v>59.496891751537184</c:v>
                </c:pt>
                <c:pt idx="51">
                  <c:v>60.012294686683518</c:v>
                </c:pt>
                <c:pt idx="52">
                  <c:v>60.525175297725823</c:v>
                </c:pt>
                <c:pt idx="53">
                  <c:v>61.035726116016065</c:v>
                </c:pt>
                <c:pt idx="54">
                  <c:v>61.544130538790682</c:v>
                </c:pt>
                <c:pt idx="55">
                  <c:v>62.050563330164323</c:v>
                </c:pt>
                <c:pt idx="56">
                  <c:v>62.555191090516011</c:v>
                </c:pt>
                <c:pt idx="57">
                  <c:v>63.058172696482785</c:v>
                </c:pt>
                <c:pt idx="58">
                  <c:v>63.55965971360483</c:v>
                </c:pt>
                <c:pt idx="59">
                  <c:v>64.059796783509114</c:v>
                </c:pt>
                <c:pt idx="60">
                  <c:v>64.558721987375108</c:v>
                </c:pt>
                <c:pt idx="61">
                  <c:v>65.056567187294249</c:v>
                </c:pt>
                <c:pt idx="62">
                  <c:v>65.553458347013887</c:v>
                </c:pt>
                <c:pt idx="63">
                  <c:v>66.049515833445867</c:v>
                </c:pt>
                <c:pt idx="64">
                  <c:v>66.54485470021757</c:v>
                </c:pt>
                <c:pt idx="65">
                  <c:v>67.039584954449353</c:v>
                </c:pt>
                <c:pt idx="66">
                  <c:v>67.533811807856651</c:v>
                </c:pt>
                <c:pt idx="67">
                  <c:v>68.027635913195212</c:v>
                </c:pt>
                <c:pt idx="68">
                  <c:v>68.521153586994743</c:v>
                </c:pt>
                <c:pt idx="69">
                  <c:v>69.014457019459414</c:v>
                </c:pt>
                <c:pt idx="70">
                  <c:v>69.50763447235046</c:v>
                </c:pt>
                <c:pt idx="71">
                  <c:v>70.000770465610401</c:v>
                </c:pt>
                <c:pt idx="72">
                  <c:v>70.493945953433467</c:v>
                </c:pt>
                <c:pt idx="73">
                  <c:v>70.987238490439879</c:v>
                </c:pt>
                <c:pt idx="74">
                  <c:v>71.480722388564772</c:v>
                </c:pt>
                <c:pt idx="75">
                  <c:v>71.974468865231941</c:v>
                </c:pt>
                <c:pt idx="76">
                  <c:v>72.468546183343179</c:v>
                </c:pt>
                <c:pt idx="77">
                  <c:v>72.963019783578474</c:v>
                </c:pt>
                <c:pt idx="78">
                  <c:v>73.457952409469073</c:v>
                </c:pt>
                <c:pt idx="79">
                  <c:v>73.953404225674745</c:v>
                </c:pt>
                <c:pt idx="80">
                  <c:v>74.449432929867612</c:v>
                </c:pt>
                <c:pt idx="81">
                  <c:v>74.946093858599525</c:v>
                </c:pt>
                <c:pt idx="82">
                  <c:v>75.44344008750403</c:v>
                </c:pt>
                <c:pt idx="83">
                  <c:v>75.941522526162132</c:v>
                </c:pt>
                <c:pt idx="84">
                  <c:v>76.440390007939598</c:v>
                </c:pt>
                <c:pt idx="85">
                  <c:v>76.940089375083573</c:v>
                </c:pt>
                <c:pt idx="86">
                  <c:v>77.440665559348673</c:v>
                </c:pt>
                <c:pt idx="87">
                  <c:v>77.942161658404629</c:v>
                </c:pt>
                <c:pt idx="88">
                  <c:v>78.444619008262379</c:v>
                </c:pt>
                <c:pt idx="89">
                  <c:v>78.948077251941072</c:v>
                </c:pt>
                <c:pt idx="90">
                  <c:v>79.452574404583331</c:v>
                </c:pt>
                <c:pt idx="91">
                  <c:v>79.958146915214968</c:v>
                </c:pt>
                <c:pt idx="92">
                  <c:v>80.464829725331754</c:v>
                </c:pt>
                <c:pt idx="93">
                  <c:v>80.972656324486081</c:v>
                </c:pt>
                <c:pt idx="94">
                  <c:v>81.481658803034804</c:v>
                </c:pt>
                <c:pt idx="95">
                  <c:v>81.991867902200624</c:v>
                </c:pt>
                <c:pt idx="96">
                  <c:v>82.503313061589523</c:v>
                </c:pt>
                <c:pt idx="97">
                  <c:v>83.016022464299127</c:v>
                </c:pt>
                <c:pt idx="98">
                  <c:v>83.530023079743998</c:v>
                </c:pt>
                <c:pt idx="99">
                  <c:v>84.045340704317212</c:v>
                </c:pt>
                <c:pt idx="100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1-4301-8C93-078C9E1DA5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'13.32c'!$C$3:$C$14</c:f>
              <c:numCache>
                <c:formatCode>General</c:formatCode>
                <c:ptCount val="12"/>
                <c:pt idx="0">
                  <c:v>0</c:v>
                </c:pt>
                <c:pt idx="1">
                  <c:v>0.1686</c:v>
                </c:pt>
                <c:pt idx="2">
                  <c:v>0.2167</c:v>
                </c:pt>
                <c:pt idx="3">
                  <c:v>0.3039</c:v>
                </c:pt>
                <c:pt idx="4">
                  <c:v>0.36809999999999998</c:v>
                </c:pt>
                <c:pt idx="5">
                  <c:v>0.4461</c:v>
                </c:pt>
                <c:pt idx="6">
                  <c:v>0.5282</c:v>
                </c:pt>
                <c:pt idx="7">
                  <c:v>0.60440000000000005</c:v>
                </c:pt>
                <c:pt idx="8">
                  <c:v>0.6804</c:v>
                </c:pt>
                <c:pt idx="9">
                  <c:v>0.72550000000000003</c:v>
                </c:pt>
                <c:pt idx="10">
                  <c:v>0.77759999999999996</c:v>
                </c:pt>
                <c:pt idx="11">
                  <c:v>1</c:v>
                </c:pt>
              </c:numCache>
            </c:numRef>
          </c:xVal>
          <c:yVal>
            <c:numRef>
              <c:f>'13.32c'!$B$3:$B$14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1-4301-8C93-078C9E1DA5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'13.32c'!$D$3:$D$14</c:f>
              <c:numCache>
                <c:formatCode>General</c:formatCode>
                <c:ptCount val="12"/>
                <c:pt idx="0">
                  <c:v>0</c:v>
                </c:pt>
                <c:pt idx="1">
                  <c:v>0.57140000000000002</c:v>
                </c:pt>
                <c:pt idx="2">
                  <c:v>0.62680000000000002</c:v>
                </c:pt>
                <c:pt idx="3">
                  <c:v>0.69430000000000003</c:v>
                </c:pt>
                <c:pt idx="4">
                  <c:v>0.73450000000000004</c:v>
                </c:pt>
                <c:pt idx="5">
                  <c:v>0.7742</c:v>
                </c:pt>
                <c:pt idx="6">
                  <c:v>0.8085</c:v>
                </c:pt>
                <c:pt idx="7">
                  <c:v>0.83830000000000005</c:v>
                </c:pt>
                <c:pt idx="8">
                  <c:v>0.87329999999999997</c:v>
                </c:pt>
                <c:pt idx="9">
                  <c:v>0.89219999999999999</c:v>
                </c:pt>
                <c:pt idx="10">
                  <c:v>0.91410000000000002</c:v>
                </c:pt>
                <c:pt idx="11">
                  <c:v>1</c:v>
                </c:pt>
              </c:numCache>
            </c:numRef>
          </c:xVal>
          <c:yVal>
            <c:numRef>
              <c:f>'13.32c'!$B$3:$B$14</c:f>
              <c:numCache>
                <c:formatCode>General</c:formatCode>
                <c:ptCount val="12"/>
                <c:pt idx="0">
                  <c:v>19.952999999999999</c:v>
                </c:pt>
                <c:pt idx="1">
                  <c:v>39.222999999999999</c:v>
                </c:pt>
                <c:pt idx="2">
                  <c:v>42.984000000000002</c:v>
                </c:pt>
                <c:pt idx="3">
                  <c:v>48.851999999999997</c:v>
                </c:pt>
                <c:pt idx="4">
                  <c:v>52.783999999999999</c:v>
                </c:pt>
                <c:pt idx="5">
                  <c:v>56.652000000000001</c:v>
                </c:pt>
                <c:pt idx="6">
                  <c:v>60.613999999999997</c:v>
                </c:pt>
                <c:pt idx="7">
                  <c:v>63.997999999999998</c:v>
                </c:pt>
                <c:pt idx="8">
                  <c:v>67.924000000000007</c:v>
                </c:pt>
                <c:pt idx="9">
                  <c:v>70.228999999999999</c:v>
                </c:pt>
                <c:pt idx="10">
                  <c:v>72.831999999999994</c:v>
                </c:pt>
                <c:pt idx="11">
                  <c:v>84.561999999999998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71-4301-8C93-078C9E1D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50240"/>
        <c:axId val="194251200"/>
      </c:scatterChart>
      <c:valAx>
        <c:axId val="194250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1200"/>
        <c:crosses val="autoZero"/>
        <c:crossBetween val="midCat"/>
      </c:valAx>
      <c:valAx>
        <c:axId val="1942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1.png"/><Relationship Id="rId7" Type="http://schemas.openxmlformats.org/officeDocument/2006/relationships/image" Target="../media/image14.png"/><Relationship Id="rId2" Type="http://schemas.openxmlformats.org/officeDocument/2006/relationships/image" Target="../media/image1.png"/><Relationship Id="rId1" Type="http://schemas.openxmlformats.org/officeDocument/2006/relationships/image" Target="../media/image10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5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236220</xdr:colOff>
      <xdr:row>15</xdr:row>
      <xdr:rowOff>129540</xdr:rowOff>
    </xdr:from>
    <xdr:to>
      <xdr:col>8</xdr:col>
      <xdr:colOff>304800</xdr:colOff>
      <xdr:row>18</xdr:row>
      <xdr:rowOff>76269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420" y="2872740"/>
          <a:ext cx="3726180" cy="495369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19</xdr:row>
      <xdr:rowOff>11430</xdr:rowOff>
    </xdr:from>
    <xdr:to>
      <xdr:col>9</xdr:col>
      <xdr:colOff>266700</xdr:colOff>
      <xdr:row>34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426720</xdr:colOff>
      <xdr:row>15</xdr:row>
      <xdr:rowOff>167640</xdr:rowOff>
    </xdr:from>
    <xdr:to>
      <xdr:col>13</xdr:col>
      <xdr:colOff>446040</xdr:colOff>
      <xdr:row>20</xdr:row>
      <xdr:rowOff>43925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2720" y="2910840"/>
          <a:ext cx="1933845" cy="790685"/>
        </a:xfrm>
        <a:prstGeom prst="rect">
          <a:avLst/>
        </a:prstGeom>
      </xdr:spPr>
    </xdr:pic>
    <xdr:clientData/>
  </xdr:twoCellAnchor>
  <xdr:oneCellAnchor>
    <xdr:from>
      <xdr:col>11</xdr:col>
      <xdr:colOff>127635</xdr:colOff>
      <xdr:row>24</xdr:row>
      <xdr:rowOff>109537</xdr:rowOff>
    </xdr:from>
    <xdr:ext cx="1311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833235" y="4498657"/>
              <a:ext cx="1311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FEEC1-EBA1-39FA-E7FC-3E325079CAA2}"/>
                </a:ext>
              </a:extLst>
            </xdr:cNvPr>
            <xdr:cNvSpPr txBox="1"/>
          </xdr:nvSpPr>
          <xdr:spPr>
            <a:xfrm>
              <a:off x="6833235" y="4498657"/>
              <a:ext cx="1311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𝑌=2𝐴_1 𝑥_1−𝐴_1+𝐴_0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434340</xdr:colOff>
      <xdr:row>20</xdr:row>
      <xdr:rowOff>38100</xdr:rowOff>
    </xdr:from>
    <xdr:to>
      <xdr:col>13</xdr:col>
      <xdr:colOff>491765</xdr:colOff>
      <xdr:row>21</xdr:row>
      <xdr:rowOff>169589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0340" y="3695700"/>
          <a:ext cx="1971950" cy="314369"/>
        </a:xfrm>
        <a:prstGeom prst="rect">
          <a:avLst/>
        </a:prstGeom>
      </xdr:spPr>
    </xdr:pic>
    <xdr:clientData/>
  </xdr:twoCellAnchor>
  <xdr:twoCellAnchor editAs="oneCell">
    <xdr:from>
      <xdr:col>9</xdr:col>
      <xdr:colOff>563880</xdr:colOff>
      <xdr:row>22</xdr:row>
      <xdr:rowOff>60960</xdr:rowOff>
    </xdr:from>
    <xdr:to>
      <xdr:col>14</xdr:col>
      <xdr:colOff>421434</xdr:colOff>
      <xdr:row>23</xdr:row>
      <xdr:rowOff>173396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50280" y="4084320"/>
          <a:ext cx="3077004" cy="295316"/>
        </a:xfrm>
        <a:prstGeom prst="rect">
          <a:avLst/>
        </a:prstGeom>
      </xdr:spPr>
    </xdr:pic>
    <xdr:clientData/>
  </xdr:twoCellAnchor>
  <xdr:twoCellAnchor editAs="oneCell">
    <xdr:from>
      <xdr:col>22</xdr:col>
      <xdr:colOff>533400</xdr:colOff>
      <xdr:row>15</xdr:row>
      <xdr:rowOff>106680</xdr:rowOff>
    </xdr:from>
    <xdr:to>
      <xdr:col>28</xdr:col>
      <xdr:colOff>314805</xdr:colOff>
      <xdr:row>22</xdr:row>
      <xdr:rowOff>83995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44600" y="2849880"/>
          <a:ext cx="3439005" cy="1257475"/>
        </a:xfrm>
        <a:prstGeom prst="rect">
          <a:avLst/>
        </a:prstGeom>
      </xdr:spPr>
    </xdr:pic>
    <xdr:clientData/>
  </xdr:twoCellAnchor>
  <xdr:twoCellAnchor editAs="oneCell">
    <xdr:from>
      <xdr:col>23</xdr:col>
      <xdr:colOff>167640</xdr:colOff>
      <xdr:row>5</xdr:row>
      <xdr:rowOff>144780</xdr:rowOff>
    </xdr:from>
    <xdr:to>
      <xdr:col>27</xdr:col>
      <xdr:colOff>444244</xdr:colOff>
      <xdr:row>14</xdr:row>
      <xdr:rowOff>42125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71320" y="1059180"/>
          <a:ext cx="2715004" cy="1543265"/>
        </a:xfrm>
        <a:prstGeom prst="rect">
          <a:avLst/>
        </a:prstGeom>
      </xdr:spPr>
    </xdr:pic>
    <xdr:clientData/>
  </xdr:twoCellAnchor>
  <xdr:twoCellAnchor>
    <xdr:from>
      <xdr:col>22</xdr:col>
      <xdr:colOff>213360</xdr:colOff>
      <xdr:row>23</xdr:row>
      <xdr:rowOff>68580</xdr:rowOff>
    </xdr:from>
    <xdr:to>
      <xdr:col>29</xdr:col>
      <xdr:colOff>518160</xdr:colOff>
      <xdr:row>38</xdr:row>
      <xdr:rowOff>68580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15</xdr:row>
      <xdr:rowOff>163878</xdr:rowOff>
    </xdr:from>
    <xdr:to>
      <xdr:col>13</xdr:col>
      <xdr:colOff>358139</xdr:colOff>
      <xdr:row>19</xdr:row>
      <xdr:rowOff>78234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6520" y="2907078"/>
          <a:ext cx="5646419" cy="64587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</xdr:colOff>
      <xdr:row>21</xdr:row>
      <xdr:rowOff>129540</xdr:rowOff>
    </xdr:from>
    <xdr:to>
      <xdr:col>13</xdr:col>
      <xdr:colOff>284224</xdr:colOff>
      <xdr:row>30</xdr:row>
      <xdr:rowOff>9740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4020" y="3970020"/>
          <a:ext cx="2715004" cy="1526120"/>
        </a:xfrm>
        <a:prstGeom prst="rect">
          <a:avLst/>
        </a:prstGeom>
      </xdr:spPr>
    </xdr:pic>
    <xdr:clientData/>
  </xdr:twoCellAnchor>
  <xdr:twoCellAnchor editAs="oneCell">
    <xdr:from>
      <xdr:col>2</xdr:col>
      <xdr:colOff>449580</xdr:colOff>
      <xdr:row>22</xdr:row>
      <xdr:rowOff>7620</xdr:rowOff>
    </xdr:from>
    <xdr:to>
      <xdr:col>8</xdr:col>
      <xdr:colOff>518160</xdr:colOff>
      <xdr:row>24</xdr:row>
      <xdr:rowOff>131514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8780" y="4030980"/>
          <a:ext cx="3726180" cy="489654"/>
        </a:xfrm>
        <a:prstGeom prst="rect">
          <a:avLst/>
        </a:prstGeom>
      </xdr:spPr>
    </xdr:pic>
    <xdr:clientData/>
  </xdr:twoCellAnchor>
  <xdr:twoCellAnchor>
    <xdr:from>
      <xdr:col>21</xdr:col>
      <xdr:colOff>297180</xdr:colOff>
      <xdr:row>9</xdr:row>
      <xdr:rowOff>53340</xdr:rowOff>
    </xdr:from>
    <xdr:to>
      <xdr:col>28</xdr:col>
      <xdr:colOff>601980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396240</xdr:colOff>
      <xdr:row>19</xdr:row>
      <xdr:rowOff>137160</xdr:rowOff>
    </xdr:from>
    <xdr:to>
      <xdr:col>11</xdr:col>
      <xdr:colOff>12087</xdr:colOff>
      <xdr:row>23</xdr:row>
      <xdr:rowOff>34378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5040" y="3611880"/>
          <a:ext cx="4706007" cy="628738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441960</xdr:colOff>
      <xdr:row>24</xdr:row>
      <xdr:rowOff>76200</xdr:rowOff>
    </xdr:from>
    <xdr:to>
      <xdr:col>12</xdr:col>
      <xdr:colOff>543735</xdr:colOff>
      <xdr:row>32</xdr:row>
      <xdr:rowOff>146899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760" y="4465320"/>
          <a:ext cx="5801535" cy="1533739"/>
        </a:xfrm>
        <a:prstGeom prst="rect">
          <a:avLst/>
        </a:prstGeom>
      </xdr:spPr>
    </xdr:pic>
    <xdr:clientData/>
  </xdr:twoCellAnchor>
  <xdr:twoCellAnchor editAs="oneCell">
    <xdr:from>
      <xdr:col>22</xdr:col>
      <xdr:colOff>144780</xdr:colOff>
      <xdr:row>2</xdr:row>
      <xdr:rowOff>30480</xdr:rowOff>
    </xdr:from>
    <xdr:to>
      <xdr:col>26</xdr:col>
      <xdr:colOff>421384</xdr:colOff>
      <xdr:row>10</xdr:row>
      <xdr:rowOff>93560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52220" y="396240"/>
          <a:ext cx="2715004" cy="1526120"/>
        </a:xfrm>
        <a:prstGeom prst="rect">
          <a:avLst/>
        </a:prstGeom>
      </xdr:spPr>
    </xdr:pic>
    <xdr:clientData/>
  </xdr:twoCellAnchor>
  <xdr:twoCellAnchor editAs="oneCell">
    <xdr:from>
      <xdr:col>22</xdr:col>
      <xdr:colOff>320040</xdr:colOff>
      <xdr:row>11</xdr:row>
      <xdr:rowOff>129540</xdr:rowOff>
    </xdr:from>
    <xdr:to>
      <xdr:col>28</xdr:col>
      <xdr:colOff>388620</xdr:colOff>
      <xdr:row>14</xdr:row>
      <xdr:rowOff>70554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27480" y="2141220"/>
          <a:ext cx="3726180" cy="489654"/>
        </a:xfrm>
        <a:prstGeom prst="rect">
          <a:avLst/>
        </a:prstGeom>
      </xdr:spPr>
    </xdr:pic>
    <xdr:clientData/>
  </xdr:twoCellAnchor>
  <xdr:twoCellAnchor>
    <xdr:from>
      <xdr:col>22</xdr:col>
      <xdr:colOff>220980</xdr:colOff>
      <xdr:row>15</xdr:row>
      <xdr:rowOff>106680</xdr:rowOff>
    </xdr:from>
    <xdr:to>
      <xdr:col>29</xdr:col>
      <xdr:colOff>525780</xdr:colOff>
      <xdr:row>30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106680</xdr:colOff>
      <xdr:row>10</xdr:row>
      <xdr:rowOff>128349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83480" cy="1957149"/>
        </a:xfrm>
        <a:prstGeom prst="rect">
          <a:avLst/>
        </a:prstGeom>
      </xdr:spPr>
    </xdr:pic>
    <xdr:clientData/>
  </xdr:twoCellAnchor>
  <xdr:twoCellAnchor editAs="oneCell">
    <xdr:from>
      <xdr:col>0</xdr:col>
      <xdr:colOff>525780</xdr:colOff>
      <xdr:row>22</xdr:row>
      <xdr:rowOff>22860</xdr:rowOff>
    </xdr:from>
    <xdr:to>
      <xdr:col>6</xdr:col>
      <xdr:colOff>594360</xdr:colOff>
      <xdr:row>24</xdr:row>
      <xdr:rowOff>146754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" y="4046220"/>
          <a:ext cx="3726180" cy="489654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10</xdr:row>
      <xdr:rowOff>167640</xdr:rowOff>
    </xdr:from>
    <xdr:to>
      <xdr:col>6</xdr:col>
      <xdr:colOff>67046</xdr:colOff>
      <xdr:row>14</xdr:row>
      <xdr:rowOff>150595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0" y="1996440"/>
          <a:ext cx="2657846" cy="7144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</xdr:colOff>
      <xdr:row>14</xdr:row>
      <xdr:rowOff>106680</xdr:rowOff>
    </xdr:from>
    <xdr:to>
      <xdr:col>6</xdr:col>
      <xdr:colOff>520545</xdr:colOff>
      <xdr:row>21</xdr:row>
      <xdr:rowOff>83995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9140" y="2667000"/>
          <a:ext cx="3439005" cy="125747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2</xdr:row>
      <xdr:rowOff>68580</xdr:rowOff>
    </xdr:from>
    <xdr:to>
      <xdr:col>16</xdr:col>
      <xdr:colOff>288201</xdr:colOff>
      <xdr:row>6</xdr:row>
      <xdr:rowOff>22956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434340"/>
          <a:ext cx="3915321" cy="685896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7</xdr:row>
      <xdr:rowOff>99060</xdr:rowOff>
    </xdr:from>
    <xdr:to>
      <xdr:col>12</xdr:col>
      <xdr:colOff>83985</xdr:colOff>
      <xdr:row>12</xdr:row>
      <xdr:rowOff>70609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7920" y="1379220"/>
          <a:ext cx="1181265" cy="885949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167641</xdr:colOff>
      <xdr:row>6</xdr:row>
      <xdr:rowOff>167314</xdr:rowOff>
    </xdr:from>
    <xdr:to>
      <xdr:col>16</xdr:col>
      <xdr:colOff>144781</xdr:colOff>
      <xdr:row>9</xdr:row>
      <xdr:rowOff>97641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2441" y="1264594"/>
          <a:ext cx="1805940" cy="478967"/>
        </a:xfrm>
        <a:prstGeom prst="rect">
          <a:avLst/>
        </a:prstGeom>
      </xdr:spPr>
    </xdr:pic>
    <xdr:clientData/>
  </xdr:twoCellAnchor>
  <xdr:twoCellAnchor editAs="oneCell">
    <xdr:from>
      <xdr:col>13</xdr:col>
      <xdr:colOff>216793</xdr:colOff>
      <xdr:row>10</xdr:row>
      <xdr:rowOff>57920</xdr:rowOff>
    </xdr:from>
    <xdr:to>
      <xdr:col>16</xdr:col>
      <xdr:colOff>292578</xdr:colOff>
      <xdr:row>12</xdr:row>
      <xdr:rowOff>96163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1593" y="1886720"/>
          <a:ext cx="1904585" cy="40400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13</xdr:row>
      <xdr:rowOff>30480</xdr:rowOff>
    </xdr:from>
    <xdr:to>
      <xdr:col>12</xdr:col>
      <xdr:colOff>375614</xdr:colOff>
      <xdr:row>18</xdr:row>
      <xdr:rowOff>37135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4100" y="2407920"/>
          <a:ext cx="1556714" cy="921055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</xdr:colOff>
      <xdr:row>14</xdr:row>
      <xdr:rowOff>45720</xdr:rowOff>
    </xdr:from>
    <xdr:to>
      <xdr:col>16</xdr:col>
      <xdr:colOff>509728</xdr:colOff>
      <xdr:row>16</xdr:row>
      <xdr:rowOff>120639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 l="58356" t="-9929" r="-1" b="-1"/>
        <a:stretch/>
      </xdr:blipFill>
      <xdr:spPr>
        <a:xfrm>
          <a:off x="7940040" y="2606040"/>
          <a:ext cx="2323288" cy="4406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082C2-93DD-42BA-8767-67CA5AC33E82}" name="Table1" displayName="Table1" ref="B2:J14" totalsRowShown="0">
  <autoFilter ref="B2:J14" xr:uid="{284082C2-93DD-42BA-8767-67CA5AC33E82}"/>
  <tableColumns count="9">
    <tableColumn id="1" xr3:uid="{8D1D7F1E-FF62-43FD-B93C-58E632059C51}" name="P/kPa"/>
    <tableColumn id="2" xr3:uid="{CDD89256-7636-4ED0-A7CD-044BF4FEA23C}" name="x1"/>
    <tableColumn id="3" xr3:uid="{F55DB445-837C-4A66-A1AD-CDF4E4FA9B59}" name="y1"/>
    <tableColumn id="4" xr3:uid="{60AE976C-E95A-4A78-B815-19786E96F79A}" name="x2" dataDxfId="33">
      <calculatedColumnFormula>1-Table1[[#This Row],[x1]]</calculatedColumnFormula>
    </tableColumn>
    <tableColumn id="5" xr3:uid="{851AF5FF-2E8B-4D7E-88B4-BDB866951248}" name="y2" dataDxfId="32">
      <calculatedColumnFormula>1-Table1[[#This Row],[y1]]</calculatedColumnFormula>
    </tableColumn>
    <tableColumn id="6" xr3:uid="{C81ADE28-333F-4A19-9BB1-0222CB837CD5}" name="gamma1" dataDxfId="31">
      <calculatedColumnFormula>Table1[[#This Row],[y1]]*Table1[[#This Row],[P/kPa]]/Table1[[#This Row],[x1]]/$B$14</calculatedColumnFormula>
    </tableColumn>
    <tableColumn id="7" xr3:uid="{EF3F361C-2EFB-4194-87E7-29C3F44FDC4B}" name="gamma2" dataDxfId="30">
      <calculatedColumnFormula>Table1[[#This Row],[y2]]*Table1[[#This Row],[P/kPa]]/Table1[[#This Row],[x2]]/$B$3</calculatedColumnFormula>
    </tableColumn>
    <tableColumn id="8" xr3:uid="{BEF2266A-50C7-44B3-B1E3-8C2391F24782}" name="ExcessG/RT" dataDxfId="29">
      <calculatedColumnFormula>Table1[[#This Row],[x1]]*LN(Table1[[#This Row],[gamma1]])+Table1[[#This Row],[x2]]*LN(Table1[[#This Row],[gamma2]])</calculatedColumnFormula>
    </tableColumn>
    <tableColumn id="9" xr3:uid="{B516218A-9438-4E97-AB7C-EA18F3DB7C5F}" name="Y" dataDxfId="28">
      <calculatedColumnFormula>Table1[[#This Row],[ExcessG/RT]]/Table1[[#This Row],[x1]]/Table1[[#This Row],[x2]]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A15A4-5D7C-4D57-A463-A9F3CBFD53D8}" name="Table2" displayName="Table2" ref="Q2:V103" totalsRowShown="0">
  <autoFilter ref="Q2:V103" xr:uid="{820A15A4-5D7C-4D57-A463-A9F3CBFD53D8}"/>
  <tableColumns count="6">
    <tableColumn id="1" xr3:uid="{9EC6C2C3-C419-4233-A537-949895706784}" name="x1"/>
    <tableColumn id="2" xr3:uid="{5470F41E-407B-48ED-8327-76839AB9439D}" name="x2" dataDxfId="27">
      <calculatedColumnFormula>1-Table2[[#This Row],[x1]]</calculatedColumnFormula>
    </tableColumn>
    <tableColumn id="3" xr3:uid="{2ED58354-8F84-461E-8E63-C91E22FB3FE2}" name="gamma1" dataDxfId="26">
      <calculatedColumnFormula>EXP(Table2[[#This Row],[x2]]^2*($M$9+2*($M$10-$M$9)*Table2[[#This Row],[x1]]))</calculatedColumnFormula>
    </tableColumn>
    <tableColumn id="4" xr3:uid="{D35AEEBA-CEA3-487A-8471-E34361F04598}" name="gamma2" dataDxfId="25">
      <calculatedColumnFormula>EXP(Table2[[#This Row],[x1]]^2*($M$10+2*($M$9-$M$10)*Table2[[#This Row],[x2]]))</calculatedColumnFormula>
    </tableColumn>
    <tableColumn id="5" xr3:uid="{4B8AEE6B-3B42-49E7-9B34-2863E0F50EC5}" name="P" dataDxfId="24">
      <calculatedColumnFormula>Table2[[#This Row],[x1]]*Table2[[#This Row],[gamma1]]*$M$12+Table2[[#This Row],[x2]]*Table2[[#This Row],[gamma2]]*$M$13</calculatedColumnFormula>
    </tableColumn>
    <tableColumn id="6" xr3:uid="{C55312E7-88A1-4A37-842F-297C14E339FB}" name="y1" dataDxfId="23">
      <calculatedColumnFormula>Table2[[#This Row],[x1]]*Table2[[#This Row],[gamma1]]*$M$12/Table2[[#This Row],[P]]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6EBF4D-AF79-43C9-A56E-4C08C31C772E}" name="Table15" displayName="Table15" ref="B2:K14" totalsRowShown="0">
  <autoFilter ref="B2:K14" xr:uid="{AA6EBF4D-AF79-43C9-A56E-4C08C31C772E}"/>
  <tableColumns count="10">
    <tableColumn id="1" xr3:uid="{A2161C3E-BC71-4B34-81D1-2C7823DEC473}" name="P/kPa"/>
    <tableColumn id="2" xr3:uid="{CB6EA092-C817-4DFA-8A15-F0C2EB4E8695}" name="x1"/>
    <tableColumn id="3" xr3:uid="{DC95060B-8800-4F5F-8963-33A08604FF56}" name="y1"/>
    <tableColumn id="4" xr3:uid="{DBAFD670-E328-4C66-9BD3-A6CAFAC0BD13}" name="x2" dataDxfId="22">
      <calculatedColumnFormula>1-Table15[[#This Row],[x1]]</calculatedColumnFormula>
    </tableColumn>
    <tableColumn id="5" xr3:uid="{83CEF7EA-B81C-47E7-A75C-AC9491DC9D81}" name="y2" dataDxfId="21">
      <calculatedColumnFormula>1-Table15[[#This Row],[y1]]</calculatedColumnFormula>
    </tableColumn>
    <tableColumn id="6" xr3:uid="{EA51AB95-E305-4F14-89EA-F50035C6F7AB}" name="gamma1" dataDxfId="20">
      <calculatedColumnFormula>Table15[[#This Row],[y1]]*Table15[[#This Row],[P/kPa]]/Table15[[#This Row],[x1]]/$B$14</calculatedColumnFormula>
    </tableColumn>
    <tableColumn id="7" xr3:uid="{342F6320-CAF0-4EBF-97E4-E3DE83BD85D9}" name="gamma2" dataDxfId="19">
      <calculatedColumnFormula>Table15[[#This Row],[y2]]*Table15[[#This Row],[P/kPa]]/Table15[[#This Row],[x2]]/$B$3</calculatedColumnFormula>
    </tableColumn>
    <tableColumn id="8" xr3:uid="{562A1251-F28D-4E6C-800A-D47EE21E1FFE}" name="ExcessG/RT" dataDxfId="18">
      <calculatedColumnFormula>Table15[[#This Row],[x1]]*LN(Table15[[#This Row],[gamma1]])+Table15[[#This Row],[x2]]*LN(Table15[[#This Row],[gamma2]])</calculatedColumnFormula>
    </tableColumn>
    <tableColumn id="9" xr3:uid="{FBFB6406-EF4B-4B43-9625-6E97C2AF4F55}" name="Y" dataDxfId="17">
      <calculatedColumnFormula>Table15[[#This Row],[ExcessG/RT]]/Table15[[#This Row],[x1]]/Table15[[#This Row],[x2]]</calculatedColumnFormula>
    </tableColumn>
    <tableColumn id="10" xr3:uid="{4C6F7D31-6A7B-407F-AFA1-B3DFF43B6802}" name="1/Y" dataDxfId="16">
      <calculatedColumnFormula>1/Table15[[#This Row],[Y]]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574038-1A8F-409D-BA28-A5371BFD51F6}" name="Table5" displayName="Table5" ref="P2:U103" totalsRowShown="0">
  <autoFilter ref="P2:U103" xr:uid="{31574038-1A8F-409D-BA28-A5371BFD51F6}"/>
  <tableColumns count="6">
    <tableColumn id="1" xr3:uid="{69DB2F9F-A479-4FC2-B63A-25A89B50CE59}" name="x1"/>
    <tableColumn id="2" xr3:uid="{B176E493-A84C-4191-BE50-43655C76D0D5}" name="x2" dataDxfId="15">
      <calculatedColumnFormula>1-Table5[[#This Row],[x1]]</calculatedColumnFormula>
    </tableColumn>
    <tableColumn id="3" xr3:uid="{A0BCC8E1-0876-4D78-9FF7-4D8C2CEA3A29}" name="gamma1" dataDxfId="14">
      <calculatedColumnFormula>EXP($M$7*(1+$M$7*Table5[[#This Row],[x1]]/$N$7/Table5[[#This Row],[x2]])^-2)</calculatedColumnFormula>
    </tableColumn>
    <tableColumn id="4" xr3:uid="{C76F51ED-3337-4D5D-8179-3AD6BAFD9B3A}" name="gamma2" dataDxfId="13">
      <calculatedColumnFormula>EXP($N$7*(1+$N$7*Table5[[#This Row],[x2]]/$M$7/Table5[[#This Row],[x1]])^-2)</calculatedColumnFormula>
    </tableColumn>
    <tableColumn id="5" xr3:uid="{56034EF9-0D0F-4BED-B63C-5504FFC5116F}" name="P" dataDxfId="12">
      <calculatedColumnFormula>Table5[[#This Row],[x1]]*Table5[[#This Row],[gamma1]]*$M$10+Table5[[#This Row],[x2]]*Table5[[#This Row],[gamma2]]*$N$10</calculatedColumnFormula>
    </tableColumn>
    <tableColumn id="6" xr3:uid="{A5E53591-E3AD-42E2-AFF5-8A100EE0BD20}" name="y1" dataDxfId="11">
      <calculatedColumnFormula>Table5[[#This Row],[x1]]*Table5[[#This Row],[gamma1]]*$M$10/Table5[[#This Row],[P]]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F9719F-72D1-4545-A136-4891A604364C}" name="Table157" displayName="Table157" ref="B2:K14" totalsRowShown="0">
  <autoFilter ref="B2:K14" xr:uid="{FCF9719F-72D1-4545-A136-4891A604364C}"/>
  <tableColumns count="10">
    <tableColumn id="1" xr3:uid="{2CC2CC8A-B7D0-4A9E-9672-3768B7D8FF69}" name="P/kPa"/>
    <tableColumn id="2" xr3:uid="{A1AE548F-0B5D-4743-A054-C2E89770CC7D}" name="x1"/>
    <tableColumn id="3" xr3:uid="{39118208-36C0-4452-AC50-F083EF83136C}" name="y1"/>
    <tableColumn id="4" xr3:uid="{66798086-1B68-463A-9B63-6EC78DFD89B7}" name="x2" dataDxfId="10">
      <calculatedColumnFormula>1-Table157[[#This Row],[x1]]</calculatedColumnFormula>
    </tableColumn>
    <tableColumn id="5" xr3:uid="{443EC5F6-26AD-4376-9807-3D7A54755772}" name="y2" dataDxfId="9">
      <calculatedColumnFormula>1-Table157[[#This Row],[y1]]</calculatedColumnFormula>
    </tableColumn>
    <tableColumn id="6" xr3:uid="{64ABA352-50D2-487A-9361-D2252FD1E19B}" name="gamma1" dataDxfId="8">
      <calculatedColumnFormula>Table157[[#This Row],[y1]]*Table157[[#This Row],[P/kPa]]/Table157[[#This Row],[x1]]/$B$14</calculatedColumnFormula>
    </tableColumn>
    <tableColumn id="7" xr3:uid="{EDB91CFF-73FA-42FD-90C6-F18ABADDFF08}" name="gamma2" dataDxfId="7">
      <calculatedColumnFormula>Table157[[#This Row],[y2]]*Table157[[#This Row],[P/kPa]]/Table157[[#This Row],[x2]]/$B$3</calculatedColumnFormula>
    </tableColumn>
    <tableColumn id="8" xr3:uid="{714D3CBB-7E2C-4505-97A2-E53D661C4A33}" name="ExcessG/RT Experiment" dataDxfId="6">
      <calculatedColumnFormula>Table157[[#This Row],[x1]]*LN(Table157[[#This Row],[gamma1]])+Table157[[#This Row],[x2]]*LN(Table157[[#This Row],[gamma2]])</calculatedColumnFormula>
    </tableColumn>
    <tableColumn id="9" xr3:uid="{87EB5810-A57A-4CE1-BEE0-064ABC2D29E1}" name="ExcessG/RT Wilson" dataDxfId="5">
      <calculatedColumnFormula>-Table157[[#This Row],[x1]]*LN(Table157[[#This Row],[x1]]+Table157[[#This Row],[x2]]*$M$5)-Table157[[#This Row],[x2]]*LN(Table157[[#This Row],[x2]]+Table157[[#This Row],[x1]]*$N$5)</calculatedColumnFormula>
    </tableColumn>
    <tableColumn id="10" xr3:uid="{28B8AD4E-50E8-41A3-8826-23FE328BFA56}" name="Difference" dataDxfId="4">
      <calculatedColumnFormula>Table157[[#This Row],[ExcessG/RT Experiment]]-Table157[[#This Row],[ExcessG/RT Wilson]]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1DEC74-30E3-4780-B334-8BFFFC7E01B7}" name="Table7" displayName="Table7" ref="Q2:V103" totalsRowShown="0">
  <autoFilter ref="Q2:V103" xr:uid="{7E1DEC74-30E3-4780-B334-8BFFFC7E01B7}"/>
  <tableColumns count="6">
    <tableColumn id="1" xr3:uid="{869158A3-6C40-4AB6-8ACB-F1B6DDEA0D4F}" name="x1"/>
    <tableColumn id="2" xr3:uid="{B5A948D6-A61E-4BFF-B1F2-6E6EFD2B0F7E}" name="x2" dataDxfId="3">
      <calculatedColumnFormula>1-Table7[[#This Row],[x1]]</calculatedColumnFormula>
    </tableColumn>
    <tableColumn id="3" xr3:uid="{61A55FFD-8EE2-4FEA-8A47-03B9C6F5FC38}" name="gamma1" dataDxfId="2">
      <calculatedColumnFormula>EXP(-LN(Table7[[#This Row],[x1]]+Table7[[#This Row],[x2]]*$M$5)+Table7[[#This Row],[x2]]*($M$5/(Table7[[#This Row],[x1]]+Table7[[#This Row],[x2]]*$M$5)-$N$5/(Table7[[#This Row],[x2]]+Table7[[#This Row],[x1]]*$N$5)))</calculatedColumnFormula>
    </tableColumn>
    <tableColumn id="4" xr3:uid="{2801D757-9F6E-4290-BBC9-97FAC63C3E2A}" name="gamma2" dataDxfId="1">
      <calculatedColumnFormula>EXP(-LN(Table7[[#This Row],[x2]]+Table7[[#This Row],[x1]]*$N$5)-Table7[[#This Row],[x1]]*($M$5/(Table7[[#This Row],[x1]]+Table7[[#This Row],[x2]]*$M$5)-$N$5/(Table7[[#This Row],[x2]]+Table7[[#This Row],[x1]]*$N$5)))</calculatedColumnFormula>
    </tableColumn>
    <tableColumn id="5" xr3:uid="{D26F5585-0457-42C9-AB98-7E2706B6F679}" name="P"/>
    <tableColumn id="6" xr3:uid="{16B0FF81-2FB4-4819-957C-3BDFDEA935B0}" name="y1" dataDxfId="0">
      <calculatedColumnFormula>Table7[[#This Row],[x1]]*Table7[[#This Row],[gamma1]]*$M$8/Table7[[#This Row],[P]]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03"/>
  <sheetViews>
    <sheetView zoomScale="80" workbookViewId="0">
      <selection activeCell="K36" sqref="K36"/>
    </sheetView>
  </sheetViews>
  <sheetFormatPr defaultRowHeight="14.4" x14ac:dyDescent="0.3"/>
  <cols>
    <col min="13" max="14" width="10.109375" customWidth="1"/>
    <col min="19" max="20" width="10.21875" customWidth="1"/>
  </cols>
  <sheetData>
    <row r="2" spans="2:22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8</v>
      </c>
      <c r="Q2" t="s">
        <v>1</v>
      </c>
      <c r="R2" t="s">
        <v>4</v>
      </c>
      <c r="S2" t="s">
        <v>5</v>
      </c>
      <c r="T2" t="s">
        <v>6</v>
      </c>
      <c r="U2" t="s">
        <v>15</v>
      </c>
      <c r="V2" t="s">
        <v>2</v>
      </c>
    </row>
    <row r="3" spans="2:22" x14ac:dyDescent="0.3">
      <c r="B3">
        <v>19.952999999999999</v>
      </c>
      <c r="C3">
        <v>0</v>
      </c>
      <c r="D3">
        <v>0</v>
      </c>
      <c r="E3">
        <f>1-Table1[[#This Row],[x1]]</f>
        <v>1</v>
      </c>
      <c r="F3">
        <f>1-Table1[[#This Row],[y1]]</f>
        <v>1</v>
      </c>
      <c r="H3">
        <f>Table1[[#This Row],[y2]]*Table1[[#This Row],[P/kPa]]/Table1[[#This Row],[x2]]/$B$3</f>
        <v>1</v>
      </c>
      <c r="L3" s="1" t="s">
        <v>10</v>
      </c>
      <c r="M3" s="1" t="s">
        <v>9</v>
      </c>
      <c r="Q3">
        <v>0</v>
      </c>
      <c r="R3">
        <f>1-Table2[[#This Row],[x1]]</f>
        <v>1</v>
      </c>
      <c r="S3">
        <f>EXP(Table2[[#This Row],[x2]]^2*($M$9+2*($M$10-$M$9)*Table2[[#This Row],[x1]]))</f>
        <v>1.9793337129614137</v>
      </c>
      <c r="T3">
        <f>EXP(Table2[[#This Row],[x1]]^2*($M$10+2*($M$9-$M$10)*Table2[[#This Row],[x2]]))</f>
        <v>1</v>
      </c>
      <c r="U3">
        <f>Table2[[#This Row],[x1]]*Table2[[#This Row],[gamma1]]*$M$12+Table2[[#This Row],[x2]]*Table2[[#This Row],[gamma2]]*$M$13</f>
        <v>19.952999999999999</v>
      </c>
      <c r="V3">
        <f>Table2[[#This Row],[x1]]*Table2[[#This Row],[gamma1]]*$M$12/Table2[[#This Row],[P]]</f>
        <v>0</v>
      </c>
    </row>
    <row r="4" spans="2:22" x14ac:dyDescent="0.3">
      <c r="B4">
        <v>39.222999999999999</v>
      </c>
      <c r="C4">
        <v>0.1686</v>
      </c>
      <c r="D4">
        <v>0.57140000000000002</v>
      </c>
      <c r="E4">
        <f>1-Table1[[#This Row],[x1]]</f>
        <v>0.83140000000000003</v>
      </c>
      <c r="F4">
        <f>1-Table1[[#This Row],[y1]]</f>
        <v>0.42859999999999998</v>
      </c>
      <c r="G4">
        <f>Table1[[#This Row],[y1]]*Table1[[#This Row],[P/kPa]]/Table1[[#This Row],[x1]]/$B$14</f>
        <v>1.5719843846526109</v>
      </c>
      <c r="H4">
        <f>Table1[[#This Row],[y2]]*Table1[[#This Row],[P/kPa]]/Table1[[#This Row],[x2]]/$B$3</f>
        <v>1.0133856540257142</v>
      </c>
      <c r="I4">
        <f>Table1[[#This Row],[x1]]*LN(Table1[[#This Row],[gamma1]])+Table1[[#This Row],[x2]]*LN(Table1[[#This Row],[gamma2]])</f>
        <v>8.7319322500059415E-2</v>
      </c>
      <c r="J4">
        <f>Table1[[#This Row],[ExcessG/RT]]/Table1[[#This Row],[x1]]/Table1[[#This Row],[x2]]</f>
        <v>0.62293504917215348</v>
      </c>
      <c r="L4" s="2">
        <f>SLOPE(J4:J13,C4:C13)</f>
        <v>-0.20751617568439412</v>
      </c>
      <c r="M4" s="2">
        <f>INTERCEPT(J4:J13,C4:C13)</f>
        <v>0.68276027946937146</v>
      </c>
      <c r="Q4">
        <v>0.01</v>
      </c>
      <c r="R4">
        <f>1-Table2[[#This Row],[x1]]</f>
        <v>0.99</v>
      </c>
      <c r="S4">
        <f>EXP(Table2[[#This Row],[x2]]^2*($M$9+2*($M$10-$M$9)*Table2[[#This Row],[x1]]))</f>
        <v>1.9446959050562613</v>
      </c>
      <c r="T4">
        <f>EXP(Table2[[#This Row],[x1]]^2*($M$10+2*($M$9-$M$10)*Table2[[#This Row],[x2]]))</f>
        <v>1.0000886165393776</v>
      </c>
      <c r="U4">
        <f>Table2[[#This Row],[x1]]*Table2[[#This Row],[gamma1]]*$M$12+Table2[[#This Row],[x2]]*Table2[[#This Row],[gamma2]]*$M$13</f>
        <v>21.399694235385777</v>
      </c>
      <c r="V4">
        <f>Table2[[#This Row],[x1]]*Table2[[#This Row],[gamma1]]*$M$12/Table2[[#This Row],[P]]</f>
        <v>7.6845665790608919E-2</v>
      </c>
    </row>
    <row r="5" spans="2:22" x14ac:dyDescent="0.3">
      <c r="B5">
        <v>42.984000000000002</v>
      </c>
      <c r="C5">
        <v>0.2167</v>
      </c>
      <c r="D5">
        <v>0.62680000000000002</v>
      </c>
      <c r="E5">
        <f>1-Table1[[#This Row],[x1]]</f>
        <v>0.7833</v>
      </c>
      <c r="F5">
        <f>1-Table1[[#This Row],[y1]]</f>
        <v>0.37319999999999998</v>
      </c>
      <c r="G5">
        <f>Table1[[#This Row],[y1]]*Table1[[#This Row],[P/kPa]]/Table1[[#This Row],[x1]]/$B$14</f>
        <v>1.4702854450393188</v>
      </c>
      <c r="H5">
        <f>Table1[[#This Row],[y2]]*Table1[[#This Row],[P/kPa]]/Table1[[#This Row],[x2]]/$B$3</f>
        <v>1.0263893416476249</v>
      </c>
      <c r="I5">
        <f>Table1[[#This Row],[x1]]*LN(Table1[[#This Row],[gamma1]])+Table1[[#This Row],[x2]]*LN(Table1[[#This Row],[gamma2]])</f>
        <v>0.10393116967614056</v>
      </c>
      <c r="J5">
        <f>Table1[[#This Row],[ExcessG/RT]]/Table1[[#This Row],[x1]]/Table1[[#This Row],[x2]]</f>
        <v>0.61229227071827541</v>
      </c>
      <c r="Q5">
        <v>0.02</v>
      </c>
      <c r="R5">
        <f>1-Table2[[#This Row],[x1]]</f>
        <v>0.98</v>
      </c>
      <c r="S5">
        <f>EXP(Table2[[#This Row],[x2]]^2*($M$9+2*($M$10-$M$9)*Table2[[#This Row],[x1]]))</f>
        <v>1.9112376777067037</v>
      </c>
      <c r="T5">
        <f>EXP(Table2[[#This Row],[x1]]^2*($M$10+2*($M$9-$M$10)*Table2[[#This Row],[x2]]))</f>
        <v>1.0003528525610754</v>
      </c>
      <c r="U5">
        <f>Table2[[#This Row],[x1]]*Table2[[#This Row],[gamma1]]*$M$12+Table2[[#This Row],[x2]]*Table2[[#This Row],[gamma2]]*$M$13</f>
        <v>22.793201267852798</v>
      </c>
      <c r="V5">
        <f>Table2[[#This Row],[x1]]*Table2[[#This Row],[gamma1]]*$M$12/Table2[[#This Row],[P]]</f>
        <v>0.1418125331347625</v>
      </c>
    </row>
    <row r="6" spans="2:22" x14ac:dyDescent="0.3">
      <c r="B6">
        <v>48.851999999999997</v>
      </c>
      <c r="C6">
        <v>0.3039</v>
      </c>
      <c r="D6">
        <v>0.69430000000000003</v>
      </c>
      <c r="E6">
        <f>1-Table1[[#This Row],[x1]]</f>
        <v>0.69609999999999994</v>
      </c>
      <c r="F6">
        <f>1-Table1[[#This Row],[y1]]</f>
        <v>0.30569999999999997</v>
      </c>
      <c r="G6">
        <f>Table1[[#This Row],[y1]]*Table1[[#This Row],[P/kPa]]/Table1[[#This Row],[x1]]/$B$14</f>
        <v>1.3198469329897913</v>
      </c>
      <c r="H6">
        <f>Table1[[#This Row],[y2]]*Table1[[#This Row],[P/kPa]]/Table1[[#This Row],[x2]]/$B$3</f>
        <v>1.0752215270891623</v>
      </c>
      <c r="I6">
        <f>Table1[[#This Row],[x1]]*LN(Table1[[#This Row],[gamma1]])+Table1[[#This Row],[x2]]*LN(Table1[[#This Row],[gamma2]])</f>
        <v>0.13482288677392501</v>
      </c>
      <c r="J6">
        <f>Table1[[#This Row],[ExcessG/RT]]/Table1[[#This Row],[x1]]/Table1[[#This Row],[x2]]</f>
        <v>0.63732548919746512</v>
      </c>
      <c r="L6" s="3" t="s">
        <v>11</v>
      </c>
      <c r="M6" s="4">
        <f>L4/2</f>
        <v>-0.10375808784219706</v>
      </c>
      <c r="Q6">
        <v>0.03</v>
      </c>
      <c r="R6">
        <f>1-Table2[[#This Row],[x1]]</f>
        <v>0.97</v>
      </c>
      <c r="S6">
        <f>EXP(Table2[[#This Row],[x2]]^2*($M$9+2*($M$10-$M$9)*Table2[[#This Row],[x1]]))</f>
        <v>1.8789141473309661</v>
      </c>
      <c r="T6">
        <f>EXP(Table2[[#This Row],[x1]]^2*($M$10+2*($M$9-$M$10)*Table2[[#This Row],[x2]]))</f>
        <v>1.0007903551022748</v>
      </c>
      <c r="U6">
        <f>Table2[[#This Row],[x1]]*Table2[[#This Row],[gamma1]]*$M$12+Table2[[#This Row],[x2]]*Table2[[#This Row],[gamma2]]*$M$13</f>
        <v>24.136249000493049</v>
      </c>
      <c r="V6">
        <f>Table2[[#This Row],[x1]]*Table2[[#This Row],[gamma1]]*$M$12/Table2[[#This Row],[P]]</f>
        <v>0.19748479325435633</v>
      </c>
    </row>
    <row r="7" spans="2:22" x14ac:dyDescent="0.3">
      <c r="B7">
        <v>52.783999999999999</v>
      </c>
      <c r="C7">
        <v>0.36809999999999998</v>
      </c>
      <c r="D7">
        <v>0.73450000000000004</v>
      </c>
      <c r="E7">
        <f>1-Table1[[#This Row],[x1]]</f>
        <v>0.63190000000000002</v>
      </c>
      <c r="F7">
        <f>1-Table1[[#This Row],[y1]]</f>
        <v>0.26549999999999996</v>
      </c>
      <c r="G7">
        <f>Table1[[#This Row],[y1]]*Table1[[#This Row],[P/kPa]]/Table1[[#This Row],[x1]]/$B$14</f>
        <v>1.2455266799767957</v>
      </c>
      <c r="H7">
        <f>Table1[[#This Row],[y2]]*Table1[[#This Row],[P/kPa]]/Table1[[#This Row],[x2]]/$B$3</f>
        <v>1.1115020440462686</v>
      </c>
      <c r="I7">
        <f>Table1[[#This Row],[x1]]*LN(Table1[[#This Row],[gamma1]])+Table1[[#This Row],[x2]]*LN(Table1[[#This Row],[gamma2]])</f>
        <v>0.14761907344316061</v>
      </c>
      <c r="J7">
        <f>Table1[[#This Row],[ExcessG/RT]]/Table1[[#This Row],[x1]]/Table1[[#This Row],[x2]]</f>
        <v>0.63464125817090966</v>
      </c>
      <c r="L7" s="3" t="s">
        <v>12</v>
      </c>
      <c r="M7" s="4">
        <f>M4+M6</f>
        <v>0.57900219162717437</v>
      </c>
      <c r="Q7">
        <v>0.04</v>
      </c>
      <c r="R7">
        <f>1-Table2[[#This Row],[x1]]</f>
        <v>0.96</v>
      </c>
      <c r="S7">
        <f>EXP(Table2[[#This Row],[x2]]^2*($M$9+2*($M$10-$M$9)*Table2[[#This Row],[x1]]))</f>
        <v>1.8476824443080855</v>
      </c>
      <c r="T7">
        <f>EXP(Table2[[#This Row],[x1]]^2*($M$10+2*($M$9-$M$10)*Table2[[#This Row],[x2]]))</f>
        <v>1.0013988577477841</v>
      </c>
      <c r="U7">
        <f>Table2[[#This Row],[x1]]*Table2[[#This Row],[gamma1]]*$M$12+Table2[[#This Row],[x2]]*Table2[[#This Row],[gamma2]]*$M$13</f>
        <v>25.43142386651909</v>
      </c>
      <c r="V7">
        <f>Table2[[#This Row],[x1]]*Table2[[#This Row],[gamma1]]*$M$12/Table2[[#This Row],[P]]</f>
        <v>0.24574907590805861</v>
      </c>
    </row>
    <row r="8" spans="2:22" x14ac:dyDescent="0.3">
      <c r="B8">
        <v>56.652000000000001</v>
      </c>
      <c r="C8">
        <v>0.4461</v>
      </c>
      <c r="D8">
        <v>0.7742</v>
      </c>
      <c r="E8">
        <f>1-Table1[[#This Row],[x1]]</f>
        <v>0.55390000000000006</v>
      </c>
      <c r="F8">
        <f>1-Table1[[#This Row],[y1]]</f>
        <v>0.2258</v>
      </c>
      <c r="G8">
        <f>Table1[[#This Row],[y1]]*Table1[[#This Row],[P/kPa]]/Table1[[#This Row],[x1]]/$B$14</f>
        <v>1.1626819870585321</v>
      </c>
      <c r="H8">
        <f>Table1[[#This Row],[y2]]*Table1[[#This Row],[P/kPa]]/Table1[[#This Row],[x2]]/$B$3</f>
        <v>1.1574430096681343</v>
      </c>
      <c r="I8">
        <f>Table1[[#This Row],[x1]]*LN(Table1[[#This Row],[gamma1]])+Table1[[#This Row],[x2]]*LN(Table1[[#This Row],[gamma2]])</f>
        <v>0.14822791305321487</v>
      </c>
      <c r="J8">
        <f>Table1[[#This Row],[ExcessG/RT]]/Table1[[#This Row],[x1]]/Table1[[#This Row],[x2]]</f>
        <v>0.59988279418281076</v>
      </c>
      <c r="Q8">
        <v>0.05</v>
      </c>
      <c r="R8">
        <f>1-Table2[[#This Row],[x1]]</f>
        <v>0.95</v>
      </c>
      <c r="S8">
        <f>EXP(Table2[[#This Row],[x2]]^2*($M$9+2*($M$10-$M$9)*Table2[[#This Row],[x1]]))</f>
        <v>1.8175016120142626</v>
      </c>
      <c r="T8">
        <f>EXP(Table2[[#This Row],[x1]]^2*($M$10+2*($M$9-$M$10)*Table2[[#This Row],[x2]]))</f>
        <v>1.0021761765364474</v>
      </c>
      <c r="U8">
        <f>Table2[[#This Row],[x1]]*Table2[[#This Row],[gamma1]]*$M$12+Table2[[#This Row],[x2]]*Table2[[#This Row],[gamma2]]*$M$13</f>
        <v>26.681178753667652</v>
      </c>
      <c r="V8">
        <f>Table2[[#This Row],[x1]]*Table2[[#This Row],[gamma1]]*$M$12/Table2[[#This Row],[P]]</f>
        <v>0.2880149575363557</v>
      </c>
    </row>
    <row r="9" spans="2:22" x14ac:dyDescent="0.3">
      <c r="B9">
        <v>60.613999999999997</v>
      </c>
      <c r="C9">
        <v>0.5282</v>
      </c>
      <c r="D9">
        <v>0.8085</v>
      </c>
      <c r="E9">
        <f>1-Table1[[#This Row],[x1]]</f>
        <v>0.4718</v>
      </c>
      <c r="F9">
        <f>1-Table1[[#This Row],[y1]]</f>
        <v>0.1915</v>
      </c>
      <c r="G9">
        <f>Table1[[#This Row],[y1]]*Table1[[#This Row],[P/kPa]]/Table1[[#This Row],[x1]]/$B$14</f>
        <v>1.0971836468403311</v>
      </c>
      <c r="H9">
        <f>Table1[[#This Row],[y2]]*Table1[[#This Row],[P/kPa]]/Table1[[#This Row],[x2]]/$B$3</f>
        <v>1.2330355096664529</v>
      </c>
      <c r="I9">
        <f>Table1[[#This Row],[x1]]*LN(Table1[[#This Row],[gamma1]])+Table1[[#This Row],[x2]]*LN(Table1[[#This Row],[gamma2]])</f>
        <v>0.14782094432399723</v>
      </c>
      <c r="J9">
        <f>Table1[[#This Row],[ExcessG/RT]]/Table1[[#This Row],[x1]]/Table1[[#This Row],[x2]]</f>
        <v>0.59317062934109788</v>
      </c>
      <c r="L9" s="3" t="s">
        <v>13</v>
      </c>
      <c r="M9" s="4">
        <f>M7-M6</f>
        <v>0.68276027946937146</v>
      </c>
      <c r="Q9">
        <v>0.06</v>
      </c>
      <c r="R9">
        <f>1-Table2[[#This Row],[x1]]</f>
        <v>0.94</v>
      </c>
      <c r="S9">
        <f>EXP(Table2[[#This Row],[x2]]^2*($M$9+2*($M$10-$M$9)*Table2[[#This Row],[x1]]))</f>
        <v>1.7883325113876543</v>
      </c>
      <c r="T9">
        <f>EXP(Table2[[#This Row],[x1]]^2*($M$10+2*($M$9-$M$10)*Table2[[#This Row],[x2]]))</f>
        <v>1.0031202059912272</v>
      </c>
      <c r="U9">
        <f>Table2[[#This Row],[x1]]*Table2[[#This Row],[gamma1]]*$M$12+Table2[[#This Row],[x2]]*Table2[[#This Row],[gamma2]]*$M$13</f>
        <v>27.887840451612142</v>
      </c>
      <c r="V9">
        <f>Table2[[#This Row],[x1]]*Table2[[#This Row],[gamma1]]*$M$12/Table2[[#This Row],[P]]</f>
        <v>0.32535679646550925</v>
      </c>
    </row>
    <row r="10" spans="2:22" x14ac:dyDescent="0.3">
      <c r="B10">
        <v>63.997999999999998</v>
      </c>
      <c r="C10">
        <v>0.60440000000000005</v>
      </c>
      <c r="D10">
        <v>0.83830000000000005</v>
      </c>
      <c r="E10">
        <f>1-Table1[[#This Row],[x1]]</f>
        <v>0.39559999999999995</v>
      </c>
      <c r="F10">
        <f>1-Table1[[#This Row],[y1]]</f>
        <v>0.16169999999999995</v>
      </c>
      <c r="G10">
        <f>Table1[[#This Row],[y1]]*Table1[[#This Row],[P/kPa]]/Table1[[#This Row],[x1]]/$B$14</f>
        <v>1.0497023428593959</v>
      </c>
      <c r="H10">
        <f>Table1[[#This Row],[y2]]*Table1[[#This Row],[P/kPa]]/Table1[[#This Row],[x2]]/$B$3</f>
        <v>1.3110279074936311</v>
      </c>
      <c r="I10">
        <f>Table1[[#This Row],[x1]]*LN(Table1[[#This Row],[gamma1]])+Table1[[#This Row],[x2]]*LN(Table1[[#This Row],[gamma2]])</f>
        <v>0.13645043994460299</v>
      </c>
      <c r="J10">
        <f>Table1[[#This Row],[ExcessG/RT]]/Table1[[#This Row],[x1]]/Table1[[#This Row],[x2]]</f>
        <v>0.57068203558385699</v>
      </c>
      <c r="L10" s="3" t="s">
        <v>14</v>
      </c>
      <c r="M10" s="4">
        <f>M7+M6</f>
        <v>0.47524410378497728</v>
      </c>
      <c r="Q10">
        <v>7.0000000000000007E-2</v>
      </c>
      <c r="R10">
        <f>1-Table2[[#This Row],[x1]]</f>
        <v>0.92999999999999994</v>
      </c>
      <c r="S10">
        <f>EXP(Table2[[#This Row],[x2]]^2*($M$9+2*($M$10-$M$9)*Table2[[#This Row],[x1]]))</f>
        <v>1.7601377306936286</v>
      </c>
      <c r="T10">
        <f>EXP(Table2[[#This Row],[x1]]^2*($M$10+2*($M$9-$M$10)*Table2[[#This Row],[x2]]))</f>
        <v>1.0042289152659998</v>
      </c>
      <c r="U10">
        <f>Table2[[#This Row],[x1]]*Table2[[#This Row],[gamma1]]*$M$12+Table2[[#This Row],[x2]]*Table2[[#This Row],[gamma2]]*$M$13</f>
        <v>29.053616652865344</v>
      </c>
      <c r="V10">
        <f>Table2[[#This Row],[x1]]*Table2[[#This Row],[gamma1]]*$M$12/Table2[[#This Row],[P]]</f>
        <v>0.35860780429814371</v>
      </c>
    </row>
    <row r="11" spans="2:22" x14ac:dyDescent="0.3">
      <c r="B11">
        <v>67.924000000000007</v>
      </c>
      <c r="C11">
        <v>0.6804</v>
      </c>
      <c r="D11">
        <v>0.87329999999999997</v>
      </c>
      <c r="E11">
        <f>1-Table1[[#This Row],[x1]]</f>
        <v>0.3196</v>
      </c>
      <c r="F11">
        <f>1-Table1[[#This Row],[y1]]</f>
        <v>0.12670000000000003</v>
      </c>
      <c r="G11">
        <f>Table1[[#This Row],[y1]]*Table1[[#This Row],[P/kPa]]/Table1[[#This Row],[x1]]/$B$14</f>
        <v>1.0309726931101386</v>
      </c>
      <c r="H11">
        <f>Table1[[#This Row],[y2]]*Table1[[#This Row],[P/kPa]]/Table1[[#This Row],[x2]]/$B$3</f>
        <v>1.3495373075413084</v>
      </c>
      <c r="I11">
        <f>Table1[[#This Row],[x1]]*LN(Table1[[#This Row],[gamma1]])+Table1[[#This Row],[x2]]*LN(Table1[[#This Row],[gamma2]])</f>
        <v>0.11655792072502427</v>
      </c>
      <c r="J11">
        <f>Table1[[#This Row],[ExcessG/RT]]/Table1[[#This Row],[x1]]/Table1[[#This Row],[x2]]</f>
        <v>0.5360073140598306</v>
      </c>
      <c r="Q11">
        <v>0.08</v>
      </c>
      <c r="R11">
        <f>1-Table2[[#This Row],[x1]]</f>
        <v>0.92</v>
      </c>
      <c r="S11">
        <f>EXP(Table2[[#This Row],[x2]]^2*($M$9+2*($M$10-$M$9)*Table2[[#This Row],[x1]]))</f>
        <v>1.7328815001832967</v>
      </c>
      <c r="T11">
        <f>EXP(Table2[[#This Row],[x1]]^2*($M$10+2*($M$9-$M$10)*Table2[[#This Row],[x2]]))</f>
        <v>1.0055003444024244</v>
      </c>
      <c r="U11">
        <f>Table2[[#This Row],[x1]]*Table2[[#This Row],[gamma1]]*$M$12+Table2[[#This Row],[x2]]*Table2[[#This Row],[gamma2]]*$M$13</f>
        <v>30.180602535592641</v>
      </c>
      <c r="V11">
        <f>Table2[[#This Row],[x1]]*Table2[[#This Row],[gamma1]]*$M$12/Table2[[#This Row],[P]]</f>
        <v>0.38842412174027852</v>
      </c>
    </row>
    <row r="12" spans="2:22" x14ac:dyDescent="0.3">
      <c r="B12">
        <v>70.228999999999999</v>
      </c>
      <c r="C12">
        <v>0.72550000000000003</v>
      </c>
      <c r="D12">
        <v>0.89219999999999999</v>
      </c>
      <c r="E12">
        <f>1-Table1[[#This Row],[x1]]</f>
        <v>0.27449999999999997</v>
      </c>
      <c r="F12">
        <f>1-Table1[[#This Row],[y1]]</f>
        <v>0.10780000000000001</v>
      </c>
      <c r="G12">
        <f>Table1[[#This Row],[y1]]*Table1[[#This Row],[P/kPa]]/Table1[[#This Row],[x1]]/$B$14</f>
        <v>1.0213298865157208</v>
      </c>
      <c r="H12">
        <f>Table1[[#This Row],[y2]]*Table1[[#This Row],[P/kPa]]/Table1[[#This Row],[x2]]/$B$3</f>
        <v>1.3822439380997076</v>
      </c>
      <c r="I12">
        <f>Table1[[#This Row],[x1]]*LN(Table1[[#This Row],[gamma1]])+Table1[[#This Row],[x2]]*LN(Table1[[#This Row],[gamma2]])</f>
        <v>0.1041700109527956</v>
      </c>
      <c r="J12">
        <f>Table1[[#This Row],[ExcessG/RT]]/Table1[[#This Row],[x1]]/Table1[[#This Row],[x2]]</f>
        <v>0.52307377213777884</v>
      </c>
      <c r="L12" s="5" t="s">
        <v>17</v>
      </c>
      <c r="M12" s="6">
        <v>84.561999999999998</v>
      </c>
      <c r="Q12">
        <v>0.09</v>
      </c>
      <c r="R12">
        <f>1-Table2[[#This Row],[x1]]</f>
        <v>0.91</v>
      </c>
      <c r="S12">
        <f>EXP(Table2[[#This Row],[x2]]^2*($M$9+2*($M$10-$M$9)*Table2[[#This Row],[x1]]))</f>
        <v>1.7065296113575295</v>
      </c>
      <c r="T12">
        <f>EXP(Table2[[#This Row],[x1]]^2*($M$10+2*($M$9-$M$10)*Table2[[#This Row],[x2]]))</f>
        <v>1.006932600690581</v>
      </c>
      <c r="U12">
        <f>Table2[[#This Row],[x1]]*Table2[[#This Row],[gamma1]]*$M$12+Table2[[#This Row],[x2]]*Table2[[#This Row],[gamma2]]*$M$13</f>
        <v>31.270786954842421</v>
      </c>
      <c r="V12">
        <f>Table2[[#This Row],[x1]]*Table2[[#This Row],[gamma1]]*$M$12/Table2[[#This Row],[P]]</f>
        <v>0.41532949421326237</v>
      </c>
    </row>
    <row r="13" spans="2:22" x14ac:dyDescent="0.3">
      <c r="B13">
        <v>72.831999999999994</v>
      </c>
      <c r="C13">
        <v>0.77759999999999996</v>
      </c>
      <c r="D13">
        <v>0.91410000000000002</v>
      </c>
      <c r="E13">
        <f>1-Table1[[#This Row],[x1]]</f>
        <v>0.22240000000000004</v>
      </c>
      <c r="F13">
        <f>1-Table1[[#This Row],[y1]]</f>
        <v>8.5899999999999976E-2</v>
      </c>
      <c r="G13">
        <f>Table1[[#This Row],[y1]]*Table1[[#This Row],[P/kPa]]/Table1[[#This Row],[x1]]/$B$14</f>
        <v>1.0124753230955386</v>
      </c>
      <c r="H13">
        <f>Table1[[#This Row],[y2]]*Table1[[#This Row],[P/kPa]]/Table1[[#This Row],[x2]]/$B$3</f>
        <v>1.4098483955280514</v>
      </c>
      <c r="I13">
        <f>Table1[[#This Row],[x1]]*LN(Table1[[#This Row],[gamma1]])+Table1[[#This Row],[x2]]*LN(Table1[[#This Row],[gamma2]])</f>
        <v>8.6031235779379225E-2</v>
      </c>
      <c r="J13">
        <f>Table1[[#This Row],[ExcessG/RT]]/Table1[[#This Row],[x1]]/Table1[[#This Row],[x2]]</f>
        <v>0.49746797341859855</v>
      </c>
      <c r="L13" s="5" t="s">
        <v>16</v>
      </c>
      <c r="M13" s="7">
        <v>19.952999999999999</v>
      </c>
      <c r="Q13">
        <v>0.1</v>
      </c>
      <c r="R13">
        <f>1-Table2[[#This Row],[x1]]</f>
        <v>0.9</v>
      </c>
      <c r="S13">
        <f>EXP(Table2[[#This Row],[x2]]^2*($M$9+2*($M$10-$M$9)*Table2[[#This Row],[x1]]))</f>
        <v>1.6810493405667608</v>
      </c>
      <c r="T13">
        <f>EXP(Table2[[#This Row],[x1]]^2*($M$10+2*($M$9-$M$10)*Table2[[#This Row],[x2]]))</f>
        <v>1.0085238551273688</v>
      </c>
      <c r="U13">
        <f>Table2[[#This Row],[x1]]*Table2[[#This Row],[gamma1]]*$M$12+Table2[[#This Row],[x2]]*Table2[[#This Row],[gamma2]]*$M$13</f>
        <v>32.326058266921393</v>
      </c>
      <c r="V13">
        <f>Table2[[#This Row],[x1]]*Table2[[#This Row],[gamma1]]*$M$12/Table2[[#This Row],[P]]</f>
        <v>0.43974707080964659</v>
      </c>
    </row>
    <row r="14" spans="2:22" x14ac:dyDescent="0.3">
      <c r="B14">
        <v>84.561999999999998</v>
      </c>
      <c r="C14">
        <v>1</v>
      </c>
      <c r="D14">
        <v>1</v>
      </c>
      <c r="E14">
        <f>1-Table1[[#This Row],[x1]]</f>
        <v>0</v>
      </c>
      <c r="F14">
        <f>1-Table1[[#This Row],[y1]]</f>
        <v>0</v>
      </c>
      <c r="G14">
        <f>Table1[[#This Row],[y1]]*Table1[[#This Row],[P/kPa]]/Table1[[#This Row],[x1]]/$B$14</f>
        <v>1</v>
      </c>
      <c r="Q14">
        <v>0.11</v>
      </c>
      <c r="R14">
        <f>1-Table2[[#This Row],[x1]]</f>
        <v>0.89</v>
      </c>
      <c r="S14">
        <f>EXP(Table2[[#This Row],[x2]]^2*($M$9+2*($M$10-$M$9)*Table2[[#This Row],[x1]]))</f>
        <v>1.6564093766937615</v>
      </c>
      <c r="T14">
        <f>EXP(Table2[[#This Row],[x1]]^2*($M$10+2*($M$9-$M$10)*Table2[[#This Row],[x2]]))</f>
        <v>1.0102723389669523</v>
      </c>
      <c r="U14">
        <f>Table2[[#This Row],[x1]]*Table2[[#This Row],[gamma1]]*$M$12+Table2[[#This Row],[x2]]*Table2[[#This Row],[gamma2]]*$M$13</f>
        <v>33.34820980999033</v>
      </c>
      <c r="V14">
        <f>Table2[[#This Row],[x1]]*Table2[[#This Row],[gamma1]]*$M$12/Table2[[#This Row],[P]]</f>
        <v>0.46202245806015679</v>
      </c>
    </row>
    <row r="15" spans="2:22" x14ac:dyDescent="0.3">
      <c r="Q15">
        <v>0.12</v>
      </c>
      <c r="R15">
        <f>1-Table2[[#This Row],[x1]]</f>
        <v>0.88</v>
      </c>
      <c r="S15">
        <f>EXP(Table2[[#This Row],[x2]]^2*($M$9+2*($M$10-$M$9)*Table2[[#This Row],[x1]]))</f>
        <v>1.6325797526823334</v>
      </c>
      <c r="T15">
        <f>EXP(Table2[[#This Row],[x1]]^2*($M$10+2*($M$9-$M$10)*Table2[[#This Row],[x2]]))</f>
        <v>1.0121763403578177</v>
      </c>
      <c r="U15">
        <f>Table2[[#This Row],[x1]]*Table2[[#This Row],[gamma1]]*$M$12+Table2[[#This Row],[x2]]*Table2[[#This Row],[gamma2]]*$M$13</f>
        <v>34.338945062419207</v>
      </c>
      <c r="V15">
        <f>Table2[[#This Row],[x1]]*Table2[[#This Row],[gamma1]]*$M$12/Table2[[#This Row],[P]]</f>
        <v>0.48244071142678524</v>
      </c>
    </row>
    <row r="16" spans="2:22" x14ac:dyDescent="0.3">
      <c r="Q16">
        <v>0.13</v>
      </c>
      <c r="R16">
        <f>1-Table2[[#This Row],[x1]]</f>
        <v>0.87</v>
      </c>
      <c r="S16">
        <f>EXP(Table2[[#This Row],[x2]]^2*($M$9+2*($M$10-$M$9)*Table2[[#This Row],[x1]]))</f>
        <v>1.6095317806895846</v>
      </c>
      <c r="T16">
        <f>EXP(Table2[[#This Row],[x1]]^2*($M$10+2*($M$9-$M$10)*Table2[[#This Row],[x2]]))</f>
        <v>1.0142342010612648</v>
      </c>
      <c r="U16">
        <f>Table2[[#This Row],[x1]]*Table2[[#This Row],[gamma1]]*$M$12+Table2[[#This Row],[x2]]*Table2[[#This Row],[gamma2]]*$M$13</f>
        <v>35.299882499012057</v>
      </c>
      <c r="V16">
        <f>Table2[[#This Row],[x1]]*Table2[[#This Row],[gamma1]]*$M$12/Table2[[#This Row],[P]]</f>
        <v>0.50123904626375571</v>
      </c>
    </row>
    <row r="17" spans="11:22" x14ac:dyDescent="0.3">
      <c r="Q17">
        <v>0.14000000000000001</v>
      </c>
      <c r="R17">
        <f>1-Table2[[#This Row],[x1]]</f>
        <v>0.86</v>
      </c>
      <c r="S17">
        <f>EXP(Table2[[#This Row],[x2]]^2*($M$9+2*($M$10-$M$9)*Table2[[#This Row],[x1]]))</f>
        <v>1.5872379906532028</v>
      </c>
      <c r="T17">
        <f>EXP(Table2[[#This Row],[x1]]^2*($M$10+2*($M$9-$M$10)*Table2[[#This Row],[x2]]))</f>
        <v>1.0164443132464211</v>
      </c>
      <c r="U17">
        <f>Table2[[#This Row],[x1]]*Table2[[#This Row],[gamma1]]*$M$12+Table2[[#This Row],[x2]]*Table2[[#This Row],[gamma2]]*$M$13</f>
        <v>36.232560163883285</v>
      </c>
      <c r="V17">
        <f>Table2[[#This Row],[x1]]*Table2[[#This Row],[gamma1]]*$M$12/Table2[[#This Row],[P]]</f>
        <v>0.51861647562837654</v>
      </c>
    </row>
    <row r="18" spans="11:22" x14ac:dyDescent="0.3">
      <c r="Q18">
        <v>0.15</v>
      </c>
      <c r="R18">
        <f>1-Table2[[#This Row],[x1]]</f>
        <v>0.85</v>
      </c>
      <c r="S18">
        <f>EXP(Table2[[#This Row],[x2]]^2*($M$9+2*($M$10-$M$9)*Table2[[#This Row],[x1]]))</f>
        <v>1.565672072077976</v>
      </c>
      <c r="T18">
        <f>EXP(Table2[[#This Row],[x1]]^2*($M$10+2*($M$9-$M$10)*Table2[[#This Row],[x2]]))</f>
        <v>1.0188051163570924</v>
      </c>
      <c r="U18">
        <f>Table2[[#This Row],[x1]]*Table2[[#This Row],[gamma1]]*$M$12+Table2[[#This Row],[x2]]*Table2[[#This Row],[gamma2]]*$M$13</f>
        <v>37.138439977530773</v>
      </c>
      <c r="V18">
        <f>Table2[[#This Row],[x1]]*Table2[[#This Row],[gamma1]]*$M$12/Table2[[#This Row],[P]]</f>
        <v>0.5347412081895172</v>
      </c>
    </row>
    <row r="19" spans="11:22" x14ac:dyDescent="0.3">
      <c r="Q19">
        <v>0.16</v>
      </c>
      <c r="R19">
        <f>1-Table2[[#This Row],[x1]]</f>
        <v>0.84</v>
      </c>
      <c r="S19">
        <f>EXP(Table2[[#This Row],[x2]]^2*($M$9+2*($M$10-$M$9)*Table2[[#This Row],[x1]]))</f>
        <v>1.5448088188578211</v>
      </c>
      <c r="T19">
        <f>EXP(Table2[[#This Row],[x1]]^2*($M$10+2*($M$9-$M$10)*Table2[[#This Row],[x2]]))</f>
        <v>1.0213150940460085</v>
      </c>
      <c r="U19">
        <f>Table2[[#This Row],[x1]]*Table2[[#This Row],[gamma1]]*$M$12+Table2[[#This Row],[x2]]*Table2[[#This Row],[gamma2]]*$M$13</f>
        <v>38.018911794500816</v>
      </c>
      <c r="V19">
        <f>Table2[[#This Row],[x1]]*Table2[[#This Row],[gamma1]]*$M$12/Table2[[#This Row],[P]]</f>
        <v>0.54975639090922168</v>
      </c>
    </row>
    <row r="20" spans="11:22" x14ac:dyDescent="0.3">
      <c r="Q20">
        <v>0.17</v>
      </c>
      <c r="R20">
        <f>1-Table2[[#This Row],[x1]]</f>
        <v>0.83</v>
      </c>
      <c r="S20">
        <f>EXP(Table2[[#This Row],[x2]]^2*($M$9+2*($M$10-$M$9)*Table2[[#This Row],[x1]]))</f>
        <v>1.5246240769607931</v>
      </c>
      <c r="T20">
        <f>EXP(Table2[[#This Row],[x1]]^2*($M$10+2*($M$9-$M$10)*Table2[[#This Row],[x2]]))</f>
        <v>1.0239727711722399</v>
      </c>
      <c r="U20">
        <f>Table2[[#This Row],[x1]]*Table2[[#This Row],[gamma1]]*$M$12+Table2[[#This Row],[x2]]*Table2[[#This Row],[gamma2]]*$M$13</f>
        <v>38.875297226968712</v>
      </c>
      <c r="V20">
        <f>Table2[[#This Row],[x1]]*Table2[[#This Row],[gamma1]]*$M$12/Table2[[#This Row],[P]]</f>
        <v>0.56378461302434535</v>
      </c>
    </row>
    <row r="21" spans="11:22" x14ac:dyDescent="0.3">
      <c r="Q21">
        <v>0.18</v>
      </c>
      <c r="R21">
        <f>1-Table2[[#This Row],[x1]]</f>
        <v>0.82000000000000006</v>
      </c>
      <c r="S21">
        <f>EXP(Table2[[#This Row],[x2]]^2*($M$9+2*($M$10-$M$9)*Table2[[#This Row],[x1]]))</f>
        <v>1.505094694815047</v>
      </c>
      <c r="T21">
        <f>EXP(Table2[[#This Row],[x1]]^2*($M$10+2*($M$9-$M$10)*Table2[[#This Row],[x2]]))</f>
        <v>1.0267767108577686</v>
      </c>
      <c r="U21">
        <f>Table2[[#This Row],[x1]]*Table2[[#This Row],[gamma1]]*$M$12+Table2[[#This Row],[x2]]*Table2[[#This Row],[gamma2]]*$M$13</f>
        <v>39.708853248561944</v>
      </c>
      <c r="V21">
        <f>Table2[[#This Row],[x1]]*Table2[[#This Row],[gamma1]]*$M$12/Table2[[#This Row],[P]]</f>
        <v>0.57693147222176855</v>
      </c>
    </row>
    <row r="22" spans="11:22" x14ac:dyDescent="0.3">
      <c r="Q22">
        <v>0.19</v>
      </c>
      <c r="R22">
        <f>1-Table2[[#This Row],[x1]]</f>
        <v>0.81</v>
      </c>
      <c r="S22">
        <f>EXP(Table2[[#This Row],[x2]]^2*($M$9+2*($M$10-$M$9)*Table2[[#This Row],[x1]]))</f>
        <v>1.4861984762435279</v>
      </c>
      <c r="T22">
        <f>EXP(Table2[[#This Row],[x1]]^2*($M$10+2*($M$9-$M$10)*Table2[[#This Row],[x2]]))</f>
        <v>1.0297255115994113</v>
      </c>
      <c r="U22">
        <f>Table2[[#This Row],[x1]]*Table2[[#This Row],[gamma1]]*$M$12+Table2[[#This Row],[x2]]*Table2[[#This Row],[gamma2]]*$M$13</f>
        <v>40.520775591823863</v>
      </c>
      <c r="V22">
        <f>Table2[[#This Row],[x1]]*Table2[[#This Row],[gamma1]]*$M$12/Table2[[#This Row],[P]]</f>
        <v>0.58928842317021424</v>
      </c>
    </row>
    <row r="23" spans="11:22" x14ac:dyDescent="0.3">
      <c r="Q23">
        <v>0.2</v>
      </c>
      <c r="R23">
        <f>1-Table2[[#This Row],[x1]]</f>
        <v>0.8</v>
      </c>
      <c r="S23">
        <f>EXP(Table2[[#This Row],[x2]]^2*($M$9+2*($M$10-$M$9)*Table2[[#This Row],[x1]]))</f>
        <v>1.4679141358043537</v>
      </c>
      <c r="T23">
        <f>EXP(Table2[[#This Row],[x1]]^2*($M$10+2*($M$9-$M$10)*Table2[[#This Row],[x2]]))</f>
        <v>1.0328178044324809</v>
      </c>
      <c r="U23">
        <f>Table2[[#This Row],[x1]]*Table2[[#This Row],[gamma1]]*$M$12+Table2[[#This Row],[x2]]*Table2[[#This Row],[gamma2]]*$M$13</f>
        <v>41.312201951850582</v>
      </c>
      <c r="V23">
        <f>Table2[[#This Row],[x1]]*Table2[[#This Row],[gamma1]]*$M$12/Table2[[#This Row],[P]]</f>
        <v>0.6009350714181787</v>
      </c>
    </row>
    <row r="24" spans="11:22" x14ac:dyDescent="0.3">
      <c r="Q24">
        <v>0.21</v>
      </c>
      <c r="R24">
        <f>1-Table2[[#This Row],[x1]]</f>
        <v>0.79</v>
      </c>
      <c r="S24">
        <f>EXP(Table2[[#This Row],[x2]]^2*($M$9+2*($M$10-$M$9)*Table2[[#This Row],[x1]]))</f>
        <v>1.450221256402439</v>
      </c>
      <c r="T24">
        <f>EXP(Table2[[#This Row],[x1]]^2*($M$10+2*($M$9-$M$10)*Table2[[#This Row],[x2]]))</f>
        <v>1.0360522501427667</v>
      </c>
      <c r="U24">
        <f>Table2[[#This Row],[x1]]*Table2[[#This Row],[gamma1]]*$M$12+Table2[[#This Row],[x2]]*Table2[[#This Row],[gamma2]]*$M$13</f>
        <v>42.084215007827552</v>
      </c>
      <c r="V24">
        <f>Table2[[#This Row],[x1]]*Table2[[#This Row],[gamma1]]*$M$12/Table2[[#This Row],[P]]</f>
        <v>0.6119410346808094</v>
      </c>
    </row>
    <row r="25" spans="11:22" x14ac:dyDescent="0.3">
      <c r="Q25">
        <v>0.22</v>
      </c>
      <c r="R25">
        <f>1-Table2[[#This Row],[x1]]</f>
        <v>0.78</v>
      </c>
      <c r="S25">
        <f>EXP(Table2[[#This Row],[x2]]^2*($M$9+2*($M$10-$M$9)*Table2[[#This Row],[x1]]))</f>
        <v>1.4331002490459557</v>
      </c>
      <c r="T25">
        <f>EXP(Table2[[#This Row],[x1]]^2*($M$10+2*($M$9-$M$10)*Table2[[#This Row],[x2]]))</f>
        <v>1.0394275365235937</v>
      </c>
      <c r="U25">
        <f>Table2[[#This Row],[x1]]*Table2[[#This Row],[gamma1]]*$M$12+Table2[[#This Row],[x2]]*Table2[[#This Row],[gamma2]]*$M$13</f>
        <v>42.837845273440408</v>
      </c>
      <c r="V25">
        <f>Table2[[#This Row],[x1]]*Table2[[#This Row],[gamma1]]*$M$12/Table2[[#This Row],[P]]</f>
        <v>0.62236746379237529</v>
      </c>
    </row>
    <row r="26" spans="11:22" x14ac:dyDescent="0.3">
      <c r="Q26">
        <v>0.23</v>
      </c>
      <c r="R26">
        <f>1-Table2[[#This Row],[x1]]</f>
        <v>0.77</v>
      </c>
      <c r="S26">
        <f>EXP(Table2[[#This Row],[x2]]^2*($M$9+2*($M$10-$M$9)*Table2[[#This Row],[x1]]))</f>
        <v>1.4165323146287518</v>
      </c>
      <c r="T26">
        <f>EXP(Table2[[#This Row],[x1]]^2*($M$10+2*($M$9-$M$10)*Table2[[#This Row],[x2]]))</f>
        <v>1.0429423756749014</v>
      </c>
      <c r="U26">
        <f>Table2[[#This Row],[x1]]*Table2[[#This Row],[gamma1]]*$M$12+Table2[[#This Row],[x2]]*Table2[[#This Row],[gamma2]]*$M$13</f>
        <v>43.574073786434212</v>
      </c>
      <c r="V26">
        <f>Table2[[#This Row],[x1]]*Table2[[#This Row],[gamma1]]*$M$12/Table2[[#This Row],[P]]</f>
        <v>0.63226829377136684</v>
      </c>
    </row>
    <row r="27" spans="11:22" x14ac:dyDescent="0.3">
      <c r="Q27">
        <v>0.24</v>
      </c>
      <c r="R27">
        <f>1-Table2[[#This Row],[x1]]</f>
        <v>0.76</v>
      </c>
      <c r="S27">
        <f>EXP(Table2[[#This Row],[x2]]^2*($M$9+2*($M$10-$M$9)*Table2[[#This Row],[x1]]))</f>
        <v>1.4004994076269093</v>
      </c>
      <c r="T27">
        <f>EXP(Table2[[#This Row],[x1]]^2*($M$10+2*($M$9-$M$10)*Table2[[#This Row],[x2]]))</f>
        <v>1.0465955013414501</v>
      </c>
      <c r="U27">
        <f>Table2[[#This Row],[x1]]*Table2[[#This Row],[gamma1]]*$M$12+Table2[[#This Row],[x2]]*Table2[[#This Row],[gamma2]]*$M$13</f>
        <v>44.293834646941335</v>
      </c>
      <c r="V27">
        <f>Table2[[#This Row],[x1]]*Table2[[#This Row],[gamma1]]*$M$12/Table2[[#This Row],[P]]</f>
        <v>0.64169127925847635</v>
      </c>
    </row>
    <row r="28" spans="11:22" x14ac:dyDescent="0.3">
      <c r="K28" s="8"/>
      <c r="L28" s="9"/>
      <c r="M28" s="9"/>
      <c r="N28" s="9"/>
      <c r="O28" s="9"/>
      <c r="P28" s="10"/>
      <c r="Q28">
        <v>0.25</v>
      </c>
      <c r="R28">
        <f>1-Table2[[#This Row],[x1]]</f>
        <v>0.75</v>
      </c>
      <c r="S28">
        <f>EXP(Table2[[#This Row],[x2]]^2*($M$9+2*($M$10-$M$9)*Table2[[#This Row],[x1]]))</f>
        <v>1.3849842016042178</v>
      </c>
      <c r="T28">
        <f>EXP(Table2[[#This Row],[x1]]^2*($M$10+2*($M$9-$M$10)*Table2[[#This Row],[x2]]))</f>
        <v>1.0503856662874296</v>
      </c>
      <c r="U28">
        <f>Table2[[#This Row],[x1]]*Table2[[#This Row],[gamma1]]*$M$12+Table2[[#This Row],[x2]]*Table2[[#This Row],[gamma2]]*$M$13</f>
        <v>44.998017413588776</v>
      </c>
      <c r="V28">
        <f>Table2[[#This Row],[x1]]*Table2[[#This Row],[gamma1]]*$M$12/Table2[[#This Row],[P]]</f>
        <v>0.65067885646828594</v>
      </c>
    </row>
    <row r="29" spans="11:22" x14ac:dyDescent="0.3">
      <c r="K29" s="11"/>
      <c r="Q29">
        <v>0.26</v>
      </c>
      <c r="R29">
        <f>1-Table2[[#This Row],[x1]]</f>
        <v>0.74</v>
      </c>
      <c r="S29">
        <f>EXP(Table2[[#This Row],[x2]]^2*($M$9+2*($M$10-$M$9)*Table2[[#This Row],[x1]]))</f>
        <v>1.3699700564275463</v>
      </c>
      <c r="T29">
        <f>EXP(Table2[[#This Row],[x1]]^2*($M$10+2*($M$9-$M$10)*Table2[[#This Row],[x2]]))</f>
        <v>1.0543116397049082</v>
      </c>
      <c r="U29">
        <f>Table2[[#This Row],[x1]]*Table2[[#This Row],[gamma1]]*$M$12+Table2[[#This Row],[x2]]*Table2[[#This Row],[gamma2]]*$M$13</f>
        <v>45.687469365826509</v>
      </c>
      <c r="V29">
        <f>Table2[[#This Row],[x1]]*Table2[[#This Row],[gamma1]]*$M$12/Table2[[#This Row],[P]]</f>
        <v>0.65926886463867762</v>
      </c>
    </row>
    <row r="30" spans="11:22" x14ac:dyDescent="0.3">
      <c r="K30" s="11"/>
      <c r="Q30">
        <v>0.27</v>
      </c>
      <c r="R30">
        <f>1-Table2[[#This Row],[x1]]</f>
        <v>0.73</v>
      </c>
      <c r="S30">
        <f>EXP(Table2[[#This Row],[x2]]^2*($M$9+2*($M$10-$M$9)*Table2[[#This Row],[x1]]))</f>
        <v>1.3554409870988873</v>
      </c>
      <c r="T30">
        <f>EXP(Table2[[#This Row],[x1]]^2*($M$10+2*($M$9-$M$10)*Table2[[#This Row],[x2]]))</f>
        <v>1.0583722046537136</v>
      </c>
      <c r="U30">
        <f>Table2[[#This Row],[x1]]*Table2[[#This Row],[gamma1]]*$M$12+Table2[[#This Row],[x2]]*Table2[[#This Row],[gamma2]]*$M$13</f>
        <v>46.362997640387697</v>
      </c>
      <c r="V30">
        <f>Table2[[#This Row],[x1]]*Table2[[#This Row],[gamma1]]*$M$12/Table2[[#This Row],[P]]</f>
        <v>0.66749515298438244</v>
      </c>
    </row>
    <row r="31" spans="11:22" x14ac:dyDescent="0.3">
      <c r="K31" s="11"/>
      <c r="Q31">
        <v>0.28000000000000003</v>
      </c>
      <c r="R31">
        <f>1-Table2[[#This Row],[x1]]</f>
        <v>0.72</v>
      </c>
      <c r="S31">
        <f>EXP(Table2[[#This Row],[x2]]^2*($M$9+2*($M$10-$M$9)*Table2[[#This Row],[x1]]))</f>
        <v>1.3413816341162923</v>
      </c>
      <c r="T31">
        <f>EXP(Table2[[#This Row],[x1]]^2*($M$10+2*($M$9-$M$10)*Table2[[#This Row],[x2]]))</f>
        <v>1.0625661555304904</v>
      </c>
      <c r="U31">
        <f>Table2[[#This Row],[x1]]*Table2[[#This Row],[gamma1]]*$M$12+Table2[[#This Row],[x2]]*Table2[[#This Row],[gamma2]]*$M$13</f>
        <v>47.025371249295645</v>
      </c>
      <c r="V31">
        <f>Table2[[#This Row],[x1]]*Table2[[#This Row],[gamma1]]*$M$12/Table2[[#This Row],[P]]</f>
        <v>0.67538809380128917</v>
      </c>
    </row>
    <row r="32" spans="11:22" x14ac:dyDescent="0.3">
      <c r="K32" s="11"/>
      <c r="Q32">
        <v>0.28999999999999998</v>
      </c>
      <c r="R32">
        <f>1-Table2[[#This Row],[x1]]</f>
        <v>0.71</v>
      </c>
      <c r="S32">
        <f>EXP(Table2[[#This Row],[x2]]^2*($M$9+2*($M$10-$M$9)*Table2[[#This Row],[x1]]))</f>
        <v>1.3277772352810273</v>
      </c>
      <c r="T32">
        <f>EXP(Table2[[#This Row],[x1]]^2*($M$10+2*($M$9-$M$10)*Table2[[#This Row],[x2]]))</f>
        <v>1.0668922955648301</v>
      </c>
      <c r="U32">
        <f>Table2[[#This Row],[x1]]*Table2[[#This Row],[gamma1]]*$M$12+Table2[[#This Row],[x2]]*Table2[[#This Row],[gamma2]]*$M$13</f>
        <v>47.675322986369508</v>
      </c>
      <c r="V32">
        <f>Table2[[#This Row],[x1]]*Table2[[#This Row],[gamma1]]*$M$12/Table2[[#This Row],[P]]</f>
        <v>0.68297501821982853</v>
      </c>
    </row>
    <row r="33" spans="11:22" x14ac:dyDescent="0.3">
      <c r="K33" s="11"/>
      <c r="Q33">
        <v>0.3</v>
      </c>
      <c r="R33">
        <f>1-Table2[[#This Row],[x1]]</f>
        <v>0.7</v>
      </c>
      <c r="S33">
        <f>EXP(Table2[[#This Row],[x2]]^2*($M$9+2*($M$10-$M$9)*Table2[[#This Row],[x1]]))</f>
        <v>1.314613598873055</v>
      </c>
      <c r="T33">
        <f>EXP(Table2[[#This Row],[x1]]^2*($M$10+2*($M$9-$M$10)*Table2[[#This Row],[x2]]))</f>
        <v>1.0713494343405097</v>
      </c>
      <c r="U33">
        <f>Table2[[#This Row],[x1]]*Table2[[#This Row],[gamma1]]*$M$12+Table2[[#This Row],[x2]]*Table2[[#This Row],[gamma2]]*$M$13</f>
        <v>48.31355122874831</v>
      </c>
      <c r="V33">
        <f>Table2[[#This Row],[x1]]*Table2[[#This Row],[gamma1]]*$M$12/Table2[[#This Row],[P]]</f>
        <v>0.69028058787213686</v>
      </c>
    </row>
    <row r="34" spans="11:22" x14ac:dyDescent="0.3">
      <c r="K34" s="11"/>
      <c r="Q34">
        <v>0.31</v>
      </c>
      <c r="R34">
        <f>1-Table2[[#This Row],[x1]]</f>
        <v>0.69</v>
      </c>
      <c r="S34">
        <f>EXP(Table2[[#This Row],[x2]]^2*($M$9+2*($M$10-$M$9)*Table2[[#This Row],[x1]]))</f>
        <v>1.3018770781214466</v>
      </c>
      <c r="T34">
        <f>EXP(Table2[[#This Row],[x1]]^2*($M$10+2*($M$9-$M$10)*Table2[[#This Row],[x2]]))</f>
        <v>1.0759363853400259</v>
      </c>
      <c r="U34">
        <f>Table2[[#This Row],[x1]]*Table2[[#This Row],[gamma1]]*$M$12+Table2[[#This Row],[x2]]*Table2[[#This Row],[gamma2]]*$M$13</f>
        <v>48.940721639548563</v>
      </c>
      <c r="V34">
        <f>Table2[[#This Row],[x1]]*Table2[[#This Row],[gamma1]]*$M$12/Table2[[#This Row],[P]]</f>
        <v>0.69732711320003293</v>
      </c>
    </row>
    <row r="35" spans="11:22" x14ac:dyDescent="0.3">
      <c r="K35" s="11"/>
      <c r="N35" s="13"/>
      <c r="Q35">
        <v>0.32</v>
      </c>
      <c r="R35">
        <f>1-Table2[[#This Row],[x1]]</f>
        <v>0.67999999999999994</v>
      </c>
      <c r="S35">
        <f>EXP(Table2[[#This Row],[x2]]^2*($M$9+2*($M$10-$M$9)*Table2[[#This Row],[x1]]))</f>
        <v>1.2895545469005456</v>
      </c>
      <c r="T35">
        <f>EXP(Table2[[#This Row],[x1]]^2*($M$10+2*($M$9-$M$10)*Table2[[#This Row],[x2]]))</f>
        <v>1.0806519635107414</v>
      </c>
      <c r="U35">
        <f>Table2[[#This Row],[x1]]*Table2[[#This Row],[gamma1]]*$M$12+Table2[[#This Row],[x2]]*Table2[[#This Row],[gamma2]]*$M$13</f>
        <v>49.557468777393538</v>
      </c>
      <c r="V35">
        <f>Table2[[#This Row],[x1]]*Table2[[#This Row],[gamma1]]*$M$12/Table2[[#This Row],[P]]</f>
        <v>0.70413482712658759</v>
      </c>
    </row>
    <row r="36" spans="11:22" x14ac:dyDescent="0.3">
      <c r="K36" s="11"/>
      <c r="Q36">
        <v>0.33</v>
      </c>
      <c r="R36">
        <f>1-Table2[[#This Row],[x1]]</f>
        <v>0.66999999999999993</v>
      </c>
      <c r="S36">
        <f>EXP(Table2[[#This Row],[x2]]^2*($M$9+2*($M$10-$M$9)*Table2[[#This Row],[x1]]))</f>
        <v>1.2776333765866574</v>
      </c>
      <c r="T36">
        <f>EXP(Table2[[#This Row],[x1]]^2*($M$10+2*($M$9-$M$10)*Table2[[#This Row],[x2]]))</f>
        <v>1.0854949828511056</v>
      </c>
      <c r="U36">
        <f>Table2[[#This Row],[x1]]*Table2[[#This Row],[gamma1]]*$M$12+Table2[[#This Row],[x2]]*Table2[[#This Row],[gamma2]]*$M$13</f>
        <v>50.164397618198741</v>
      </c>
      <c r="V36">
        <f>Table2[[#This Row],[x1]]*Table2[[#This Row],[gamma1]]*$M$12/Table2[[#This Row],[P]]</f>
        <v>0.71072212122147882</v>
      </c>
    </row>
    <row r="37" spans="11:22" x14ac:dyDescent="0.3">
      <c r="K37" s="11"/>
      <c r="Q37">
        <v>0.34</v>
      </c>
      <c r="R37">
        <f>1-Table2[[#This Row],[x1]]</f>
        <v>0.65999999999999992</v>
      </c>
      <c r="S37">
        <f>EXP(Table2[[#This Row],[x2]]^2*($M$9+2*($M$10-$M$9)*Table2[[#This Row],[x1]]))</f>
        <v>1.2661014140137636</v>
      </c>
      <c r="T37">
        <f>EXP(Table2[[#This Row],[x1]]^2*($M$10+2*($M$9-$M$10)*Table2[[#This Row],[x2]]))</f>
        <v>1.0904642540155409</v>
      </c>
      <c r="U37">
        <f>Table2[[#This Row],[x1]]*Table2[[#This Row],[gamma1]]*$M$12+Table2[[#This Row],[x2]]*Table2[[#This Row],[gamma2]]*$M$13</f>
        <v>50.76208499426842</v>
      </c>
      <c r="V37">
        <f>Table2[[#This Row],[x1]]*Table2[[#This Row],[gamma1]]*$M$12/Table2[[#This Row],[P]]</f>
        <v>0.71710575021756873</v>
      </c>
    </row>
    <row r="38" spans="11:22" x14ac:dyDescent="0.3">
      <c r="K38" s="11"/>
      <c r="Q38">
        <v>0.35</v>
      </c>
      <c r="R38">
        <f>1-Table2[[#This Row],[x1]]</f>
        <v>0.65</v>
      </c>
      <c r="S38">
        <f>EXP(Table2[[#This Row],[x2]]^2*($M$9+2*($M$10-$M$9)*Table2[[#This Row],[x1]]))</f>
        <v>1.2549469604702455</v>
      </c>
      <c r="T38">
        <f>EXP(Table2[[#This Row],[x1]]^2*($M$10+2*($M$9-$M$10)*Table2[[#This Row],[x2]]))</f>
        <v>1.0955585819367264</v>
      </c>
      <c r="U38">
        <f>Table2[[#This Row],[x1]]*Table2[[#This Row],[gamma1]]*$M$12+Table2[[#This Row],[x2]]*Table2[[#This Row],[gamma2]]*$M$13</f>
        <v>51.351080955448978</v>
      </c>
      <c r="V38">
        <f>Table2[[#This Row],[x1]]*Table2[[#This Row],[gamma1]]*$M$12/Table2[[#This Row],[P]]</f>
        <v>0.72330100971337885</v>
      </c>
    </row>
    <row r="39" spans="11:22" x14ac:dyDescent="0.3">
      <c r="K39" s="11"/>
      <c r="Q39">
        <v>0.36</v>
      </c>
      <c r="R39">
        <f>1-Table2[[#This Row],[x1]]</f>
        <v>0.64</v>
      </c>
      <c r="S39">
        <f>EXP(Table2[[#This Row],[x2]]^2*($M$9+2*($M$10-$M$9)*Table2[[#This Row],[x1]]))</f>
        <v>1.2441587516818855</v>
      </c>
      <c r="T39">
        <f>EXP(Table2[[#This Row],[x1]]^2*($M$10+2*($M$9-$M$10)*Table2[[#This Row],[x2]]))</f>
        <v>1.1007767634641312</v>
      </c>
      <c r="U39">
        <f>Table2[[#This Row],[x1]]*Table2[[#This Row],[gamma1]]*$M$12+Table2[[#This Row],[x2]]*Table2[[#This Row],[gamma2]]*$M$13</f>
        <v>51.931910056796369</v>
      </c>
      <c r="V39">
        <f>Table2[[#This Row],[x1]]*Table2[[#This Row],[gamma1]]*$M$12/Table2[[#This Row],[P]]</f>
        <v>0.72932189107001177</v>
      </c>
    </row>
    <row r="40" spans="11:22" x14ac:dyDescent="0.3">
      <c r="K40" s="12"/>
      <c r="Q40">
        <v>0.37</v>
      </c>
      <c r="R40">
        <f>1-Table2[[#This Row],[x1]]</f>
        <v>0.63</v>
      </c>
      <c r="S40">
        <f>EXP(Table2[[#This Row],[x2]]^2*($M$9+2*($M$10-$M$9)*Table2[[#This Row],[x1]]))</f>
        <v>1.2337259387294999</v>
      </c>
      <c r="T40">
        <f>EXP(Table2[[#This Row],[x1]]^2*($M$10+2*($M$9-$M$10)*Table2[[#This Row],[x2]]))</f>
        <v>1.1061175850177918</v>
      </c>
      <c r="U40">
        <f>Table2[[#This Row],[x1]]*Table2[[#This Row],[gamma1]]*$M$12+Table2[[#This Row],[x2]]*Table2[[#This Row],[gamma2]]*$M$13</f>
        <v>52.505072576944066</v>
      </c>
      <c r="V40">
        <f>Table2[[#This Row],[x1]]*Table2[[#This Row],[gamma1]]*$M$12/Table2[[#This Row],[P]]</f>
        <v>0.73518121684041926</v>
      </c>
    </row>
    <row r="41" spans="11:22" x14ac:dyDescent="0.3">
      <c r="Q41">
        <v>0.38</v>
      </c>
      <c r="R41">
        <f>1-Table2[[#This Row],[x1]]</f>
        <v>0.62</v>
      </c>
      <c r="S41">
        <f>EXP(Table2[[#This Row],[x2]]^2*($M$9+2*($M$10-$M$9)*Table2[[#This Row],[x1]]))</f>
        <v>1.22363806985245</v>
      </c>
      <c r="T41">
        <f>EXP(Table2[[#This Row],[x1]]^2*($M$10+2*($M$9-$M$10)*Table2[[#This Row],[x2]]))</f>
        <v>1.1115798202564466</v>
      </c>
      <c r="U41">
        <f>Table2[[#This Row],[x1]]*Table2[[#This Row],[gamma1]]*$M$12+Table2[[#This Row],[x2]]*Table2[[#This Row],[gamma2]]*$M$13</f>
        <v>53.071045671105558</v>
      </c>
      <c r="V41">
        <f>Table2[[#This Row],[x1]]*Table2[[#This Row],[gamma1]]*$M$12/Table2[[#This Row],[P]]</f>
        <v>0.74089075952191985</v>
      </c>
    </row>
    <row r="42" spans="11:22" x14ac:dyDescent="0.3">
      <c r="Q42">
        <v>0.39</v>
      </c>
      <c r="R42">
        <f>1-Table2[[#This Row],[x1]]</f>
        <v>0.61</v>
      </c>
      <c r="S42">
        <f>EXP(Table2[[#This Row],[x2]]^2*($M$9+2*($M$10-$M$9)*Table2[[#This Row],[x1]]))</f>
        <v>1.2138850730920123</v>
      </c>
      <c r="T42">
        <f>EXP(Table2[[#This Row],[x1]]^2*($M$10+2*($M$9-$M$10)*Table2[[#This Row],[x2]]))</f>
        <v>1.1171622277592765</v>
      </c>
      <c r="U42">
        <f>Table2[[#This Row],[x1]]*Table2[[#This Row],[gamma1]]*$M$12+Table2[[#This Row],[x2]]*Table2[[#This Row],[gamma2]]*$M$13</f>
        <v>53.630284462407943</v>
      </c>
      <c r="V42">
        <f>Table2[[#This Row],[x1]]*Table2[[#This Row],[gamma1]]*$M$12/Table2[[#This Row],[P]]</f>
        <v>0.74646134597469183</v>
      </c>
    </row>
    <row r="43" spans="11:22" x14ac:dyDescent="0.3">
      <c r="Q43">
        <v>0.4</v>
      </c>
      <c r="R43">
        <f>1-Table2[[#This Row],[x1]]</f>
        <v>0.6</v>
      </c>
      <c r="S43">
        <f>EXP(Table2[[#This Row],[x2]]^2*($M$9+2*($M$10-$M$9)*Table2[[#This Row],[x1]]))</f>
        <v>1.2044572397311428</v>
      </c>
      <c r="T43">
        <f>EXP(Table2[[#This Row],[x1]]^2*($M$10+2*($M$9-$M$10)*Table2[[#This Row],[x2]]))</f>
        <v>1.122863548720618</v>
      </c>
      <c r="U43">
        <f>Table2[[#This Row],[x1]]*Table2[[#This Row],[gamma1]]*$M$12+Table2[[#This Row],[x2]]*Table2[[#This Row],[gamma2]]*$M$13</f>
        <v>54.183223075031457</v>
      </c>
      <c r="V43">
        <f>Table2[[#This Row],[x1]]*Table2[[#This Row],[gamma1]]*$M$12/Table2[[#This Row],[P]]</f>
        <v>0.75190294948016634</v>
      </c>
    </row>
    <row r="44" spans="11:22" x14ac:dyDescent="0.3">
      <c r="Q44">
        <v>0.41</v>
      </c>
      <c r="R44">
        <f>1-Table2[[#This Row],[x1]]</f>
        <v>0.59000000000000008</v>
      </c>
      <c r="S44">
        <f>EXP(Table2[[#This Row],[x2]]^2*($M$9+2*($M$10-$M$9)*Table2[[#This Row],[x1]]))</f>
        <v>1.1953452084895952</v>
      </c>
      <c r="T44">
        <f>EXP(Table2[[#This Row],[x1]]^2*($M$10+2*($M$9-$M$10)*Table2[[#This Row],[x2]]))</f>
        <v>1.1286825046571523</v>
      </c>
      <c r="U44">
        <f>Table2[[#This Row],[x1]]*Table2[[#This Row],[gamma1]]*$M$12+Table2[[#This Row],[x2]]*Table2[[#This Row],[gamma2]]*$M$13</f>
        <v>54.730275612422083</v>
      </c>
      <c r="V44">
        <f>Table2[[#This Row],[x1]]*Table2[[#This Row],[gamma1]]*$M$12/Table2[[#This Row],[P]]</f>
        <v>0.75722477110850728</v>
      </c>
    </row>
    <row r="45" spans="11:22" x14ac:dyDescent="0.3">
      <c r="Q45">
        <v>0.42</v>
      </c>
      <c r="R45">
        <f>1-Table2[[#This Row],[x1]]</f>
        <v>0.58000000000000007</v>
      </c>
      <c r="S45">
        <f>EXP(Table2[[#This Row],[x2]]^2*($M$9+2*($M$10-$M$9)*Table2[[#This Row],[x1]]))</f>
        <v>1.1865399504356084</v>
      </c>
      <c r="T45">
        <f>EXP(Table2[[#This Row],[x1]]^2*($M$10+2*($M$9-$M$10)*Table2[[#This Row],[x2]]))</f>
        <v>1.1346177951271887</v>
      </c>
      <c r="U45">
        <f>Table2[[#This Row],[x1]]*Table2[[#This Row],[gamma1]]*$M$12+Table2[[#This Row],[x2]]*Table2[[#This Row],[gamma2]]*$M$13</f>
        <v>55.271837083649302</v>
      </c>
      <c r="V45">
        <f>Table2[[#This Row],[x1]]*Table2[[#This Row],[gamma1]]*$M$12/Table2[[#This Row],[P]]</f>
        <v>0.76243531181154522</v>
      </c>
    </row>
    <row r="46" spans="11:22" x14ac:dyDescent="0.3">
      <c r="Q46">
        <v>0.43</v>
      </c>
      <c r="R46">
        <f>1-Table2[[#This Row],[x1]]</f>
        <v>0.57000000000000006</v>
      </c>
      <c r="S46">
        <f>EXP(Table2[[#This Row],[x2]]^2*($M$9+2*($M$10-$M$9)*Table2[[#This Row],[x1]]))</f>
        <v>1.17803275457753</v>
      </c>
      <c r="T46">
        <f>EXP(Table2[[#This Row],[x1]]^2*($M$10+2*($M$9-$M$10)*Table2[[#This Row],[x2]]))</f>
        <v>1.1406680954617929</v>
      </c>
      <c r="U46">
        <f>Table2[[#This Row],[x1]]*Table2[[#This Row],[gamma1]]*$M$12+Table2[[#This Row],[x2]]*Table2[[#This Row],[gamma2]]*$M$13</f>
        <v>55.80828428079861</v>
      </c>
      <c r="V46">
        <f>Table2[[#This Row],[x1]]*Table2[[#This Row],[gamma1]]*$M$12/Table2[[#This Row],[P]]</f>
        <v>0.76754243644701103</v>
      </c>
    </row>
    <row r="47" spans="11:22" x14ac:dyDescent="0.3">
      <c r="Q47">
        <v>0.44</v>
      </c>
      <c r="R47">
        <f>1-Table2[[#This Row],[x1]]</f>
        <v>0.56000000000000005</v>
      </c>
      <c r="S47">
        <f>EXP(Table2[[#This Row],[x2]]^2*($M$9+2*($M$10-$M$9)*Table2[[#This Row],[x1]]))</f>
        <v>1.1698152141007423</v>
      </c>
      <c r="T47">
        <f>EXP(Table2[[#This Row],[x1]]^2*($M$10+2*($M$9-$M$10)*Table2[[#This Row],[x2]]))</f>
        <v>1.1468320545076305</v>
      </c>
      <c r="U47">
        <f>Table2[[#This Row],[x1]]*Table2[[#This Row],[gamma1]]*$M$12+Table2[[#This Row],[x2]]*Table2[[#This Row],[gamma2]]*$M$13</f>
        <v>56.339976610117084</v>
      </c>
      <c r="V47">
        <f>Table2[[#This Row],[x1]]*Table2[[#This Row],[gamma1]]*$M$12/Table2[[#This Row],[P]]</f>
        <v>0.77255343076394312</v>
      </c>
    </row>
    <row r="48" spans="11:22" x14ac:dyDescent="0.3">
      <c r="Q48">
        <v>0.45</v>
      </c>
      <c r="R48">
        <f>1-Table2[[#This Row],[x1]]</f>
        <v>0.55000000000000004</v>
      </c>
      <c r="S48">
        <f>EXP(Table2[[#This Row],[x2]]^2*($M$9+2*($M$10-$M$9)*Table2[[#This Row],[x1]]))</f>
        <v>1.1618792132171649</v>
      </c>
      <c r="T48">
        <f>EXP(Table2[[#This Row],[x1]]^2*($M$10+2*($M$9-$M$10)*Table2[[#This Row],[x2]]))</f>
        <v>1.1531082923815246</v>
      </c>
      <c r="U48">
        <f>Table2[[#This Row],[x1]]*Table2[[#This Row],[gamma1]]*$M$12+Table2[[#This Row],[x2]]*Table2[[#This Row],[gamma2]]*$M$13</f>
        <v>56.867256879470162</v>
      </c>
      <c r="V48">
        <f>Table2[[#This Row],[x1]]*Table2[[#This Row],[gamma1]]*$M$12/Table2[[#This Row],[P]]</f>
        <v>0.77747505223155733</v>
      </c>
    </row>
    <row r="49" spans="17:22" x14ac:dyDescent="0.3">
      <c r="Q49">
        <v>0.46</v>
      </c>
      <c r="R49">
        <f>1-Table2[[#This Row],[x1]]</f>
        <v>0.54</v>
      </c>
      <c r="S49">
        <f>EXP(Table2[[#This Row],[x2]]^2*($M$9+2*($M$10-$M$9)*Table2[[#This Row],[x1]]))</f>
        <v>1.1542169145963797</v>
      </c>
      <c r="T49">
        <f>EXP(Table2[[#This Row],[x1]]^2*($M$10+2*($M$9-$M$10)*Table2[[#This Row],[x2]]))</f>
        <v>1.1594953982368454</v>
      </c>
      <c r="U49">
        <f>Table2[[#This Row],[x1]]*Table2[[#This Row],[gamma1]]*$M$12+Table2[[#This Row],[x2]]*Table2[[#This Row],[gamma2]]*$M$13</f>
        <v>57.390452044516252</v>
      </c>
      <c r="V49">
        <f>Table2[[#This Row],[x1]]*Table2[[#This Row],[gamma1]]*$M$12/Table2[[#This Row],[P]]</f>
        <v>0.78231357546966007</v>
      </c>
    </row>
    <row r="50" spans="17:22" x14ac:dyDescent="0.3">
      <c r="Q50">
        <v>0.47</v>
      </c>
      <c r="R50">
        <f>1-Table2[[#This Row],[x1]]</f>
        <v>0.53</v>
      </c>
      <c r="S50">
        <f>EXP(Table2[[#This Row],[x2]]^2*($M$9+2*($M$10-$M$9)*Table2[[#This Row],[x1]]))</f>
        <v>1.146820747349123</v>
      </c>
      <c r="T50">
        <f>EXP(Table2[[#This Row],[x1]]^2*($M$10+2*($M$9-$M$10)*Table2[[#This Row],[x2]]))</f>
        <v>1.1659919280419795</v>
      </c>
      <c r="U50">
        <f>Table2[[#This Row],[x1]]*Table2[[#This Row],[gamma1]]*$M$12+Table2[[#This Row],[x2]]*Table2[[#This Row],[gamma2]]*$M$13</f>
        <v>57.909873915865624</v>
      </c>
      <c r="V50">
        <f>Table2[[#This Row],[x1]]*Table2[[#This Row],[gamma1]]*$M$12/Table2[[#This Row],[P]]</f>
        <v>0.78707483293381397</v>
      </c>
    </row>
    <row r="51" spans="17:22" x14ac:dyDescent="0.3">
      <c r="Q51">
        <v>0.48</v>
      </c>
      <c r="R51">
        <f>1-Table2[[#This Row],[x1]]</f>
        <v>0.52</v>
      </c>
      <c r="S51">
        <f>EXP(Table2[[#This Row],[x2]]^2*($M$9+2*($M$10-$M$9)*Table2[[#This Row],[x1]]))</f>
        <v>1.1396833955354584</v>
      </c>
      <c r="T51">
        <f>EXP(Table2[[#This Row],[x1]]^2*($M$10+2*($M$9-$M$10)*Table2[[#This Row],[x2]]))</f>
        <v>1.1725964023712441</v>
      </c>
      <c r="U51">
        <f>Table2[[#This Row],[x1]]*Table2[[#This Row],[gamma1]]*$M$12+Table2[[#This Row],[x2]]*Table2[[#This Row],[gamma2]]*$M$13</f>
        <v>58.425819829356314</v>
      </c>
      <c r="V51">
        <f>Table2[[#This Row],[x1]]*Table2[[#This Row],[gamma1]]*$M$12/Table2[[#This Row],[P]]</f>
        <v>0.79176425141964457</v>
      </c>
    </row>
    <row r="52" spans="17:22" x14ac:dyDescent="0.3">
      <c r="Q52">
        <v>0.49</v>
      </c>
      <c r="R52">
        <f>1-Table2[[#This Row],[x1]]</f>
        <v>0.51</v>
      </c>
      <c r="S52">
        <f>EXP(Table2[[#This Row],[x2]]^2*($M$9+2*($M$10-$M$9)*Table2[[#This Row],[x1]]))</f>
        <v>1.1327977871714567</v>
      </c>
      <c r="T52">
        <f>EXP(Table2[[#This Row],[x1]]^2*($M$10+2*($M$9-$M$10)*Table2[[#This Row],[x2]]))</f>
        <v>1.1793073042087416</v>
      </c>
      <c r="U52">
        <f>Table2[[#This Row],[x1]]*Table2[[#This Row],[gamma1]]*$M$12+Table2[[#This Row],[x2]]*Table2[[#This Row],[gamma2]]*$M$13</f>
        <v>58.938573281455717</v>
      </c>
      <c r="V52">
        <f>Table2[[#This Row],[x1]]*Table2[[#This Row],[gamma1]]*$M$12/Table2[[#This Row],[P]]</f>
        <v>0.7963868848752208</v>
      </c>
    </row>
    <row r="53" spans="17:22" x14ac:dyDescent="0.3">
      <c r="Q53">
        <v>0.5</v>
      </c>
      <c r="R53">
        <f>1-Table2[[#This Row],[x1]]</f>
        <v>0.5</v>
      </c>
      <c r="S53">
        <f>EXP(Table2[[#This Row],[x2]]^2*($M$9+2*($M$10-$M$9)*Table2[[#This Row],[x1]]))</f>
        <v>1.1261570837096055</v>
      </c>
      <c r="T53">
        <f>EXP(Table2[[#This Row],[x1]]^2*($M$10+2*($M$9-$M$10)*Table2[[#This Row],[x2]]))</f>
        <v>1.1861230767657696</v>
      </c>
      <c r="U53">
        <f>Table2[[#This Row],[x1]]*Table2[[#This Row],[gamma1]]*$M$12+Table2[[#This Row],[x2]]*Table2[[#This Row],[gamma2]]*$M$13</f>
        <v>59.448404531679529</v>
      </c>
      <c r="V53">
        <f>Table2[[#This Row],[x1]]*Table2[[#This Row],[gamma1]]*$M$12/Table2[[#This Row],[P]]</f>
        <v>0.80094744394615658</v>
      </c>
    </row>
    <row r="54" spans="17:22" x14ac:dyDescent="0.3">
      <c r="Q54">
        <v>0.51</v>
      </c>
      <c r="R54">
        <f>1-Table2[[#This Row],[x1]]</f>
        <v>0.49</v>
      </c>
      <c r="S54">
        <f>EXP(Table2[[#This Row],[x2]]^2*($M$9+2*($M$10-$M$9)*Table2[[#This Row],[x1]]))</f>
        <v>1.1197546699695116</v>
      </c>
      <c r="T54">
        <f>EXP(Table2[[#This Row],[x1]]^2*($M$10+2*($M$9-$M$10)*Table2[[#This Row],[x2]]))</f>
        <v>1.1930421213125271</v>
      </c>
      <c r="U54">
        <f>Table2[[#This Row],[x1]]*Table2[[#This Row],[gamma1]]*$M$12+Table2[[#This Row],[x2]]*Table2[[#This Row],[gamma2]]*$M$13</f>
        <v>59.955571173809467</v>
      </c>
      <c r="V54">
        <f>Table2[[#This Row],[x1]]*Table2[[#This Row],[gamma1]]*$M$12/Table2[[#This Row],[P]]</f>
        <v>0.80545032262315774</v>
      </c>
    </row>
    <row r="55" spans="17:22" x14ac:dyDescent="0.3">
      <c r="Q55">
        <v>0.52</v>
      </c>
      <c r="R55">
        <f>1-Table2[[#This Row],[x1]]</f>
        <v>0.48</v>
      </c>
      <c r="S55">
        <f>EXP(Table2[[#This Row],[x2]]^2*($M$9+2*($M$10-$M$9)*Table2[[#This Row],[x1]]))</f>
        <v>1.1135841444967129</v>
      </c>
      <c r="T55">
        <f>EXP(Table2[[#This Row],[x1]]^2*($M$10+2*($M$9-$M$10)*Table2[[#This Row],[x2]]))</f>
        <v>1.2000627950249823</v>
      </c>
      <c r="U55">
        <f>Table2[[#This Row],[x1]]*Table2[[#This Row],[gamma1]]*$M$12+Table2[[#This Row],[x2]]*Table2[[#This Row],[gamma2]]*$M$13</f>
        <v>60.460318677588205</v>
      </c>
      <c r="V55">
        <f>Table2[[#This Row],[x1]]*Table2[[#This Row],[gamma1]]*$M$12/Table2[[#This Row],[P]]</f>
        <v>0.80989962231468426</v>
      </c>
    </row>
    <row r="56" spans="17:22" x14ac:dyDescent="0.3">
      <c r="Q56">
        <v>0.53</v>
      </c>
      <c r="R56">
        <f>1-Table2[[#This Row],[x1]]</f>
        <v>0.47</v>
      </c>
      <c r="S56">
        <f>EXP(Table2[[#This Row],[x2]]^2*($M$9+2*($M$10-$M$9)*Table2[[#This Row],[x1]]))</f>
        <v>1.1076393103285993</v>
      </c>
      <c r="T56">
        <f>EXP(Table2[[#This Row],[x1]]^2*($M$10+2*($M$9-$M$10)*Table2[[#This Row],[x2]]))</f>
        <v>1.2071834088478892</v>
      </c>
      <c r="U56">
        <f>Table2[[#This Row],[x1]]*Table2[[#This Row],[gamma1]]*$M$12+Table2[[#This Row],[x2]]*Table2[[#This Row],[gamma2]]*$M$13</f>
        <v>60.962880902472428</v>
      </c>
      <c r="V56">
        <f>Table2[[#This Row],[x1]]*Table2[[#This Row],[gamma1]]*$M$12/Table2[[#This Row],[P]]</f>
        <v>0.81429917362698689</v>
      </c>
    </row>
    <row r="57" spans="17:22" x14ac:dyDescent="0.3">
      <c r="Q57">
        <v>0.54</v>
      </c>
      <c r="R57">
        <f>1-Table2[[#This Row],[x1]]</f>
        <v>0.45999999999999996</v>
      </c>
      <c r="S57">
        <f>EXP(Table2[[#This Row],[x2]]^2*($M$9+2*($M$10-$M$9)*Table2[[#This Row],[x1]]))</f>
        <v>1.1019141661475655</v>
      </c>
      <c r="T57">
        <f>EXP(Table2[[#This Row],[x1]]^2*($M$10+2*($M$9-$M$10)*Table2[[#This Row],[x2]]))</f>
        <v>1.2144022253750713</v>
      </c>
      <c r="U57">
        <f>Table2[[#This Row],[x1]]*Table2[[#This Row],[gamma1]]*$M$12+Table2[[#This Row],[x2]]*Table2[[#This Row],[gamma2]]*$M$13</f>
        <v>61.463480584934082</v>
      </c>
      <c r="V57">
        <f>Table2[[#This Row],[x1]]*Table2[[#This Row],[gamma1]]*$M$12/Table2[[#This Row],[P]]</f>
        <v>0.81865255609897547</v>
      </c>
    </row>
    <row r="58" spans="17:22" x14ac:dyDescent="0.3">
      <c r="Q58">
        <v>0.55000000000000004</v>
      </c>
      <c r="R58">
        <f>1-Table2[[#This Row],[x1]]</f>
        <v>0.44999999999999996</v>
      </c>
      <c r="S58">
        <f>EXP(Table2[[#This Row],[x2]]^2*($M$9+2*($M$10-$M$9)*Table2[[#This Row],[x1]]))</f>
        <v>1.0964028978025757</v>
      </c>
      <c r="T58">
        <f>EXP(Table2[[#This Row],[x1]]^2*($M$10+2*($M$9-$M$10)*Table2[[#This Row],[x2]]))</f>
        <v>1.2217174567482016</v>
      </c>
      <c r="U58">
        <f>Table2[[#This Row],[x1]]*Table2[[#This Row],[gamma1]]*$M$12+Table2[[#This Row],[x2]]*Table2[[#This Row],[gamma2]]*$M$13</f>
        <v>61.962329800713363</v>
      </c>
      <c r="V58">
        <f>Table2[[#This Row],[x1]]*Table2[[#This Row],[gamma1]]*$M$12/Table2[[#This Row],[P]]</f>
        <v>0.82296311610934147</v>
      </c>
    </row>
    <row r="59" spans="17:22" x14ac:dyDescent="0.3">
      <c r="Q59">
        <v>0.56000000000000005</v>
      </c>
      <c r="R59">
        <f>1-Table2[[#This Row],[x1]]</f>
        <v>0.43999999999999995</v>
      </c>
      <c r="S59">
        <f>EXP(Table2[[#This Row],[x2]]^2*($M$9+2*($M$10-$M$9)*Table2[[#This Row],[x1]]))</f>
        <v>1.0910998701813179</v>
      </c>
      <c r="T59">
        <f>EXP(Table2[[#This Row],[x1]]^2*($M$10+2*($M$9-$M$10)*Table2[[#This Row],[x2]]))</f>
        <v>1.2291272625754519</v>
      </c>
      <c r="U59">
        <f>Table2[[#This Row],[x1]]*Table2[[#This Row],[gamma1]]*$M$12+Table2[[#This Row],[x2]]*Table2[[#This Row],[gamma2]]*$M$13</f>
        <v>62.45963040334658</v>
      </c>
      <c r="V59">
        <f>Table2[[#This Row],[x1]]*Table2[[#This Row],[gamma1]]*$M$12/Table2[[#This Row],[P]]</f>
        <v>0.82723398314736518</v>
      </c>
    </row>
    <row r="60" spans="17:22" x14ac:dyDescent="0.3">
      <c r="Q60">
        <v>0.56999999999999995</v>
      </c>
      <c r="R60">
        <f>1-Table2[[#This Row],[x1]]</f>
        <v>0.43000000000000005</v>
      </c>
      <c r="S60">
        <f>EXP(Table2[[#This Row],[x2]]^2*($M$9+2*($M$10-$M$9)*Table2[[#This Row],[x1]]))</f>
        <v>1.0859996194160717</v>
      </c>
      <c r="T60">
        <f>EXP(Table2[[#This Row],[x1]]^2*($M$10+2*($M$9-$M$10)*Table2[[#This Row],[x2]]))</f>
        <v>1.2366297478714861</v>
      </c>
      <c r="U60">
        <f>Table2[[#This Row],[x1]]*Table2[[#This Row],[gamma1]]*$M$12+Table2[[#This Row],[x2]]*Table2[[#This Row],[gamma2]]*$M$13</f>
        <v>62.955574440215543</v>
      </c>
      <c r="V60">
        <f>Table2[[#This Row],[x1]]*Table2[[#This Row],[gamma1]]*$M$12/Table2[[#This Row],[P]]</f>
        <v>0.83146808461630528</v>
      </c>
    </row>
    <row r="61" spans="17:22" x14ac:dyDescent="0.3">
      <c r="Q61">
        <v>0.57999999999999996</v>
      </c>
      <c r="R61">
        <f>1-Table2[[#This Row],[x1]]</f>
        <v>0.42000000000000004</v>
      </c>
      <c r="S61">
        <f>EXP(Table2[[#This Row],[x2]]^2*($M$9+2*($M$10-$M$9)*Table2[[#This Row],[x1]]))</f>
        <v>1.0810968454073062</v>
      </c>
      <c r="T61">
        <f>EXP(Table2[[#This Row],[x1]]^2*($M$10+2*($M$9-$M$10)*Table2[[#This Row],[x2]]))</f>
        <v>1.2442229610204174</v>
      </c>
      <c r="U61">
        <f>Table2[[#This Row],[x1]]*Table2[[#This Row],[gamma1]]*$M$12+Table2[[#This Row],[x2]]*Table2[[#This Row],[gamma2]]*$M$13</f>
        <v>63.450344547293888</v>
      </c>
      <c r="V61">
        <f>Table2[[#This Row],[x1]]*Table2[[#This Row],[gamma1]]*$M$12/Table2[[#This Row],[P]]</f>
        <v>0.83566815931867677</v>
      </c>
    </row>
    <row r="62" spans="17:22" x14ac:dyDescent="0.3">
      <c r="Q62">
        <v>0.59</v>
      </c>
      <c r="R62">
        <f>1-Table2[[#This Row],[x1]]</f>
        <v>0.41000000000000003</v>
      </c>
      <c r="S62">
        <f>EXP(Table2[[#This Row],[x2]]^2*($M$9+2*($M$10-$M$9)*Table2[[#This Row],[x1]]))</f>
        <v>1.0763864046498688</v>
      </c>
      <c r="T62">
        <f>EXP(Table2[[#This Row],[x1]]^2*($M$10+2*($M$9-$M$10)*Table2[[#This Row],[x2]]))</f>
        <v>1.2519048917634581</v>
      </c>
      <c r="U62">
        <f>Table2[[#This Row],[x1]]*Table2[[#This Row],[gamma1]]*$M$12+Table2[[#This Row],[x2]]*Table2[[#This Row],[gamma2]]*$M$13</f>
        <v>63.94411432369737</v>
      </c>
      <c r="V62">
        <f>Table2[[#This Row],[x1]]*Table2[[#This Row],[gamma1]]*$M$12/Table2[[#This Row],[P]]</f>
        <v>0.83983676975567045</v>
      </c>
    </row>
    <row r="63" spans="17:22" x14ac:dyDescent="0.3">
      <c r="Q63">
        <v>0.6</v>
      </c>
      <c r="R63">
        <f>1-Table2[[#This Row],[x1]]</f>
        <v>0.4</v>
      </c>
      <c r="S63">
        <f>EXP(Table2[[#This Row],[x2]]^2*($M$9+2*($M$10-$M$9)*Table2[[#This Row],[x1]]))</f>
        <v>1.0718633033474261</v>
      </c>
      <c r="T63">
        <f>EXP(Table2[[#This Row],[x1]]^2*($M$10+2*($M$9-$M$10)*Table2[[#This Row],[x2]]))</f>
        <v>1.2596734692131211</v>
      </c>
      <c r="U63">
        <f>Table2[[#This Row],[x1]]*Table2[[#This Row],[gamma1]]*$M$12+Table2[[#This Row],[x2]]*Table2[[#This Row],[gamma2]]*$M$13</f>
        <v>64.437048687082779</v>
      </c>
      <c r="V63">
        <f>Table2[[#This Row],[x1]]*Table2[[#This Row],[gamma1]]*$M$12/Table2[[#This Row],[P]]</f>
        <v>0.84397631335807677</v>
      </c>
    </row>
    <row r="64" spans="17:22" x14ac:dyDescent="0.3">
      <c r="Q64">
        <v>0.61</v>
      </c>
      <c r="R64">
        <f>1-Table2[[#This Row],[x1]]</f>
        <v>0.39</v>
      </c>
      <c r="S64">
        <f>EXP(Table2[[#This Row],[x2]]^2*($M$9+2*($M$10-$M$9)*Table2[[#This Row],[x1]]))</f>
        <v>1.0675226908015714</v>
      </c>
      <c r="T64">
        <f>EXP(Table2[[#This Row],[x1]]^2*($M$10+2*($M$9-$M$10)*Table2[[#This Row],[x2]]))</f>
        <v>1.2675265598959524</v>
      </c>
      <c r="U64">
        <f>Table2[[#This Row],[x1]]*Table2[[#This Row],[gamma1]]*$M$12+Table2[[#This Row],[x2]]*Table2[[#This Row],[gamma2]]*$M$13</f>
        <v>64.929304210878641</v>
      </c>
      <c r="V64">
        <f>Table2[[#This Row],[x1]]*Table2[[#This Row],[gamma1]]*$M$12/Table2[[#This Row],[P]]</f>
        <v>0.84808903275305769</v>
      </c>
    </row>
    <row r="65" spans="17:22" x14ac:dyDescent="0.3">
      <c r="Q65">
        <v>0.62</v>
      </c>
      <c r="R65">
        <f>1-Table2[[#This Row],[x1]]</f>
        <v>0.38</v>
      </c>
      <c r="S65">
        <f>EXP(Table2[[#This Row],[x2]]^2*($M$9+2*($M$10-$M$9)*Table2[[#This Row],[x1]]))</f>
        <v>1.0633598530627348</v>
      </c>
      <c r="T65">
        <f>EXP(Table2[[#This Row],[x1]]^2*($M$10+2*($M$9-$M$10)*Table2[[#This Row],[x2]]))</f>
        <v>1.275461965825901</v>
      </c>
      <c r="U65">
        <f>Table2[[#This Row],[x1]]*Table2[[#This Row],[gamma1]]*$M$12+Table2[[#This Row],[x2]]*Table2[[#This Row],[gamma2]]*$M$13</f>
        <v>65.421029444275604</v>
      </c>
      <c r="V65">
        <f>Table2[[#This Row],[x1]]*Table2[[#This Row],[gamma1]]*$M$12/Table2[[#This Row],[P]]</f>
        <v>0.85217702515970739</v>
      </c>
    </row>
    <row r="66" spans="17:22" x14ac:dyDescent="0.3">
      <c r="Q66">
        <v>0.63</v>
      </c>
      <c r="R66">
        <f>1-Table2[[#This Row],[x1]]</f>
        <v>0.37</v>
      </c>
      <c r="S66">
        <f>EXP(Table2[[#This Row],[x2]]^2*($M$9+2*($M$10-$M$9)*Table2[[#This Row],[x1]]))</f>
        <v>1.0593702068307038</v>
      </c>
      <c r="T66">
        <f>EXP(Table2[[#This Row],[x1]]^2*($M$10+2*($M$9-$M$10)*Table2[[#This Row],[x2]]))</f>
        <v>1.2834774226105445</v>
      </c>
      <c r="U66">
        <f>Table2[[#This Row],[x1]]*Table2[[#This Row],[gamma1]]*$M$12+Table2[[#This Row],[x2]]*Table2[[#This Row],[gamma2]]*$M$13</f>
        <v>65.912365215850159</v>
      </c>
      <c r="V66">
        <f>Table2[[#This Row],[x1]]*Table2[[#This Row],[gamma1]]*$M$12/Table2[[#This Row],[P]]</f>
        <v>0.85624225099632367</v>
      </c>
    </row>
    <row r="67" spans="17:22" x14ac:dyDescent="0.3">
      <c r="Q67">
        <v>0.64</v>
      </c>
      <c r="R67">
        <f>1-Table2[[#This Row],[x1]]</f>
        <v>0.36</v>
      </c>
      <c r="S67">
        <f>EXP(Table2[[#This Row],[x2]]^2*($M$9+2*($M$10-$M$9)*Table2[[#This Row],[x1]]))</f>
        <v>1.0555492935932085</v>
      </c>
      <c r="T67">
        <f>EXP(Table2[[#This Row],[x1]]^2*($M$10+2*($M$9-$M$10)*Table2[[#This Row],[x2]]))</f>
        <v>1.2915705975925227</v>
      </c>
      <c r="U67">
        <f>Table2[[#This Row],[x1]]*Table2[[#This Row],[gamma1]]*$M$12+Table2[[#This Row],[x2]]*Table2[[#This Row],[gamma2]]*$M$13</f>
        <v>66.403444921645388</v>
      </c>
      <c r="V67">
        <f>Table2[[#This Row],[x1]]*Table2[[#This Row],[gamma1]]*$M$12/Table2[[#This Row],[P]]</f>
        <v>0.8602865417735166</v>
      </c>
    </row>
    <row r="68" spans="17:22" x14ac:dyDescent="0.3">
      <c r="Q68">
        <v>0.65</v>
      </c>
      <c r="R68">
        <f>1-Table2[[#This Row],[x1]]</f>
        <v>0.35</v>
      </c>
      <c r="S68">
        <f>EXP(Table2[[#This Row],[x2]]^2*($M$9+2*($M$10-$M$9)*Table2[[#This Row],[x1]]))</f>
        <v>1.0518927739916337</v>
      </c>
      <c r="T68">
        <f>EXP(Table2[[#This Row],[x1]]^2*($M$10+2*($M$9-$M$10)*Table2[[#This Row],[x2]]))</f>
        <v>1.2997390880286359</v>
      </c>
      <c r="U68">
        <f>Table2[[#This Row],[x1]]*Table2[[#This Row],[gamma1]]*$M$12+Table2[[#This Row],[x2]]*Table2[[#This Row],[gamma2]]*$M$13</f>
        <v>66.894394798484726</v>
      </c>
      <c r="V68">
        <f>Table2[[#This Row],[x1]]*Table2[[#This Row],[gamma1]]*$M$12/Table2[[#This Row],[P]]</f>
        <v>0.86431160733951384</v>
      </c>
    </row>
    <row r="69" spans="17:22" x14ac:dyDescent="0.3">
      <c r="Q69">
        <v>0.66</v>
      </c>
      <c r="R69">
        <f>1-Table2[[#This Row],[x1]]</f>
        <v>0.33999999999999997</v>
      </c>
      <c r="S69">
        <f>EXP(Table2[[#This Row],[x2]]^2*($M$9+2*($M$10-$M$9)*Table2[[#This Row],[x1]]))</f>
        <v>1.0483964224034965</v>
      </c>
      <c r="T69">
        <f>EXP(Table2[[#This Row],[x1]]^2*($M$10+2*($M$9-$M$10)*Table2[[#This Row],[x2]]))</f>
        <v>1.3079804193091971</v>
      </c>
      <c r="U69">
        <f>Table2[[#This Row],[x1]]*Table2[[#This Row],[gamma1]]*$M$12+Table2[[#This Row],[x2]]*Table2[[#This Row],[gamma2]]*$M$13</f>
        <v>67.385334183249739</v>
      </c>
      <c r="V69">
        <f>Table2[[#This Row],[x1]]*Table2[[#This Row],[gamma1]]*$M$12/Table2[[#This Row],[P]]</f>
        <v>0.8683190425371865</v>
      </c>
    </row>
    <row r="70" spans="17:22" x14ac:dyDescent="0.3">
      <c r="Q70">
        <v>0.67</v>
      </c>
      <c r="R70">
        <f>1-Table2[[#This Row],[x1]]</f>
        <v>0.32999999999999996</v>
      </c>
      <c r="S70">
        <f>EXP(Table2[[#This Row],[x2]]^2*($M$9+2*($M$10-$M$9)*Table2[[#This Row],[x1]]))</f>
        <v>1.0450561217318777</v>
      </c>
      <c r="T70">
        <f>EXP(Table2[[#This Row],[x1]]^2*($M$10+2*($M$9-$M$10)*Table2[[#This Row],[x2]]))</f>
        <v>1.3162920432203347</v>
      </c>
      <c r="U70">
        <f>Table2[[#This Row],[x1]]*Table2[[#This Row],[gamma1]]*$M$12+Table2[[#This Row],[x2]]*Table2[[#This Row],[gamma2]]*$M$13</f>
        <v>67.876375758810866</v>
      </c>
      <c r="V70">
        <f>Table2[[#This Row],[x1]]*Table2[[#This Row],[gamma1]]*$M$12/Table2[[#This Row],[P]]</f>
        <v>0.87231033332626329</v>
      </c>
    </row>
    <row r="71" spans="17:22" x14ac:dyDescent="0.3">
      <c r="Q71">
        <v>0.68</v>
      </c>
      <c r="R71">
        <f>1-Table2[[#This Row],[x1]]</f>
        <v>0.31999999999999995</v>
      </c>
      <c r="S71">
        <f>EXP(Table2[[#This Row],[x2]]^2*($M$9+2*($M$10-$M$9)*Table2[[#This Row],[x1]]))</f>
        <v>1.0418678583925094</v>
      </c>
      <c r="T71">
        <f>EXP(Table2[[#This Row],[x1]]^2*($M$10+2*($M$9-$M$10)*Table2[[#This Row],[x2]]))</f>
        <v>1.3246713362520584</v>
      </c>
      <c r="U71">
        <f>Table2[[#This Row],[x1]]*Table2[[#This Row],[gamma1]]*$M$12+Table2[[#This Row],[x2]]*Table2[[#This Row],[gamma2]]*$M$13</f>
        <v>68.367625787259357</v>
      </c>
      <c r="V71">
        <f>Table2[[#This Row],[x1]]*Table2[[#This Row],[gamma1]]*$M$12/Table2[[#This Row],[P]]</f>
        <v>0.8762868624188479</v>
      </c>
    </row>
    <row r="72" spans="17:22" x14ac:dyDescent="0.3">
      <c r="Q72">
        <v>0.69</v>
      </c>
      <c r="R72">
        <f>1-Table2[[#This Row],[x1]]</f>
        <v>0.31000000000000005</v>
      </c>
      <c r="S72">
        <f>EXP(Table2[[#This Row],[x2]]^2*($M$9+2*($M$10-$M$9)*Table2[[#This Row],[x1]]))</f>
        <v>1.038827717489722</v>
      </c>
      <c r="T72">
        <f>EXP(Table2[[#This Row],[x1]]^2*($M$10+2*($M$9-$M$10)*Table2[[#This Row],[x2]]))</f>
        <v>1.3331155979550198</v>
      </c>
      <c r="U72">
        <f>Table2[[#This Row],[x1]]*Table2[[#This Row],[gamma1]]*$M$12+Table2[[#This Row],[x2]]*Table2[[#This Row],[gamma2]]*$M$13</f>
        <v>68.859184331051367</v>
      </c>
      <c r="V72">
        <f>Table2[[#This Row],[x1]]*Table2[[#This Row],[gamma1]]*$M$12/Table2[[#This Row],[P]]</f>
        <v>0.88024991447160494</v>
      </c>
    </row>
    <row r="73" spans="17:22" x14ac:dyDescent="0.3">
      <c r="Q73">
        <v>0.7</v>
      </c>
      <c r="R73">
        <f>1-Table2[[#This Row],[x1]]</f>
        <v>0.30000000000000004</v>
      </c>
      <c r="S73">
        <f>EXP(Table2[[#This Row],[x2]]^2*($M$9+2*($M$10-$M$9)*Table2[[#This Row],[x1]]))</f>
        <v>1.0359318781729143</v>
      </c>
      <c r="T73">
        <f>EXP(Table2[[#This Row],[x1]]^2*($M$10+2*($M$9-$M$10)*Table2[[#This Row],[x2]]))</f>
        <v>1.341622049349001</v>
      </c>
      <c r="U73">
        <f>Table2[[#This Row],[x1]]*Table2[[#This Row],[gamma1]]*$M$12+Table2[[#This Row],[x2]]*Table2[[#This Row],[gamma2]]*$M$13</f>
        <v>69.351145462638769</v>
      </c>
      <c r="V73">
        <f>Table2[[#This Row],[x1]]*Table2[[#This Row],[gamma1]]*$M$12/Table2[[#This Row],[P]]</f>
        <v>0.88420068087376302</v>
      </c>
    </row>
    <row r="74" spans="17:22" x14ac:dyDescent="0.3">
      <c r="Q74">
        <v>0.71</v>
      </c>
      <c r="R74">
        <f>1-Table2[[#This Row],[x1]]</f>
        <v>0.29000000000000004</v>
      </c>
      <c r="S74">
        <f>EXP(Table2[[#This Row],[x2]]^2*($M$9+2*($M$10-$M$9)*Table2[[#This Row],[x1]]))</f>
        <v>1.0331766091656605</v>
      </c>
      <c r="T74">
        <f>EXP(Table2[[#This Row],[x1]]^2*($M$10+2*($M$9-$M$10)*Table2[[#This Row],[x2]]))</f>
        <v>1.350187831386281</v>
      </c>
      <c r="U74">
        <f>Table2[[#This Row],[x1]]*Table2[[#This Row],[gamma1]]*$M$12+Table2[[#This Row],[x2]]*Table2[[#This Row],[gamma2]]*$M$13</f>
        <v>69.843597463127907</v>
      </c>
      <c r="V74">
        <f>Table2[[#This Row],[x1]]*Table2[[#This Row],[gamma1]]*$M$12/Table2[[#This Row],[P]]</f>
        <v>0.88814026416633052</v>
      </c>
    </row>
    <row r="75" spans="17:22" x14ac:dyDescent="0.3">
      <c r="Q75">
        <v>0.72</v>
      </c>
      <c r="R75">
        <f>1-Table2[[#This Row],[x1]]</f>
        <v>0.28000000000000003</v>
      </c>
      <c r="S75">
        <f>EXP(Table2[[#This Row],[x2]]^2*($M$9+2*($M$10-$M$9)*Table2[[#This Row],[x1]]))</f>
        <v>1.0305582644599853</v>
      </c>
      <c r="T75">
        <f>EXP(Table2[[#This Row],[x1]]^2*($M$10+2*($M$9-$M$10)*Table2[[#This Row],[x2]]))</f>
        <v>1.3588100034731292</v>
      </c>
      <c r="U75">
        <f>Table2[[#This Row],[x1]]*Table2[[#This Row],[gamma1]]*$M$12+Table2[[#This Row],[x2]]*Table2[[#This Row],[gamma2]]*$M$13</f>
        <v>70.336623010474824</v>
      </c>
      <c r="V75">
        <f>Table2[[#This Row],[x1]]*Table2[[#This Row],[gamma1]]*$M$12/Table2[[#This Row],[P]]</f>
        <v>0.89206968212458437</v>
      </c>
    </row>
    <row r="76" spans="17:22" x14ac:dyDescent="0.3">
      <c r="Q76">
        <v>0.73</v>
      </c>
      <c r="R76">
        <f>1-Table2[[#This Row],[x1]]</f>
        <v>0.27</v>
      </c>
      <c r="S76">
        <f>EXP(Table2[[#This Row],[x2]]^2*($M$9+2*($M$10-$M$9)*Table2[[#This Row],[x1]]))</f>
        <v>1.0280732791687466</v>
      </c>
      <c r="T76">
        <f>EXP(Table2[[#This Row],[x1]]^2*($M$10+2*($M$9-$M$10)*Table2[[#This Row],[x2]]))</f>
        <v>1.3674855420527809</v>
      </c>
      <c r="U76">
        <f>Table2[[#This Row],[x1]]*Table2[[#This Row],[gamma1]]*$M$12+Table2[[#This Row],[x2]]*Table2[[#This Row],[gamma2]]*$M$13</f>
        <v>70.830299357695679</v>
      </c>
      <c r="V76">
        <f>Table2[[#This Row],[x1]]*Table2[[#This Row],[gamma1]]*$M$12/Table2[[#This Row],[P]]</f>
        <v>0.89598987153290999</v>
      </c>
    </row>
    <row r="77" spans="17:22" x14ac:dyDescent="0.3">
      <c r="Q77">
        <v>0.74</v>
      </c>
      <c r="R77">
        <f>1-Table2[[#This Row],[x1]]</f>
        <v>0.26</v>
      </c>
      <c r="S77">
        <f>EXP(Table2[[#This Row],[x2]]^2*($M$9+2*($M$10-$M$9)*Table2[[#This Row],[x1]]))</f>
        <v>1.0257181655294383</v>
      </c>
      <c r="T77">
        <f>EXP(Table2[[#This Row],[x1]]^2*($M$10+2*($M$9-$M$10)*Table2[[#This Row],[x2]]))</f>
        <v>1.3762113392533497</v>
      </c>
      <c r="U77">
        <f>Table2[[#This Row],[x1]]*Table2[[#This Row],[gamma1]]*$M$12+Table2[[#This Row],[x2]]*Table2[[#This Row],[gamma2]]*$M$13</f>
        <v>71.324698501542002</v>
      </c>
      <c r="V77">
        <f>Table2[[#This Row],[x1]]*Table2[[#This Row],[gamma1]]*$M$12/Table2[[#This Row],[P]]</f>
        <v>0.89990169167841083</v>
      </c>
    </row>
    <row r="78" spans="17:22" x14ac:dyDescent="0.3">
      <c r="Q78">
        <v>0.75</v>
      </c>
      <c r="R78">
        <f>1-Table2[[#This Row],[x1]]</f>
        <v>0.25</v>
      </c>
      <c r="S78">
        <f>EXP(Table2[[#This Row],[x2]]^2*($M$9+2*($M$10-$M$9)*Table2[[#This Row],[x1]]))</f>
        <v>1.023489509053098</v>
      </c>
      <c r="T78">
        <f>EXP(Table2[[#This Row],[x1]]^2*($M$10+2*($M$9-$M$10)*Table2[[#This Row],[x2]]))</f>
        <v>1.3849842016042178</v>
      </c>
      <c r="U78">
        <f>Table2[[#This Row],[x1]]*Table2[[#This Row],[gamma1]]*$M$12+Table2[[#This Row],[x2]]*Table2[[#This Row],[gamma2]]*$M$13</f>
        <v>71.819887342063296</v>
      </c>
      <c r="V78">
        <f>Table2[[#This Row],[x1]]*Table2[[#This Row],[gamma1]]*$M$12/Table2[[#This Row],[P]]</f>
        <v>0.90380592758732992</v>
      </c>
    </row>
    <row r="79" spans="17:22" x14ac:dyDescent="0.3">
      <c r="Q79">
        <v>0.76</v>
      </c>
      <c r="R79">
        <f>1-Table2[[#This Row],[x1]]</f>
        <v>0.24</v>
      </c>
      <c r="S79">
        <f>EXP(Table2[[#This Row],[x2]]^2*($M$9+2*($M$10-$M$9)*Table2[[#This Row],[x1]]))</f>
        <v>1.0213839648123442</v>
      </c>
      <c r="T79">
        <f>EXP(Table2[[#This Row],[x1]]^2*($M$10+2*($M$9-$M$10)*Table2[[#This Row],[x2]]))</f>
        <v>1.3938008488245537</v>
      </c>
      <c r="U79">
        <f>Table2[[#This Row],[x1]]*Table2[[#This Row],[gamma1]]*$M$12+Table2[[#This Row],[x2]]*Table2[[#This Row],[gamma2]]*$M$13</f>
        <v>72.315927833453813</v>
      </c>
      <c r="V79">
        <f>Table2[[#This Row],[x1]]*Table2[[#This Row],[gamma1]]*$M$12/Table2[[#This Row],[P]]</f>
        <v>0.90770329302619501</v>
      </c>
    </row>
    <row r="80" spans="17:22" x14ac:dyDescent="0.3">
      <c r="Q80">
        <v>0.77</v>
      </c>
      <c r="R80">
        <f>1-Table2[[#This Row],[x1]]</f>
        <v>0.22999999999999998</v>
      </c>
      <c r="S80">
        <f>EXP(Table2[[#This Row],[x2]]^2*($M$9+2*($M$10-$M$9)*Table2[[#This Row],[x1]]))</f>
        <v>1.0193982538628974</v>
      </c>
      <c r="T80">
        <f>EXP(Table2[[#This Row],[x1]]^2*($M$10+2*($M$9-$M$10)*Table2[[#This Row],[x2]]))</f>
        <v>1.4026579126876759</v>
      </c>
      <c r="U80">
        <f>Table2[[#This Row],[x1]]*Table2[[#This Row],[gamma1]]*$M$12+Table2[[#This Row],[x2]]*Table2[[#This Row],[gamma2]]*$M$13</f>
        <v>72.812877126555989</v>
      </c>
      <c r="V80">
        <f>Table2[[#This Row],[x1]]*Table2[[#This Row],[gamma1]]*$M$12/Table2[[#This Row],[P]]</f>
        <v>0.91159443328768763</v>
      </c>
    </row>
    <row r="81" spans="17:22" x14ac:dyDescent="0.3">
      <c r="Q81">
        <v>0.78</v>
      </c>
      <c r="R81">
        <f>1-Table2[[#This Row],[x1]]</f>
        <v>0.21999999999999997</v>
      </c>
      <c r="S81">
        <f>EXP(Table2[[#This Row],[x2]]^2*($M$9+2*($M$10-$M$9)*Table2[[#This Row],[x1]]))</f>
        <v>1.0175291597932563</v>
      </c>
      <c r="T81">
        <f>EXP(Table2[[#This Row],[x1]]^2*($M$10+2*($M$9-$M$10)*Table2[[#This Row],[x2]]))</f>
        <v>1.411551935965071</v>
      </c>
      <c r="U81">
        <f>Table2[[#This Row],[x1]]*Table2[[#This Row],[gamma1]]*$M$12+Table2[[#This Row],[x2]]*Table2[[#This Row],[gamma2]]*$M$13</f>
        <v>73.310787703369556</v>
      </c>
      <c r="V81">
        <f>Table2[[#This Row],[x1]]*Table2[[#This Row],[gamma1]]*$M$12/Table2[[#This Row],[P]]</f>
        <v>0.91547992777952869</v>
      </c>
    </row>
    <row r="82" spans="17:22" x14ac:dyDescent="0.3">
      <c r="Q82">
        <v>0.79</v>
      </c>
      <c r="R82">
        <f>1-Table2[[#This Row],[x1]]</f>
        <v>0.20999999999999996</v>
      </c>
      <c r="S82">
        <f>EXP(Table2[[#This Row],[x2]]^2*($M$9+2*($M$10-$M$9)*Table2[[#This Row],[x1]]))</f>
        <v>1.0157735253974958</v>
      </c>
      <c r="T82">
        <f>EXP(Table2[[#This Row],[x1]]^2*($M$10+2*($M$9-$M$10)*Table2[[#This Row],[x2]]))</f>
        <v>1.420479371453955</v>
      </c>
      <c r="U82">
        <f>Table2[[#This Row],[x1]]*Table2[[#This Row],[gamma1]]*$M$12+Table2[[#This Row],[x2]]*Table2[[#This Row],[gamma2]]*$M$13</f>
        <v>73.80970750389416</v>
      </c>
      <c r="V82">
        <f>Table2[[#This Row],[x1]]*Table2[[#This Row],[gamma1]]*$M$12/Table2[[#This Row],[P]]</f>
        <v>0.91936029243312822</v>
      </c>
    </row>
    <row r="83" spans="17:22" x14ac:dyDescent="0.3">
      <c r="Q83">
        <v>0.8</v>
      </c>
      <c r="R83">
        <f>1-Table2[[#This Row],[x1]]</f>
        <v>0.19999999999999996</v>
      </c>
      <c r="S83">
        <f>EXP(Table2[[#This Row],[x2]]^2*($M$9+2*($M$10-$M$9)*Table2[[#This Row],[x1]]))</f>
        <v>1.0141282494664392</v>
      </c>
      <c r="T83">
        <f>EXP(Table2[[#This Row],[x1]]^2*($M$10+2*($M$9-$M$10)*Table2[[#This Row],[x2]]))</f>
        <v>1.42943658109233</v>
      </c>
      <c r="U83">
        <f>Table2[[#This Row],[x1]]*Table2[[#This Row],[gamma1]]*$M$12+Table2[[#This Row],[x2]]*Table2[[#This Row],[gamma2]]*$M$13</f>
        <v>74.30968004561187</v>
      </c>
      <c r="V83">
        <f>Table2[[#This Row],[x1]]*Table2[[#This Row],[gamma1]]*$M$12/Table2[[#This Row],[P]]</f>
        <v>0.92323598194736278</v>
      </c>
    </row>
    <row r="84" spans="17:22" x14ac:dyDescent="0.3">
      <c r="Q84">
        <v>0.81</v>
      </c>
      <c r="R84">
        <f>1-Table2[[#This Row],[x1]]</f>
        <v>0.18999999999999995</v>
      </c>
      <c r="S84">
        <f>EXP(Table2[[#This Row],[x2]]^2*($M$9+2*($M$10-$M$9)*Table2[[#This Row],[x1]]))</f>
        <v>1.012590283692729</v>
      </c>
      <c r="T84">
        <f>EXP(Table2[[#This Row],[x1]]^2*($M$10+2*($M$9-$M$10)*Table2[[#This Row],[x2]]))</f>
        <v>1.4384198351655606</v>
      </c>
      <c r="U84">
        <f>Table2[[#This Row],[x1]]*Table2[[#This Row],[gamma1]]*$M$12+Table2[[#This Row],[x2]]*Table2[[#This Row],[gamma2]]*$M$13</f>
        <v>74.810744535896987</v>
      </c>
      <c r="V84">
        <f>Table2[[#This Row],[x1]]*Table2[[#This Row],[gamma1]]*$M$12/Table2[[#This Row],[P]]</f>
        <v>0.92710739188159685</v>
      </c>
    </row>
    <row r="85" spans="17:22" x14ac:dyDescent="0.3">
      <c r="Q85">
        <v>0.82</v>
      </c>
      <c r="R85">
        <f>1-Table2[[#This Row],[x1]]</f>
        <v>0.18000000000000005</v>
      </c>
      <c r="S85">
        <f>EXP(Table2[[#This Row],[x2]]^2*($M$9+2*($M$10-$M$9)*Table2[[#This Row],[x1]]))</f>
        <v>1.0111566296855792</v>
      </c>
      <c r="T85">
        <f>EXP(Table2[[#This Row],[x1]]^2*($M$10+2*($M$9-$M$10)*Table2[[#This Row],[x2]]))</f>
        <v>1.4474253116085476</v>
      </c>
      <c r="U85">
        <f>Table2[[#This Row],[x1]]*Table2[[#This Row],[gamma1]]*$M$12+Table2[[#This Row],[x2]]*Table2[[#This Row],[gamma2]]*$M$13</f>
        <v>75.312935977621549</v>
      </c>
      <c r="V85">
        <f>Table2[[#This Row],[x1]]*Table2[[#This Row],[gamma1]]*$M$12/Table2[[#This Row],[P]]</f>
        <v>0.93097486061094159</v>
      </c>
    </row>
    <row r="86" spans="17:22" x14ac:dyDescent="0.3">
      <c r="Q86">
        <v>0.83</v>
      </c>
      <c r="R86">
        <f>1-Table2[[#This Row],[x1]]</f>
        <v>0.17000000000000004</v>
      </c>
      <c r="S86">
        <f>EXP(Table2[[#This Row],[x2]]^2*($M$9+2*($M$10-$M$9)*Table2[[#This Row],[x1]]))</f>
        <v>1.0098243360912402</v>
      </c>
      <c r="T86">
        <f>EXP(Table2[[#This Row],[x1]]^2*($M$10+2*($M$9-$M$10)*Table2[[#This Row],[x2]]))</f>
        <v>1.4564490954076346</v>
      </c>
      <c r="U86">
        <f>Table2[[#This Row],[x1]]*Table2[[#This Row],[gamma1]]*$M$12+Table2[[#This Row],[x2]]*Table2[[#This Row],[gamma2]]*$M$13</f>
        <v>75.816285268208048</v>
      </c>
      <c r="V86">
        <f>Table2[[#This Row],[x1]]*Table2[[#This Row],[gamma1]]*$M$12/Table2[[#This Row],[P]]</f>
        <v>0.93483867115571728</v>
      </c>
    </row>
    <row r="87" spans="17:22" x14ac:dyDescent="0.3">
      <c r="Q87">
        <v>0.84</v>
      </c>
      <c r="R87">
        <f>1-Table2[[#This Row],[x1]]</f>
        <v>0.16000000000000003</v>
      </c>
      <c r="S87">
        <f>EXP(Table2[[#This Row],[x2]]^2*($M$9+2*($M$10-$M$9)*Table2[[#This Row],[x1]]))</f>
        <v>1.0085904958154404</v>
      </c>
      <c r="T87">
        <f>EXP(Table2[[#This Row],[x1]]^2*($M$10+2*($M$9-$M$10)*Table2[[#This Row],[x2]]))</f>
        <v>1.4654871781064225</v>
      </c>
      <c r="U87">
        <f>Table2[[#This Row],[x1]]*Table2[[#This Row],[gamma1]]*$M$12+Table2[[#This Row],[x2]]*Table2[[#This Row],[gamma2]]*$M$13</f>
        <v>76.320819292363211</v>
      </c>
      <c r="V87">
        <f>Table2[[#This Row],[x1]]*Table2[[#This Row],[gamma1]]*$M$12/Table2[[#This Row],[P]]</f>
        <v>0.93869905289618227</v>
      </c>
    </row>
    <row r="88" spans="17:22" x14ac:dyDescent="0.3">
      <c r="Q88">
        <v>0.85</v>
      </c>
      <c r="R88">
        <f>1-Table2[[#This Row],[x1]]</f>
        <v>0.15000000000000002</v>
      </c>
      <c r="S88">
        <f>EXP(Table2[[#This Row],[x2]]^2*($M$9+2*($M$10-$M$9)*Table2[[#This Row],[x1]]))</f>
        <v>1.0074522433442985</v>
      </c>
      <c r="T88">
        <f>EXP(Table2[[#This Row],[x1]]^2*($M$10+2*($M$9-$M$10)*Table2[[#This Row],[x2]]))</f>
        <v>1.4745354574197123</v>
      </c>
      <c r="U88">
        <f>Table2[[#This Row],[x1]]*Table2[[#This Row],[gamma1]]*$M$12+Table2[[#This Row],[x2]]*Table2[[#This Row],[gamma2]]*$M$13</f>
        <v>76.826561008712815</v>
      </c>
      <c r="V88">
        <f>Table2[[#This Row],[x1]]*Table2[[#This Row],[gamma1]]*$M$12/Table2[[#This Row],[P]]</f>
        <v>0.94255618318274281</v>
      </c>
    </row>
    <row r="89" spans="17:22" x14ac:dyDescent="0.3">
      <c r="Q89">
        <v>0.86</v>
      </c>
      <c r="R89">
        <f>1-Table2[[#This Row],[x1]]</f>
        <v>0.14000000000000001</v>
      </c>
      <c r="S89">
        <f>EXP(Table2[[#This Row],[x2]]^2*($M$9+2*($M$10-$M$9)*Table2[[#This Row],[x1]]))</f>
        <v>1.0064067521604121</v>
      </c>
      <c r="T89">
        <f>EXP(Table2[[#This Row],[x1]]^2*($M$10+2*($M$9-$M$10)*Table2[[#This Row],[x2]]))</f>
        <v>1.483589736959813</v>
      </c>
      <c r="U89">
        <f>Table2[[#This Row],[x1]]*Table2[[#This Row],[gamma1]]*$M$12+Table2[[#This Row],[x2]]*Table2[[#This Row],[gamma2]]*$M$13</f>
        <v>77.333529530540616</v>
      </c>
      <c r="V89">
        <f>Table2[[#This Row],[x1]]*Table2[[#This Row],[gamma1]]*$M$12/Table2[[#This Row],[P]]</f>
        <v>0.9464101888511165</v>
      </c>
    </row>
    <row r="90" spans="17:22" x14ac:dyDescent="0.3">
      <c r="Q90">
        <v>0.87</v>
      </c>
      <c r="R90">
        <f>1-Table2[[#This Row],[x1]]</f>
        <v>0.13</v>
      </c>
      <c r="S90">
        <f>EXP(Table2[[#This Row],[x2]]^2*($M$9+2*($M$10-$M$9)*Table2[[#This Row],[x1]]))</f>
        <v>1.0054512322510343</v>
      </c>
      <c r="T90">
        <f>EXP(Table2[[#This Row],[x1]]^2*($M$10+2*($M$9-$M$10)*Table2[[#This Row],[x2]]))</f>
        <v>1.4926457260794919</v>
      </c>
      <c r="U90">
        <f>Table2[[#This Row],[x1]]*Table2[[#This Row],[gamma1]]*$M$12+Table2[[#This Row],[x2]]*Table2[[#This Row],[gamma2]]*$M$13</f>
        <v>77.841740200822727</v>
      </c>
      <c r="V90">
        <f>Table2[[#This Row],[x1]]*Table2[[#This Row],[gamma1]]*$M$12/Table2[[#This Row],[P]]</f>
        <v>0.95026114765122616</v>
      </c>
    </row>
    <row r="91" spans="17:22" x14ac:dyDescent="0.3">
      <c r="Q91">
        <v>0.88</v>
      </c>
      <c r="R91">
        <f>1-Table2[[#This Row],[x1]]</f>
        <v>0.12</v>
      </c>
      <c r="S91">
        <f>EXP(Table2[[#This Row],[x2]]^2*($M$9+2*($M$10-$M$9)*Table2[[#This Row],[x1]]))</f>
        <v>1.0045829277054488</v>
      </c>
      <c r="T91">
        <f>EXP(Table2[[#This Row],[x1]]^2*($M$10+2*($M$9-$M$10)*Table2[[#This Row],[x2]]))</f>
        <v>1.5016990398358332</v>
      </c>
      <c r="U91">
        <f>Table2[[#This Row],[x1]]*Table2[[#This Row],[gamma1]]*$M$12+Table2[[#This Row],[x2]]*Table2[[#This Row],[gamma2]]*$M$13</f>
        <v>78.351204661734101</v>
      </c>
      <c r="V91">
        <f>Table2[[#This Row],[x1]]*Table2[[#This Row],[gamma1]]*$M$12/Table2[[#This Row],[P]]</f>
        <v>0.95410908959798824</v>
      </c>
    </row>
    <row r="92" spans="17:22" x14ac:dyDescent="0.3">
      <c r="Q92">
        <v>0.89</v>
      </c>
      <c r="R92">
        <f>1-Table2[[#This Row],[x1]]</f>
        <v>0.10999999999999999</v>
      </c>
      <c r="S92">
        <f>EXP(Table2[[#This Row],[x2]]^2*($M$9+2*($M$10-$M$9)*Table2[[#This Row],[x1]]))</f>
        <v>1.0037991143988372</v>
      </c>
      <c r="T92">
        <f>EXP(Table2[[#This Row],[x1]]^2*($M$10+2*($M$9-$M$10)*Table2[[#This Row],[x2]]))</f>
        <v>1.5107451990792971</v>
      </c>
      <c r="U92">
        <f>Table2[[#This Row],[x1]]*Table2[[#This Row],[gamma1]]*$M$12+Table2[[#This Row],[x2]]*Table2[[#This Row],[gamma2]]*$M$13</f>
        <v>78.861930918792297</v>
      </c>
      <c r="V92">
        <f>Table2[[#This Row],[x1]]*Table2[[#This Row],[gamma1]]*$M$12/Table2[[#This Row],[P]]</f>
        <v>0.95795399825158123</v>
      </c>
    </row>
    <row r="93" spans="17:22" x14ac:dyDescent="0.3">
      <c r="Q93">
        <v>0.9</v>
      </c>
      <c r="R93">
        <f>1-Table2[[#This Row],[x1]]</f>
        <v>9.9999999999999978E-2</v>
      </c>
      <c r="S93">
        <f>EXP(Table2[[#This Row],[x2]]^2*($M$9+2*($M$10-$M$9)*Table2[[#This Row],[x1]]))</f>
        <v>1.0030970977601184</v>
      </c>
      <c r="T93">
        <f>EXP(Table2[[#This Row],[x1]]^2*($M$10+2*($M$9-$M$10)*Table2[[#This Row],[x2]]))</f>
        <v>1.5197796306722451</v>
      </c>
      <c r="U93">
        <f>Table2[[#This Row],[x1]]*Table2[[#This Row],[gamma1]]*$M$12+Table2[[#This Row],[x2]]*Table2[[#This Row],[gamma2]]*$M$13</f>
        <v>79.373923399792346</v>
      </c>
      <c r="V93">
        <f>Table2[[#This Row],[x1]]*Table2[[#This Row],[gamma1]]*$M$12/Table2[[#This Row],[P]]</f>
        <v>0.96179581193427233</v>
      </c>
    </row>
    <row r="94" spans="17:22" x14ac:dyDescent="0.3">
      <c r="Q94">
        <v>0.91</v>
      </c>
      <c r="R94">
        <f>1-Table2[[#This Row],[x1]]</f>
        <v>8.9999999999999969E-2</v>
      </c>
      <c r="S94">
        <f>EXP(Table2[[#This Row],[x2]]^2*($M$9+2*($M$10-$M$9)*Table2[[#This Row],[x1]]))</f>
        <v>1.0024742106214057</v>
      </c>
      <c r="T94">
        <f>EXP(Table2[[#This Row],[x1]]^2*($M$10+2*($M$9-$M$10)*Table2[[#This Row],[x2]]))</f>
        <v>1.5287976678411943</v>
      </c>
      <c r="U94">
        <f>Table2[[#This Row],[x1]]*Table2[[#This Row],[gamma1]]*$M$12+Table2[[#This Row],[x2]]*Table2[[#This Row],[gamma2]]*$M$13</f>
        <v>79.887183008675436</v>
      </c>
      <c r="V94">
        <f>Table2[[#This Row],[x1]]*Table2[[#This Row],[gamma1]]*$M$12/Table2[[#This Row],[P]]</f>
        <v>0.96563442489039775</v>
      </c>
    </row>
    <row r="95" spans="17:22" x14ac:dyDescent="0.3">
      <c r="Q95">
        <v>0.92</v>
      </c>
      <c r="R95">
        <f>1-Table2[[#This Row],[x1]]</f>
        <v>7.999999999999996E-2</v>
      </c>
      <c r="S95">
        <f>EXP(Table2[[#This Row],[x2]]^2*($M$9+2*($M$10-$M$9)*Table2[[#This Row],[x1]]))</f>
        <v>1.001927811146893</v>
      </c>
      <c r="T95">
        <f>EXP(Table2[[#This Row],[x1]]^2*($M$10+2*($M$9-$M$10)*Table2[[#This Row],[x2]]))</f>
        <v>1.5377945506670263</v>
      </c>
      <c r="U95">
        <f>Table2[[#This Row],[x1]]*Table2[[#This Row],[gamma1]]*$M$12+Table2[[#This Row],[x2]]*Table2[[#This Row],[gamma2]]*$M$13</f>
        <v>80.401707174464008</v>
      </c>
      <c r="V95">
        <f>Table2[[#This Row],[x1]]*Table2[[#This Row],[gamma1]]*$M$12/Table2[[#This Row],[P]]</f>
        <v>0.96946968839566694</v>
      </c>
    </row>
    <row r="96" spans="17:22" x14ac:dyDescent="0.3">
      <c r="Q96">
        <v>0.93</v>
      </c>
      <c r="R96">
        <f>1-Table2[[#This Row],[x1]]</f>
        <v>6.9999999999999951E-2</v>
      </c>
      <c r="S96">
        <f>EXP(Table2[[#This Row],[x2]]^2*($M$9+2*($M$10-$M$9)*Table2[[#This Row],[x1]]))</f>
        <v>1.001455280839141</v>
      </c>
      <c r="T96">
        <f>EXP(Table2[[#This Row],[x1]]^2*($M$10+2*($M$9-$M$10)*Table2[[#This Row],[x2]]))</f>
        <v>1.5467654267173419</v>
      </c>
      <c r="U96">
        <f>Table2[[#This Row],[x1]]*Table2[[#This Row],[gamma1]]*$M$12+Table2[[#This Row],[x2]]*Table2[[#This Row],[gamma2]]*$M$13</f>
        <v>80.917489895387462</v>
      </c>
      <c r="V96">
        <f>Table2[[#This Row],[x1]]*Table2[[#This Row],[gamma1]]*$M$12/Table2[[#This Row],[P]]</f>
        <v>0.97330141182155572</v>
      </c>
    </row>
    <row r="97" spans="17:22" x14ac:dyDescent="0.3">
      <c r="Q97">
        <v>0.94</v>
      </c>
      <c r="R97">
        <f>1-Table2[[#This Row],[x1]]</f>
        <v>6.0000000000000053E-2</v>
      </c>
      <c r="S97">
        <f>EXP(Table2[[#This Row],[x2]]^2*($M$9+2*($M$10-$M$9)*Table2[[#This Row],[x1]]))</f>
        <v>1.0010540226208817</v>
      </c>
      <c r="T97">
        <f>EXP(Table2[[#This Row],[x1]]^2*($M$10+2*($M$9-$M$10)*Table2[[#This Row],[x2]]))</f>
        <v>1.5557053518251012</v>
      </c>
      <c r="U97">
        <f>Table2[[#This Row],[x1]]*Table2[[#This Row],[gamma1]]*$M$12+Table2[[#This Row],[x2]]*Table2[[#This Row],[gamma2]]*$M$13</f>
        <v>81.434521778312956</v>
      </c>
      <c r="V97">
        <f>Table2[[#This Row],[x1]]*Table2[[#This Row],[gamma1]]*$M$12/Table2[[#This Row],[P]]</f>
        <v>0.97712936366019199</v>
      </c>
    </row>
    <row r="98" spans="17:22" x14ac:dyDescent="0.3">
      <c r="Q98">
        <v>0.95</v>
      </c>
      <c r="R98">
        <f>1-Table2[[#This Row],[x1]]</f>
        <v>5.0000000000000044E-2</v>
      </c>
      <c r="S98">
        <f>EXP(Table2[[#This Row],[x2]]^2*($M$9+2*($M$10-$M$9)*Table2[[#This Row],[x1]]))</f>
        <v>1.0007214589906039</v>
      </c>
      <c r="T98">
        <f>EXP(Table2[[#This Row],[x1]]^2*($M$10+2*($M$9-$M$10)*Table2[[#This Row],[x2]]))</f>
        <v>1.5646092910176284</v>
      </c>
      <c r="U98">
        <f>Table2[[#This Row],[x1]]*Table2[[#This Row],[gamma1]]*$M$12+Table2[[#This Row],[x2]]*Table2[[#This Row],[gamma2]]*$M$13</f>
        <v>81.952790073589</v>
      </c>
      <c r="V98">
        <f>Table2[[#This Row],[x1]]*Table2[[#This Row],[gamma1]]*$M$12/Table2[[#This Row],[P]]</f>
        <v>0.98095327251479658</v>
      </c>
    </row>
    <row r="99" spans="17:22" x14ac:dyDescent="0.3">
      <c r="Q99">
        <v>0.96</v>
      </c>
      <c r="R99">
        <f>1-Table2[[#This Row],[x1]]</f>
        <v>4.0000000000000036E-2</v>
      </c>
      <c r="S99">
        <f>EXP(Table2[[#This Row],[x2]]^2*($M$9+2*($M$10-$M$9)*Table2[[#This Row],[x1]]))</f>
        <v>1.0004550302503186</v>
      </c>
      <c r="T99">
        <f>EXP(Table2[[#This Row],[x1]]^2*($M$10+2*($M$9-$M$10)*Table2[[#This Row],[x2]]))</f>
        <v>1.5734721195999772</v>
      </c>
      <c r="U99">
        <f>Table2[[#This Row],[x1]]*Table2[[#This Row],[gamma1]]*$M$12+Table2[[#This Row],[x2]]*Table2[[#This Row],[gamma2]]*$M$13</f>
        <v>82.472278705401465</v>
      </c>
      <c r="V99">
        <f>Table2[[#This Row],[x1]]*Table2[[#This Row],[gamma1]]*$M$12/Table2[[#This Row],[P]]</f>
        <v>0.98477282806043187</v>
      </c>
    </row>
    <row r="100" spans="17:22" x14ac:dyDescent="0.3">
      <c r="Q100">
        <v>0.97</v>
      </c>
      <c r="R100">
        <f>1-Table2[[#This Row],[x1]]</f>
        <v>3.0000000000000027E-2</v>
      </c>
      <c r="S100">
        <f>EXP(Table2[[#This Row],[x2]]^2*($M$9+2*($M$10-$M$9)*Table2[[#This Row],[x1]]))</f>
        <v>1.0002521928040371</v>
      </c>
      <c r="T100">
        <f>EXP(Table2[[#This Row],[x1]]^2*($M$10+2*($M$9-$M$10)*Table2[[#This Row],[x2]]))</f>
        <v>1.5822886243965826</v>
      </c>
      <c r="U100">
        <f>Table2[[#This Row],[x1]]*Table2[[#This Row],[gamma1]]*$M$12+Table2[[#This Row],[x2]]*Table2[[#This Row],[gamma2]]*$M$13</f>
        <v>82.992968297735686</v>
      </c>
      <c r="V100">
        <f>Table2[[#This Row],[x1]]*Table2[[#This Row],[gamma1]]*$M$12/Table2[[#This Row],[P]]</f>
        <v>0.98858768197951785</v>
      </c>
    </row>
    <row r="101" spans="17:22" x14ac:dyDescent="0.3">
      <c r="Q101">
        <v>0.98</v>
      </c>
      <c r="R101">
        <f>1-Table2[[#This Row],[x1]]</f>
        <v>2.0000000000000018E-2</v>
      </c>
      <c r="S101">
        <f>EXP(Table2[[#This Row],[x2]]^2*($M$9+2*($M$10-$M$9)*Table2[[#This Row],[x1]]))</f>
        <v>1.0001104175256175</v>
      </c>
      <c r="T101">
        <f>EXP(Table2[[#This Row],[x1]]^2*($M$10+2*($M$9-$M$10)*Table2[[#This Row],[x2]]))</f>
        <v>1.5910535051549997</v>
      </c>
      <c r="U101">
        <f>Table2[[#This Row],[x1]]*Table2[[#This Row],[gamma1]]*$M$12+Table2[[#This Row],[x2]]*Table2[[#This Row],[gamma2]]*$M$13</f>
        <v>83.514836196032391</v>
      </c>
      <c r="V101">
        <f>Table2[[#This Row],[x1]]*Table2[[#This Row],[gamma1]]*$M$12/Table2[[#This Row],[P]]</f>
        <v>0.99239744887630721</v>
      </c>
    </row>
    <row r="102" spans="17:22" x14ac:dyDescent="0.3">
      <c r="Q102">
        <v>0.99</v>
      </c>
      <c r="R102">
        <f>1-Table2[[#This Row],[x1]]</f>
        <v>1.0000000000000009E-2</v>
      </c>
      <c r="S102">
        <f>EXP(Table2[[#This Row],[x2]]^2*($M$9+2*($M$10-$M$9)*Table2[[#This Row],[x1]]))</f>
        <v>1.0000271881947538</v>
      </c>
      <c r="T102">
        <f>EXP(Table2[[#This Row],[x1]]^2*($M$10+2*($M$9-$M$10)*Table2[[#This Row],[x2]]))</f>
        <v>1.5997613761154417</v>
      </c>
      <c r="U102">
        <f>Table2[[#This Row],[x1]]*Table2[[#This Row],[gamma1]]*$M$12+Table2[[#This Row],[x2]]*Table2[[#This Row],[gamma2]]*$M$13</f>
        <v>84.037856484619837</v>
      </c>
      <c r="V102">
        <f>Table2[[#This Row],[x1]]*Table2[[#This Row],[gamma1]]*$M$12/Table2[[#This Row],[P]]</f>
        <v>0.99620170717425749</v>
      </c>
    </row>
    <row r="103" spans="17:22" x14ac:dyDescent="0.3">
      <c r="Q103">
        <v>1</v>
      </c>
      <c r="R103">
        <f>1-Table2[[#This Row],[x1]]</f>
        <v>0</v>
      </c>
      <c r="S103">
        <f>EXP(Table2[[#This Row],[x2]]^2*($M$9+2*($M$10-$M$9)*Table2[[#This Row],[x1]]))</f>
        <v>1</v>
      </c>
      <c r="T103">
        <f>EXP(Table2[[#This Row],[x1]]^2*($M$10+2*($M$9-$M$10)*Table2[[#This Row],[x2]]))</f>
        <v>1.6084067677496807</v>
      </c>
      <c r="U103">
        <f>Table2[[#This Row],[x1]]*Table2[[#This Row],[gamma1]]*$M$12+Table2[[#This Row],[x2]]*Table2[[#This Row],[gamma2]]*$M$13</f>
        <v>84.561999999999998</v>
      </c>
      <c r="V103">
        <f>Table2[[#This Row],[x1]]*Table2[[#This Row],[gamma1]]*$M$12/Table2[[#This Row],[P]]</f>
        <v>1</v>
      </c>
    </row>
  </sheetData>
  <phoneticPr fontId="1" type="noConversion"/>
  <pageMargins left="0.7" right="0.7" top="0.75" bottom="0.75" header="0.3" footer="0.3"/>
  <ignoredErrors>
    <ignoredError sqref="L4:M4" formulaRange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5C1-EF82-4DDD-B97B-1D4DFA8DE3BD}">
  <dimension ref="B2:U103"/>
  <sheetViews>
    <sheetView workbookViewId="0">
      <selection activeCell="T4" sqref="T4"/>
    </sheetView>
  </sheetViews>
  <sheetFormatPr defaultRowHeight="14.4" x14ac:dyDescent="0.3"/>
  <cols>
    <col min="18" max="19" width="10.21875" customWidth="1"/>
  </cols>
  <sheetData>
    <row r="2" spans="2:21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8</v>
      </c>
      <c r="K2" t="s">
        <v>20</v>
      </c>
      <c r="P2" t="s">
        <v>1</v>
      </c>
      <c r="Q2" t="s">
        <v>4</v>
      </c>
      <c r="R2" t="s">
        <v>5</v>
      </c>
      <c r="S2" t="s">
        <v>6</v>
      </c>
      <c r="T2" t="s">
        <v>15</v>
      </c>
      <c r="U2" t="s">
        <v>2</v>
      </c>
    </row>
    <row r="3" spans="2:21" x14ac:dyDescent="0.3">
      <c r="B3">
        <v>19.952999999999999</v>
      </c>
      <c r="C3">
        <v>0</v>
      </c>
      <c r="D3">
        <v>0</v>
      </c>
      <c r="E3">
        <f>1-Table15[[#This Row],[x1]]</f>
        <v>1</v>
      </c>
      <c r="F3">
        <f>1-Table15[[#This Row],[y1]]</f>
        <v>1</v>
      </c>
      <c r="H3">
        <f>Table15[[#This Row],[y2]]*Table15[[#This Row],[P/kPa]]/Table15[[#This Row],[x2]]/$B$3</f>
        <v>1</v>
      </c>
      <c r="M3" s="14" t="s">
        <v>10</v>
      </c>
      <c r="N3" s="14" t="s">
        <v>9</v>
      </c>
      <c r="P3">
        <v>0</v>
      </c>
      <c r="Q3">
        <f>1-Table5[[#This Row],[x1]]</f>
        <v>1</v>
      </c>
      <c r="R3">
        <f>EXP($M$7*(1+$M$7*Table5[[#This Row],[x1]]/$N$7/Table5[[#This Row],[x2]])^-2)</f>
        <v>2.0238183601368376</v>
      </c>
      <c r="T3">
        <f>N10</f>
        <v>19.952999999999999</v>
      </c>
      <c r="U3">
        <f>Table5[[#This Row],[x1]]*Table5[[#This Row],[gamma1]]*$M$10/Table5[[#This Row],[P]]</f>
        <v>0</v>
      </c>
    </row>
    <row r="4" spans="2:21" x14ac:dyDescent="0.3">
      <c r="B4">
        <v>39.222999999999999</v>
      </c>
      <c r="C4">
        <v>0.1686</v>
      </c>
      <c r="D4">
        <v>0.57140000000000002</v>
      </c>
      <c r="E4">
        <f>1-Table15[[#This Row],[x1]]</f>
        <v>0.83140000000000003</v>
      </c>
      <c r="F4">
        <f>1-Table15[[#This Row],[y1]]</f>
        <v>0.42859999999999998</v>
      </c>
      <c r="G4">
        <f>Table15[[#This Row],[y1]]*Table15[[#This Row],[P/kPa]]/Table15[[#This Row],[x1]]/$B$14</f>
        <v>1.5719843846526109</v>
      </c>
      <c r="H4">
        <f>Table15[[#This Row],[y2]]*Table15[[#This Row],[P/kPa]]/Table15[[#This Row],[x2]]/$B$3</f>
        <v>1.0133856540257142</v>
      </c>
      <c r="I4">
        <f>Table15[[#This Row],[x1]]*LN(Table15[[#This Row],[gamma1]])+Table15[[#This Row],[x2]]*LN(Table15[[#This Row],[gamma2]])</f>
        <v>8.7319322500059415E-2</v>
      </c>
      <c r="J4">
        <f>Table15[[#This Row],[ExcessG/RT]]/Table15[[#This Row],[x1]]/Table15[[#This Row],[x2]]</f>
        <v>0.62293504917215348</v>
      </c>
      <c r="K4">
        <f>1/Table15[[#This Row],[Y]]</f>
        <v>1.6053037974487792</v>
      </c>
      <c r="M4" s="15">
        <f>SLOPE(K4:K13,C4:C13)</f>
        <v>0.64141954187908601</v>
      </c>
      <c r="N4" s="15">
        <f>INTERCEPT(K4:K13,C4:C13)</f>
        <v>1.418467875650457</v>
      </c>
      <c r="P4">
        <v>0.01</v>
      </c>
      <c r="Q4">
        <f>1-Table5[[#This Row],[x1]]</f>
        <v>0.99</v>
      </c>
      <c r="R4">
        <f>EXP($M$7*(1+$M$7*Table5[[#This Row],[x1]]/$N$7/Table5[[#This Row],[x2]])^-2)</f>
        <v>1.9832759832683327</v>
      </c>
      <c r="S4">
        <f>EXP($N$7*(1+$N$7*Table5[[#This Row],[x2]]/$M$7/Table5[[#This Row],[x1]])^-2)</f>
        <v>1.0001014629937759</v>
      </c>
      <c r="T4">
        <f>Table5[[#This Row],[x1]]*Table5[[#This Row],[gamma1]]*$M$10+Table5[[#This Row],[x2]]*Table5[[#This Row],[gamma2]]*$N$10</f>
        <v>21.432572083175028</v>
      </c>
      <c r="U4">
        <f>Table5[[#This Row],[x1]]*Table5[[#This Row],[gamma1]]*$M$10/Table5[[#This Row],[P]]</f>
        <v>7.8249956676358076E-2</v>
      </c>
    </row>
    <row r="5" spans="2:21" x14ac:dyDescent="0.3">
      <c r="B5">
        <v>42.984000000000002</v>
      </c>
      <c r="C5">
        <v>0.2167</v>
      </c>
      <c r="D5">
        <v>0.62680000000000002</v>
      </c>
      <c r="E5">
        <f>1-Table15[[#This Row],[x1]]</f>
        <v>0.7833</v>
      </c>
      <c r="F5">
        <f>1-Table15[[#This Row],[y1]]</f>
        <v>0.37319999999999998</v>
      </c>
      <c r="G5">
        <f>Table15[[#This Row],[y1]]*Table15[[#This Row],[P/kPa]]/Table15[[#This Row],[x1]]/$B$14</f>
        <v>1.4702854450393188</v>
      </c>
      <c r="H5">
        <f>Table15[[#This Row],[y2]]*Table15[[#This Row],[P/kPa]]/Table15[[#This Row],[x2]]/$B$3</f>
        <v>1.0263893416476249</v>
      </c>
      <c r="I5">
        <f>Table15[[#This Row],[x1]]*LN(Table15[[#This Row],[gamma1]])+Table15[[#This Row],[x2]]*LN(Table15[[#This Row],[gamma2]])</f>
        <v>0.10393116967614056</v>
      </c>
      <c r="J5">
        <f>Table15[[#This Row],[ExcessG/RT]]/Table15[[#This Row],[x1]]/Table15[[#This Row],[x2]]</f>
        <v>0.61229227071827541</v>
      </c>
      <c r="K5">
        <f>1/Table15[[#This Row],[Y]]</f>
        <v>1.6332069631173158</v>
      </c>
      <c r="P5">
        <v>0.02</v>
      </c>
      <c r="Q5">
        <f>1-Table5[[#This Row],[x1]]</f>
        <v>0.98</v>
      </c>
      <c r="R5">
        <f>EXP($M$7*(1+$M$7*Table5[[#This Row],[x1]]/$N$7/Table5[[#This Row],[x2]])^-2)</f>
        <v>1.9444635280377156</v>
      </c>
      <c r="S5">
        <f>EXP($N$7*(1+$N$7*Table5[[#This Row],[x2]]/$M$7/Table5[[#This Row],[x1]])^-2)</f>
        <v>1.0004022830547323</v>
      </c>
      <c r="T5">
        <f>Table5[[#This Row],[x1]]*Table5[[#This Row],[gamma1]]*$M$10+Table5[[#This Row],[x2]]*Table5[[#This Row],[gamma2]]*$N$10</f>
        <v>22.850360715873759</v>
      </c>
      <c r="U5">
        <f>Table5[[#This Row],[x1]]*Table5[[#This Row],[gamma1]]*$M$10/Table5[[#This Row],[P]]</f>
        <v>0.14391696210178437</v>
      </c>
    </row>
    <row r="6" spans="2:21" x14ac:dyDescent="0.3">
      <c r="B6">
        <v>48.851999999999997</v>
      </c>
      <c r="C6">
        <v>0.3039</v>
      </c>
      <c r="D6">
        <v>0.69430000000000003</v>
      </c>
      <c r="E6">
        <f>1-Table15[[#This Row],[x1]]</f>
        <v>0.69609999999999994</v>
      </c>
      <c r="F6">
        <f>1-Table15[[#This Row],[y1]]</f>
        <v>0.30569999999999997</v>
      </c>
      <c r="G6">
        <f>Table15[[#This Row],[y1]]*Table15[[#This Row],[P/kPa]]/Table15[[#This Row],[x1]]/$B$14</f>
        <v>1.3198469329897913</v>
      </c>
      <c r="H6">
        <f>Table15[[#This Row],[y2]]*Table15[[#This Row],[P/kPa]]/Table15[[#This Row],[x2]]/$B$3</f>
        <v>1.0752215270891623</v>
      </c>
      <c r="I6">
        <f>Table15[[#This Row],[x1]]*LN(Table15[[#This Row],[gamma1]])+Table15[[#This Row],[x2]]*LN(Table15[[#This Row],[gamma2]])</f>
        <v>0.13482288677392501</v>
      </c>
      <c r="J6">
        <f>Table15[[#This Row],[ExcessG/RT]]/Table15[[#This Row],[x1]]/Table15[[#This Row],[x2]]</f>
        <v>0.63732548919746512</v>
      </c>
      <c r="K6">
        <f>1/Table15[[#This Row],[Y]]</f>
        <v>1.5690569684561384</v>
      </c>
      <c r="M6" s="14" t="s">
        <v>18</v>
      </c>
      <c r="N6" s="14" t="s">
        <v>19</v>
      </c>
      <c r="P6">
        <v>0.03</v>
      </c>
      <c r="Q6">
        <f>1-Table5[[#This Row],[x1]]</f>
        <v>0.97</v>
      </c>
      <c r="R6">
        <f>EXP($M$7*(1+$M$7*Table5[[#This Row],[x1]]/$N$7/Table5[[#This Row],[x2]])^-2)</f>
        <v>1.9072914040950322</v>
      </c>
      <c r="S6">
        <f>EXP($N$7*(1+$N$7*Table5[[#This Row],[x2]]/$M$7/Table5[[#This Row],[x1]])^-2)</f>
        <v>1.0008973004833981</v>
      </c>
      <c r="T6">
        <f>Table5[[#This Row],[x1]]*Table5[[#This Row],[gamma1]]*$M$10+Table5[[#This Row],[x2]]*Table5[[#This Row],[gamma2]]*$N$10</f>
        <v>24.210307992841408</v>
      </c>
      <c r="U6">
        <f>Table5[[#This Row],[x1]]*Table5[[#This Row],[gamma1]]*$M$10/Table5[[#This Row],[P]]</f>
        <v>0.19985418082344089</v>
      </c>
    </row>
    <row r="7" spans="2:21" x14ac:dyDescent="0.3">
      <c r="B7">
        <v>52.783999999999999</v>
      </c>
      <c r="C7">
        <v>0.36809999999999998</v>
      </c>
      <c r="D7">
        <v>0.73450000000000004</v>
      </c>
      <c r="E7">
        <f>1-Table15[[#This Row],[x1]]</f>
        <v>0.63190000000000002</v>
      </c>
      <c r="F7">
        <f>1-Table15[[#This Row],[y1]]</f>
        <v>0.26549999999999996</v>
      </c>
      <c r="G7">
        <f>Table15[[#This Row],[y1]]*Table15[[#This Row],[P/kPa]]/Table15[[#This Row],[x1]]/$B$14</f>
        <v>1.2455266799767957</v>
      </c>
      <c r="H7">
        <f>Table15[[#This Row],[y2]]*Table15[[#This Row],[P/kPa]]/Table15[[#This Row],[x2]]/$B$3</f>
        <v>1.1115020440462686</v>
      </c>
      <c r="I7">
        <f>Table15[[#This Row],[x1]]*LN(Table15[[#This Row],[gamma1]])+Table15[[#This Row],[x2]]*LN(Table15[[#This Row],[gamma2]])</f>
        <v>0.14761907344316061</v>
      </c>
      <c r="J7">
        <f>Table15[[#This Row],[ExcessG/RT]]/Table15[[#This Row],[x1]]/Table15[[#This Row],[x2]]</f>
        <v>0.63464125817090966</v>
      </c>
      <c r="K7">
        <f>1/Table15[[#This Row],[Y]]</f>
        <v>1.5756933340295043</v>
      </c>
      <c r="M7" s="15">
        <f>1/N4</f>
        <v>0.70498600438267733</v>
      </c>
      <c r="N7" s="15">
        <f>1/(M4+1/M7)</f>
        <v>0.48546342459789205</v>
      </c>
      <c r="P7">
        <v>0.04</v>
      </c>
      <c r="Q7">
        <f>1-Table5[[#This Row],[x1]]</f>
        <v>0.96</v>
      </c>
      <c r="R7">
        <f>EXP($M$7*(1+$M$7*Table5[[#This Row],[x1]]/$N$7/Table5[[#This Row],[x2]])^-2)</f>
        <v>1.8716756244368959</v>
      </c>
      <c r="S7">
        <f>EXP($N$7*(1+$N$7*Table5[[#This Row],[x2]]/$M$7/Table5[[#This Row],[x1]])^-2)</f>
        <v>1.0015816024000563</v>
      </c>
      <c r="T7">
        <f>Table5[[#This Row],[x1]]*Table5[[#This Row],[gamma1]]*$M$10+Table5[[#This Row],[x2]]*Table5[[#This Row],[gamma2]]*$N$10</f>
        <v>25.516080770326102</v>
      </c>
      <c r="U7">
        <f>Table5[[#This Row],[x1]]*Table5[[#This Row],[gamma1]]*$M$10/Table5[[#This Row],[P]]</f>
        <v>0.2481143331975901</v>
      </c>
    </row>
    <row r="8" spans="2:21" x14ac:dyDescent="0.3">
      <c r="B8">
        <v>56.652000000000001</v>
      </c>
      <c r="C8">
        <v>0.4461</v>
      </c>
      <c r="D8">
        <v>0.7742</v>
      </c>
      <c r="E8">
        <f>1-Table15[[#This Row],[x1]]</f>
        <v>0.55390000000000006</v>
      </c>
      <c r="F8">
        <f>1-Table15[[#This Row],[y1]]</f>
        <v>0.2258</v>
      </c>
      <c r="G8">
        <f>Table15[[#This Row],[y1]]*Table15[[#This Row],[P/kPa]]/Table15[[#This Row],[x1]]/$B$14</f>
        <v>1.1626819870585321</v>
      </c>
      <c r="H8">
        <f>Table15[[#This Row],[y2]]*Table15[[#This Row],[P/kPa]]/Table15[[#This Row],[x2]]/$B$3</f>
        <v>1.1574430096681343</v>
      </c>
      <c r="I8">
        <f>Table15[[#This Row],[x1]]*LN(Table15[[#This Row],[gamma1]])+Table15[[#This Row],[x2]]*LN(Table15[[#This Row],[gamma2]])</f>
        <v>0.14822791305321487</v>
      </c>
      <c r="J8">
        <f>Table15[[#This Row],[ExcessG/RT]]/Table15[[#This Row],[x1]]/Table15[[#This Row],[x2]]</f>
        <v>0.59988279418281076</v>
      </c>
      <c r="K8">
        <f>1/Table15[[#This Row],[Y]]</f>
        <v>1.6669923019916719</v>
      </c>
      <c r="P8">
        <v>0.05</v>
      </c>
      <c r="Q8">
        <f>1-Table5[[#This Row],[x1]]</f>
        <v>0.95</v>
      </c>
      <c r="R8">
        <f>EXP($M$7*(1+$M$7*Table5[[#This Row],[x1]]/$N$7/Table5[[#This Row],[x2]])^-2)</f>
        <v>1.8375374018940689</v>
      </c>
      <c r="S8">
        <f>EXP($N$7*(1+$N$7*Table5[[#This Row],[x2]]/$M$7/Table5[[#This Row],[x1]])^-2)</f>
        <v>1.0024505092177542</v>
      </c>
      <c r="T8">
        <f>Table5[[#This Row],[x1]]*Table5[[#This Row],[gamma1]]*$M$10+Table5[[#This Row],[x2]]*Table5[[#This Row],[gamma2]]*$N$10</f>
        <v>26.771092148849068</v>
      </c>
      <c r="U8">
        <f>Table5[[#This Row],[x1]]*Table5[[#This Row],[gamma1]]*$M$10/Table5[[#This Row],[P]]</f>
        <v>0.29021198857896902</v>
      </c>
    </row>
    <row r="9" spans="2:21" x14ac:dyDescent="0.3">
      <c r="B9">
        <v>60.613999999999997</v>
      </c>
      <c r="C9">
        <v>0.5282</v>
      </c>
      <c r="D9">
        <v>0.8085</v>
      </c>
      <c r="E9">
        <f>1-Table15[[#This Row],[x1]]</f>
        <v>0.4718</v>
      </c>
      <c r="F9">
        <f>1-Table15[[#This Row],[y1]]</f>
        <v>0.1915</v>
      </c>
      <c r="G9">
        <f>Table15[[#This Row],[y1]]*Table15[[#This Row],[P/kPa]]/Table15[[#This Row],[x1]]/$B$14</f>
        <v>1.0971836468403311</v>
      </c>
      <c r="H9">
        <f>Table15[[#This Row],[y2]]*Table15[[#This Row],[P/kPa]]/Table15[[#This Row],[x2]]/$B$3</f>
        <v>1.2330355096664529</v>
      </c>
      <c r="I9">
        <f>Table15[[#This Row],[x1]]*LN(Table15[[#This Row],[gamma1]])+Table15[[#This Row],[x2]]*LN(Table15[[#This Row],[gamma2]])</f>
        <v>0.14782094432399723</v>
      </c>
      <c r="J9">
        <f>Table15[[#This Row],[ExcessG/RT]]/Table15[[#This Row],[x1]]/Table15[[#This Row],[x2]]</f>
        <v>0.59317062934109788</v>
      </c>
      <c r="K9">
        <f>1/Table15[[#This Row],[Y]]</f>
        <v>1.6858555540937923</v>
      </c>
      <c r="M9" s="14" t="s">
        <v>17</v>
      </c>
      <c r="N9" s="14" t="s">
        <v>16</v>
      </c>
      <c r="P9">
        <v>0.06</v>
      </c>
      <c r="Q9">
        <f>1-Table5[[#This Row],[x1]]</f>
        <v>0.94</v>
      </c>
      <c r="R9">
        <f>EXP($M$7*(1+$M$7*Table5[[#This Row],[x1]]/$N$7/Table5[[#This Row],[x2]])^-2)</f>
        <v>1.8048027782444618</v>
      </c>
      <c r="S9">
        <f>EXP($N$7*(1+$N$7*Table5[[#This Row],[x2]]/$M$7/Table5[[#This Row],[x1]])^-2)</f>
        <v>1.003499561960759</v>
      </c>
      <c r="T9">
        <f>Table5[[#This Row],[x1]]*Table5[[#This Row],[gamma1]]*$M$10+Table5[[#This Row],[x2]]*Table5[[#This Row],[gamma2]]*$N$10</f>
        <v>27.978521106249332</v>
      </c>
      <c r="U9">
        <f>Table5[[#This Row],[x1]]*Table5[[#This Row],[gamma1]]*$M$10/Table5[[#This Row],[P]]</f>
        <v>0.32728906282287923</v>
      </c>
    </row>
    <row r="10" spans="2:21" x14ac:dyDescent="0.3">
      <c r="B10">
        <v>63.997999999999998</v>
      </c>
      <c r="C10">
        <v>0.60440000000000005</v>
      </c>
      <c r="D10">
        <v>0.83830000000000005</v>
      </c>
      <c r="E10">
        <f>1-Table15[[#This Row],[x1]]</f>
        <v>0.39559999999999995</v>
      </c>
      <c r="F10">
        <f>1-Table15[[#This Row],[y1]]</f>
        <v>0.16169999999999995</v>
      </c>
      <c r="G10">
        <f>Table15[[#This Row],[y1]]*Table15[[#This Row],[P/kPa]]/Table15[[#This Row],[x1]]/$B$14</f>
        <v>1.0497023428593959</v>
      </c>
      <c r="H10">
        <f>Table15[[#This Row],[y2]]*Table15[[#This Row],[P/kPa]]/Table15[[#This Row],[x2]]/$B$3</f>
        <v>1.3110279074936311</v>
      </c>
      <c r="I10">
        <f>Table15[[#This Row],[x1]]*LN(Table15[[#This Row],[gamma1]])+Table15[[#This Row],[x2]]*LN(Table15[[#This Row],[gamma2]])</f>
        <v>0.13645043994460299</v>
      </c>
      <c r="J10">
        <f>Table15[[#This Row],[ExcessG/RT]]/Table15[[#This Row],[x1]]/Table15[[#This Row],[x2]]</f>
        <v>0.57068203558385699</v>
      </c>
      <c r="K10">
        <f>1/Table15[[#This Row],[Y]]</f>
        <v>1.7522892567958857</v>
      </c>
      <c r="M10" s="15">
        <f>B14</f>
        <v>84.561999999999998</v>
      </c>
      <c r="N10" s="15">
        <f>B3</f>
        <v>19.952999999999999</v>
      </c>
      <c r="P10">
        <v>7.0000000000000007E-2</v>
      </c>
      <c r="Q10">
        <f>1-Table5[[#This Row],[x1]]</f>
        <v>0.92999999999999994</v>
      </c>
      <c r="R10">
        <f>EXP($M$7*(1+$M$7*Table5[[#This Row],[x1]]/$N$7/Table5[[#This Row],[x2]])^-2)</f>
        <v>1.7734022830412477</v>
      </c>
      <c r="S10">
        <f>EXP($N$7*(1+$N$7*Table5[[#This Row],[x2]]/$M$7/Table5[[#This Row],[x1]])^-2)</f>
        <v>1.0047245103690245</v>
      </c>
      <c r="T10">
        <f>Table5[[#This Row],[x1]]*Table5[[#This Row],[gamma1]]*$M$10+Table5[[#This Row],[x2]]*Table5[[#This Row],[gamma2]]*$N$10</f>
        <v>29.141330454613005</v>
      </c>
      <c r="U10">
        <f>Table5[[#This Row],[x1]]*Table5[[#This Row],[gamma1]]*$M$10/Table5[[#This Row],[P]]</f>
        <v>0.36022278002875707</v>
      </c>
    </row>
    <row r="11" spans="2:21" x14ac:dyDescent="0.3">
      <c r="B11">
        <v>67.924000000000007</v>
      </c>
      <c r="C11">
        <v>0.6804</v>
      </c>
      <c r="D11">
        <v>0.87329999999999997</v>
      </c>
      <c r="E11">
        <f>1-Table15[[#This Row],[x1]]</f>
        <v>0.3196</v>
      </c>
      <c r="F11">
        <f>1-Table15[[#This Row],[y1]]</f>
        <v>0.12670000000000003</v>
      </c>
      <c r="G11">
        <f>Table15[[#This Row],[y1]]*Table15[[#This Row],[P/kPa]]/Table15[[#This Row],[x1]]/$B$14</f>
        <v>1.0309726931101386</v>
      </c>
      <c r="H11">
        <f>Table15[[#This Row],[y2]]*Table15[[#This Row],[P/kPa]]/Table15[[#This Row],[x2]]/$B$3</f>
        <v>1.3495373075413084</v>
      </c>
      <c r="I11">
        <f>Table15[[#This Row],[x1]]*LN(Table15[[#This Row],[gamma1]])+Table15[[#This Row],[x2]]*LN(Table15[[#This Row],[gamma2]])</f>
        <v>0.11655792072502427</v>
      </c>
      <c r="J11">
        <f>Table15[[#This Row],[ExcessG/RT]]/Table15[[#This Row],[x1]]/Table15[[#This Row],[x2]]</f>
        <v>0.5360073140598306</v>
      </c>
      <c r="K11">
        <f>1/Table15[[#This Row],[Y]]</f>
        <v>1.8656461838660232</v>
      </c>
      <c r="P11">
        <v>0.08</v>
      </c>
      <c r="Q11">
        <f>1-Table5[[#This Row],[x1]]</f>
        <v>0.92</v>
      </c>
      <c r="R11">
        <f>EXP($M$7*(1+$M$7*Table5[[#This Row],[x1]]/$N$7/Table5[[#This Row],[x2]])^-2)</f>
        <v>1.7432706195284908</v>
      </c>
      <c r="S11">
        <f>EXP($N$7*(1+$N$7*Table5[[#This Row],[x2]]/$M$7/Table5[[#This Row],[x1]])^-2)</f>
        <v>1.0061213017338495</v>
      </c>
      <c r="T11">
        <f>Table5[[#This Row],[x1]]*Table5[[#This Row],[gamma1]]*$M$10+Table5[[#This Row],[x2]]*Table5[[#This Row],[gamma2]]*$N$10</f>
        <v>30.262283277101318</v>
      </c>
      <c r="U11">
        <f>Table5[[#This Row],[x1]]*Table5[[#This Row],[gamma1]]*$M$10/Table5[[#This Row],[P]]</f>
        <v>0.38969815668895791</v>
      </c>
    </row>
    <row r="12" spans="2:21" x14ac:dyDescent="0.3">
      <c r="B12">
        <v>70.228999999999999</v>
      </c>
      <c r="C12">
        <v>0.72550000000000003</v>
      </c>
      <c r="D12">
        <v>0.89219999999999999</v>
      </c>
      <c r="E12">
        <f>1-Table15[[#This Row],[x1]]</f>
        <v>0.27449999999999997</v>
      </c>
      <c r="F12">
        <f>1-Table15[[#This Row],[y1]]</f>
        <v>0.10780000000000001</v>
      </c>
      <c r="G12">
        <f>Table15[[#This Row],[y1]]*Table15[[#This Row],[P/kPa]]/Table15[[#This Row],[x1]]/$B$14</f>
        <v>1.0213298865157208</v>
      </c>
      <c r="H12">
        <f>Table15[[#This Row],[y2]]*Table15[[#This Row],[P/kPa]]/Table15[[#This Row],[x2]]/$B$3</f>
        <v>1.3822439380997076</v>
      </c>
      <c r="I12">
        <f>Table15[[#This Row],[x1]]*LN(Table15[[#This Row],[gamma1]])+Table15[[#This Row],[x2]]*LN(Table15[[#This Row],[gamma2]])</f>
        <v>0.1041700109527956</v>
      </c>
      <c r="J12">
        <f>Table15[[#This Row],[ExcessG/RT]]/Table15[[#This Row],[x1]]/Table15[[#This Row],[x2]]</f>
        <v>0.52307377213777884</v>
      </c>
      <c r="K12">
        <f>1/Table15[[#This Row],[Y]]</f>
        <v>1.9117762221436667</v>
      </c>
      <c r="P12">
        <v>0.09</v>
      </c>
      <c r="Q12">
        <f>1-Table5[[#This Row],[x1]]</f>
        <v>0.91</v>
      </c>
      <c r="R12">
        <f>EXP($M$7*(1+$M$7*Table5[[#This Row],[x1]]/$N$7/Table5[[#This Row],[x2]])^-2)</f>
        <v>1.7143463752698422</v>
      </c>
      <c r="S12">
        <f>EXP($N$7*(1+$N$7*Table5[[#This Row],[x2]]/$M$7/Table5[[#This Row],[x1]])^-2)</f>
        <v>1.0076860704141399</v>
      </c>
      <c r="T12">
        <f>Table5[[#This Row],[x1]]*Table5[[#This Row],[gamma1]]*$M$10+Table5[[#This Row],[x2]]*Table5[[#This Row],[gamma2]]*$N$10</f>
        <v>31.343957985006888</v>
      </c>
      <c r="U12">
        <f>Table5[[#This Row],[x1]]*Table5[[#This Row],[gamma1]]*$M$10/Table5[[#This Row],[P]]</f>
        <v>0.41625790345119007</v>
      </c>
    </row>
    <row r="13" spans="2:21" x14ac:dyDescent="0.3">
      <c r="B13">
        <v>72.831999999999994</v>
      </c>
      <c r="C13">
        <v>0.77759999999999996</v>
      </c>
      <c r="D13">
        <v>0.91410000000000002</v>
      </c>
      <c r="E13">
        <f>1-Table15[[#This Row],[x1]]</f>
        <v>0.22240000000000004</v>
      </c>
      <c r="F13">
        <f>1-Table15[[#This Row],[y1]]</f>
        <v>8.5899999999999976E-2</v>
      </c>
      <c r="G13">
        <f>Table15[[#This Row],[y1]]*Table15[[#This Row],[P/kPa]]/Table15[[#This Row],[x1]]/$B$14</f>
        <v>1.0124753230955386</v>
      </c>
      <c r="H13">
        <f>Table15[[#This Row],[y2]]*Table15[[#This Row],[P/kPa]]/Table15[[#This Row],[x2]]/$B$3</f>
        <v>1.4098483955280514</v>
      </c>
      <c r="I13">
        <f>Table15[[#This Row],[x1]]*LN(Table15[[#This Row],[gamma1]])+Table15[[#This Row],[x2]]*LN(Table15[[#This Row],[gamma2]])</f>
        <v>8.6031235779379225E-2</v>
      </c>
      <c r="J13">
        <f>Table15[[#This Row],[ExcessG/RT]]/Table15[[#This Row],[x1]]/Table15[[#This Row],[x2]]</f>
        <v>0.49746797341859855</v>
      </c>
      <c r="K13">
        <f>1/Table15[[#This Row],[Y]]</f>
        <v>2.0101796566480505</v>
      </c>
      <c r="P13">
        <v>0.1</v>
      </c>
      <c r="Q13">
        <f>1-Table5[[#This Row],[x1]]</f>
        <v>0.9</v>
      </c>
      <c r="R13">
        <f>EXP($M$7*(1+$M$7*Table5[[#This Row],[x1]]/$N$7/Table5[[#This Row],[x2]])^-2)</f>
        <v>1.6865717553426631</v>
      </c>
      <c r="S13">
        <f>EXP($N$7*(1+$N$7*Table5[[#This Row],[x2]]/$M$7/Table5[[#This Row],[x1]])^-2)</f>
        <v>1.0094151279865633</v>
      </c>
      <c r="T13">
        <f>Table5[[#This Row],[x1]]*Table5[[#This Row],[gamma1]]*$M$10+Table5[[#This Row],[x2]]*Table5[[#This Row],[gamma2]]*$N$10</f>
        <v>32.388762121372935</v>
      </c>
      <c r="U13">
        <f>Table5[[#This Row],[x1]]*Table5[[#This Row],[gamma1]]*$M$10/Table5[[#This Row],[P]]</f>
        <v>0.4403375474519084</v>
      </c>
    </row>
    <row r="14" spans="2:21" x14ac:dyDescent="0.3">
      <c r="B14">
        <v>84.561999999999998</v>
      </c>
      <c r="C14">
        <v>1</v>
      </c>
      <c r="D14">
        <v>1</v>
      </c>
      <c r="E14">
        <f>1-Table15[[#This Row],[x1]]</f>
        <v>0</v>
      </c>
      <c r="F14">
        <f>1-Table15[[#This Row],[y1]]</f>
        <v>0</v>
      </c>
      <c r="G14">
        <f>Table15[[#This Row],[y1]]*Table15[[#This Row],[P/kPa]]/Table15[[#This Row],[x1]]/$B$14</f>
        <v>1</v>
      </c>
      <c r="P14">
        <v>0.11</v>
      </c>
      <c r="Q14">
        <f>1-Table5[[#This Row],[x1]]</f>
        <v>0.89</v>
      </c>
      <c r="R14">
        <f>EXP($M$7*(1+$M$7*Table5[[#This Row],[x1]]/$N$7/Table5[[#This Row],[x2]])^-2)</f>
        <v>1.659892336153399</v>
      </c>
      <c r="S14">
        <f>EXP($N$7*(1+$N$7*Table5[[#This Row],[x2]]/$M$7/Table5[[#This Row],[x1]])^-2)</f>
        <v>1.0113049539864285</v>
      </c>
      <c r="T14">
        <f>Table5[[#This Row],[x1]]*Table5[[#This Row],[gamma1]]*$M$10+Table5[[#This Row],[x2]]*Table5[[#This Row],[gamma2]]*$N$10</f>
        <v>33.398945025011585</v>
      </c>
      <c r="U14">
        <f>Table5[[#This Row],[x1]]*Table5[[#This Row],[gamma1]]*$M$10/Table5[[#This Row],[P]]</f>
        <v>0.4622906417767324</v>
      </c>
    </row>
    <row r="15" spans="2:21" x14ac:dyDescent="0.3">
      <c r="P15">
        <v>0.12</v>
      </c>
      <c r="Q15">
        <f>1-Table5[[#This Row],[x1]]</f>
        <v>0.88</v>
      </c>
      <c r="R15">
        <f>EXP($M$7*(1+$M$7*Table5[[#This Row],[x1]]/$N$7/Table5[[#This Row],[x2]])^-2)</f>
        <v>1.6342568381126648</v>
      </c>
      <c r="S15">
        <f>EXP($N$7*(1+$N$7*Table5[[#This Row],[x2]]/$M$7/Table5[[#This Row],[x1]])^-2)</f>
        <v>1.0133521871993845</v>
      </c>
      <c r="T15">
        <f>Table5[[#This Row],[x1]]*Table5[[#This Row],[gamma1]]*$M$10+Table5[[#This Row],[x2]]*Table5[[#This Row],[gamma2]]*$N$10</f>
        <v>34.376609457584578</v>
      </c>
      <c r="U15">
        <f>Table5[[#This Row],[x1]]*Table5[[#This Row],[gamma1]]*$M$10/Table5[[#This Row],[P]]</f>
        <v>0.48240717950382744</v>
      </c>
    </row>
    <row r="16" spans="2:21" x14ac:dyDescent="0.3">
      <c r="P16">
        <v>0.13</v>
      </c>
      <c r="Q16">
        <f>1-Table5[[#This Row],[x1]]</f>
        <v>0.87</v>
      </c>
      <c r="R16">
        <f>EXP($M$7*(1+$M$7*Table5[[#This Row],[x1]]/$N$7/Table5[[#This Row],[x2]])^-2)</f>
        <v>1.6096169155726381</v>
      </c>
      <c r="S16">
        <f>EXP($N$7*(1+$N$7*Table5[[#This Row],[x2]]/$M$7/Table5[[#This Row],[x1]])^-2)</f>
        <v>1.015553617467011</v>
      </c>
      <c r="T16">
        <f>Table5[[#This Row],[x1]]*Table5[[#This Row],[gamma1]]*$M$10+Table5[[#This Row],[x2]]*Table5[[#This Row],[gamma2]]*$N$10</f>
        <v>35.323722286412711</v>
      </c>
      <c r="U16">
        <f>Table5[[#This Row],[x1]]*Table5[[#This Row],[gamma1]]*$M$10/Table5[[#This Row],[P]]</f>
        <v>0.50092725750794354</v>
      </c>
    </row>
    <row r="17" spans="16:21" x14ac:dyDescent="0.3">
      <c r="P17">
        <v>0.14000000000000001</v>
      </c>
      <c r="Q17">
        <f>1-Table5[[#This Row],[x1]]</f>
        <v>0.86</v>
      </c>
      <c r="R17">
        <f>EXP($M$7*(1+$M$7*Table5[[#This Row],[x1]]/$N$7/Table5[[#This Row],[x2]])^-2)</f>
        <v>1.585926962576959</v>
      </c>
      <c r="S17">
        <f>EXP($N$7*(1+$N$7*Table5[[#This Row],[x2]]/$M$7/Table5[[#This Row],[x1]])^-2)</f>
        <v>1.0179061779721246</v>
      </c>
      <c r="T17">
        <f>Table5[[#This Row],[x1]]*Table5[[#This Row],[gamma1]]*$M$10+Table5[[#This Row],[x2]]*Table5[[#This Row],[gamma2]]*$N$10</f>
        <v>36.242124306727504</v>
      </c>
      <c r="U17">
        <f>Table5[[#This Row],[x1]]*Table5[[#This Row],[gamma1]]*$M$10/Table5[[#This Row],[P]]</f>
        <v>0.51805136074309543</v>
      </c>
    </row>
    <row r="18" spans="16:21" x14ac:dyDescent="0.3">
      <c r="P18">
        <v>0.15</v>
      </c>
      <c r="Q18">
        <f>1-Table5[[#This Row],[x1]]</f>
        <v>0.85</v>
      </c>
      <c r="R18">
        <f>EXP($M$7*(1+$M$7*Table5[[#This Row],[x1]]/$N$7/Table5[[#This Row],[x2]])^-2)</f>
        <v>1.5631439331062424</v>
      </c>
      <c r="S18">
        <f>EXP($N$7*(1+$N$7*Table5[[#This Row],[x2]]/$M$7/Table5[[#This Row],[x1]])^-2)</f>
        <v>1.0204069379721339</v>
      </c>
      <c r="T18">
        <f>Table5[[#This Row],[x1]]*Table5[[#This Row],[gamma1]]*$M$10+Table5[[#This Row],[x2]]*Table5[[#This Row],[gamma2]]*$N$10</f>
        <v>37.133539279053799</v>
      </c>
      <c r="U18">
        <f>Table5[[#This Row],[x1]]*Table5[[#This Row],[gamma1]]*$M$10/Table5[[#This Row],[P]]</f>
        <v>0.53394820358219119</v>
      </c>
    </row>
    <row r="19" spans="16:21" x14ac:dyDescent="0.3">
      <c r="P19">
        <v>0.16</v>
      </c>
      <c r="Q19">
        <f>1-Table5[[#This Row],[x1]]</f>
        <v>0.84</v>
      </c>
      <c r="R19">
        <f>EXP($M$7*(1+$M$7*Table5[[#This Row],[x1]]/$N$7/Table5[[#This Row],[x2]])^-2)</f>
        <v>1.5412271746220063</v>
      </c>
      <c r="S19">
        <f>EXP($N$7*(1+$N$7*Table5[[#This Row],[x2]]/$M$7/Table5[[#This Row],[x1]])^-2)</f>
        <v>1.0230530959511035</v>
      </c>
      <c r="T19">
        <f>Table5[[#This Row],[x1]]*Table5[[#This Row],[gamma1]]*$M$10+Table5[[#This Row],[x2]]*Table5[[#This Row],[gamma2]]*$N$10</f>
        <v>37.999582250212164</v>
      </c>
      <c r="U19">
        <f>Table5[[#This Row],[x1]]*Table5[[#This Row],[gamma1]]*$M$10/Table5[[#This Row],[P]]</f>
        <v>0.5487607794516044</v>
      </c>
    </row>
    <row r="20" spans="16:21" x14ac:dyDescent="0.3">
      <c r="P20">
        <v>0.17</v>
      </c>
      <c r="Q20">
        <f>1-Table5[[#This Row],[x1]]</f>
        <v>0.83</v>
      </c>
      <c r="R20">
        <f>EXP($M$7*(1+$M$7*Table5[[#This Row],[x1]]/$N$7/Table5[[#This Row],[x2]])^-2)</f>
        <v>1.520138273819813</v>
      </c>
      <c r="S20">
        <f>EXP($N$7*(1+$N$7*Table5[[#This Row],[x2]]/$M$7/Table5[[#This Row],[x1]])^-2)</f>
        <v>1.0258419731633079</v>
      </c>
      <c r="T20">
        <f>Table5[[#This Row],[x1]]*Table5[[#This Row],[gamma1]]*$M$10+Table5[[#This Row],[x2]]*Table5[[#This Row],[gamma2]]*$N$10</f>
        <v>38.84176721996549</v>
      </c>
      <c r="U20">
        <f>Table5[[#This Row],[x1]]*Table5[[#This Row],[gamma1]]*$M$10/Table5[[#This Row],[P]]</f>
        <v>0.56261107886962647</v>
      </c>
    </row>
    <row r="21" spans="16:21" x14ac:dyDescent="0.3">
      <c r="P21">
        <v>0.18</v>
      </c>
      <c r="Q21">
        <f>1-Table5[[#This Row],[x1]]</f>
        <v>0.82000000000000006</v>
      </c>
      <c r="R21">
        <f>EXP($M$7*(1+$M$7*Table5[[#This Row],[x1]]/$N$7/Table5[[#This Row],[x2]])^-2)</f>
        <v>1.4998409135998443</v>
      </c>
      <c r="S21">
        <f>EXP($N$7*(1+$N$7*Table5[[#This Row],[x2]]/$M$7/Table5[[#This Row],[x1]])^-2)</f>
        <v>1.0287710075430276</v>
      </c>
      <c r="T21">
        <f>Table5[[#This Row],[x1]]*Table5[[#This Row],[gamma1]]*$M$10+Table5[[#This Row],[x2]]*Table5[[#This Row],[gamma2]]*$N$10</f>
        <v>39.661514209524356</v>
      </c>
      <c r="U21">
        <f>Table5[[#This Row],[x1]]*Table5[[#This Row],[gamma1]]*$M$10/Table5[[#This Row],[P]]</f>
        <v>0.57560380574091019</v>
      </c>
    </row>
    <row r="22" spans="16:21" x14ac:dyDescent="0.3">
      <c r="P22">
        <v>0.19</v>
      </c>
      <c r="Q22">
        <f>1-Table5[[#This Row],[x1]]</f>
        <v>0.81</v>
      </c>
      <c r="R22">
        <f>EXP($M$7*(1+$M$7*Table5[[#This Row],[x1]]/$N$7/Table5[[#This Row],[x2]])^-2)</f>
        <v>1.480300740351159</v>
      </c>
      <c r="S22">
        <f>EXP($N$7*(1+$N$7*Table5[[#This Row],[x2]]/$M$7/Table5[[#This Row],[x1]])^-2)</f>
        <v>1.0318377479571381</v>
      </c>
      <c r="T22">
        <f>Table5[[#This Row],[x1]]*Table5[[#This Row],[gamma1]]*$M$10+Table5[[#This Row],[x2]]*Table5[[#This Row],[gamma2]]*$N$10</f>
        <v>40.460155782900102</v>
      </c>
      <c r="U22">
        <f>Table5[[#This Row],[x1]]*Table5[[#This Row],[gamma1]]*$M$10/Table5[[#This Row],[P]]</f>
        <v>0.58782933156947981</v>
      </c>
    </row>
    <row r="23" spans="16:21" x14ac:dyDescent="0.3">
      <c r="P23">
        <v>0.2</v>
      </c>
      <c r="Q23">
        <f>1-Table5[[#This Row],[x1]]</f>
        <v>0.8</v>
      </c>
      <c r="R23">
        <f>EXP($M$7*(1+$M$7*Table5[[#This Row],[x1]]/$N$7/Table5[[#This Row],[x2]])^-2)</f>
        <v>1.4614852407254582</v>
      </c>
      <c r="S23">
        <f>EXP($N$7*(1+$N$7*Table5[[#This Row],[x2]]/$M$7/Table5[[#This Row],[x1]])^-2)</f>
        <v>1.0350398487787134</v>
      </c>
      <c r="T23">
        <f>Table5[[#This Row],[x1]]*Table5[[#This Row],[gamma1]]*$M$10+Table5[[#This Row],[x2]]*Table5[[#This Row],[gamma2]]*$N$10</f>
        <v>41.238943067390572</v>
      </c>
      <c r="U23">
        <f>Table5[[#This Row],[x1]]*Table5[[#This Row],[gamma1]]*$M$10/Table5[[#This Row],[P]]</f>
        <v>0.59936606388901914</v>
      </c>
    </row>
    <row r="24" spans="16:21" x14ac:dyDescent="0.3">
      <c r="P24">
        <v>0.21</v>
      </c>
      <c r="Q24">
        <f>1-Table5[[#This Row],[x1]]</f>
        <v>0.79</v>
      </c>
      <c r="R24">
        <f>EXP($M$7*(1+$M$7*Table5[[#This Row],[x1]]/$N$7/Table5[[#This Row],[x2]])^-2)</f>
        <v>1.4433636271481656</v>
      </c>
      <c r="S24">
        <f>EXP($N$7*(1+$N$7*Table5[[#This Row],[x2]]/$M$7/Table5[[#This Row],[x1]])^-2)</f>
        <v>1.0383750647614018</v>
      </c>
      <c r="T24">
        <f>Table5[[#This Row],[x1]]*Table5[[#This Row],[gamma1]]*$M$10+Table5[[#This Row],[x2]]*Table5[[#This Row],[gamma2]]*$N$10</f>
        <v>41.999051315245225</v>
      </c>
      <c r="U24">
        <f>Table5[[#This Row],[x1]]*Table5[[#This Row],[gamma1]]*$M$10/Table5[[#This Row],[P]]</f>
        <v>0.61028236008906644</v>
      </c>
    </row>
    <row r="25" spans="16:21" x14ac:dyDescent="0.3">
      <c r="P25">
        <v>0.22</v>
      </c>
      <c r="Q25">
        <f>1-Table5[[#This Row],[x1]]</f>
        <v>0.78</v>
      </c>
      <c r="R25">
        <f>EXP($M$7*(1+$M$7*Table5[[#This Row],[x1]]/$N$7/Table5[[#This Row],[x2]])^-2)</f>
        <v>1.4259067313798433</v>
      </c>
      <c r="S25">
        <f>EXP($N$7*(1+$N$7*Table5[[#This Row],[x2]]/$M$7/Table5[[#This Row],[x1]])^-2)</f>
        <v>1.0418412461957429</v>
      </c>
      <c r="T25">
        <f>Table5[[#This Row],[x1]]*Table5[[#This Row],[gamma1]]*$M$10+Table5[[#This Row],[x2]]*Table5[[#This Row],[gamma2]]*$N$10</f>
        <v>42.741585044735359</v>
      </c>
      <c r="U25">
        <f>Table5[[#This Row],[x1]]*Table5[[#This Row],[gamma1]]*$M$10/Table5[[#This Row],[P]]</f>
        <v>0.62063808528398845</v>
      </c>
    </row>
    <row r="26" spans="16:21" x14ac:dyDescent="0.3">
      <c r="P26">
        <v>0.23</v>
      </c>
      <c r="Q26">
        <f>1-Table5[[#This Row],[x1]]</f>
        <v>0.77</v>
      </c>
      <c r="R26">
        <f>EXP($M$7*(1+$M$7*Table5[[#This Row],[x1]]/$N$7/Table5[[#This Row],[x2]])^-2)</f>
        <v>1.4090869055000208</v>
      </c>
      <c r="S26">
        <f>EXP($N$7*(1+$N$7*Table5[[#This Row],[x2]]/$M$7/Table5[[#This Row],[x1]])^-2)</f>
        <v>1.0454363343299118</v>
      </c>
      <c r="T26">
        <f>Table5[[#This Row],[x1]]*Table5[[#This Row],[gamma1]]*$M$10+Table5[[#This Row],[x2]]*Table5[[#This Row],[gamma2]]*$N$10</f>
        <v>43.467582795406571</v>
      </c>
      <c r="U26">
        <f>Table5[[#This Row],[x1]]*Table5[[#This Row],[gamma1]]*$M$10/Table5[[#This Row],[P]]</f>
        <v>0.6304858891431484</v>
      </c>
    </row>
    <row r="27" spans="16:21" x14ac:dyDescent="0.3">
      <c r="P27">
        <v>0.24</v>
      </c>
      <c r="Q27">
        <f>1-Table5[[#This Row],[x1]]</f>
        <v>0.76</v>
      </c>
      <c r="R27">
        <f>EXP($M$7*(1+$M$7*Table5[[#This Row],[x1]]/$N$7/Table5[[#This Row],[x2]])^-2)</f>
        <v>1.3928779297391136</v>
      </c>
      <c r="S27">
        <f>EXP($N$7*(1+$N$7*Table5[[#This Row],[x2]]/$M$7/Table5[[#This Row],[x1]])^-2)</f>
        <v>1.0491583570385796</v>
      </c>
      <c r="T27">
        <f>Table5[[#This Row],[x1]]*Table5[[#This Row],[gamma1]]*$M$10+Table5[[#This Row],[x2]]*Table5[[#This Row],[gamma2]]*$N$10</f>
        <v>44.178021529176732</v>
      </c>
      <c r="U27">
        <f>Table5[[#This Row],[x1]]*Table5[[#This Row],[gamma1]]*$M$10/Table5[[#This Row],[P]]</f>
        <v>0.63987225910590761</v>
      </c>
    </row>
    <row r="28" spans="16:21" x14ac:dyDescent="0.3">
      <c r="P28">
        <v>0.25</v>
      </c>
      <c r="Q28">
        <f>1-Table5[[#This Row],[x1]]</f>
        <v>0.75</v>
      </c>
      <c r="R28">
        <f>EXP($M$7*(1+$M$7*Table5[[#This Row],[x1]]/$N$7/Table5[[#This Row],[x2]])^-2)</f>
        <v>1.377254926632727</v>
      </c>
      <c r="S28">
        <f>EXP($N$7*(1+$N$7*Table5[[#This Row],[x2]]/$M$7/Table5[[#This Row],[x1]])^-2)</f>
        <v>1.0530054247246998</v>
      </c>
      <c r="T28">
        <f>Table5[[#This Row],[x1]]*Table5[[#This Row],[gamma1]]*$M$10+Table5[[#This Row],[x2]]*Table5[[#This Row],[gamma2]]*$N$10</f>
        <v>44.873820706128114</v>
      </c>
      <c r="U28">
        <f>Table5[[#This Row],[x1]]*Table5[[#This Row],[gamma1]]*$M$10/Table5[[#This Row],[P]]</f>
        <v>0.64883839437596647</v>
      </c>
    </row>
    <row r="29" spans="16:21" x14ac:dyDescent="0.3">
      <c r="P29">
        <v>0.26</v>
      </c>
      <c r="Q29">
        <f>1-Table5[[#This Row],[x1]]</f>
        <v>0.74</v>
      </c>
      <c r="R29">
        <f>EXP($M$7*(1+$M$7*Table5[[#This Row],[x1]]/$N$7/Table5[[#This Row],[x2]])^-2)</f>
        <v>1.3621942810168197</v>
      </c>
      <c r="S29">
        <f>EXP($N$7*(1+$N$7*Table5[[#This Row],[x2]]/$M$7/Table5[[#This Row],[x1]])^-2)</f>
        <v>1.0569757264400608</v>
      </c>
      <c r="T29">
        <f>Table5[[#This Row],[x1]]*Table5[[#This Row],[gamma1]]*$M$10+Table5[[#This Row],[x2]]*Table5[[#This Row],[gamma2]]*$N$10</f>
        <v>45.555846061296833</v>
      </c>
      <c r="U29">
        <f>Table5[[#This Row],[x1]]*Table5[[#This Row],[gamma1]]*$M$10/Table5[[#This Row],[P]]</f>
        <v>0.65742093529448886</v>
      </c>
    </row>
    <row r="30" spans="16:21" x14ac:dyDescent="0.3">
      <c r="P30">
        <v>0.27</v>
      </c>
      <c r="Q30">
        <f>1-Table5[[#This Row],[x1]]</f>
        <v>0.73</v>
      </c>
      <c r="R30">
        <f>EXP($M$7*(1+$M$7*Table5[[#This Row],[x1]]/$N$7/Table5[[#This Row],[x2]])^-2)</f>
        <v>1.3476735654223557</v>
      </c>
      <c r="S30">
        <f>EXP($N$7*(1+$N$7*Table5[[#This Row],[x2]]/$M$7/Table5[[#This Row],[x1]])^-2)</f>
        <v>1.0610675262114071</v>
      </c>
      <c r="T30">
        <f>Table5[[#This Row],[x1]]*Table5[[#This Row],[gamma1]]*$M$10+Table5[[#This Row],[x2]]*Table5[[#This Row],[gamma2]]*$N$10</f>
        <v>46.224913106458445</v>
      </c>
      <c r="U30">
        <f>Table5[[#This Row],[x1]]*Table5[[#This Row],[gamma1]]*$M$10/Table5[[#This Row],[P]]</f>
        <v>0.66565257526243227</v>
      </c>
    </row>
    <row r="31" spans="16:21" x14ac:dyDescent="0.3">
      <c r="P31">
        <v>0.28000000000000003</v>
      </c>
      <c r="Q31">
        <f>1-Table5[[#This Row],[x1]]</f>
        <v>0.72</v>
      </c>
      <c r="R31">
        <f>EXP($M$7*(1+$M$7*Table5[[#This Row],[x1]]/$N$7/Table5[[#This Row],[x2]])^-2)</f>
        <v>1.333671470464592</v>
      </c>
      <c r="S31">
        <f>EXP($N$7*(1+$N$7*Table5[[#This Row],[x2]]/$M$7/Table5[[#This Row],[x1]])^-2)</f>
        <v>1.0652791595598099</v>
      </c>
      <c r="T31">
        <f>Table5[[#This Row],[x1]]*Table5[[#This Row],[gamma1]]*$M$10+Table5[[#This Row],[x2]]*Table5[[#This Row],[gamma2]]*$N$10</f>
        <v>46.881790378821272</v>
      </c>
      <c r="U31">
        <f>Table5[[#This Row],[x1]]*Table5[[#This Row],[gamma1]]*$M$10/Table5[[#This Row],[P]]</f>
        <v>0.67356257670109609</v>
      </c>
    </row>
    <row r="32" spans="16:21" x14ac:dyDescent="0.3">
      <c r="P32">
        <v>0.28999999999999998</v>
      </c>
      <c r="Q32">
        <f>1-Table5[[#This Row],[x1]]</f>
        <v>0.71</v>
      </c>
      <c r="R32">
        <f>EXP($M$7*(1+$M$7*Table5[[#This Row],[x1]]/$N$7/Table5[[#This Row],[x2]])^-2)</f>
        <v>1.3201677398554101</v>
      </c>
      <c r="S32">
        <f>EXP($N$7*(1+$N$7*Table5[[#This Row],[x2]]/$M$7/Table5[[#This Row],[x1]])^-2)</f>
        <v>1.0696090302017953</v>
      </c>
      <c r="T32">
        <f>Table5[[#This Row],[x1]]*Table5[[#This Row],[gamma1]]*$M$10+Table5[[#This Row],[x2]]*Table5[[#This Row],[gamma2]]*$N$10</f>
        <v>47.527202456647089</v>
      </c>
      <c r="U32">
        <f>Table5[[#This Row],[x1]]*Table5[[#This Row],[gamma1]]*$M$10/Table5[[#This Row],[P]]</f>
        <v>0.68117720816095673</v>
      </c>
    </row>
    <row r="33" spans="16:21" x14ac:dyDescent="0.3">
      <c r="P33">
        <v>0.3</v>
      </c>
      <c r="Q33">
        <f>1-Table5[[#This Row],[x1]]</f>
        <v>0.7</v>
      </c>
      <c r="R33">
        <f>EXP($M$7*(1+$M$7*Table5[[#This Row],[x1]]/$N$7/Table5[[#This Row],[x2]])^-2)</f>
        <v>1.307143109697388</v>
      </c>
      <c r="S33">
        <f>EXP($N$7*(1+$N$7*Table5[[#This Row],[x2]]/$M$7/Table5[[#This Row],[x1]])^-2)</f>
        <v>1.0740556069214942</v>
      </c>
      <c r="T33">
        <f>Table5[[#This Row],[x1]]*Table5[[#This Row],[gamma1]]*$M$10+Table5[[#This Row],[x2]]*Table5[[#This Row],[gamma2]]*$N$10</f>
        <v>48.161832760102357</v>
      </c>
      <c r="U33">
        <f>Table5[[#This Row],[x1]]*Table5[[#This Row],[gamma1]]*$M$10/Table5[[#This Row],[P]]</f>
        <v>0.68852011628883614</v>
      </c>
    </row>
    <row r="34" spans="16:21" x14ac:dyDescent="0.3">
      <c r="P34">
        <v>0.31</v>
      </c>
      <c r="Q34">
        <f>1-Table5[[#This Row],[x1]]</f>
        <v>0.69</v>
      </c>
      <c r="R34">
        <f>EXP($M$7*(1+$M$7*Table5[[#This Row],[x1]]/$N$7/Table5[[#This Row],[x2]])^-2)</f>
        <v>1.2945792517459205</v>
      </c>
      <c r="S34">
        <f>EXP($N$7*(1+$N$7*Table5[[#This Row],[x2]]/$M$7/Table5[[#This Row],[x1]])^-2)</f>
        <v>1.0786174206037873</v>
      </c>
      <c r="T34">
        <f>Table5[[#This Row],[x1]]*Table5[[#This Row],[gamma1]]*$M$10+Table5[[#This Row],[x2]]*Table5[[#This Row],[gamma2]]*$N$10</f>
        <v>48.786326154085025</v>
      </c>
      <c r="U34">
        <f>Table5[[#This Row],[x1]]*Table5[[#This Row],[gamma1]]*$M$10/Table5[[#This Row],[P]]</f>
        <v>0.69561264370511222</v>
      </c>
    </row>
    <row r="35" spans="16:21" x14ac:dyDescent="0.3">
      <c r="P35">
        <v>0.32</v>
      </c>
      <c r="Q35">
        <f>1-Table5[[#This Row],[x1]]</f>
        <v>0.67999999999999994</v>
      </c>
      <c r="R35">
        <f>EXP($M$7*(1+$M$7*Table5[[#This Row],[x1]]/$N$7/Table5[[#This Row],[x2]])^-2)</f>
        <v>1.2824587203508948</v>
      </c>
      <c r="S35">
        <f>EXP($N$7*(1+$N$7*Table5[[#This Row],[x2]]/$M$7/Table5[[#This Row],[x1]])^-2)</f>
        <v>1.0832930614190683</v>
      </c>
      <c r="T35">
        <f>Table5[[#This Row],[x1]]*Table5[[#This Row],[gamma1]]*$M$10+Table5[[#This Row],[x2]]*Table5[[#This Row],[gamma2]]*$N$10</f>
        <v>49.401291368356326</v>
      </c>
      <c r="U35">
        <f>Table5[[#This Row],[x1]]*Table5[[#This Row],[gamma1]]*$M$10/Table5[[#This Row],[P]]</f>
        <v>0.70247410175048208</v>
      </c>
    </row>
    <row r="36" spans="16:21" x14ac:dyDescent="0.3">
      <c r="P36">
        <v>0.33</v>
      </c>
      <c r="Q36">
        <f>1-Table5[[#This Row],[x1]]</f>
        <v>0.66999999999999993</v>
      </c>
      <c r="R36">
        <f>EXP($M$7*(1+$M$7*Table5[[#This Row],[x1]]/$N$7/Table5[[#This Row],[x2]])^-2)</f>
        <v>1.2707649028124262</v>
      </c>
      <c r="S36">
        <f>EXP($N$7*(1+$N$7*Table5[[#This Row],[x2]]/$M$7/Table5[[#This Row],[x1]])^-2)</f>
        <v>1.0880811761508629</v>
      </c>
      <c r="T36">
        <f>Table5[[#This Row],[x1]]*Table5[[#This Row],[gamma1]]*$M$10+Table5[[#This Row],[x2]]*Table5[[#This Row],[gamma2]]*$N$10</f>
        <v>50.007303249020609</v>
      </c>
      <c r="U36">
        <f>Table5[[#This Row],[x1]]*Table5[[#This Row],[gamma1]]*$M$10/Table5[[#This Row],[P]]</f>
        <v>0.70912200540489156</v>
      </c>
    </row>
    <row r="37" spans="16:21" x14ac:dyDescent="0.3">
      <c r="P37">
        <v>0.34</v>
      </c>
      <c r="Q37">
        <f>1-Table5[[#This Row],[x1]]</f>
        <v>0.65999999999999992</v>
      </c>
      <c r="R37">
        <f>EXP($M$7*(1+$M$7*Table5[[#This Row],[x1]]/$N$7/Table5[[#This Row],[x2]])^-2)</f>
        <v>1.2594819729061619</v>
      </c>
      <c r="S37">
        <f>EXP($N$7*(1+$N$7*Table5[[#This Row],[x2]]/$M$7/Table5[[#This Row],[x1]])^-2)</f>
        <v>1.0929804656580953</v>
      </c>
      <c r="T37">
        <f>Table5[[#This Row],[x1]]*Table5[[#This Row],[gamma1]]*$M$10+Table5[[#This Row],[x2]]*Table5[[#This Row],[gamma2]]*$N$10</f>
        <v>50.604904854225033</v>
      </c>
      <c r="U37">
        <f>Table5[[#This Row],[x1]]*Table5[[#This Row],[gamma1]]*$M$10/Table5[[#This Row],[P]]</f>
        <v>0.71557227636126219</v>
      </c>
    </row>
    <row r="38" spans="16:21" x14ac:dyDescent="0.3">
      <c r="P38">
        <v>0.35</v>
      </c>
      <c r="Q38">
        <f>1-Table5[[#This Row],[x1]]</f>
        <v>0.65</v>
      </c>
      <c r="R38">
        <f>EXP($M$7*(1+$M$7*Table5[[#This Row],[x1]]/$N$7/Table5[[#This Row],[x2]])^-2)</f>
        <v>1.2485948473528834</v>
      </c>
      <c r="S38">
        <f>EXP($N$7*(1+$N$7*Table5[[#This Row],[x2]]/$M$7/Table5[[#This Row],[x1]])^-2)</f>
        <v>1.0979896824643345</v>
      </c>
      <c r="T38">
        <f>Table5[[#This Row],[x1]]*Table5[[#This Row],[gamma1]]*$M$10+Table5[[#This Row],[x2]]*Table5[[#This Row],[gamma2]]*$N$10</f>
        <v>51.194609405886141</v>
      </c>
      <c r="U38">
        <f>Table5[[#This Row],[x1]]*Table5[[#This Row],[gamma1]]*$M$10/Table5[[#This Row],[P]]</f>
        <v>0.72183941917916516</v>
      </c>
    </row>
    <row r="39" spans="16:21" x14ac:dyDescent="0.3">
      <c r="P39">
        <v>0.36</v>
      </c>
      <c r="Q39">
        <f>1-Table5[[#This Row],[x1]]</f>
        <v>0.64</v>
      </c>
      <c r="R39">
        <f>EXP($M$7*(1+$M$7*Table5[[#This Row],[x1]]/$N$7/Table5[[#This Row],[x2]])^-2)</f>
        <v>1.2380891450246874</v>
      </c>
      <c r="S39">
        <f>EXP($N$7*(1+$N$7*Table5[[#This Row],[x2]]/$M$7/Table5[[#This Row],[x1]])^-2)</f>
        <v>1.1031076284668206</v>
      </c>
      <c r="T39">
        <f>Table5[[#This Row],[x1]]*Table5[[#This Row],[gamma1]]*$M$10+Table5[[#This Row],[x2]]*Table5[[#This Row],[gamma2]]*$N$10</f>
        <v>51.776902108278961</v>
      </c>
      <c r="U39">
        <f>Table5[[#This Row],[x1]]*Table5[[#This Row],[gamma1]]*$M$10/Table5[[#This Row],[P]]</f>
        <v>0.72793667459184241</v>
      </c>
    </row>
    <row r="40" spans="16:21" x14ac:dyDescent="0.3">
      <c r="P40">
        <v>0.37</v>
      </c>
      <c r="Q40">
        <f>1-Table5[[#This Row],[x1]]</f>
        <v>0.63</v>
      </c>
      <c r="R40">
        <f>EXP($M$7*(1+$M$7*Table5[[#This Row],[x1]]/$N$7/Table5[[#This Row],[x2]])^-2)</f>
        <v>1.2279511486961254</v>
      </c>
      <c r="S40">
        <f>EXP($N$7*(1+$N$7*Table5[[#This Row],[x2]]/$M$7/Table5[[#This Row],[x1]])^-2)</f>
        <v>1.1083331527585436</v>
      </c>
      <c r="T40">
        <f>Table5[[#This Row],[x1]]*Table5[[#This Row],[gamma1]]*$M$10+Table5[[#This Row],[x2]]*Table5[[#This Row],[gamma2]]*$N$10</f>
        <v>52.352241843439913</v>
      </c>
      <c r="U40">
        <f>Table5[[#This Row],[x1]]*Table5[[#This Row],[gamma1]]*$M$10/Table5[[#This Row],[P]]</f>
        <v>0.73387615335043654</v>
      </c>
    </row>
    <row r="41" spans="16:21" x14ac:dyDescent="0.3">
      <c r="P41">
        <v>0.38</v>
      </c>
      <c r="Q41">
        <f>1-Table5[[#This Row],[x1]]</f>
        <v>0.62</v>
      </c>
      <c r="R41">
        <f>EXP($M$7*(1+$M$7*Table5[[#This Row],[x1]]/$N$7/Table5[[#This Row],[x2]])^-2)</f>
        <v>1.2181677691634043</v>
      </c>
      <c r="S41">
        <f>EXP($N$7*(1+$N$7*Table5[[#This Row],[x2]]/$M$7/Table5[[#This Row],[x1]])^-2)</f>
        <v>1.1136651495570542</v>
      </c>
      <c r="T41">
        <f>Table5[[#This Row],[x1]]*Table5[[#This Row],[gamma1]]*$M$10+Table5[[#This Row],[x2]]*Table5[[#This Row],[gamma2]]*$N$10</f>
        <v>52.921062752527781</v>
      </c>
      <c r="U41">
        <f>Table5[[#This Row],[x1]]*Table5[[#This Row],[gamma1]]*$M$10/Table5[[#This Row],[P]]</f>
        <v>0.7396689534283527</v>
      </c>
    </row>
    <row r="42" spans="16:21" x14ac:dyDescent="0.3">
      <c r="P42">
        <v>0.39</v>
      </c>
      <c r="Q42">
        <f>1-Table5[[#This Row],[x1]]</f>
        <v>0.61</v>
      </c>
      <c r="R42">
        <f>EXP($M$7*(1+$M$7*Table5[[#This Row],[x1]]/$N$7/Table5[[#This Row],[x2]])^-2)</f>
        <v>1.2087265115682504</v>
      </c>
      <c r="S42">
        <f>EXP($N$7*(1+$N$7*Table5[[#This Row],[x2]]/$M$7/Table5[[#This Row],[x1]])^-2)</f>
        <v>1.1191025562340933</v>
      </c>
      <c r="T42">
        <f>Table5[[#This Row],[x1]]*Table5[[#This Row],[gamma1]]*$M$10+Table5[[#This Row],[x2]]*Table5[[#This Row],[gamma2]]*$N$10</f>
        <v>53.483775711550116</v>
      </c>
      <c r="U42">
        <f>Table5[[#This Row],[x1]]*Table5[[#This Row],[gamma1]]*$M$10/Table5[[#This Row],[P]]</f>
        <v>0.74532526295021495</v>
      </c>
    </row>
    <row r="43" spans="16:21" x14ac:dyDescent="0.3">
      <c r="P43">
        <v>0.4</v>
      </c>
      <c r="Q43">
        <f>1-Table5[[#This Row],[x1]]</f>
        <v>0.6</v>
      </c>
      <c r="R43">
        <f>EXP($M$7*(1+$M$7*Table5[[#This Row],[x1]]/$N$7/Table5[[#This Row],[x2]])^-2)</f>
        <v>1.1996154437754289</v>
      </c>
      <c r="S43">
        <f>EXP($N$7*(1+$N$7*Table5[[#This Row],[x2]]/$M$7/Table5[[#This Row],[x1]])^-2)</f>
        <v>1.1246443514404794</v>
      </c>
      <c r="T43">
        <f>Table5[[#This Row],[x1]]*Table5[[#This Row],[gamma1]]*$M$10+Table5[[#This Row],[x2]]*Table5[[#This Row],[gamma2]]*$N$10</f>
        <v>54.040769709190265</v>
      </c>
      <c r="U43">
        <f>Table5[[#This Row],[x1]]*Table5[[#This Row],[gamma1]]*$M$10/Table5[[#This Row],[P]]</f>
        <v>0.75085445083352653</v>
      </c>
    </row>
    <row r="44" spans="16:21" x14ac:dyDescent="0.3">
      <c r="P44">
        <v>0.41</v>
      </c>
      <c r="Q44">
        <f>1-Table5[[#This Row],[x1]]</f>
        <v>0.59000000000000008</v>
      </c>
      <c r="R44">
        <f>EXP($M$7*(1+$M$7*Table5[[#This Row],[x1]]/$N$7/Table5[[#This Row],[x2]])^-2)</f>
        <v>1.1908231666642679</v>
      </c>
      <c r="S44">
        <f>EXP($N$7*(1+$N$7*Table5[[#This Row],[x2]]/$M$7/Table5[[#This Row],[x1]])^-2)</f>
        <v>1.1302895533210469</v>
      </c>
      <c r="T44">
        <f>Table5[[#This Row],[x1]]*Table5[[#This Row],[gamma1]]*$M$10+Table5[[#This Row],[x2]]*Table5[[#This Row],[gamma2]]*$N$10</f>
        <v>54.592413133854926</v>
      </c>
      <c r="U44">
        <f>Table5[[#This Row],[x1]]*Table5[[#This Row],[gamma1]]*$M$10/Table5[[#This Row],[P]]</f>
        <v>0.75626514682086599</v>
      </c>
    </row>
    <row r="45" spans="16:21" x14ac:dyDescent="0.3">
      <c r="P45">
        <v>0.42</v>
      </c>
      <c r="Q45">
        <f>1-Table5[[#This Row],[x1]]</f>
        <v>0.58000000000000007</v>
      </c>
      <c r="R45">
        <f>EXP($M$7*(1+$M$7*Table5[[#This Row],[x1]]/$N$7/Table5[[#This Row],[x2]])^-2)</f>
        <v>1.1823387862049708</v>
      </c>
      <c r="S45">
        <f>EXP($N$7*(1+$N$7*Table5[[#This Row],[x2]]/$M$7/Table5[[#This Row],[x1]])^-2)</f>
        <v>1.1360372178147371</v>
      </c>
      <c r="T45">
        <f>Table5[[#This Row],[x1]]*Table5[[#This Row],[gamma1]]*$M$10+Table5[[#This Row],[x2]]*Table5[[#This Row],[gamma2]]*$N$10</f>
        <v>55.13905497650051</v>
      </c>
      <c r="U45">
        <f>Table5[[#This Row],[x1]]*Table5[[#This Row],[gamma1]]*$M$10/Table5[[#This Row],[P]]</f>
        <v>0.7615653123236078</v>
      </c>
    </row>
    <row r="46" spans="16:21" x14ac:dyDescent="0.3">
      <c r="P46">
        <v>0.43</v>
      </c>
      <c r="Q46">
        <f>1-Table5[[#This Row],[x1]]</f>
        <v>0.57000000000000006</v>
      </c>
      <c r="R46">
        <f>EXP($M$7*(1+$M$7*Table5[[#This Row],[x1]]/$N$7/Table5[[#This Row],[x2]])^-2)</f>
        <v>1.1741518872000947</v>
      </c>
      <c r="S46">
        <f>EXP($N$7*(1+$N$7*Table5[[#This Row],[x2]]/$M$7/Table5[[#This Row],[x1]])^-2)</f>
        <v>1.1418864370352459</v>
      </c>
      <c r="T46">
        <f>Table5[[#This Row],[x1]]*Table5[[#This Row],[gamma1]]*$M$10+Table5[[#This Row],[x2]]*Table5[[#This Row],[gamma2]]*$N$10</f>
        <v>55.681025955281818</v>
      </c>
      <c r="U46">
        <f>Table5[[#This Row],[x1]]*Table5[[#This Row],[gamma1]]*$M$10/Table5[[#This Row],[P]]</f>
        <v>0.76676230328472039</v>
      </c>
    </row>
    <row r="47" spans="16:21" x14ac:dyDescent="0.3">
      <c r="P47">
        <v>0.44</v>
      </c>
      <c r="Q47">
        <f>1-Table5[[#This Row],[x1]]</f>
        <v>0.56000000000000005</v>
      </c>
      <c r="R47">
        <f>EXP($M$7*(1+$M$7*Table5[[#This Row],[x1]]/$N$7/Table5[[#This Row],[x2]])^-2)</f>
        <v>1.1662525085803777</v>
      </c>
      <c r="S47">
        <f>EXP($N$7*(1+$N$7*Table5[[#This Row],[x2]]/$M$7/Table5[[#This Row],[x1]])^-2)</f>
        <v>1.1478363377279093</v>
      </c>
      <c r="T47">
        <f>Table5[[#This Row],[x1]]*Table5[[#This Row],[gamma1]]*$M$10+Table5[[#This Row],[x2]]*Table5[[#This Row],[gamma2]]*$N$10</f>
        <v>56.218639567596107</v>
      </c>
      <c r="U47">
        <f>Table5[[#This Row],[x1]]*Table5[[#This Row],[gamma1]]*$M$10/Table5[[#This Row],[P]]</f>
        <v>0.77186292609015539</v>
      </c>
    </row>
    <row r="48" spans="16:21" x14ac:dyDescent="0.3">
      <c r="P48">
        <v>0.45</v>
      </c>
      <c r="Q48">
        <f>1-Table5[[#This Row],[x1]]</f>
        <v>0.55000000000000004</v>
      </c>
      <c r="R48">
        <f>EXP($M$7*(1+$M$7*Table5[[#This Row],[x1]]/$N$7/Table5[[#This Row],[x2]])^-2)</f>
        <v>1.1586311201522126</v>
      </c>
      <c r="S48">
        <f>EXP($N$7*(1+$N$7*Table5[[#This Row],[x2]]/$M$7/Table5[[#This Row],[x1]])^-2)</f>
        <v>1.153886079798762</v>
      </c>
      <c r="T48">
        <f>Table5[[#This Row],[x1]]*Table5[[#This Row],[gamma1]]*$M$10+Table5[[#This Row],[x2]]*Table5[[#This Row],[gamma2]]*$N$10</f>
        <v>56.752193074663715</v>
      </c>
      <c r="U48">
        <f>Table5[[#This Row],[x1]]*Table5[[#This Row],[gamma1]]*$M$10/Table5[[#This Row],[P]]</f>
        <v>0.77687348740930362</v>
      </c>
    </row>
    <row r="49" spans="16:21" x14ac:dyDescent="0.3">
      <c r="P49">
        <v>0.46</v>
      </c>
      <c r="Q49">
        <f>1-Table5[[#This Row],[x1]]</f>
        <v>0.54</v>
      </c>
      <c r="R49">
        <f>EXP($M$7*(1+$M$7*Table5[[#This Row],[x1]]/$N$7/Table5[[#This Row],[x2]])^-2)</f>
        <v>1.151278600701527</v>
      </c>
      <c r="S49">
        <f>EXP($N$7*(1+$N$7*Table5[[#This Row],[x2]]/$M$7/Table5[[#This Row],[x1]])^-2)</f>
        <v>1.1600348549119546</v>
      </c>
      <c r="T49">
        <f>Table5[[#This Row],[x1]]*Table5[[#This Row],[gamma1]]*$M$10+Table5[[#This Row],[x2]]*Table5[[#This Row],[gamma2]]*$N$10</f>
        <v>57.281968423391803</v>
      </c>
      <c r="U49">
        <f>Table5[[#This Row],[x1]]*Table5[[#This Row],[gamma1]]*$M$10/Table5[[#This Row],[P]]</f>
        <v>0.78179983871979952</v>
      </c>
    </row>
    <row r="50" spans="16:21" x14ac:dyDescent="0.3">
      <c r="P50">
        <v>0.47</v>
      </c>
      <c r="Q50">
        <f>1-Table5[[#This Row],[x1]]</f>
        <v>0.53</v>
      </c>
      <c r="R50">
        <f>EXP($M$7*(1+$M$7*Table5[[#This Row],[x1]]/$N$7/Table5[[#This Row],[x2]])^-2)</f>
        <v>1.1441862173656991</v>
      </c>
      <c r="S50">
        <f>EXP($N$7*(1+$N$7*Table5[[#This Row],[x2]]/$M$7/Table5[[#This Row],[x1]])^-2)</f>
        <v>1.1662818851519285</v>
      </c>
      <c r="T50">
        <f>Table5[[#This Row],[x1]]*Table5[[#This Row],[gamma1]]*$M$10+Table5[[#This Row],[x2]]*Table5[[#This Row],[gamma2]]*$N$10</f>
        <v>57.808233109904087</v>
      </c>
      <c r="U50">
        <f>Table5[[#This Row],[x1]]*Table5[[#This Row],[gamma1]]*$M$10/Table5[[#This Row],[P]]</f>
        <v>0.78664741616643108</v>
      </c>
    </row>
    <row r="51" spans="16:21" x14ac:dyDescent="0.3">
      <c r="P51">
        <v>0.48</v>
      </c>
      <c r="Q51">
        <f>1-Table5[[#This Row],[x1]]</f>
        <v>0.52</v>
      </c>
      <c r="R51">
        <f>EXP($M$7*(1+$M$7*Table5[[#This Row],[x1]]/$N$7/Table5[[#This Row],[x2]])^-2)</f>
        <v>1.1373456061914806</v>
      </c>
      <c r="S51">
        <f>EXP($N$7*(1+$N$7*Table5[[#This Row],[x2]]/$M$7/Table5[[#This Row],[x1]])^-2)</f>
        <v>1.1726264217469742</v>
      </c>
      <c r="T51">
        <f>Table5[[#This Row],[x1]]*Table5[[#This Row],[gamma1]]*$M$10+Table5[[#This Row],[x2]]*Table5[[#This Row],[gamma2]]*$N$10</f>
        <v>58.331240988787741</v>
      </c>
      <c r="U51">
        <f>Table5[[#This Row],[x1]]*Table5[[#This Row],[gamma1]]*$M$10/Table5[[#This Row],[P]]</f>
        <v>0.7914212763146995</v>
      </c>
    </row>
    <row r="52" spans="16:21" x14ac:dyDescent="0.3">
      <c r="P52">
        <v>0.49</v>
      </c>
      <c r="Q52">
        <f>1-Table5[[#This Row],[x1]]</f>
        <v>0.51</v>
      </c>
      <c r="R52">
        <f>EXP($M$7*(1+$M$7*Table5[[#This Row],[x1]]/$N$7/Table5[[#This Row],[x2]])^-2)</f>
        <v>1.1307487538027308</v>
      </c>
      <c r="S52">
        <f>EXP($N$7*(1+$N$7*Table5[[#This Row],[x2]]/$M$7/Table5[[#This Row],[x1]])^-2)</f>
        <v>1.1790677438509802</v>
      </c>
      <c r="T52">
        <f>Table5[[#This Row],[x1]]*Table5[[#This Row],[gamma1]]*$M$10+Table5[[#This Row],[x2]]*Table5[[#This Row],[gamma2]]*$N$10</f>
        <v>58.851233031802479</v>
      </c>
      <c r="U52">
        <f>Table5[[#This Row],[x1]]*Table5[[#This Row],[gamma1]]*$M$10/Table5[[#This Row],[P]]</f>
        <v>0.79612612828390195</v>
      </c>
    </row>
    <row r="53" spans="16:21" x14ac:dyDescent="0.3">
      <c r="P53">
        <v>0.5</v>
      </c>
      <c r="Q53">
        <f>1-Table5[[#This Row],[x1]]</f>
        <v>0.5</v>
      </c>
      <c r="R53">
        <f>EXP($M$7*(1+$M$7*Table5[[#This Row],[x1]]/$N$7/Table5[[#This Row],[x2]])^-2)</f>
        <v>1.1243879801071559</v>
      </c>
      <c r="S53">
        <f>EXP($N$7*(1+$N$7*Table5[[#This Row],[x2]]/$M$7/Table5[[#This Row],[x1]])^-2)</f>
        <v>1.1856051573803779</v>
      </c>
      <c r="T53">
        <f>Table5[[#This Row],[x1]]*Table5[[#This Row],[gamma1]]*$M$10+Table5[[#This Row],[x2]]*Table5[[#This Row],[gamma2]]*$N$10</f>
        <v>59.368438039516001</v>
      </c>
      <c r="U53">
        <f>Table5[[#This Row],[x1]]*Table5[[#This Row],[gamma1]]*$M$10/Table5[[#This Row],[P]]</f>
        <v>0.80076636268024393</v>
      </c>
    </row>
    <row r="54" spans="16:21" x14ac:dyDescent="0.3">
      <c r="P54">
        <v>0.51</v>
      </c>
      <c r="Q54">
        <f>1-Table5[[#This Row],[x1]]</f>
        <v>0.49</v>
      </c>
      <c r="R54">
        <f>EXP($M$7*(1+$M$7*Table5[[#This Row],[x1]]/$N$7/Table5[[#This Row],[x2]])^-2)</f>
        <v>1.1182559219762269</v>
      </c>
      <c r="S54">
        <f>EXP($N$7*(1+$N$7*Table5[[#This Row],[x2]]/$M$7/Table5[[#This Row],[x1]])^-2)</f>
        <v>1.1922379939034526</v>
      </c>
      <c r="T54">
        <f>Table5[[#This Row],[x1]]*Table5[[#This Row],[gamma1]]*$M$10+Table5[[#This Row],[x2]]*Table5[[#This Row],[gamma2]]*$N$10</f>
        <v>59.883073309072628</v>
      </c>
      <c r="U54">
        <f>Table5[[#This Row],[x1]]*Table5[[#This Row],[gamma1]]*$M$10/Table5[[#This Row],[P]]</f>
        <v>0.80534607769557787</v>
      </c>
    </row>
    <row r="55" spans="16:21" x14ac:dyDescent="0.3">
      <c r="P55">
        <v>0.52</v>
      </c>
      <c r="Q55">
        <f>1-Table5[[#This Row],[x1]]</f>
        <v>0.48</v>
      </c>
      <c r="R55">
        <f>EXP($M$7*(1+$M$7*Table5[[#This Row],[x1]]/$N$7/Table5[[#This Row],[x2]])^-2)</f>
        <v>1.1123455178370321</v>
      </c>
      <c r="S55">
        <f>EXP($N$7*(1+$N$7*Table5[[#This Row],[x2]]/$M$7/Table5[[#This Row],[x1]])^-2)</f>
        <v>1.1989656095793571</v>
      </c>
      <c r="T55">
        <f>Table5[[#This Row],[x1]]*Table5[[#This Row],[gamma1]]*$M$10+Table5[[#This Row],[x2]]*Table5[[#This Row],[gamma2]]*$N$10</f>
        <v>60.395345261063973</v>
      </c>
      <c r="U55">
        <f>Table5[[#This Row],[x1]]*Table5[[#This Row],[gamma1]]*$M$10/Table5[[#This Row],[P]]</f>
        <v>0.80986910269039125</v>
      </c>
    </row>
    <row r="56" spans="16:21" x14ac:dyDescent="0.3">
      <c r="P56">
        <v>0.53</v>
      </c>
      <c r="Q56">
        <f>1-Table5[[#This Row],[x1]]</f>
        <v>0.47</v>
      </c>
      <c r="R56">
        <f>EXP($M$7*(1+$M$7*Table5[[#This Row],[x1]]/$N$7/Table5[[#This Row],[x2]])^-2)</f>
        <v>1.106649993119073</v>
      </c>
      <c r="S56">
        <f>EXP($N$7*(1+$N$7*Table5[[#This Row],[x2]]/$M$7/Table5[[#This Row],[x1]])^-2)</f>
        <v>1.2057873841443121</v>
      </c>
      <c r="T56">
        <f>Table5[[#This Row],[x1]]*Table5[[#This Row],[gamma1]]*$M$10+Table5[[#This Row],[x2]]*Table5[[#This Row],[gamma2]]*$N$10</f>
        <v>60.905450028252361</v>
      </c>
      <c r="U56">
        <f>Table5[[#This Row],[x1]]*Table5[[#This Row],[gamma1]]*$M$10/Table5[[#This Row],[P]]</f>
        <v>0.81433901953937748</v>
      </c>
    </row>
    <row r="57" spans="16:21" x14ac:dyDescent="0.3">
      <c r="P57">
        <v>0.54</v>
      </c>
      <c r="Q57">
        <f>1-Table5[[#This Row],[x1]]</f>
        <v>0.45999999999999996</v>
      </c>
      <c r="R57">
        <f>EXP($M$7*(1+$M$7*Table5[[#This Row],[x1]]/$N$7/Table5[[#This Row],[x2]])^-2)</f>
        <v>1.1011628465029326</v>
      </c>
      <c r="S57">
        <f>EXP($N$7*(1+$N$7*Table5[[#This Row],[x2]]/$M$7/Table5[[#This Row],[x1]])^-2)</f>
        <v>1.2127027199426264</v>
      </c>
      <c r="T57">
        <f>Table5[[#This Row],[x1]]*Table5[[#This Row],[gamma1]]*$M$10+Table5[[#This Row],[x2]]*Table5[[#This Row],[gamma2]]*$N$10</f>
        <v>61.413574008696742</v>
      </c>
      <c r="U57">
        <f>Table5[[#This Row],[x1]]*Table5[[#This Row],[gamma1]]*$M$10/Table5[[#This Row],[P]]</f>
        <v>0.81875918198327302</v>
      </c>
    </row>
    <row r="58" spans="16:21" x14ac:dyDescent="0.3">
      <c r="P58">
        <v>0.55000000000000004</v>
      </c>
      <c r="Q58">
        <f>1-Table5[[#This Row],[x1]]</f>
        <v>0.44999999999999996</v>
      </c>
      <c r="R58">
        <f>EXP($M$7*(1+$M$7*Table5[[#This Row],[x1]]/$N$7/Table5[[#This Row],[x2]])^-2)</f>
        <v>1.0958778369213771</v>
      </c>
      <c r="S58">
        <f>EXP($N$7*(1+$N$7*Table5[[#This Row],[x2]]/$M$7/Table5[[#This Row],[x1]])^-2)</f>
        <v>1.2197110410002943</v>
      </c>
      <c r="T58">
        <f>Table5[[#This Row],[x1]]*Table5[[#This Row],[gamma1]]*$M$10+Table5[[#This Row],[x2]]*Table5[[#This Row],[gamma2]]*$N$10</f>
        <v>61.919894385645506</v>
      </c>
      <c r="U58">
        <f>Table5[[#This Row],[x1]]*Table5[[#This Row],[gamma1]]*$M$10/Table5[[#This Row],[P]]</f>
        <v>0.82313273320077995</v>
      </c>
    </row>
    <row r="59" spans="16:21" x14ac:dyDescent="0.3">
      <c r="P59">
        <v>0.56000000000000005</v>
      </c>
      <c r="Q59">
        <f>1-Table5[[#This Row],[x1]]</f>
        <v>0.43999999999999995</v>
      </c>
      <c r="R59">
        <f>EXP($M$7*(1+$M$7*Table5[[#This Row],[x1]]/$N$7/Table5[[#This Row],[x2]])^-2)</f>
        <v>1.0907889712668086</v>
      </c>
      <c r="S59">
        <f>EXP($N$7*(1+$N$7*Table5[[#This Row],[x2]]/$M$7/Table5[[#This Row],[x1]])^-2)</f>
        <v>1.2268117921390636</v>
      </c>
      <c r="T59">
        <f>Table5[[#This Row],[x1]]*Table5[[#This Row],[gamma1]]*$M$10+Table5[[#This Row],[x2]]*Table5[[#This Row],[gamma2]]*$N$10</f>
        <v>62.424579616390091</v>
      </c>
      <c r="U59">
        <f>Table5[[#This Row],[x1]]*Table5[[#This Row],[gamma1]]*$M$10/Table5[[#This Row],[P]]</f>
        <v>0.82746262178857488</v>
      </c>
    </row>
    <row r="60" spans="16:21" x14ac:dyDescent="0.3">
      <c r="P60">
        <v>0.56999999999999995</v>
      </c>
      <c r="Q60">
        <f>1-Table5[[#This Row],[x1]]</f>
        <v>0.43000000000000005</v>
      </c>
      <c r="R60">
        <f>EXP($M$7*(1+$M$7*Table5[[#This Row],[x1]]/$N$7/Table5[[#This Row],[x2]])^-2)</f>
        <v>1.0858904927621003</v>
      </c>
      <c r="S60">
        <f>EXP($N$7*(1+$N$7*Table5[[#This Row],[x2]]/$M$7/Table5[[#This Row],[x1]])^-2)</f>
        <v>1.2340044381289734</v>
      </c>
      <c r="T60">
        <f>Table5[[#This Row],[x1]]*Table5[[#This Row],[gamma1]]*$M$10+Table5[[#This Row],[x2]]*Table5[[#This Row],[gamma2]]*$N$10</f>
        <v>62.927789892115356</v>
      </c>
      <c r="U60">
        <f>Table5[[#This Row],[x1]]*Table5[[#This Row],[gamma1]]*$M$10/Table5[[#This Row],[P]]</f>
        <v>0.83175161631504935</v>
      </c>
    </row>
    <row r="61" spans="16:21" x14ac:dyDescent="0.3">
      <c r="P61">
        <v>0.57999999999999996</v>
      </c>
      <c r="Q61">
        <f>1-Table5[[#This Row],[x1]]</f>
        <v>0.42000000000000004</v>
      </c>
      <c r="R61">
        <f>EXP($M$7*(1+$M$7*Table5[[#This Row],[x1]]/$N$7/Table5[[#This Row],[x2]])^-2)</f>
        <v>1.081176869954724</v>
      </c>
      <c r="S61">
        <f>EXP($N$7*(1+$N$7*Table5[[#This Row],[x2]]/$M$7/Table5[[#This Row],[x1]])^-2)</f>
        <v>1.2412884628774818</v>
      </c>
      <c r="T61">
        <f>Table5[[#This Row],[x1]]*Table5[[#This Row],[gamma1]]*$M$10+Table5[[#This Row],[x2]]*Table5[[#This Row],[gamma2]]*$N$10</f>
        <v>63.429677570638241</v>
      </c>
      <c r="U61">
        <f>Table5[[#This Row],[x1]]*Table5[[#This Row],[gamma1]]*$M$10/Table5[[#This Row],[P]]</f>
        <v>0.83600231859401875</v>
      </c>
    </row>
    <row r="62" spans="16:21" x14ac:dyDescent="0.3">
      <c r="P62">
        <v>0.59</v>
      </c>
      <c r="Q62">
        <f>1-Table5[[#This Row],[x1]]</f>
        <v>0.41000000000000003</v>
      </c>
      <c r="R62">
        <f>EXP($M$7*(1+$M$7*Table5[[#This Row],[x1]]/$N$7/Table5[[#This Row],[x2]])^-2)</f>
        <v>1.0766427862967578</v>
      </c>
      <c r="S62">
        <f>EXP($N$7*(1+$N$7*Table5[[#This Row],[x2]]/$M$7/Table5[[#This Row],[x1]])^-2)</f>
        <v>1.2486633686533988</v>
      </c>
      <c r="T62">
        <f>Table5[[#This Row],[x1]]*Table5[[#This Row],[gamma1]]*$M$10+Table5[[#This Row],[x2]]*Table5[[#This Row],[gamma2]]*$N$10</f>
        <v>63.930387583791514</v>
      </c>
      <c r="U62">
        <f>Table5[[#This Row],[x1]]*Table5[[#This Row],[gamma1]]*$M$10/Table5[[#This Row],[P]]</f>
        <v>0.84021717580774125</v>
      </c>
    </row>
    <row r="63" spans="16:21" x14ac:dyDescent="0.3">
      <c r="P63">
        <v>0.6</v>
      </c>
      <c r="Q63">
        <f>1-Table5[[#This Row],[x1]]</f>
        <v>0.4</v>
      </c>
      <c r="R63">
        <f>EXP($M$7*(1+$M$7*Table5[[#This Row],[x1]]/$N$7/Table5[[#This Row],[x2]])^-2)</f>
        <v>1.07228313027583</v>
      </c>
      <c r="S63">
        <f>EXP($N$7*(1+$N$7*Table5[[#This Row],[x2]]/$M$7/Table5[[#This Row],[x1]])^-2)</f>
        <v>1.256128675343942</v>
      </c>
      <c r="T63">
        <f>Table5[[#This Row],[x1]]*Table5[[#This Row],[gamma1]]*$M$10+Table5[[#This Row],[x2]]*Table5[[#This Row],[gamma2]]*$N$10</f>
        <v>64.43005782108591</v>
      </c>
      <c r="U63">
        <f>Table5[[#This Row],[x1]]*Table5[[#This Row],[gamma1]]*$M$10/Table5[[#This Row],[P]]</f>
        <v>0.84439849159387104</v>
      </c>
    </row>
    <row r="64" spans="16:21" x14ac:dyDescent="0.3">
      <c r="P64">
        <v>0.61</v>
      </c>
      <c r="Q64">
        <f>1-Table5[[#This Row],[x1]]</f>
        <v>0.39</v>
      </c>
      <c r="R64">
        <f>EXP($M$7*(1+$M$7*Table5[[#This Row],[x1]]/$N$7/Table5[[#This Row],[x2]])^-2)</f>
        <v>1.0680929860643609</v>
      </c>
      <c r="S64">
        <f>EXP($N$7*(1+$N$7*Table5[[#This Row],[x2]]/$M$7/Table5[[#This Row],[x1]])^-2)</f>
        <v>1.2636839197433232</v>
      </c>
      <c r="T64">
        <f>Table5[[#This Row],[x1]]*Table5[[#This Row],[gamma1]]*$M$10+Table5[[#This Row],[x2]]*Table5[[#This Row],[gamma2]]*$N$10</f>
        <v>64.928819491169463</v>
      </c>
      <c r="U64">
        <f>Table5[[#This Row],[x1]]*Table5[[#This Row],[gamma1]]*$M$10/Table5[[#This Row],[P]]</f>
        <v>0.84854843619809805</v>
      </c>
    </row>
    <row r="65" spans="16:21" x14ac:dyDescent="0.3">
      <c r="P65">
        <v>0.62</v>
      </c>
      <c r="Q65">
        <f>1-Table5[[#This Row],[x1]]</f>
        <v>0.38</v>
      </c>
      <c r="R65">
        <f>EXP($M$7*(1+$M$7*Table5[[#This Row],[x1]]/$N$7/Table5[[#This Row],[x2]])^-2)</f>
        <v>1.0640676246565965</v>
      </c>
      <c r="S65">
        <f>EXP($N$7*(1+$N$7*Table5[[#This Row],[x2]]/$M$7/Table5[[#This Row],[x1]])^-2)</f>
        <v>1.2713286548713572</v>
      </c>
      <c r="T65">
        <f>Table5[[#This Row],[x1]]*Table5[[#This Row],[gamma1]]*$M$10+Table5[[#This Row],[x2]]*Table5[[#This Row],[gamma2]]*$N$10</f>
        <v>65.426797462497206</v>
      </c>
      <c r="U65">
        <f>Table5[[#This Row],[x1]]*Table5[[#This Row],[gamma1]]*$M$10/Table5[[#This Row],[P]]</f>
        <v>0.8526690557829667</v>
      </c>
    </row>
    <row r="66" spans="16:21" x14ac:dyDescent="0.3">
      <c r="P66">
        <v>0.63</v>
      </c>
      <c r="Q66">
        <f>1-Table5[[#This Row],[x1]]</f>
        <v>0.37</v>
      </c>
      <c r="R66">
        <f>EXP($M$7*(1+$M$7*Table5[[#This Row],[x1]]/$N$7/Table5[[#This Row],[x2]])^-2)</f>
        <v>1.0602024954649076</v>
      </c>
      <c r="S66">
        <f>EXP($N$7*(1+$N$7*Table5[[#This Row],[x2]]/$M$7/Table5[[#This Row],[x1]])^-2)</f>
        <v>1.2790624493206681</v>
      </c>
      <c r="T66">
        <f>Table5[[#This Row],[x1]]*Table5[[#This Row],[gamma1]]*$M$10+Table5[[#This Row],[x2]]*Table5[[#This Row],[gamma2]]*$N$10</f>
        <v>65.924110584526474</v>
      </c>
      <c r="U66">
        <f>Table5[[#This Row],[x1]]*Table5[[#This Row],[gamma1]]*$M$10/Table5[[#This Row],[P]]</f>
        <v>0.85676228097348572</v>
      </c>
    </row>
    <row r="67" spans="16:21" x14ac:dyDescent="0.3">
      <c r="P67">
        <v>0.64</v>
      </c>
      <c r="Q67">
        <f>1-Table5[[#This Row],[x1]]</f>
        <v>0.36</v>
      </c>
      <c r="R67">
        <f>EXP($M$7*(1+$M$7*Table5[[#This Row],[x1]]/$N$7/Table5[[#This Row],[x2]])^-2)</f>
        <v>1.0564932183486706</v>
      </c>
      <c r="S67">
        <f>EXP($N$7*(1+$N$7*Table5[[#This Row],[x2]]/$M$7/Table5[[#This Row],[x1]])^-2)</f>
        <v>1.286884886631144</v>
      </c>
      <c r="T67">
        <f>Table5[[#This Row],[x1]]*Table5[[#This Row],[gamma1]]*$M$10+Table5[[#This Row],[x2]]*Table5[[#This Row],[gamma2]]*$N$10</f>
        <v>66.420871990662619</v>
      </c>
      <c r="U67">
        <f>Table5[[#This Row],[x1]]*Table5[[#This Row],[gamma1]]*$M$10/Table5[[#This Row],[P]]</f>
        <v>0.86082993471145752</v>
      </c>
    </row>
    <row r="68" spans="16:21" x14ac:dyDescent="0.3">
      <c r="P68">
        <v>0.65</v>
      </c>
      <c r="Q68">
        <f>1-Table5[[#This Row],[x1]]</f>
        <v>0.35</v>
      </c>
      <c r="R68">
        <f>EXP($M$7*(1+$M$7*Table5[[#This Row],[x1]]/$N$7/Table5[[#This Row],[x2]])^-2)</f>
        <v>1.0529355760507575</v>
      </c>
      <c r="S68">
        <f>EXP($N$7*(1+$N$7*Table5[[#This Row],[x2]]/$M$7/Table5[[#This Row],[x1]])^-2)</f>
        <v>1.2947955646903595</v>
      </c>
      <c r="T68">
        <f>Table5[[#This Row],[x1]]*Table5[[#This Row],[gamma1]]*$M$10+Table5[[#This Row],[x2]]*Table5[[#This Row],[gamma2]]*$N$10</f>
        <v>66.917189384096062</v>
      </c>
      <c r="U68">
        <f>Table5[[#This Row],[x1]]*Table5[[#This Row],[gamma1]]*$M$10/Table5[[#This Row],[P]]</f>
        <v>0.8648737394828121</v>
      </c>
    </row>
    <row r="69" spans="16:21" x14ac:dyDescent="0.3">
      <c r="P69">
        <v>0.66</v>
      </c>
      <c r="Q69">
        <f>1-Table5[[#This Row],[x1]]</f>
        <v>0.33999999999999997</v>
      </c>
      <c r="R69">
        <f>EXP($M$7*(1+$M$7*Table5[[#This Row],[x1]]/$N$7/Table5[[#This Row],[x2]])^-2)</f>
        <v>1.0495255070182559</v>
      </c>
      <c r="S69">
        <f>EXP($N$7*(1+$N$7*Table5[[#This Row],[x2]]/$M$7/Table5[[#This Row],[x1]])^-2)</f>
        <v>1.3027940951587578</v>
      </c>
      <c r="T69">
        <f>Table5[[#This Row],[x1]]*Table5[[#This Row],[gamma1]]*$M$10+Table5[[#This Row],[x2]]*Table5[[#This Row],[gamma2]]*$N$10</f>
        <v>67.413165307594227</v>
      </c>
      <c r="U69">
        <f>Table5[[#This Row],[x1]]*Table5[[#This Row],[gamma1]]*$M$10/Table5[[#This Row],[P]]</f>
        <v>0.86889532397548963</v>
      </c>
    </row>
    <row r="70" spans="16:21" x14ac:dyDescent="0.3">
      <c r="P70">
        <v>0.67</v>
      </c>
      <c r="Q70">
        <f>1-Table5[[#This Row],[x1]]</f>
        <v>0.32999999999999996</v>
      </c>
      <c r="R70">
        <f>EXP($M$7*(1+$M$7*Table5[[#This Row],[x1]]/$N$7/Table5[[#This Row],[x2]])^-2)</f>
        <v>1.0462590985855182</v>
      </c>
      <c r="S70">
        <f>EXP($N$7*(1+$N$7*Table5[[#This Row],[x2]]/$M$7/Table5[[#This Row],[x1]])^-2)</f>
        <v>1.3108801029184423</v>
      </c>
      <c r="T70">
        <f>Table5[[#This Row],[x1]]*Table5[[#This Row],[gamma1]]*$M$10+Table5[[#This Row],[x2]]*Table5[[#This Row],[gamma2]]*$N$10</f>
        <v>67.908897398239816</v>
      </c>
      <c r="U70">
        <f>Table5[[#This Row],[x1]]*Table5[[#This Row],[gamma1]]*$M$10/Table5[[#This Row],[P]]</f>
        <v>0.87289622921945453</v>
      </c>
    </row>
    <row r="71" spans="16:21" x14ac:dyDescent="0.3">
      <c r="P71">
        <v>0.68</v>
      </c>
      <c r="Q71">
        <f>1-Table5[[#This Row],[x1]]</f>
        <v>0.31999999999999995</v>
      </c>
      <c r="R71">
        <f>EXP($M$7*(1+$M$7*Table5[[#This Row],[x1]]/$N$7/Table5[[#This Row],[x2]])^-2)</f>
        <v>1.0431325804990212</v>
      </c>
      <c r="S71">
        <f>EXP($N$7*(1+$N$7*Table5[[#This Row],[x2]]/$M$7/Table5[[#This Row],[x1]])^-2)</f>
        <v>1.3190532255444913</v>
      </c>
      <c r="T71">
        <f>Table5[[#This Row],[x1]]*Table5[[#This Row],[gamma1]]*$M$10+Table5[[#This Row],[x2]]*Table5[[#This Row],[gamma2]]*$N$10</f>
        <v>68.404478628040152</v>
      </c>
      <c r="U71">
        <f>Table5[[#This Row],[x1]]*Table5[[#This Row],[gamma1]]*$M$10/Table5[[#This Row],[P]]</f>
        <v>0.87687791425516126</v>
      </c>
    </row>
    <row r="72" spans="16:21" x14ac:dyDescent="0.3">
      <c r="P72">
        <v>0.69</v>
      </c>
      <c r="Q72">
        <f>1-Table5[[#This Row],[x1]]</f>
        <v>0.31000000000000005</v>
      </c>
      <c r="R72">
        <f>EXP($M$7*(1+$M$7*Table5[[#This Row],[x1]]/$N$7/Table5[[#This Row],[x2]])^-2)</f>
        <v>1.040142318764796</v>
      </c>
      <c r="S72">
        <f>EXP($N$7*(1+$N$7*Table5[[#This Row],[x2]]/$M$7/Table5[[#This Row],[x1]])^-2)</f>
        <v>1.327313112797766</v>
      </c>
      <c r="T72">
        <f>Table5[[#This Row],[x1]]*Table5[[#This Row],[gamma1]]*$M$10+Table5[[#This Row],[x2]]*Table5[[#This Row],[gamma2]]*$N$10</f>
        <v>68.89999753127087</v>
      </c>
      <c r="U72">
        <f>Table5[[#This Row],[x1]]*Table5[[#This Row],[gamma1]]*$M$10/Table5[[#This Row],[P]]</f>
        <v>0.88084176137210302</v>
      </c>
    </row>
    <row r="73" spans="16:21" x14ac:dyDescent="0.3">
      <c r="P73">
        <v>0.7</v>
      </c>
      <c r="Q73">
        <f>1-Table5[[#This Row],[x1]]</f>
        <v>0.30000000000000004</v>
      </c>
      <c r="R73">
        <f>EXP($M$7*(1+$M$7*Table5[[#This Row],[x1]]/$N$7/Table5[[#This Row],[x2]])^-2)</f>
        <v>1.0372848098003931</v>
      </c>
      <c r="S73">
        <f>EXP($N$7*(1+$N$7*Table5[[#This Row],[x2]]/$M$7/Table5[[#This Row],[x1]])^-2)</f>
        <v>1.3356594261382282</v>
      </c>
      <c r="T73">
        <f>Table5[[#This Row],[x1]]*Table5[[#This Row],[gamma1]]*$M$10+Table5[[#This Row],[x2]]*Table5[[#This Row],[gamma2]]*$N$10</f>
        <v>69.395538419359397</v>
      </c>
      <c r="U73">
        <f>Table5[[#This Row],[x1]]*Table5[[#This Row],[gamma1]]*$M$10/Table5[[#This Row],[P]]</f>
        <v>0.88478908095494502</v>
      </c>
    </row>
    <row r="74" spans="16:21" x14ac:dyDescent="0.3">
      <c r="P74">
        <v>0.71</v>
      </c>
      <c r="Q74">
        <f>1-Table5[[#This Row],[x1]]</f>
        <v>0.29000000000000004</v>
      </c>
      <c r="R74">
        <f>EXP($M$7*(1+$M$7*Table5[[#This Row],[x1]]/$N$7/Table5[[#This Row],[x2]])^-2)</f>
        <v>1.034556674874453</v>
      </c>
      <c r="S74">
        <f>EXP($N$7*(1+$N$7*Table5[[#This Row],[x2]]/$M$7/Table5[[#This Row],[x1]])^-2)</f>
        <v>1.3440918382578457</v>
      </c>
      <c r="T74">
        <f>Table5[[#This Row],[x1]]*Table5[[#This Row],[gamma1]]*$M$10+Table5[[#This Row],[x2]]*Table5[[#This Row],[gamma2]]*$N$10</f>
        <v>69.891181584060831</v>
      </c>
      <c r="U74">
        <f>Table5[[#This Row],[x1]]*Table5[[#This Row],[gamma1]]*$M$10/Table5[[#This Row],[P]]</f>
        <v>0.88872111597103476</v>
      </c>
    </row>
    <row r="75" spans="16:21" x14ac:dyDescent="0.3">
      <c r="P75">
        <v>0.72</v>
      </c>
      <c r="Q75">
        <f>1-Table5[[#This Row],[x1]]</f>
        <v>0.28000000000000003</v>
      </c>
      <c r="R75">
        <f>EXP($M$7*(1+$M$7*Table5[[#This Row],[x1]]/$N$7/Table5[[#This Row],[x2]])^-2)</f>
        <v>1.0319546548180007</v>
      </c>
      <c r="S75">
        <f>EXP($N$7*(1+$N$7*Table5[[#This Row],[x2]]/$M$7/Table5[[#This Row],[x1]])^-2)</f>
        <v>1.3526100326321999</v>
      </c>
      <c r="T75">
        <f>Table5[[#This Row],[x1]]*Table5[[#This Row],[gamma1]]*$M$10+Table5[[#This Row],[x2]]*Table5[[#This Row],[gamma2]]*$N$10</f>
        <v>70.387003489629109</v>
      </c>
      <c r="U75">
        <f>Table5[[#This Row],[x1]]*Table5[[#This Row],[gamma1]]*$M$10/Table5[[#This Row],[P]]</f>
        <v>0.89263904612981138</v>
      </c>
    </row>
    <row r="76" spans="16:21" x14ac:dyDescent="0.3">
      <c r="P76">
        <v>0.73</v>
      </c>
      <c r="Q76">
        <f>1-Table5[[#This Row],[x1]]</f>
        <v>0.27</v>
      </c>
      <c r="R76">
        <f>EXP($M$7*(1+$M$7*Table5[[#This Row],[x1]]/$N$7/Table5[[#This Row],[x2]])^-2)</f>
        <v>1.0294756049925449</v>
      </c>
      <c r="S76">
        <f>EXP($N$7*(1+$N$7*Table5[[#This Row],[x2]]/$M$7/Table5[[#This Row],[x1]])^-2)</f>
        <v>1.3612137030899614</v>
      </c>
      <c r="T76">
        <f>Table5[[#This Row],[x1]]*Table5[[#This Row],[gamma1]]*$M$10+Table5[[#This Row],[x2]]*Table5[[#This Row],[gamma2]]*$N$10</f>
        <v>70.883076954640671</v>
      </c>
      <c r="U76">
        <f>Table5[[#This Row],[x1]]*Table5[[#This Row],[gamma1]]*$M$10/Table5[[#This Row],[P]]</f>
        <v>0.89654399174169208</v>
      </c>
    </row>
    <row r="77" spans="16:21" x14ac:dyDescent="0.3">
      <c r="P77">
        <v>0.74</v>
      </c>
      <c r="Q77">
        <f>1-Table5[[#This Row],[x1]]</f>
        <v>0.26</v>
      </c>
      <c r="R77">
        <f>EXP($M$7*(1+$M$7*Table5[[#This Row],[x1]]/$N$7/Table5[[#This Row],[x2]])^-2)</f>
        <v>1.0271164905009746</v>
      </c>
      <c r="S77">
        <f>EXP($N$7*(1+$N$7*Table5[[#This Row],[x2]]/$M$7/Table5[[#This Row],[x1]])^-2)</f>
        <v>1.3699025533994387</v>
      </c>
      <c r="T77">
        <f>Table5[[#This Row],[x1]]*Table5[[#This Row],[gamma1]]*$M$10+Table5[[#This Row],[x2]]*Table5[[#This Row],[gamma2]]*$N$10</f>
        <v>71.379471324084676</v>
      </c>
      <c r="U77">
        <f>Table5[[#This Row],[x1]]*Table5[[#This Row],[gamma1]]*$M$10/Table5[[#This Row],[P]]</f>
        <v>0.90043701730140713</v>
      </c>
    </row>
    <row r="78" spans="16:21" x14ac:dyDescent="0.3">
      <c r="P78">
        <v>0.75</v>
      </c>
      <c r="Q78">
        <f>1-Table5[[#This Row],[x1]]</f>
        <v>0.25</v>
      </c>
      <c r="R78">
        <f>EXP($M$7*(1+$M$7*Table5[[#This Row],[x1]]/$N$7/Table5[[#This Row],[x2]])^-2)</f>
        <v>1.0248743816280899</v>
      </c>
      <c r="S78">
        <f>EXP($N$7*(1+$N$7*Table5[[#This Row],[x2]]/$M$7/Table5[[#This Row],[x1]])^-2)</f>
        <v>1.3786762968714448</v>
      </c>
      <c r="T78">
        <f>Table5[[#This Row],[x1]]*Table5[[#This Row],[gamma1]]*$M$10+Table5[[#This Row],[x2]]*Table5[[#This Row],[gamma2]]*$N$10</f>
        <v>71.876252632294893</v>
      </c>
      <c r="U78">
        <f>Table5[[#This Row],[x1]]*Table5[[#This Row],[gamma1]]*$M$10/Table5[[#This Row],[P]]</f>
        <v>0.90431913481840331</v>
      </c>
    </row>
    <row r="79" spans="16:21" x14ac:dyDescent="0.3">
      <c r="P79">
        <v>0.76</v>
      </c>
      <c r="Q79">
        <f>1-Table5[[#This Row],[x1]]</f>
        <v>0.24</v>
      </c>
      <c r="R79">
        <f>EXP($M$7*(1+$M$7*Table5[[#This Row],[x1]]/$N$7/Table5[[#This Row],[x2]])^-2)</f>
        <v>1.0227464494983862</v>
      </c>
      <c r="S79">
        <f>EXP($N$7*(1+$N$7*Table5[[#This Row],[x2]]/$M$7/Table5[[#This Row],[x1]])^-2)</f>
        <v>1.3875346559777655</v>
      </c>
      <c r="T79">
        <f>Table5[[#This Row],[x1]]*Table5[[#This Row],[gamma1]]*$M$10+Table5[[#This Row],[x2]]*Table5[[#This Row],[gamma2]]*$N$10</f>
        <v>72.373483757260573</v>
      </c>
      <c r="U79">
        <f>Table5[[#This Row],[x1]]*Table5[[#This Row],[gamma1]]*$M$10/Table5[[#This Row],[P]]</f>
        <v>0.90819130691484407</v>
      </c>
    </row>
    <row r="80" spans="16:21" x14ac:dyDescent="0.3">
      <c r="P80">
        <v>0.77</v>
      </c>
      <c r="Q80">
        <f>1-Table5[[#This Row],[x1]]</f>
        <v>0.22999999999999998</v>
      </c>
      <c r="R80">
        <f>EXP($M$7*(1+$M$7*Table5[[#This Row],[x1]]/$N$7/Table5[[#This Row],[x2]])^-2)</f>
        <v>1.0207299619394627</v>
      </c>
      <c r="S80">
        <f>EXP($N$7*(1+$N$7*Table5[[#This Row],[x2]]/$M$7/Table5[[#This Row],[x1]])^-2)</f>
        <v>1.3964773619845465</v>
      </c>
      <c r="T80">
        <f>Table5[[#This Row],[x1]]*Table5[[#This Row],[gamma1]]*$M$10+Table5[[#This Row],[x2]]*Table5[[#This Row],[gamma2]]*$N$10</f>
        <v>72.87122456681999</v>
      </c>
      <c r="U80">
        <f>Table5[[#This Row],[x1]]*Table5[[#This Row],[gamma1]]*$M$10/Table5[[#This Row],[P]]</f>
        <v>0.91205444970985294</v>
      </c>
    </row>
    <row r="81" spans="16:21" x14ac:dyDescent="0.3">
      <c r="P81">
        <v>0.78</v>
      </c>
      <c r="Q81">
        <f>1-Table5[[#This Row],[x1]]</f>
        <v>0.21999999999999997</v>
      </c>
      <c r="R81">
        <f>EXP($M$7*(1+$M$7*Table5[[#This Row],[x1]]/$N$7/Table5[[#This Row],[x2]])^-2)</f>
        <v>1.0188222795400999</v>
      </c>
      <c r="S81">
        <f>EXP($N$7*(1+$N$7*Table5[[#This Row],[x2]]/$M$7/Table5[[#This Row],[x1]])^-2)</f>
        <v>1.405504154599954</v>
      </c>
      <c r="T81">
        <f>Table5[[#This Row],[x1]]*Table5[[#This Row],[gamma1]]*$M$10+Table5[[#This Row],[x2]]*Table5[[#This Row],[gamma2]]*$N$10</f>
        <v>73.369532057207778</v>
      </c>
      <c r="U81">
        <f>Table5[[#This Row],[x1]]*Table5[[#This Row],[gamma1]]*$M$10/Table5[[#This Row],[P]]</f>
        <v>0.91590943550695403</v>
      </c>
    </row>
    <row r="82" spans="16:21" x14ac:dyDescent="0.3">
      <c r="P82">
        <v>0.79</v>
      </c>
      <c r="Q82">
        <f>1-Table5[[#This Row],[x1]]</f>
        <v>0.20999999999999996</v>
      </c>
      <c r="R82">
        <f>EXP($M$7*(1+$M$7*Table5[[#This Row],[x1]]/$N$7/Table5[[#This Row],[x2]])^-2)</f>
        <v>1.0170208518927095</v>
      </c>
      <c r="S82">
        <f>EXP($N$7*(1+$N$7*Table5[[#This Row],[x2]]/$M$7/Table5[[#This Row],[x1]])^-2)</f>
        <v>1.4146147816354877</v>
      </c>
      <c r="T82">
        <f>Table5[[#This Row],[x1]]*Table5[[#This Row],[gamma1]]*$M$10+Table5[[#This Row],[x2]]*Table5[[#This Row],[gamma2]]*$N$10</f>
        <v>73.868460484397829</v>
      </c>
      <c r="U82">
        <f>Table5[[#This Row],[x1]]*Table5[[#This Row],[gamma1]]*$M$10/Table5[[#This Row],[P]]</f>
        <v>0.91975709530014826</v>
      </c>
    </row>
    <row r="83" spans="16:21" x14ac:dyDescent="0.3">
      <c r="P83">
        <v>0.8</v>
      </c>
      <c r="Q83">
        <f>1-Table5[[#This Row],[x1]]</f>
        <v>0.19999999999999996</v>
      </c>
      <c r="R83">
        <f>EXP($M$7*(1+$M$7*Table5[[#This Row],[x1]]/$N$7/Table5[[#This Row],[x2]])^-2)</f>
        <v>1.0153232140104558</v>
      </c>
      <c r="S83">
        <f>EXP($N$7*(1+$N$7*Table5[[#This Row],[x2]]/$M$7/Table5[[#This Row],[x1]])^-2)</f>
        <v>1.4238089986803659</v>
      </c>
      <c r="T83">
        <f>Table5[[#This Row],[x1]]*Table5[[#This Row],[gamma1]]*$M$10+Table5[[#This Row],[x2]]*Table5[[#This Row],[gamma2]]*$N$10</f>
        <v>74.368061488655599</v>
      </c>
      <c r="U83">
        <f>Table5[[#This Row],[x1]]*Table5[[#This Row],[gamma1]]*$M$10/Table5[[#This Row],[P]]</f>
        <v>0.92359822111269363</v>
      </c>
    </row>
    <row r="84" spans="16:21" x14ac:dyDescent="0.3">
      <c r="P84">
        <v>0.81</v>
      </c>
      <c r="Q84">
        <f>1-Table5[[#This Row],[x1]]</f>
        <v>0.18999999999999995</v>
      </c>
      <c r="R84">
        <f>EXP($M$7*(1+$M$7*Table5[[#This Row],[x1]]/$N$7/Table5[[#This Row],[x2]])^-2)</f>
        <v>1.0137269829099125</v>
      </c>
      <c r="S84">
        <f>EXP($N$7*(1+$N$7*Table5[[#This Row],[x2]]/$M$7/Table5[[#This Row],[x1]])^-2)</f>
        <v>1.4330865687884193</v>
      </c>
      <c r="T84">
        <f>Table5[[#This Row],[x1]]*Table5[[#This Row],[gamma1]]*$M$10+Table5[[#This Row],[x2]]*Table5[[#This Row],[gamma2]]*$N$10</f>
        <v>74.868384212687417</v>
      </c>
      <c r="U84">
        <f>Table5[[#This Row],[x1]]*Table5[[#This Row],[gamma1]]*$M$10/Table5[[#This Row],[P]]</f>
        <v>0.92743356818142697</v>
      </c>
    </row>
    <row r="85" spans="16:21" x14ac:dyDescent="0.3">
      <c r="P85">
        <v>0.82</v>
      </c>
      <c r="Q85">
        <f>1-Table5[[#This Row],[x1]]</f>
        <v>0.18000000000000005</v>
      </c>
      <c r="R85">
        <f>EXP($M$7*(1+$M$7*Table5[[#This Row],[x1]]/$N$7/Table5[[#This Row],[x2]])^-2)</f>
        <v>1.0122298543506552</v>
      </c>
      <c r="S85">
        <f>EXP($N$7*(1+$N$7*Table5[[#This Row],[x2]]/$M$7/Table5[[#This Row],[x1]])^-2)</f>
        <v>1.4424472621769644</v>
      </c>
      <c r="T85">
        <f>Table5[[#This Row],[x1]]*Table5[[#This Row],[gamma1]]*$M$10+Table5[[#This Row],[x2]]*Table5[[#This Row],[gamma2]]*$N$10</f>
        <v>75.369475413751132</v>
      </c>
      <c r="U85">
        <f>Table5[[#This Row],[x1]]*Table5[[#This Row],[gamma1]]*$M$10/Table5[[#This Row],[P]]</f>
        <v>0.93126385699834846</v>
      </c>
    </row>
    <row r="86" spans="16:21" x14ac:dyDescent="0.3">
      <c r="P86">
        <v>0.83</v>
      </c>
      <c r="Q86">
        <f>1-Table5[[#This Row],[x1]]</f>
        <v>0.17000000000000004</v>
      </c>
      <c r="R86">
        <f>EXP($M$7*(1+$M$7*Table5[[#This Row],[x1]]/$N$7/Table5[[#This Row],[x2]])^-2)</f>
        <v>1.0108295997236729</v>
      </c>
      <c r="S86">
        <f>EXP($N$7*(1+$N$7*Table5[[#This Row],[x2]]/$M$7/Table5[[#This Row],[x1]])^-2)</f>
        <v>1.4518908559371522</v>
      </c>
      <c r="T86">
        <f>Table5[[#This Row],[x1]]*Table5[[#This Row],[gamma1]]*$M$10+Table5[[#This Row],[x2]]*Table5[[#This Row],[gamma2]]*$N$10</f>
        <v>75.871379570068953</v>
      </c>
      <c r="U86">
        <f>Table5[[#This Row],[x1]]*Table5[[#This Row],[gamma1]]*$M$10/Table5[[#This Row],[P]]</f>
        <v>0.9350897752201911</v>
      </c>
    </row>
    <row r="87" spans="16:21" x14ac:dyDescent="0.3">
      <c r="P87">
        <v>0.84</v>
      </c>
      <c r="Q87">
        <f>1-Table5[[#This Row],[x1]]</f>
        <v>0.16000000000000003</v>
      </c>
      <c r="R87">
        <f>EXP($M$7*(1+$M$7*Table5[[#This Row],[x1]]/$N$7/Table5[[#This Row],[x2]])^-2)</f>
        <v>1.009524063080961</v>
      </c>
      <c r="S87">
        <f>EXP($N$7*(1+$N$7*Table5[[#This Row],[x2]]/$M$7/Table5[[#This Row],[x1]])^-2)</f>
        <v>1.4614171337553079</v>
      </c>
      <c r="T87">
        <f>Table5[[#This Row],[x1]]*Table5[[#This Row],[gamma1]]*$M$10+Table5[[#This Row],[x2]]*Table5[[#This Row],[gamma2]]*$N$10</f>
        <v>76.374138981863013</v>
      </c>
      <c r="U87">
        <f>Table5[[#This Row],[x1]]*Table5[[#This Row],[gamma1]]*$M$10/Table5[[#This Row],[P]]</f>
        <v>0.9389119794557802</v>
      </c>
    </row>
    <row r="88" spans="16:21" x14ac:dyDescent="0.3">
      <c r="P88">
        <v>0.85</v>
      </c>
      <c r="Q88">
        <f>1-Table5[[#This Row],[x1]]</f>
        <v>0.15000000000000002</v>
      </c>
      <c r="R88">
        <f>EXP($M$7*(1+$M$7*Table5[[#This Row],[x1]]/$N$7/Table5[[#This Row],[x2]])^-2)</f>
        <v>1.0083111582990769</v>
      </c>
      <c r="S88">
        <f>EXP($N$7*(1+$N$7*Table5[[#This Row],[x2]]/$M$7/Table5[[#This Row],[x1]])^-2)</f>
        <v>1.4710258856448046</v>
      </c>
      <c r="T88">
        <f>Table5[[#This Row],[x1]]*Table5[[#This Row],[gamma1]]*$M$10+Table5[[#This Row],[x2]]*Table5[[#This Row],[gamma2]]*$N$10</f>
        <v>76.877793867314182</v>
      </c>
      <c r="U88">
        <f>Table5[[#This Row],[x1]]*Table5[[#This Row],[gamma1]]*$M$10/Table5[[#This Row],[P]]</f>
        <v>0.94273109694017243</v>
      </c>
    </row>
    <row r="89" spans="16:21" x14ac:dyDescent="0.3">
      <c r="P89">
        <v>0.86</v>
      </c>
      <c r="Q89">
        <f>1-Table5[[#This Row],[x1]]</f>
        <v>0.14000000000000001</v>
      </c>
      <c r="R89">
        <f>EXP($M$7*(1+$M$7*Table5[[#This Row],[x1]]/$N$7/Table5[[#This Row],[x2]])^-2)</f>
        <v>1.0071888663698627</v>
      </c>
      <c r="S89">
        <f>EXP($N$7*(1+$N$7*Table5[[#This Row],[x2]]/$M$7/Table5[[#This Row],[x1]])^-2)</f>
        <v>1.4807169076880333</v>
      </c>
      <c r="T89">
        <f>Table5[[#This Row],[x1]]*Table5[[#This Row],[gamma1]]*$M$10+Table5[[#This Row],[x2]]*Table5[[#This Row],[gamma2]]*$N$10</f>
        <v>77.382382453726663</v>
      </c>
      <c r="U89">
        <f>Table5[[#This Row],[x1]]*Table5[[#This Row],[gamma1]]*$M$10/Table5[[#This Row],[P]]</f>
        <v>0.94654772710381052</v>
      </c>
    </row>
    <row r="90" spans="16:21" x14ac:dyDescent="0.3">
      <c r="P90">
        <v>0.87</v>
      </c>
      <c r="Q90">
        <f>1-Table5[[#This Row],[x1]]</f>
        <v>0.13</v>
      </c>
      <c r="R90">
        <f>EXP($M$7*(1+$M$7*Table5[[#This Row],[x1]]/$N$7/Table5[[#This Row],[x2]])^-2)</f>
        <v>1.0061552328119134</v>
      </c>
      <c r="S90">
        <f>EXP($N$7*(1+$N$7*Table5[[#This Row],[x2]]/$M$7/Table5[[#This Row],[x1]])^-2)</f>
        <v>1.4904900017880502</v>
      </c>
      <c r="T90">
        <f>Table5[[#This Row],[x1]]*Table5[[#This Row],[gamma1]]*$M$10+Table5[[#This Row],[x2]]*Table5[[#This Row],[gamma2]]*$N$10</f>
        <v>77.887941064163698</v>
      </c>
      <c r="U90">
        <f>Table5[[#This Row],[x1]]*Table5[[#This Row],[gamma1]]*$M$10/Table5[[#This Row],[P]]</f>
        <v>0.95036244304425666</v>
      </c>
    </row>
    <row r="91" spans="16:21" x14ac:dyDescent="0.3">
      <c r="P91">
        <v>0.88</v>
      </c>
      <c r="Q91">
        <f>1-Table5[[#This Row],[x1]]</f>
        <v>0.12</v>
      </c>
      <c r="R91">
        <f>EXP($M$7*(1+$M$7*Table5[[#This Row],[x1]]/$N$7/Table5[[#This Row],[x2]])^-2)</f>
        <v>1.0052083651967278</v>
      </c>
      <c r="S91">
        <f>EXP($N$7*(1+$N$7*Table5[[#This Row],[x2]]/$M$7/Table5[[#This Row],[x1]])^-2)</f>
        <v>1.5003449754295082</v>
      </c>
      <c r="T91">
        <f>Table5[[#This Row],[x1]]*Table5[[#This Row],[gamma1]]*$M$10+Table5[[#This Row],[x2]]*Table5[[#This Row],[gamma2]]*$N$10</f>
        <v>78.394504199803208</v>
      </c>
      <c r="U91">
        <f>Table5[[#This Row],[x1]]*Table5[[#This Row],[gamma1]]*$M$10/Table5[[#This Row],[P]]</f>
        <v>0.95417579290745214</v>
      </c>
    </row>
    <row r="92" spans="16:21" x14ac:dyDescent="0.3">
      <c r="P92">
        <v>0.89</v>
      </c>
      <c r="Q92">
        <f>1-Table5[[#This Row],[x1]]</f>
        <v>0.10999999999999999</v>
      </c>
      <c r="R92">
        <f>EXP($M$7*(1+$M$7*Table5[[#This Row],[x1]]/$N$7/Table5[[#This Row],[x2]])^-2)</f>
        <v>1.0043464307838221</v>
      </c>
      <c r="S92">
        <f>EXP($N$7*(1+$N$7*Table5[[#This Row],[x2]]/$M$7/Table5[[#This Row],[x1]])^-2)</f>
        <v>1.5102816414484903</v>
      </c>
      <c r="T92">
        <f>Table5[[#This Row],[x1]]*Table5[[#This Row],[gamma1]]*$M$10+Table5[[#This Row],[x2]]*Table5[[#This Row],[gamma2]]*$N$10</f>
        <v>78.902104618248373</v>
      </c>
      <c r="U92">
        <f>Table5[[#This Row],[x1]]*Table5[[#This Row],[gamma1]]*$M$10/Table5[[#This Row],[P]]</f>
        <v>0.95798830118488709</v>
      </c>
    </row>
    <row r="93" spans="16:21" x14ac:dyDescent="0.3">
      <c r="P93">
        <v>0.9</v>
      </c>
      <c r="Q93">
        <f>1-Table5[[#This Row],[x1]]</f>
        <v>9.9999999999999978E-2</v>
      </c>
      <c r="R93">
        <f>EXP($M$7*(1+$M$7*Table5[[#This Row],[x1]]/$N$7/Table5[[#This Row],[x2]])^-2)</f>
        <v>1.0035676542593985</v>
      </c>
      <c r="S93">
        <f>EXP($N$7*(1+$N$7*Table5[[#This Row],[x2]]/$M$7/Table5[[#This Row],[x1]])^-2)</f>
        <v>1.5202998178108824</v>
      </c>
      <c r="T93">
        <f>Table5[[#This Row],[x1]]*Table5[[#This Row],[gamma1]]*$M$10+Table5[[#This Row],[x2]]*Table5[[#This Row],[gamma2]]*$N$10</f>
        <v>79.410773408012986</v>
      </c>
      <c r="U93">
        <f>Table5[[#This Row],[x1]]*Table5[[#This Row],[gamma1]]*$M$10/Table5[[#This Row],[P]]</f>
        <v>0.96180046993255996</v>
      </c>
    </row>
    <row r="94" spans="16:21" x14ac:dyDescent="0.3">
      <c r="P94">
        <v>0.91</v>
      </c>
      <c r="Q94">
        <f>1-Table5[[#This Row],[x1]]</f>
        <v>8.9999999999999969E-2</v>
      </c>
      <c r="R94">
        <f>EXP($M$7*(1+$M$7*Table5[[#This Row],[x1]]/$N$7/Table5[[#This Row],[x2]])^-2)</f>
        <v>1.0028703155734586</v>
      </c>
      <c r="S94">
        <f>EXP($N$7*(1+$N$7*Table5[[#This Row],[x2]]/$M$7/Table5[[#This Row],[x1]])^-2)</f>
        <v>1.530399327398946</v>
      </c>
      <c r="T94">
        <f>Table5[[#This Row],[x1]]*Table5[[#This Row],[gamma1]]*$M$10+Table5[[#This Row],[x2]]*Table5[[#This Row],[gamma2]]*$N$10</f>
        <v>79.920540059388969</v>
      </c>
      <c r="U94">
        <f>Table5[[#This Row],[x1]]*Table5[[#This Row],[gamma1]]*$M$10/Table5[[#This Row],[P]]</f>
        <v>0.96561277991714034</v>
      </c>
    </row>
    <row r="95" spans="16:21" x14ac:dyDescent="0.3">
      <c r="P95">
        <v>0.92</v>
      </c>
      <c r="Q95">
        <f>1-Table5[[#This Row],[x1]]</f>
        <v>7.999999999999996E-2</v>
      </c>
      <c r="R95">
        <f>EXP($M$7*(1+$M$7*Table5[[#This Row],[x1]]/$N$7/Table5[[#This Row],[x2]])^-2)</f>
        <v>1.0022527478705356</v>
      </c>
      <c r="S95">
        <f>EXP($N$7*(1+$N$7*Table5[[#This Row],[x2]]/$M$7/Table5[[#This Row],[x1]])^-2)</f>
        <v>1.5405799978057531</v>
      </c>
      <c r="T95">
        <f>Table5[[#This Row],[x1]]*Table5[[#This Row],[gamma1]]*$M$10+Table5[[#This Row],[x2]]*Table5[[#This Row],[gamma2]]*$N$10</f>
        <v>80.431432531891431</v>
      </c>
      <c r="U95">
        <f>Table5[[#This Row],[x1]]*Table5[[#This Row],[gamma1]]*$M$10/Table5[[#This Row],[P]]</f>
        <v>0.96942569169432113</v>
      </c>
    </row>
    <row r="96" spans="16:21" x14ac:dyDescent="0.3">
      <c r="P96">
        <v>0.93</v>
      </c>
      <c r="Q96">
        <f>1-Table5[[#This Row],[x1]]</f>
        <v>6.9999999999999951E-2</v>
      </c>
      <c r="R96">
        <f>EXP($M$7*(1+$M$7*Table5[[#This Row],[x1]]/$N$7/Table5[[#This Row],[x2]])^-2)</f>
        <v>1.0017133355094725</v>
      </c>
      <c r="S96">
        <f>EXP($N$7*(1+$N$7*Table5[[#This Row],[x2]]/$M$7/Table5[[#This Row],[x1]])^-2)</f>
        <v>1.5508416611371767</v>
      </c>
      <c r="T96">
        <f>Table5[[#This Row],[x1]]*Table5[[#This Row],[gamma1]]*$M$10+Table5[[#This Row],[x2]]*Table5[[#This Row],[gamma2]]*$N$10</f>
        <v>80.943477318464275</v>
      </c>
      <c r="U96">
        <f>Table5[[#This Row],[x1]]*Table5[[#This Row],[gamma1]]*$M$10/Table5[[#This Row],[P]]</f>
        <v>0.97323964662396834</v>
      </c>
    </row>
    <row r="97" spans="16:21" x14ac:dyDescent="0.3">
      <c r="P97">
        <v>0.94</v>
      </c>
      <c r="Q97">
        <f>1-Table5[[#This Row],[x1]]</f>
        <v>6.0000000000000053E-2</v>
      </c>
      <c r="R97">
        <f>EXP($M$7*(1+$M$7*Table5[[#This Row],[x1]]/$N$7/Table5[[#This Row],[x2]])^-2)</f>
        <v>1.0012505121679349</v>
      </c>
      <c r="S97">
        <f>EXP($N$7*(1+$N$7*Table5[[#This Row],[x2]]/$M$7/Table5[[#This Row],[x1]])^-2)</f>
        <v>1.5611841538211335</v>
      </c>
      <c r="T97">
        <f>Table5[[#This Row],[x1]]*Table5[[#This Row],[gamma1]]*$M$10+Table5[[#This Row],[x2]]*Table5[[#This Row],[gamma2]]*$N$10</f>
        <v>81.456699506619799</v>
      </c>
      <c r="U97">
        <f>Table5[[#This Row],[x1]]*Table5[[#This Row],[gamma1]]*$M$10/Table5[[#This Row],[P]]</f>
        <v>0.97705506782631546</v>
      </c>
    </row>
    <row r="98" spans="16:21" x14ac:dyDescent="0.3">
      <c r="P98">
        <v>0.95</v>
      </c>
      <c r="Q98">
        <f>1-Table5[[#This Row],[x1]]</f>
        <v>5.0000000000000044E-2</v>
      </c>
      <c r="R98">
        <f>EXP($M$7*(1+$M$7*Table5[[#This Row],[x1]]/$N$7/Table5[[#This Row],[x2]])^-2)</f>
        <v>1.0008627590275627</v>
      </c>
      <c r="S98">
        <f>EXP($N$7*(1+$N$7*Table5[[#This Row],[x2]]/$M$7/Table5[[#This Row],[x1]])^-2)</f>
        <v>1.5716073164237907</v>
      </c>
      <c r="T98">
        <f>Table5[[#This Row],[x1]]*Table5[[#This Row],[gamma1]]*$M$10+Table5[[#This Row],[x2]]*Table5[[#This Row],[gamma2]]*$N$10</f>
        <v>81.97112283667451</v>
      </c>
      <c r="U98">
        <f>Table5[[#This Row],[x1]]*Table5[[#This Row],[gamma1]]*$M$10/Table5[[#This Row],[P]]</f>
        <v>0.98087236108313147</v>
      </c>
    </row>
    <row r="99" spans="16:21" x14ac:dyDescent="0.3">
      <c r="P99">
        <v>0.96</v>
      </c>
      <c r="Q99">
        <f>1-Table5[[#This Row],[x1]]</f>
        <v>4.0000000000000036E-2</v>
      </c>
      <c r="R99">
        <f>EXP($M$7*(1+$M$7*Table5[[#This Row],[x1]]/$N$7/Table5[[#This Row],[x2]])^-2)</f>
        <v>1.000548603035899</v>
      </c>
      <c r="S99">
        <f>EXP($N$7*(1+$N$7*Table5[[#This Row],[x2]]/$M$7/Table5[[#This Row],[x1]])^-2)</f>
        <v>1.582110993472464</v>
      </c>
      <c r="T99">
        <f>Table5[[#This Row],[x1]]*Table5[[#This Row],[gamma1]]*$M$10+Table5[[#This Row],[x2]]*Table5[[#This Row],[gamma2]]*$N$10</f>
        <v>82.486769757235066</v>
      </c>
      <c r="U99">
        <f>Table5[[#This Row],[x1]]*Table5[[#This Row],[gamma1]]*$M$10/Table5[[#This Row],[P]]</f>
        <v>0.98469191568749126</v>
      </c>
    </row>
    <row r="100" spans="16:21" x14ac:dyDescent="0.3">
      <c r="P100">
        <v>0.97</v>
      </c>
      <c r="Q100">
        <f>1-Table5[[#This Row],[x1]]</f>
        <v>3.0000000000000027E-2</v>
      </c>
      <c r="R100">
        <f>EXP($M$7*(1+$M$7*Table5[[#This Row],[x1]]/$N$7/Table5[[#This Row],[x2]])^-2)</f>
        <v>1.0003066152414313</v>
      </c>
      <c r="S100">
        <f>EXP($N$7*(1+$N$7*Table5[[#This Row],[x2]]/$M$7/Table5[[#This Row],[x1]])^-2)</f>
        <v>1.592695033284947</v>
      </c>
      <c r="T100">
        <f>Table5[[#This Row],[x1]]*Table5[[#This Row],[gamma1]]*$M$10+Table5[[#This Row],[x2]]*Table5[[#This Row],[gamma2]]*$N$10</f>
        <v>83.00366147807857</v>
      </c>
      <c r="U100">
        <f>Table5[[#This Row],[x1]]*Table5[[#This Row],[gamma1]]*$M$10/Table5[[#This Row],[P]]</f>
        <v>0.98851410524551586</v>
      </c>
    </row>
    <row r="101" spans="16:21" x14ac:dyDescent="0.3">
      <c r="P101">
        <v>0.98</v>
      </c>
      <c r="Q101">
        <f>1-Table5[[#This Row],[x1]]</f>
        <v>2.0000000000000018E-2</v>
      </c>
      <c r="R101">
        <f>EXP($M$7*(1+$M$7*Table5[[#This Row],[x1]]/$N$7/Table5[[#This Row],[x2]])^-2)</f>
        <v>1.0001354091982748</v>
      </c>
      <c r="S101">
        <f>EXP($N$7*(1+$N$7*Table5[[#This Row],[x2]]/$M$7/Table5[[#This Row],[x1]])^-2)</f>
        <v>1.6033592878050196</v>
      </c>
      <c r="T101">
        <f>Table5[[#This Row],[x1]]*Table5[[#This Row],[gamma1]]*$M$10+Table5[[#This Row],[x2]]*Table5[[#This Row],[gamma2]]*$N$10</f>
        <v>83.521818020563501</v>
      </c>
      <c r="U101">
        <f>Table5[[#This Row],[x1]]*Table5[[#This Row],[gamma1]]*$M$10/Table5[[#This Row],[P]]</f>
        <v>0.99233928843318586</v>
      </c>
    </row>
    <row r="102" spans="16:21" x14ac:dyDescent="0.3">
      <c r="P102">
        <v>0.99</v>
      </c>
      <c r="Q102">
        <f>1-Table5[[#This Row],[x1]]</f>
        <v>1.0000000000000009E-2</v>
      </c>
      <c r="R102">
        <f>EXP($M$7*(1+$M$7*Table5[[#This Row],[x1]]/$N$7/Table5[[#This Row],[x2]])^-2)</f>
        <v>1.0000336394372162</v>
      </c>
      <c r="S102">
        <f>EXP($N$7*(1+$N$7*Table5[[#This Row],[x2]]/$M$7/Table5[[#This Row],[x1]])^-2)</f>
        <v>1.6141036124438954</v>
      </c>
      <c r="T102">
        <f>Table5[[#This Row],[x1]]*Table5[[#This Row],[gamma1]]*$M$10+Table5[[#This Row],[x2]]*Table5[[#This Row],[gamma2]]*$N$10</f>
        <v>84.041258265699909</v>
      </c>
      <c r="U102">
        <f>Table5[[#This Row],[x1]]*Table5[[#This Row],[gamma1]]*$M$10/Table5[[#This Row],[P]]</f>
        <v>0.99616780971112162</v>
      </c>
    </row>
    <row r="103" spans="16:21" x14ac:dyDescent="0.3">
      <c r="P103">
        <v>1</v>
      </c>
      <c r="Q103">
        <f>1-Table5[[#This Row],[x1]]</f>
        <v>0</v>
      </c>
      <c r="S103">
        <f>EXP($N$7*(1+$N$7*Table5[[#This Row],[x2]]/$M$7/Table5[[#This Row],[x1]])^-2)</f>
        <v>1.6249278659273811</v>
      </c>
      <c r="T103">
        <f>M10</f>
        <v>84.561999999999998</v>
      </c>
    </row>
  </sheetData>
  <pageMargins left="0.7" right="0.7" top="0.75" bottom="0.75" header="0.3" footer="0.3"/>
  <ignoredErrors>
    <ignoredError sqref="M4:N4" formulaRange="1"/>
    <ignoredError sqref="T3 T103" calculatedColumn="1"/>
  </ignoredErrors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9C2-EB51-4608-B78C-2215B08512BD}">
  <dimension ref="B2:V103"/>
  <sheetViews>
    <sheetView topLeftCell="P7" workbookViewId="0">
      <selection activeCell="N21" sqref="N21"/>
    </sheetView>
  </sheetViews>
  <sheetFormatPr defaultRowHeight="14.4" x14ac:dyDescent="0.3"/>
  <cols>
    <col min="11" max="11" width="12" bestFit="1" customWidth="1"/>
    <col min="19" max="20" width="10.21875" customWidth="1"/>
  </cols>
  <sheetData>
    <row r="2" spans="2:22" x14ac:dyDescent="0.3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25</v>
      </c>
      <c r="J2" t="s">
        <v>24</v>
      </c>
      <c r="K2" t="s">
        <v>23</v>
      </c>
      <c r="Q2" t="s">
        <v>1</v>
      </c>
      <c r="R2" t="s">
        <v>4</v>
      </c>
      <c r="S2" t="s">
        <v>5</v>
      </c>
      <c r="T2" t="s">
        <v>6</v>
      </c>
      <c r="U2" t="s">
        <v>15</v>
      </c>
      <c r="V2" t="s">
        <v>2</v>
      </c>
    </row>
    <row r="3" spans="2:22" x14ac:dyDescent="0.3">
      <c r="B3">
        <v>19.952999999999999</v>
      </c>
      <c r="C3">
        <v>0</v>
      </c>
      <c r="D3">
        <v>0</v>
      </c>
      <c r="E3">
        <f>1-Table157[[#This Row],[x1]]</f>
        <v>1</v>
      </c>
      <c r="F3">
        <f>1-Table157[[#This Row],[y1]]</f>
        <v>1</v>
      </c>
      <c r="H3">
        <f>Table157[[#This Row],[y2]]*Table157[[#This Row],[P/kPa]]/Table157[[#This Row],[x2]]/$B$3</f>
        <v>1</v>
      </c>
      <c r="Q3">
        <v>0</v>
      </c>
      <c r="R3">
        <f>1-Table7[[#This Row],[x1]]</f>
        <v>1</v>
      </c>
      <c r="S3">
        <f>EXP(-LN(Table7[[#This Row],[x1]]+Table7[[#This Row],[x2]]*$M$5)+Table7[[#This Row],[x2]]*($M$5/(Table7[[#This Row],[x1]]+Table7[[#This Row],[x2]]*$M$5)-$N$5/(Table7[[#This Row],[x2]]+Table7[[#This Row],[x1]]*$N$5)))</f>
        <v>2.0454501631625326</v>
      </c>
      <c r="T3">
        <f>EXP(-LN(Table7[[#This Row],[x2]]+Table7[[#This Row],[x1]]*$N$5)-Table7[[#This Row],[x1]]*($M$5/(Table7[[#This Row],[x1]]+Table7[[#This Row],[x2]]*$M$5)-$N$5/(Table7[[#This Row],[x2]]+Table7[[#This Row],[x1]]*$N$5)))</f>
        <v>1</v>
      </c>
      <c r="U3">
        <v>19.952999999999999</v>
      </c>
      <c r="V3">
        <f>Table7[[#This Row],[x1]]*Table7[[#This Row],[gamma1]]*$M$8/Table7[[#This Row],[P]]</f>
        <v>0</v>
      </c>
    </row>
    <row r="4" spans="2:22" x14ac:dyDescent="0.3">
      <c r="B4">
        <v>39.222999999999999</v>
      </c>
      <c r="C4">
        <v>0.1686</v>
      </c>
      <c r="D4">
        <v>0.57140000000000002</v>
      </c>
      <c r="E4">
        <f>1-Table157[[#This Row],[x1]]</f>
        <v>0.83140000000000003</v>
      </c>
      <c r="F4">
        <f>1-Table157[[#This Row],[y1]]</f>
        <v>0.42859999999999998</v>
      </c>
      <c r="G4">
        <f>Table157[[#This Row],[y1]]*Table157[[#This Row],[P/kPa]]/Table157[[#This Row],[x1]]/$B$14</f>
        <v>1.5719843846526109</v>
      </c>
      <c r="H4">
        <f>Table157[[#This Row],[y2]]*Table157[[#This Row],[P/kPa]]/Table157[[#This Row],[x2]]/$B$3</f>
        <v>1.0133856540257142</v>
      </c>
      <c r="I4">
        <f>Table157[[#This Row],[x1]]*LN(Table157[[#This Row],[gamma1]])+Table157[[#This Row],[x2]]*LN(Table157[[#This Row],[gamma2]])</f>
        <v>8.7319322500059415E-2</v>
      </c>
      <c r="J4">
        <f>-Table157[[#This Row],[x1]]*LN(Table157[[#This Row],[x1]]+Table157[[#This Row],[x2]]*$M$5)-Table157[[#This Row],[x2]]*LN(Table157[[#This Row],[x2]]+Table157[[#This Row],[x1]]*$N$5)</f>
        <v>9.2728749971922736E-2</v>
      </c>
      <c r="K4">
        <f>(Table157[[#This Row],[ExcessG/RT Experiment]]-Table157[[#This Row],[ExcessG/RT Wilson]])^2</f>
        <v>2.9261905573349598E-5</v>
      </c>
      <c r="M4" s="16" t="s">
        <v>21</v>
      </c>
      <c r="N4" s="16" t="s">
        <v>22</v>
      </c>
      <c r="Q4">
        <v>0.01</v>
      </c>
      <c r="R4">
        <f>1-Table7[[#This Row],[x1]]</f>
        <v>0.99</v>
      </c>
      <c r="S4">
        <f>EXP(-LN(Table7[[#This Row],[x1]]+Table7[[#This Row],[x2]]*$M$5)+Table7[[#This Row],[x2]]*($M$5/(Table7[[#This Row],[x1]]+Table7[[#This Row],[x2]]*$M$5)-$N$5/(Table7[[#This Row],[x2]]+Table7[[#This Row],[x1]]*$N$5)))</f>
        <v>2.0025877362615239</v>
      </c>
      <c r="T4">
        <f>EXP(-LN(Table7[[#This Row],[x2]]+Table7[[#This Row],[x1]]*$N$5)-Table7[[#This Row],[x1]]*($M$5/(Table7[[#This Row],[x1]]+Table7[[#This Row],[x2]]*$M$5)-$N$5/(Table7[[#This Row],[x2]]+Table7[[#This Row],[x1]]*$N$5)))</f>
        <v>1.0001061268778872</v>
      </c>
      <c r="U4">
        <f>Table7[[#This Row],[x1]]*Table7[[#This Row],[gamma1]]*$M$8+Table7[[#This Row],[x2]]*Table7[[#This Row],[gamma2]]*$N$8</f>
        <v>21.448994615636007</v>
      </c>
      <c r="V4">
        <f>Table7[[#This Row],[x1]]*Table7[[#This Row],[gamma1]]*$M$8/Table7[[#This Row],[P]]</f>
        <v>7.8951404104646711E-2</v>
      </c>
    </row>
    <row r="5" spans="2:22" x14ac:dyDescent="0.3">
      <c r="B5">
        <v>42.984000000000002</v>
      </c>
      <c r="C5">
        <v>0.2167</v>
      </c>
      <c r="D5">
        <v>0.62680000000000002</v>
      </c>
      <c r="E5">
        <f>1-Table157[[#This Row],[x1]]</f>
        <v>0.7833</v>
      </c>
      <c r="F5">
        <f>1-Table157[[#This Row],[y1]]</f>
        <v>0.37319999999999998</v>
      </c>
      <c r="G5">
        <f>Table157[[#This Row],[y1]]*Table157[[#This Row],[P/kPa]]/Table157[[#This Row],[x1]]/$B$14</f>
        <v>1.4702854450393188</v>
      </c>
      <c r="H5">
        <f>Table157[[#This Row],[y2]]*Table157[[#This Row],[P/kPa]]/Table157[[#This Row],[x2]]/$B$3</f>
        <v>1.0263893416476249</v>
      </c>
      <c r="I5">
        <f>Table157[[#This Row],[x1]]*LN(Table157[[#This Row],[gamma1]])+Table157[[#This Row],[x2]]*LN(Table157[[#This Row],[gamma2]])</f>
        <v>0.10393116967614056</v>
      </c>
      <c r="J5">
        <f>-Table157[[#This Row],[x1]]*LN(Table157[[#This Row],[x1]]+Table157[[#This Row],[x2]]*$M$5)-Table157[[#This Row],[x2]]*LN(Table157[[#This Row],[x2]]+Table157[[#This Row],[x1]]*$N$5)</f>
        <v>0.10999837364485583</v>
      </c>
      <c r="K5">
        <f>(Table157[[#This Row],[ExcessG/RT Experiment]]-Table157[[#This Row],[ExcessG/RT Wilson]])^2</f>
        <v>3.6810963997994299E-5</v>
      </c>
      <c r="M5" s="17">
        <v>0.4762647429225455</v>
      </c>
      <c r="N5" s="17">
        <v>1.0261635027967138</v>
      </c>
      <c r="Q5">
        <v>0.02</v>
      </c>
      <c r="R5">
        <f>1-Table7[[#This Row],[x1]]</f>
        <v>0.98</v>
      </c>
      <c r="S5">
        <f>EXP(-LN(Table7[[#This Row],[x1]]+Table7[[#This Row],[x2]]*$M$5)+Table7[[#This Row],[x2]]*($M$5/(Table7[[#This Row],[x1]]+Table7[[#This Row],[x2]]*$M$5)-$N$5/(Table7[[#This Row],[x2]]+Table7[[#This Row],[x1]]*$N$5)))</f>
        <v>1.9617212592970565</v>
      </c>
      <c r="T5">
        <f>EXP(-LN(Table7[[#This Row],[x2]]+Table7[[#This Row],[x1]]*$N$5)-Table7[[#This Row],[x1]]*($M$5/(Table7[[#This Row],[x1]]+Table7[[#This Row],[x2]]*$M$5)-$N$5/(Table7[[#This Row],[x2]]+Table7[[#This Row],[x1]]*$N$5)))</f>
        <v>1.0004198943603708</v>
      </c>
      <c r="U5">
        <f>Table7[[#This Row],[x1]]*Table7[[#This Row],[gamma1]]*$M$8+Table7[[#This Row],[x2]]*Table7[[#This Row],[gamma2]]*$N$8</f>
        <v>22.879892051702583</v>
      </c>
      <c r="V5">
        <f>Table7[[#This Row],[x1]]*Table7[[#This Row],[gamma1]]*$M$8/Table7[[#This Row],[P]]</f>
        <v>0.14500686695008544</v>
      </c>
    </row>
    <row r="6" spans="2:22" x14ac:dyDescent="0.3">
      <c r="B6">
        <v>48.851999999999997</v>
      </c>
      <c r="C6">
        <v>0.3039</v>
      </c>
      <c r="D6">
        <v>0.69430000000000003</v>
      </c>
      <c r="E6">
        <f>1-Table157[[#This Row],[x1]]</f>
        <v>0.69609999999999994</v>
      </c>
      <c r="F6">
        <f>1-Table157[[#This Row],[y1]]</f>
        <v>0.30569999999999997</v>
      </c>
      <c r="G6">
        <f>Table157[[#This Row],[y1]]*Table157[[#This Row],[P/kPa]]/Table157[[#This Row],[x1]]/$B$14</f>
        <v>1.3198469329897913</v>
      </c>
      <c r="H6">
        <f>Table157[[#This Row],[y2]]*Table157[[#This Row],[P/kPa]]/Table157[[#This Row],[x2]]/$B$3</f>
        <v>1.0752215270891623</v>
      </c>
      <c r="I6">
        <f>Table157[[#This Row],[x1]]*LN(Table157[[#This Row],[gamma1]])+Table157[[#This Row],[x2]]*LN(Table157[[#This Row],[gamma2]])</f>
        <v>0.13482288677392501</v>
      </c>
      <c r="J6">
        <f>-Table157[[#This Row],[x1]]*LN(Table157[[#This Row],[x1]]+Table157[[#This Row],[x2]]*$M$5)-Table157[[#This Row],[x2]]*LN(Table157[[#This Row],[x2]]+Table157[[#This Row],[x1]]*$N$5)</f>
        <v>0.13229261651926635</v>
      </c>
      <c r="K6">
        <f>(Table157[[#This Row],[ExcessG/RT Experiment]]-Table157[[#This Row],[ExcessG/RT Wilson]])^2</f>
        <v>6.4022675616103822E-6</v>
      </c>
      <c r="Q6">
        <v>0.03</v>
      </c>
      <c r="R6">
        <f>1-Table7[[#This Row],[x1]]</f>
        <v>0.97</v>
      </c>
      <c r="S6">
        <f>EXP(-LN(Table7[[#This Row],[x1]]+Table7[[#This Row],[x2]]*$M$5)+Table7[[#This Row],[x2]]*($M$5/(Table7[[#This Row],[x1]]+Table7[[#This Row],[x2]]*$M$5)-$N$5/(Table7[[#This Row],[x2]]+Table7[[#This Row],[x1]]*$N$5)))</f>
        <v>1.9227323992329999</v>
      </c>
      <c r="T6">
        <f>EXP(-LN(Table7[[#This Row],[x2]]+Table7[[#This Row],[x1]]*$N$5)-Table7[[#This Row],[x1]]*($M$5/(Table7[[#This Row],[x1]]+Table7[[#This Row],[x2]]*$M$5)-$N$5/(Table7[[#This Row],[x2]]+Table7[[#This Row],[x1]]*$N$5)))</f>
        <v>1.0009346976340592</v>
      </c>
      <c r="U6">
        <f>Table7[[#This Row],[x1]]*Table7[[#This Row],[gamma1]]*$M$8+Table7[[#This Row],[x2]]*Table7[[#This Row],[gamma2]]*$N$8</f>
        <v>24.250203435553839</v>
      </c>
      <c r="V6">
        <f>Table7[[#This Row],[x1]]*Table7[[#This Row],[gamma1]]*$M$8/Table7[[#This Row],[P]]</f>
        <v>0.20114070083085997</v>
      </c>
    </row>
    <row r="7" spans="2:22" x14ac:dyDescent="0.3">
      <c r="B7">
        <v>52.783999999999999</v>
      </c>
      <c r="C7">
        <v>0.36809999999999998</v>
      </c>
      <c r="D7">
        <v>0.73450000000000004</v>
      </c>
      <c r="E7">
        <f>1-Table157[[#This Row],[x1]]</f>
        <v>0.63190000000000002</v>
      </c>
      <c r="F7">
        <f>1-Table157[[#This Row],[y1]]</f>
        <v>0.26549999999999996</v>
      </c>
      <c r="G7">
        <f>Table157[[#This Row],[y1]]*Table157[[#This Row],[P/kPa]]/Table157[[#This Row],[x1]]/$B$14</f>
        <v>1.2455266799767957</v>
      </c>
      <c r="H7">
        <f>Table157[[#This Row],[y2]]*Table157[[#This Row],[P/kPa]]/Table157[[#This Row],[x2]]/$B$3</f>
        <v>1.1115020440462686</v>
      </c>
      <c r="I7">
        <f>Table157[[#This Row],[x1]]*LN(Table157[[#This Row],[gamma1]])+Table157[[#This Row],[x2]]*LN(Table157[[#This Row],[gamma2]])</f>
        <v>0.14761907344316061</v>
      </c>
      <c r="J7">
        <f>-Table157[[#This Row],[x1]]*LN(Table157[[#This Row],[x1]]+Table157[[#This Row],[x2]]*$M$5)-Table157[[#This Row],[x2]]*LN(Table157[[#This Row],[x2]]+Table157[[#This Row],[x1]]*$N$5)</f>
        <v>0.14188059000676845</v>
      </c>
      <c r="K7">
        <f>(Table157[[#This Row],[ExcessG/RT Experiment]]-Table157[[#This Row],[ExcessG/RT Wilson]])^2</f>
        <v>3.2930192149747189E-5</v>
      </c>
      <c r="M7" s="16" t="s">
        <v>17</v>
      </c>
      <c r="N7" s="16" t="s">
        <v>16</v>
      </c>
      <c r="Q7">
        <v>0.04</v>
      </c>
      <c r="R7">
        <f>1-Table7[[#This Row],[x1]]</f>
        <v>0.96</v>
      </c>
      <c r="S7">
        <f>EXP(-LN(Table7[[#This Row],[x1]]+Table7[[#This Row],[x2]]*$M$5)+Table7[[#This Row],[x2]]*($M$5/(Table7[[#This Row],[x1]]+Table7[[#This Row],[x2]]*$M$5)-$N$5/(Table7[[#This Row],[x2]]+Table7[[#This Row],[x1]]*$N$5)))</f>
        <v>1.8855115152077686</v>
      </c>
      <c r="T7">
        <f>EXP(-LN(Table7[[#This Row],[x2]]+Table7[[#This Row],[x1]]*$N$5)-Table7[[#This Row],[x1]]*($M$5/(Table7[[#This Row],[x1]]+Table7[[#This Row],[x2]]*$M$5)-$N$5/(Table7[[#This Row],[x2]]+Table7[[#This Row],[x1]]*$N$5)))</f>
        <v>1.0016443287657448</v>
      </c>
      <c r="U7">
        <f>Table7[[#This Row],[x1]]*Table7[[#This Row],[gamma1]]*$M$8+Table7[[#This Row],[x2]]*Table7[[#This Row],[gamma2]]*$N$8</f>
        <v>25.56408191014836</v>
      </c>
      <c r="V7">
        <f>Table7[[#This Row],[x1]]*Table7[[#This Row],[gamma1]]*$M$8/Table7[[#This Row],[P]]</f>
        <v>0.24947913296382332</v>
      </c>
    </row>
    <row r="8" spans="2:22" x14ac:dyDescent="0.3">
      <c r="B8">
        <v>56.652000000000001</v>
      </c>
      <c r="C8">
        <v>0.4461</v>
      </c>
      <c r="D8">
        <v>0.7742</v>
      </c>
      <c r="E8">
        <f>1-Table157[[#This Row],[x1]]</f>
        <v>0.55390000000000006</v>
      </c>
      <c r="F8">
        <f>1-Table157[[#This Row],[y1]]</f>
        <v>0.2258</v>
      </c>
      <c r="G8">
        <f>Table157[[#This Row],[y1]]*Table157[[#This Row],[P/kPa]]/Table157[[#This Row],[x1]]/$B$14</f>
        <v>1.1626819870585321</v>
      </c>
      <c r="H8">
        <f>Table157[[#This Row],[y2]]*Table157[[#This Row],[P/kPa]]/Table157[[#This Row],[x2]]/$B$3</f>
        <v>1.1574430096681343</v>
      </c>
      <c r="I8">
        <f>Table157[[#This Row],[x1]]*LN(Table157[[#This Row],[gamma1]])+Table157[[#This Row],[x2]]*LN(Table157[[#This Row],[gamma2]])</f>
        <v>0.14822791305321487</v>
      </c>
      <c r="J8">
        <f>-Table157[[#This Row],[x1]]*LN(Table157[[#This Row],[x1]]+Table157[[#This Row],[x2]]*$M$5)-Table157[[#This Row],[x2]]*LN(Table157[[#This Row],[x2]]+Table157[[#This Row],[x1]]*$N$5)</f>
        <v>0.14641842243141226</v>
      </c>
      <c r="K8">
        <f>(Table157[[#This Row],[ExcessG/RT Experiment]]-Table157[[#This Row],[ExcessG/RT Wilson]])^2</f>
        <v>3.2742563103915827E-6</v>
      </c>
      <c r="M8" s="17">
        <f>B14</f>
        <v>84.561999999999998</v>
      </c>
      <c r="N8" s="17">
        <f>B3</f>
        <v>19.952999999999999</v>
      </c>
      <c r="Q8">
        <v>0.05</v>
      </c>
      <c r="R8">
        <f>1-Table7[[#This Row],[x1]]</f>
        <v>0.95</v>
      </c>
      <c r="S8">
        <f>EXP(-LN(Table7[[#This Row],[x1]]+Table7[[#This Row],[x2]]*$M$5)+Table7[[#This Row],[x2]]*($M$5/(Table7[[#This Row],[x1]]+Table7[[#This Row],[x2]]*$M$5)-$N$5/(Table7[[#This Row],[x2]]+Table7[[#This Row],[x1]]*$N$5)))</f>
        <v>1.8499569088238967</v>
      </c>
      <c r="T8">
        <f>EXP(-LN(Table7[[#This Row],[x2]]+Table7[[#This Row],[x1]]*$N$5)-Table7[[#This Row],[x1]]*($M$5/(Table7[[#This Row],[x1]]+Table7[[#This Row],[x2]]*$M$5)-$N$5/(Table7[[#This Row],[x2]]+Table7[[#This Row],[x1]]*$N$5)))</f>
        <v>1.0025429498824738</v>
      </c>
      <c r="U8">
        <f>Table7[[#This Row],[x1]]*Table7[[#This Row],[gamma1]]*$M$8+Table7[[#This Row],[x2]]*Table7[[#This Row],[gamma2]]*$N$8</f>
        <v>26.825355311253066</v>
      </c>
      <c r="V8">
        <f>Table7[[#This Row],[x1]]*Table7[[#This Row],[gamma1]]*$M$8/Table7[[#This Row],[P]]</f>
        <v>0.29158244934474814</v>
      </c>
    </row>
    <row r="9" spans="2:22" x14ac:dyDescent="0.3">
      <c r="B9">
        <v>60.613999999999997</v>
      </c>
      <c r="C9">
        <v>0.5282</v>
      </c>
      <c r="D9">
        <v>0.8085</v>
      </c>
      <c r="E9">
        <f>1-Table157[[#This Row],[x1]]</f>
        <v>0.4718</v>
      </c>
      <c r="F9">
        <f>1-Table157[[#This Row],[y1]]</f>
        <v>0.1915</v>
      </c>
      <c r="G9">
        <f>Table157[[#This Row],[y1]]*Table157[[#This Row],[P/kPa]]/Table157[[#This Row],[x1]]/$B$14</f>
        <v>1.0971836468403311</v>
      </c>
      <c r="H9">
        <f>Table157[[#This Row],[y2]]*Table157[[#This Row],[P/kPa]]/Table157[[#This Row],[x2]]/$B$3</f>
        <v>1.2330355096664529</v>
      </c>
      <c r="I9">
        <f>Table157[[#This Row],[x1]]*LN(Table157[[#This Row],[gamma1]])+Table157[[#This Row],[x2]]*LN(Table157[[#This Row],[gamma2]])</f>
        <v>0.14782094432399723</v>
      </c>
      <c r="J9">
        <f>-Table157[[#This Row],[x1]]*LN(Table157[[#This Row],[x1]]+Table157[[#This Row],[x2]]*$M$5)-Table157[[#This Row],[x2]]*LN(Table157[[#This Row],[x2]]+Table157[[#This Row],[x1]]*$N$5)</f>
        <v>0.14343861113210277</v>
      </c>
      <c r="K9">
        <f>(Table157[[#This Row],[ExcessG/RT Experiment]]-Table157[[#This Row],[ExcessG/RT Wilson]])^2</f>
        <v>1.9204844204779891E-5</v>
      </c>
      <c r="Q9">
        <v>0.06</v>
      </c>
      <c r="R9">
        <f>1-Table7[[#This Row],[x1]]</f>
        <v>0.94</v>
      </c>
      <c r="S9">
        <f>EXP(-LN(Table7[[#This Row],[x1]]+Table7[[#This Row],[x2]]*$M$5)+Table7[[#This Row],[x2]]*($M$5/(Table7[[#This Row],[x1]]+Table7[[#This Row],[x2]]*$M$5)-$N$5/(Table7[[#This Row],[x2]]+Table7[[#This Row],[x1]]*$N$5)))</f>
        <v>1.8159741482162663</v>
      </c>
      <c r="T9">
        <f>EXP(-LN(Table7[[#This Row],[x2]]+Table7[[#This Row],[x1]]*$N$5)-Table7[[#This Row],[x1]]*($M$5/(Table7[[#This Row],[x1]]+Table7[[#This Row],[x2]]*$M$5)-$N$5/(Table7[[#This Row],[x2]]+Table7[[#This Row],[x1]]*$N$5)))</f>
        <v>1.0036250684912662</v>
      </c>
      <c r="U9">
        <f>Table7[[#This Row],[x1]]*Table7[[#This Row],[gamma1]]*$M$8+Table7[[#This Row],[x2]]*Table7[[#This Row],[gamma2]]*$N$8</f>
        <v>28.037555487397693</v>
      </c>
      <c r="V9">
        <f>Table7[[#This Row],[x1]]*Table7[[#This Row],[gamma1]]*$M$8/Table7[[#This Row],[P]]</f>
        <v>0.32862152905695441</v>
      </c>
    </row>
    <row r="10" spans="2:22" x14ac:dyDescent="0.3">
      <c r="B10">
        <v>63.997999999999998</v>
      </c>
      <c r="C10">
        <v>0.60440000000000005</v>
      </c>
      <c r="D10">
        <v>0.83830000000000005</v>
      </c>
      <c r="E10">
        <f>1-Table157[[#This Row],[x1]]</f>
        <v>0.39559999999999995</v>
      </c>
      <c r="F10">
        <f>1-Table157[[#This Row],[y1]]</f>
        <v>0.16169999999999995</v>
      </c>
      <c r="G10">
        <f>Table157[[#This Row],[y1]]*Table157[[#This Row],[P/kPa]]/Table157[[#This Row],[x1]]/$B$14</f>
        <v>1.0497023428593959</v>
      </c>
      <c r="H10">
        <f>Table157[[#This Row],[y2]]*Table157[[#This Row],[P/kPa]]/Table157[[#This Row],[x2]]/$B$3</f>
        <v>1.3110279074936311</v>
      </c>
      <c r="I10">
        <f>Table157[[#This Row],[x1]]*LN(Table157[[#This Row],[gamma1]])+Table157[[#This Row],[x2]]*LN(Table157[[#This Row],[gamma2]])</f>
        <v>0.13645043994460299</v>
      </c>
      <c r="J10">
        <f>-Table157[[#This Row],[x1]]*LN(Table157[[#This Row],[x1]]+Table157[[#This Row],[x2]]*$M$5)-Table157[[#This Row],[x2]]*LN(Table157[[#This Row],[x2]]+Table157[[#This Row],[x1]]*$N$5)</f>
        <v>0.13411754746636714</v>
      </c>
      <c r="K10">
        <f>(Table157[[#This Row],[ExcessG/RT Experiment]]-Table157[[#This Row],[ExcessG/RT Wilson]])^2</f>
        <v>5.4423873150093729E-6</v>
      </c>
      <c r="Q10">
        <v>7.0000000000000007E-2</v>
      </c>
      <c r="R10">
        <f>1-Table7[[#This Row],[x1]]</f>
        <v>0.92999999999999994</v>
      </c>
      <c r="S10">
        <f>EXP(-LN(Table7[[#This Row],[x1]]+Table7[[#This Row],[x2]]*$M$5)+Table7[[#This Row],[x2]]*($M$5/(Table7[[#This Row],[x1]]+Table7[[#This Row],[x2]]*$M$5)-$N$5/(Table7[[#This Row],[x2]]+Table7[[#This Row],[x1]]*$N$5)))</f>
        <v>1.7834754577833698</v>
      </c>
      <c r="T10">
        <f>EXP(-LN(Table7[[#This Row],[x2]]+Table7[[#This Row],[x1]]*$N$5)-Table7[[#This Row],[x1]]*($M$5/(Table7[[#This Row],[x1]]+Table7[[#This Row],[x2]]*$M$5)-$N$5/(Table7[[#This Row],[x2]]+Table7[[#This Row],[x1]]*$N$5)))</f>
        <v>1.0048855147442821</v>
      </c>
      <c r="U10">
        <f>Table7[[#This Row],[x1]]*Table7[[#This Row],[gamma1]]*$M$8+Table7[[#This Row],[x2]]*Table7[[#This Row],[gamma2]]*$N$8</f>
        <v>29.203944644669587</v>
      </c>
      <c r="V10">
        <f>Table7[[#This Row],[x1]]*Table7[[#This Row],[gamma1]]*$M$8/Table7[[#This Row],[P]]</f>
        <v>0.36149218007103423</v>
      </c>
    </row>
    <row r="11" spans="2:22" x14ac:dyDescent="0.3">
      <c r="B11">
        <v>67.924000000000007</v>
      </c>
      <c r="C11">
        <v>0.6804</v>
      </c>
      <c r="D11">
        <v>0.87329999999999997</v>
      </c>
      <c r="E11">
        <f>1-Table157[[#This Row],[x1]]</f>
        <v>0.3196</v>
      </c>
      <c r="F11">
        <f>1-Table157[[#This Row],[y1]]</f>
        <v>0.12670000000000003</v>
      </c>
      <c r="G11">
        <f>Table157[[#This Row],[y1]]*Table157[[#This Row],[P/kPa]]/Table157[[#This Row],[x1]]/$B$14</f>
        <v>1.0309726931101386</v>
      </c>
      <c r="H11">
        <f>Table157[[#This Row],[y2]]*Table157[[#This Row],[P/kPa]]/Table157[[#This Row],[x2]]/$B$3</f>
        <v>1.3495373075413084</v>
      </c>
      <c r="I11">
        <f>Table157[[#This Row],[x1]]*LN(Table157[[#This Row],[gamma1]])+Table157[[#This Row],[x2]]*LN(Table157[[#This Row],[gamma2]])</f>
        <v>0.11655792072502427</v>
      </c>
      <c r="J11">
        <f>-Table157[[#This Row],[x1]]*LN(Table157[[#This Row],[x1]]+Table157[[#This Row],[x2]]*$M$5)-Table157[[#This Row],[x2]]*LN(Table157[[#This Row],[x2]]+Table157[[#This Row],[x1]]*$N$5)</f>
        <v>0.11899962989417655</v>
      </c>
      <c r="K11">
        <f>(Table157[[#This Row],[ExcessG/RT Experiment]]-Table157[[#This Row],[ExcessG/RT Wilson]])^2</f>
        <v>5.9619436667222966E-6</v>
      </c>
      <c r="Q11">
        <v>0.08</v>
      </c>
      <c r="R11">
        <f>1-Table7[[#This Row],[x1]]</f>
        <v>0.92</v>
      </c>
      <c r="S11">
        <f>EXP(-LN(Table7[[#This Row],[x1]]+Table7[[#This Row],[x2]]*$M$5)+Table7[[#This Row],[x2]]*($M$5/(Table7[[#This Row],[x1]]+Table7[[#This Row],[x2]]*$M$5)-$N$5/(Table7[[#This Row],[x2]]+Table7[[#This Row],[x1]]*$N$5)))</f>
        <v>1.7523791664488881</v>
      </c>
      <c r="T11">
        <f>EXP(-LN(Table7[[#This Row],[x2]]+Table7[[#This Row],[x1]]*$N$5)-Table7[[#This Row],[x1]]*($M$5/(Table7[[#This Row],[x1]]+Table7[[#This Row],[x2]]*$M$5)-$N$5/(Table7[[#This Row],[x2]]+Table7[[#This Row],[x1]]*$N$5)))</f>
        <v>1.0063194204749293</v>
      </c>
      <c r="U11">
        <f>Table7[[#This Row],[x1]]*Table7[[#This Row],[gamma1]]*$M$8+Table7[[#This Row],[x2]]*Table7[[#This Row],[gamma2]]*$N$8</f>
        <v>30.327539050857435</v>
      </c>
      <c r="V11">
        <f>Table7[[#This Row],[x1]]*Table7[[#This Row],[gamma1]]*$M$8/Table7[[#This Row],[P]]</f>
        <v>0.3908914253141455</v>
      </c>
    </row>
    <row r="12" spans="2:22" x14ac:dyDescent="0.3">
      <c r="B12">
        <v>70.228999999999999</v>
      </c>
      <c r="C12">
        <v>0.72550000000000003</v>
      </c>
      <c r="D12">
        <v>0.89219999999999999</v>
      </c>
      <c r="E12">
        <f>1-Table157[[#This Row],[x1]]</f>
        <v>0.27449999999999997</v>
      </c>
      <c r="F12">
        <f>1-Table157[[#This Row],[y1]]</f>
        <v>0.10780000000000001</v>
      </c>
      <c r="G12">
        <f>Table157[[#This Row],[y1]]*Table157[[#This Row],[P/kPa]]/Table157[[#This Row],[x1]]/$B$14</f>
        <v>1.0213298865157208</v>
      </c>
      <c r="H12">
        <f>Table157[[#This Row],[y2]]*Table157[[#This Row],[P/kPa]]/Table157[[#This Row],[x2]]/$B$3</f>
        <v>1.3822439380997076</v>
      </c>
      <c r="I12">
        <f>Table157[[#This Row],[x1]]*LN(Table157[[#This Row],[gamma1]])+Table157[[#This Row],[x2]]*LN(Table157[[#This Row],[gamma2]])</f>
        <v>0.1041700109527956</v>
      </c>
      <c r="J12">
        <f>-Table157[[#This Row],[x1]]*LN(Table157[[#This Row],[x1]]+Table157[[#This Row],[x2]]*$M$5)-Table157[[#This Row],[x2]]*LN(Table157[[#This Row],[x2]]+Table157[[#This Row],[x1]]*$N$5)</f>
        <v>0.10744380823827998</v>
      </c>
      <c r="K12">
        <f>(Table157[[#This Row],[ExcessG/RT Experiment]]-Table157[[#This Row],[ExcessG/RT Wilson]])^2</f>
        <v>1.0717748666444902E-5</v>
      </c>
      <c r="Q12">
        <v>0.09</v>
      </c>
      <c r="R12">
        <f>1-Table7[[#This Row],[x1]]</f>
        <v>0.91</v>
      </c>
      <c r="S12">
        <f>EXP(-LN(Table7[[#This Row],[x1]]+Table7[[#This Row],[x2]]*$M$5)+Table7[[#This Row],[x2]]*($M$5/(Table7[[#This Row],[x1]]+Table7[[#This Row],[x2]]*$M$5)-$N$5/(Table7[[#This Row],[x2]]+Table7[[#This Row],[x1]]*$N$5)))</f>
        <v>1.7226092081742386</v>
      </c>
      <c r="T12">
        <f>EXP(-LN(Table7[[#This Row],[x2]]+Table7[[#This Row],[x1]]*$N$5)-Table7[[#This Row],[x1]]*($M$5/(Table7[[#This Row],[x1]]+Table7[[#This Row],[x2]]*$M$5)-$N$5/(Table7[[#This Row],[x2]]+Table7[[#This Row],[x1]]*$N$5)))</f>
        <v>1.0079221998479142</v>
      </c>
      <c r="U12">
        <f>Table7[[#This Row],[x1]]*Table7[[#This Row],[gamma1]]*$M$8+Table7[[#This Row],[x2]]*Table7[[#This Row],[gamma2]]*$N$8</f>
        <v>31.411130392291238</v>
      </c>
      <c r="V12">
        <f>Table7[[#This Row],[x1]]*Table7[[#This Row],[gamma1]]*$M$8/Table7[[#This Row],[P]]</f>
        <v>0.41736973562607282</v>
      </c>
    </row>
    <row r="13" spans="2:22" x14ac:dyDescent="0.3">
      <c r="B13">
        <v>72.831999999999994</v>
      </c>
      <c r="C13">
        <v>0.77759999999999996</v>
      </c>
      <c r="D13">
        <v>0.91410000000000002</v>
      </c>
      <c r="E13">
        <f>1-Table157[[#This Row],[x1]]</f>
        <v>0.22240000000000004</v>
      </c>
      <c r="F13">
        <f>1-Table157[[#This Row],[y1]]</f>
        <v>8.5899999999999976E-2</v>
      </c>
      <c r="G13">
        <f>Table157[[#This Row],[y1]]*Table157[[#This Row],[P/kPa]]/Table157[[#This Row],[x1]]/$B$14</f>
        <v>1.0124753230955386</v>
      </c>
      <c r="H13">
        <f>Table157[[#This Row],[y2]]*Table157[[#This Row],[P/kPa]]/Table157[[#This Row],[x2]]/$B$3</f>
        <v>1.4098483955280514</v>
      </c>
      <c r="I13">
        <f>Table157[[#This Row],[x1]]*LN(Table157[[#This Row],[gamma1]])+Table157[[#This Row],[x2]]*LN(Table157[[#This Row],[gamma2]])</f>
        <v>8.6031235779379225E-2</v>
      </c>
      <c r="J13">
        <f>-Table157[[#This Row],[x1]]*LN(Table157[[#This Row],[x1]]+Table157[[#This Row],[x2]]*$M$5)-Table157[[#This Row],[x2]]*LN(Table157[[#This Row],[x2]]+Table157[[#This Row],[x1]]*$N$5)</f>
        <v>9.1818650031449234E-2</v>
      </c>
      <c r="K13">
        <f>(Table157[[#This Row],[ExcessG/RT Experiment]]-Table157[[#This Row],[ExcessG/RT Wilson]])^2</f>
        <v>3.3494163725063056E-5</v>
      </c>
      <c r="Q13">
        <v>0.1</v>
      </c>
      <c r="R13">
        <f>1-Table7[[#This Row],[x1]]</f>
        <v>0.9</v>
      </c>
      <c r="S13">
        <f>EXP(-LN(Table7[[#This Row],[x1]]+Table7[[#This Row],[x2]]*$M$5)+Table7[[#This Row],[x2]]*($M$5/(Table7[[#This Row],[x1]]+Table7[[#This Row],[x2]]*$M$5)-$N$5/(Table7[[#This Row],[x2]]+Table7[[#This Row],[x1]]*$N$5)))</f>
        <v>1.6940946691849375</v>
      </c>
      <c r="T13">
        <f>EXP(-LN(Table7[[#This Row],[x2]]+Table7[[#This Row],[x1]]*$N$5)-Table7[[#This Row],[x1]]*($M$5/(Table7[[#This Row],[x1]]+Table7[[#This Row],[x2]]*$M$5)-$N$5/(Table7[[#This Row],[x2]]+Table7[[#This Row],[x1]]*$N$5)))</f>
        <v>1.0096895314818022</v>
      </c>
      <c r="U13">
        <f>Table7[[#This Row],[x1]]*Table7[[#This Row],[gamma1]]*$M$8+Table7[[#This Row],[x2]]*Table7[[#This Row],[gamma2]]*$N$8</f>
        <v>32.457305041052429</v>
      </c>
      <c r="V13">
        <f>Table7[[#This Row],[x1]]*Table7[[#This Row],[gamma1]]*$M$8/Table7[[#This Row],[P]]</f>
        <v>0.44136761580921324</v>
      </c>
    </row>
    <row r="14" spans="2:22" x14ac:dyDescent="0.3">
      <c r="B14">
        <v>84.561999999999998</v>
      </c>
      <c r="C14">
        <v>1</v>
      </c>
      <c r="D14">
        <v>1</v>
      </c>
      <c r="E14">
        <f>1-Table157[[#This Row],[x1]]</f>
        <v>0</v>
      </c>
      <c r="F14">
        <f>1-Table157[[#This Row],[y1]]</f>
        <v>0</v>
      </c>
      <c r="G14">
        <f>Table157[[#This Row],[y1]]*Table157[[#This Row],[P/kPa]]/Table157[[#This Row],[x1]]/$B$14</f>
        <v>1</v>
      </c>
      <c r="Q14">
        <v>0.11</v>
      </c>
      <c r="R14">
        <f>1-Table7[[#This Row],[x1]]</f>
        <v>0.89</v>
      </c>
      <c r="S14">
        <f>EXP(-LN(Table7[[#This Row],[x1]]+Table7[[#This Row],[x2]]*$M$5)+Table7[[#This Row],[x2]]*($M$5/(Table7[[#This Row],[x1]]+Table7[[#This Row],[x2]]*$M$5)-$N$5/(Table7[[#This Row],[x2]]+Table7[[#This Row],[x1]]*$N$5)))</f>
        <v>1.6667693770203074</v>
      </c>
      <c r="T14">
        <f>EXP(-LN(Table7[[#This Row],[x2]]+Table7[[#This Row],[x1]]*$N$5)-Table7[[#This Row],[x1]]*($M$5/(Table7[[#This Row],[x1]]+Table7[[#This Row],[x2]]*$M$5)-$N$5/(Table7[[#This Row],[x2]]+Table7[[#This Row],[x1]]*$N$5)))</f>
        <v>1.0116173419165253</v>
      </c>
      <c r="U14">
        <f>Table7[[#This Row],[x1]]*Table7[[#This Row],[gamma1]]*$M$8+Table7[[#This Row],[x2]]*Table7[[#This Row],[gamma2]]*$N$8</f>
        <v>33.468461459256815</v>
      </c>
      <c r="V14">
        <f>Table7[[#This Row],[x1]]*Table7[[#This Row],[gamma1]]*$M$8/Table7[[#This Row],[P]]</f>
        <v>0.46324175210231822</v>
      </c>
    </row>
    <row r="15" spans="2:22" x14ac:dyDescent="0.3">
      <c r="Q15">
        <v>0.12</v>
      </c>
      <c r="R15">
        <f>1-Table7[[#This Row],[x1]]</f>
        <v>0.88</v>
      </c>
      <c r="S15">
        <f>EXP(-LN(Table7[[#This Row],[x1]]+Table7[[#This Row],[x2]]*$M$5)+Table7[[#This Row],[x2]]*($M$5/(Table7[[#This Row],[x1]]+Table7[[#This Row],[x2]]*$M$5)-$N$5/(Table7[[#This Row],[x2]]+Table7[[#This Row],[x1]]*$N$5)))</f>
        <v>1.6405715270804808</v>
      </c>
      <c r="T15">
        <f>EXP(-LN(Table7[[#This Row],[x2]]+Table7[[#This Row],[x1]]*$N$5)-Table7[[#This Row],[x1]]*($M$5/(Table7[[#This Row],[x1]]+Table7[[#This Row],[x2]]*$M$5)-$N$5/(Table7[[#This Row],[x2]]+Table7[[#This Row],[x1]]*$N$5)))</f>
        <v>1.013701790310638</v>
      </c>
      <c r="U15">
        <f>Table7[[#This Row],[x1]]*Table7[[#This Row],[gamma1]]*$M$8+Table7[[#This Row],[x2]]*Table7[[#This Row],[gamma2]]*$N$8</f>
        <v>34.446825940177533</v>
      </c>
      <c r="V15">
        <f>Table7[[#This Row],[x1]]*Table7[[#This Row],[gamma1]]*$M$8/Table7[[#This Row],[P]]</f>
        <v>0.48328403800306008</v>
      </c>
    </row>
    <row r="16" spans="2:22" x14ac:dyDescent="0.3">
      <c r="K16">
        <f>SUM(K4:K13)</f>
        <v>1.8350067317111256E-4</v>
      </c>
      <c r="Q16">
        <v>0.13</v>
      </c>
      <c r="R16">
        <f>1-Table7[[#This Row],[x1]]</f>
        <v>0.87</v>
      </c>
      <c r="S16">
        <f>EXP(-LN(Table7[[#This Row],[x1]]+Table7[[#This Row],[x2]]*$M$5)+Table7[[#This Row],[x2]]*($M$5/(Table7[[#This Row],[x1]]+Table7[[#This Row],[x2]]*$M$5)-$N$5/(Table7[[#This Row],[x2]]+Table7[[#This Row],[x1]]*$N$5)))</f>
        <v>1.6154433428380925</v>
      </c>
      <c r="T16">
        <f>EXP(-LN(Table7[[#This Row],[x2]]+Table7[[#This Row],[x1]]*$N$5)-Table7[[#This Row],[x1]]*($M$5/(Table7[[#This Row],[x1]]+Table7[[#This Row],[x2]]*$M$5)-$N$5/(Table7[[#This Row],[x2]]+Table7[[#This Row],[x1]]*$N$5)))</f>
        <v>1.0159392542641648</v>
      </c>
      <c r="U16">
        <f>Table7[[#This Row],[x1]]*Table7[[#This Row],[gamma1]]*$M$8+Table7[[#This Row],[x2]]*Table7[[#This Row],[gamma2]]*$N$8</f>
        <v>35.394466862509326</v>
      </c>
      <c r="V16">
        <f>Table7[[#This Row],[x1]]*Table7[[#This Row],[gamma1]]*$M$8/Table7[[#This Row],[P]]</f>
        <v>0.50173564312760222</v>
      </c>
    </row>
    <row r="17" spans="17:22" x14ac:dyDescent="0.3">
      <c r="Q17">
        <v>0.14000000000000001</v>
      </c>
      <c r="R17">
        <f>1-Table7[[#This Row],[x1]]</f>
        <v>0.86</v>
      </c>
      <c r="S17">
        <f>EXP(-LN(Table7[[#This Row],[x1]]+Table7[[#This Row],[x2]]*$M$5)+Table7[[#This Row],[x2]]*($M$5/(Table7[[#This Row],[x1]]+Table7[[#This Row],[x2]]*$M$5)-$N$5/(Table7[[#This Row],[x2]]+Table7[[#This Row],[x1]]*$N$5)))</f>
        <v>1.5913307663141378</v>
      </c>
      <c r="T17">
        <f>EXP(-LN(Table7[[#This Row],[x2]]+Table7[[#This Row],[x1]]*$N$5)-Table7[[#This Row],[x1]]*($M$5/(Table7[[#This Row],[x1]]+Table7[[#This Row],[x2]]*$M$5)-$N$5/(Table7[[#This Row],[x2]]+Table7[[#This Row],[x1]]*$N$5)))</f>
        <v>1.0183263166727659</v>
      </c>
      <c r="U17">
        <f>Table7[[#This Row],[x1]]*Table7[[#This Row],[gamma1]]*$M$8+Table7[[#This Row],[x2]]*Table7[[#This Row],[gamma2]]*$N$8</f>
        <v>36.31330761359952</v>
      </c>
      <c r="V17">
        <f>Table7[[#This Row],[x1]]*Table7[[#This Row],[gamma1]]*$M$8/Table7[[#This Row],[P]]</f>
        <v>0.5187975691174016</v>
      </c>
    </row>
    <row r="18" spans="17:22" x14ac:dyDescent="0.3">
      <c r="Q18">
        <v>0.15</v>
      </c>
      <c r="R18">
        <f>1-Table7[[#This Row],[x1]]</f>
        <v>0.85</v>
      </c>
      <c r="S18">
        <f>EXP(-LN(Table7[[#This Row],[x1]]+Table7[[#This Row],[x2]]*$M$5)+Table7[[#This Row],[x2]]*($M$5/(Table7[[#This Row],[x1]]+Table7[[#This Row],[x2]]*$M$5)-$N$5/(Table7[[#This Row],[x2]]+Table7[[#This Row],[x1]]*$N$5)))</f>
        <v>1.5681831757965152</v>
      </c>
      <c r="T18">
        <f>EXP(-LN(Table7[[#This Row],[x2]]+Table7[[#This Row],[x1]]*$N$5)-Table7[[#This Row],[x1]]*($M$5/(Table7[[#This Row],[x1]]+Table7[[#This Row],[x2]]*$M$5)-$N$5/(Table7[[#This Row],[x2]]+Table7[[#This Row],[x1]]*$N$5)))</f>
        <v>1.020859753527783</v>
      </c>
      <c r="U18">
        <f>Table7[[#This Row],[x1]]*Table7[[#This Row],[gamma1]]*$M$8+Table7[[#This Row],[x2]]*Table7[[#This Row],[gamma2]]*$N$8</f>
        <v>37.205138319574615</v>
      </c>
      <c r="V18">
        <f>Table7[[#This Row],[x1]]*Table7[[#This Row],[gamma1]]*$M$8/Table7[[#This Row],[P]]</f>
        <v>0.53463867506414808</v>
      </c>
    </row>
    <row r="19" spans="17:22" x14ac:dyDescent="0.3">
      <c r="Q19">
        <v>0.16</v>
      </c>
      <c r="R19">
        <f>1-Table7[[#This Row],[x1]]</f>
        <v>0.84</v>
      </c>
      <c r="S19">
        <f>EXP(-LN(Table7[[#This Row],[x1]]+Table7[[#This Row],[x2]]*$M$5)+Table7[[#This Row],[x2]]*($M$5/(Table7[[#This Row],[x1]]+Table7[[#This Row],[x2]]*$M$5)-$N$5/(Table7[[#This Row],[x2]]+Table7[[#This Row],[x1]]*$N$5)))</f>
        <v>1.5459531281126702</v>
      </c>
      <c r="T19">
        <f>EXP(-LN(Table7[[#This Row],[x2]]+Table7[[#This Row],[x1]]*$N$5)-Table7[[#This Row],[x1]]*($M$5/(Table7[[#This Row],[x1]]+Table7[[#This Row],[x2]]*$M$5)-$N$5/(Table7[[#This Row],[x2]]+Table7[[#This Row],[x1]]*$N$5)))</f>
        <v>1.0235365225846602</v>
      </c>
      <c r="U19">
        <f>Table7[[#This Row],[x1]]*Table7[[#This Row],[gamma1]]*$M$8+Table7[[#This Row],[x2]]*Table7[[#This Row],[gamma2]]*$N$8</f>
        <v>38.071626504624831</v>
      </c>
      <c r="V19">
        <f>Table7[[#This Row],[x1]]*Table7[[#This Row],[gamma1]]*$M$8/Table7[[#This Row],[P]]</f>
        <v>0.54940185296715094</v>
      </c>
    </row>
    <row r="20" spans="17:22" x14ac:dyDescent="0.3">
      <c r="Q20">
        <v>0.17</v>
      </c>
      <c r="R20">
        <f>1-Table7[[#This Row],[x1]]</f>
        <v>0.83</v>
      </c>
      <c r="S20">
        <f>EXP(-LN(Table7[[#This Row],[x1]]+Table7[[#This Row],[x2]]*$M$5)+Table7[[#This Row],[x2]]*($M$5/(Table7[[#This Row],[x1]]+Table7[[#This Row],[x2]]*$M$5)-$N$5/(Table7[[#This Row],[x2]]+Table7[[#This Row],[x1]]*$N$5)))</f>
        <v>1.5245961230607088</v>
      </c>
      <c r="T20">
        <f>EXP(-LN(Table7[[#This Row],[x2]]+Table7[[#This Row],[x1]]*$N$5)-Table7[[#This Row],[x1]]*($M$5/(Table7[[#This Row],[x1]]+Table7[[#This Row],[x2]]*$M$5)-$N$5/(Table7[[#This Row],[x2]]+Table7[[#This Row],[x1]]*$N$5)))</f>
        <v>1.0263537528293465</v>
      </c>
      <c r="U20">
        <f>Table7[[#This Row],[x1]]*Table7[[#This Row],[gamma1]]*$M$8+Table7[[#This Row],[x2]]*Table7[[#This Row],[gamma2]]*$N$8</f>
        <v>38.914326787973422</v>
      </c>
      <c r="V20">
        <f>Table7[[#This Row],[x1]]*Table7[[#This Row],[gamma1]]*$M$8/Table7[[#This Row],[P]]</f>
        <v>0.56320883232335961</v>
      </c>
    </row>
    <row r="21" spans="17:22" x14ac:dyDescent="0.3">
      <c r="Q21">
        <v>0.18</v>
      </c>
      <c r="R21">
        <f>1-Table7[[#This Row],[x1]]</f>
        <v>0.82000000000000006</v>
      </c>
      <c r="S21">
        <f>EXP(-LN(Table7[[#This Row],[x1]]+Table7[[#This Row],[x2]]*$M$5)+Table7[[#This Row],[x2]]*($M$5/(Table7[[#This Row],[x1]]+Table7[[#This Row],[x2]]*$M$5)-$N$5/(Table7[[#This Row],[x2]]+Table7[[#This Row],[x1]]*$N$5)))</f>
        <v>1.504070387861455</v>
      </c>
      <c r="T21">
        <f>EXP(-LN(Table7[[#This Row],[x2]]+Table7[[#This Row],[x1]]*$N$5)-Table7[[#This Row],[x1]]*($M$5/(Table7[[#This Row],[x1]]+Table7[[#This Row],[x2]]*$M$5)-$N$5/(Table7[[#This Row],[x2]]+Table7[[#This Row],[x1]]*$N$5)))</f>
        <v>1.0293087346786838</v>
      </c>
      <c r="U21">
        <f>Table7[[#This Row],[x1]]*Table7[[#This Row],[gamma1]]*$M$8+Table7[[#This Row],[x2]]*Table7[[#This Row],[gamma2]]*$N$8</f>
        <v>39.73468971499716</v>
      </c>
      <c r="V21">
        <f>Table7[[#This Row],[x1]]*Table7[[#This Row],[gamma1]]*$M$8/Table7[[#This Row],[P]]</f>
        <v>0.5761639562082812</v>
      </c>
    </row>
    <row r="22" spans="17:22" x14ac:dyDescent="0.3">
      <c r="Q22">
        <v>0.19</v>
      </c>
      <c r="R22">
        <f>1-Table7[[#This Row],[x1]]</f>
        <v>0.81</v>
      </c>
      <c r="S22">
        <f>EXP(-LN(Table7[[#This Row],[x1]]+Table7[[#This Row],[x2]]*$M$5)+Table7[[#This Row],[x2]]*($M$5/(Table7[[#This Row],[x1]]+Table7[[#This Row],[x2]]*$M$5)-$N$5/(Table7[[#This Row],[x2]]+Table7[[#This Row],[x1]]*$N$5)))</f>
        <v>1.4843366797216984</v>
      </c>
      <c r="T22">
        <f>EXP(-LN(Table7[[#This Row],[x2]]+Table7[[#This Row],[x1]]*$N$5)-Table7[[#This Row],[x1]]*($M$5/(Table7[[#This Row],[x1]]+Table7[[#This Row],[x2]]*$M$5)-$N$5/(Table7[[#This Row],[x2]]+Table7[[#This Row],[x1]]*$N$5)))</f>
        <v>1.0323989108565363</v>
      </c>
      <c r="U22">
        <f>Table7[[#This Row],[x1]]*Table7[[#This Row],[gamma1]]*$M$8+Table7[[#This Row],[x2]]*Table7[[#This Row],[gamma2]]*$N$8</f>
        <v>40.534069808358566</v>
      </c>
      <c r="V22">
        <f>Table7[[#This Row],[x1]]*Table7[[#This Row],[gamma1]]*$M$8/Table7[[#This Row],[P]]</f>
        <v>0.58835717685819855</v>
      </c>
    </row>
    <row r="23" spans="17:22" x14ac:dyDescent="0.3">
      <c r="Q23">
        <v>0.2</v>
      </c>
      <c r="R23">
        <f>1-Table7[[#This Row],[x1]]</f>
        <v>0.8</v>
      </c>
      <c r="S23">
        <f>EXP(-LN(Table7[[#This Row],[x1]]+Table7[[#This Row],[x2]]*$M$5)+Table7[[#This Row],[x2]]*($M$5/(Table7[[#This Row],[x1]]+Table7[[#This Row],[x2]]*$M$5)-$N$5/(Table7[[#This Row],[x2]]+Table7[[#This Row],[x1]]*$N$5)))</f>
        <v>1.4653581048001398</v>
      </c>
      <c r="T23">
        <f>EXP(-LN(Table7[[#This Row],[x2]]+Table7[[#This Row],[x1]]*$N$5)-Table7[[#This Row],[x1]]*($M$5/(Table7[[#This Row],[x1]]+Table7[[#This Row],[x2]]*$M$5)-$N$5/(Table7[[#This Row],[x2]]+Table7[[#This Row],[x1]]*$N$5)))</f>
        <v>1.0356218678925966</v>
      </c>
      <c r="U23">
        <f>Table7[[#This Row],[x1]]*Table7[[#This Row],[gamma1]]*$M$8+Table7[[#This Row],[x2]]*Table7[[#This Row],[gamma2]]*$N$8</f>
        <v>41.31373291567067</v>
      </c>
      <c r="V23">
        <f>Table7[[#This Row],[x1]]*Table7[[#This Row],[gamma1]]*$M$8/Table7[[#This Row],[P]]</f>
        <v>0.59986645269281824</v>
      </c>
    </row>
    <row r="24" spans="17:22" x14ac:dyDescent="0.3">
      <c r="Q24">
        <v>0.21</v>
      </c>
      <c r="R24">
        <f>1-Table7[[#This Row],[x1]]</f>
        <v>0.79</v>
      </c>
      <c r="S24">
        <f>EXP(-LN(Table7[[#This Row],[x1]]+Table7[[#This Row],[x2]]*$M$5)+Table7[[#This Row],[x2]]*($M$5/(Table7[[#This Row],[x1]]+Table7[[#This Row],[x2]]*$M$5)-$N$5/(Table7[[#This Row],[x2]]+Table7[[#This Row],[x1]]*$N$5)))</f>
        <v>1.4470999520456926</v>
      </c>
      <c r="T24">
        <f>EXP(-LN(Table7[[#This Row],[x2]]+Table7[[#This Row],[x1]]*$N$5)-Table7[[#This Row],[x1]]*($M$5/(Table7[[#This Row],[x1]]+Table7[[#This Row],[x2]]*$M$5)-$N$5/(Table7[[#This Row],[x2]]+Table7[[#This Row],[x1]]*$N$5)))</f>
        <v>1.0389753281954808</v>
      </c>
      <c r="U24">
        <f>Table7[[#This Row],[x1]]*Table7[[#This Row],[gamma1]]*$M$8+Table7[[#This Row],[x2]]*Table7[[#This Row],[gamma2]]*$N$8</f>
        <v>42.074862921979147</v>
      </c>
      <c r="V24">
        <f>Table7[[#This Row],[x1]]*Table7[[#This Row],[gamma1]]*$M$8/Table7[[#This Row],[P]]</f>
        <v>0.61075968180997864</v>
      </c>
    </row>
    <row r="25" spans="17:22" x14ac:dyDescent="0.3">
      <c r="Q25">
        <v>0.22</v>
      </c>
      <c r="R25">
        <f>1-Table7[[#This Row],[x1]]</f>
        <v>0.78</v>
      </c>
      <c r="S25">
        <f>EXP(-LN(Table7[[#This Row],[x1]]+Table7[[#This Row],[x2]]*$M$5)+Table7[[#This Row],[x2]]*($M$5/(Table7[[#This Row],[x1]]+Table7[[#This Row],[x2]]*$M$5)-$N$5/(Table7[[#This Row],[x2]]+Table7[[#This Row],[x1]]*$N$5)))</f>
        <v>1.4295295405356021</v>
      </c>
      <c r="T25">
        <f>EXP(-LN(Table7[[#This Row],[x2]]+Table7[[#This Row],[x1]]*$N$5)-Table7[[#This Row],[x1]]*($M$5/(Table7[[#This Row],[x1]]+Table7[[#This Row],[x2]]*$M$5)-$N$5/(Table7[[#This Row],[x2]]+Table7[[#This Row],[x1]]*$N$5)))</f>
        <v>1.0424571426559359</v>
      </c>
      <c r="U25">
        <f>Table7[[#This Row],[x1]]*Table7[[#This Row],[gamma1]]*$M$8+Table7[[#This Row],[x2]]*Table7[[#This Row],[gamma2]]*$N$8</f>
        <v>42.818567888072579</v>
      </c>
      <c r="V25">
        <f>Table7[[#This Row],[x1]]*Table7[[#This Row],[gamma1]]*$M$8/Table7[[#This Row],[P]]</f>
        <v>0.62109627325714056</v>
      </c>
    </row>
    <row r="26" spans="17:22" x14ac:dyDescent="0.3">
      <c r="Q26">
        <v>0.23</v>
      </c>
      <c r="R26">
        <f>1-Table7[[#This Row],[x1]]</f>
        <v>0.77</v>
      </c>
      <c r="S26">
        <f>EXP(-LN(Table7[[#This Row],[x1]]+Table7[[#This Row],[x2]]*$M$5)+Table7[[#This Row],[x2]]*($M$5/(Table7[[#This Row],[x1]]+Table7[[#This Row],[x2]]*$M$5)-$N$5/(Table7[[#This Row],[x2]]+Table7[[#This Row],[x1]]*$N$5)))</f>
        <v>1.4126160790809394</v>
      </c>
      <c r="T26">
        <f>EXP(-LN(Table7[[#This Row],[x2]]+Table7[[#This Row],[x1]]*$N$5)-Table7[[#This Row],[x1]]*($M$5/(Table7[[#This Row],[x1]]+Table7[[#This Row],[x2]]*$M$5)-$N$5/(Table7[[#This Row],[x2]]+Table7[[#This Row],[x1]]*$N$5)))</f>
        <v>1.0460652837398063</v>
      </c>
      <c r="U26">
        <f>Table7[[#This Row],[x1]]*Table7[[#This Row],[gamma1]]*$M$8+Table7[[#This Row],[x2]]*Table7[[#This Row],[gamma2]]*$N$8</f>
        <v>43.545885669200231</v>
      </c>
      <c r="V26">
        <f>Table7[[#This Row],[x1]]*Table7[[#This Row],[gamma1]]*$M$8/Table7[[#This Row],[P]]</f>
        <v>0.63092843284751932</v>
      </c>
    </row>
    <row r="27" spans="17:22" x14ac:dyDescent="0.3">
      <c r="Q27">
        <v>0.24</v>
      </c>
      <c r="R27">
        <f>1-Table7[[#This Row],[x1]]</f>
        <v>0.76</v>
      </c>
      <c r="S27">
        <f>EXP(-LN(Table7[[#This Row],[x1]]+Table7[[#This Row],[x2]]*$M$5)+Table7[[#This Row],[x2]]*($M$5/(Table7[[#This Row],[x1]]+Table7[[#This Row],[x2]]*$M$5)-$N$5/(Table7[[#This Row],[x2]]+Table7[[#This Row],[x1]]*$N$5)))</f>
        <v>1.3963305369914503</v>
      </c>
      <c r="T27">
        <f>EXP(-LN(Table7[[#This Row],[x2]]+Table7[[#This Row],[x1]]*$N$5)-Table7[[#This Row],[x1]]*($M$5/(Table7[[#This Row],[x1]]+Table7[[#This Row],[x2]]*$M$5)-$N$5/(Table7[[#This Row],[x2]]+Table7[[#This Row],[x1]]*$N$5)))</f>
        <v>1.0497978390338376</v>
      </c>
      <c r="U27">
        <f>Table7[[#This Row],[x1]]*Table7[[#This Row],[gamma1]]*$M$8+Table7[[#This Row],[x2]]*Table7[[#This Row],[gamma2]]*$N$8</f>
        <v>44.257789063081084</v>
      </c>
      <c r="V27">
        <f>Table7[[#This Row],[x1]]*Table7[[#This Row],[gamma1]]*$M$8/Table7[[#This Row],[P]]</f>
        <v>0.64030222224128919</v>
      </c>
    </row>
    <row r="28" spans="17:22" x14ac:dyDescent="0.3">
      <c r="Q28">
        <v>0.25</v>
      </c>
      <c r="R28">
        <f>1-Table7[[#This Row],[x1]]</f>
        <v>0.75</v>
      </c>
      <c r="S28">
        <f>EXP(-LN(Table7[[#This Row],[x1]]+Table7[[#This Row],[x2]]*$M$5)+Table7[[#This Row],[x2]]*($M$5/(Table7[[#This Row],[x1]]+Table7[[#This Row],[x2]]*$M$5)-$N$5/(Table7[[#This Row],[x2]]+Table7[[#This Row],[x1]]*$N$5)))</f>
        <v>1.3806455250024736</v>
      </c>
      <c r="T28">
        <f>EXP(-LN(Table7[[#This Row],[x2]]+Table7[[#This Row],[x1]]*$N$5)-Table7[[#This Row],[x1]]*($M$5/(Table7[[#This Row],[x1]]+Table7[[#This Row],[x2]]*$M$5)-$N$5/(Table7[[#This Row],[x2]]+Table7[[#This Row],[x1]]*$N$5)))</f>
        <v>1.0536530052105346</v>
      </c>
      <c r="U28">
        <f>Table7[[#This Row],[x1]]*Table7[[#This Row],[gamma1]]*$M$8+Table7[[#This Row],[x2]]*Table7[[#This Row],[gamma2]]*$N$8</f>
        <v>44.955190531039136</v>
      </c>
      <c r="V28">
        <f>Table7[[#This Row],[x1]]*Table7[[#This Row],[gamma1]]*$M$8/Table7[[#This Row],[P]]</f>
        <v>0.64925843660171723</v>
      </c>
    </row>
    <row r="29" spans="17:22" x14ac:dyDescent="0.3">
      <c r="Q29">
        <v>0.26</v>
      </c>
      <c r="R29">
        <f>1-Table7[[#This Row],[x1]]</f>
        <v>0.74</v>
      </c>
      <c r="S29">
        <f>EXP(-LN(Table7[[#This Row],[x1]]+Table7[[#This Row],[x2]]*$M$5)+Table7[[#This Row],[x2]]*($M$5/(Table7[[#This Row],[x1]]+Table7[[#This Row],[x2]]*$M$5)-$N$5/(Table7[[#This Row],[x2]]+Table7[[#This Row],[x1]]*$N$5)))</f>
        <v>1.3655351854652602</v>
      </c>
      <c r="T29">
        <f>EXP(-LN(Table7[[#This Row],[x2]]+Table7[[#This Row],[x1]]*$N$5)-Table7[[#This Row],[x1]]*($M$5/(Table7[[#This Row],[x1]]+Table7[[#This Row],[x2]]*$M$5)-$N$5/(Table7[[#This Row],[x2]]+Table7[[#This Row],[x1]]*$N$5)))</f>
        <v>1.0576290823811101</v>
      </c>
      <c r="U29">
        <f>Table7[[#This Row],[x1]]*Table7[[#This Row],[gamma1]]*$M$8+Table7[[#This Row],[x2]]*Table7[[#This Row],[gamma2]]*$N$8</f>
        <v>45.638946531616682</v>
      </c>
      <c r="V29">
        <f>Table7[[#This Row],[x1]]*Table7[[#This Row],[gamma1]]*$M$8/Table7[[#This Row],[P]]</f>
        <v>0.6578333360754276</v>
      </c>
    </row>
    <row r="30" spans="17:22" x14ac:dyDescent="0.3">
      <c r="Q30">
        <v>0.27</v>
      </c>
      <c r="R30">
        <f>1-Table7[[#This Row],[x1]]</f>
        <v>0.73</v>
      </c>
      <c r="S30">
        <f>EXP(-LN(Table7[[#This Row],[x1]]+Table7[[#This Row],[x2]]*$M$5)+Table7[[#This Row],[x2]]*($M$5/(Table7[[#This Row],[x1]]+Table7[[#This Row],[x2]]*$M$5)-$N$5/(Table7[[#This Row],[x2]]+Table7[[#This Row],[x1]]*$N$5)))</f>
        <v>1.3509750909899827</v>
      </c>
      <c r="T30">
        <f>EXP(-LN(Table7[[#This Row],[x2]]+Table7[[#This Row],[x1]]*$N$5)-Table7[[#This Row],[x1]]*($M$5/(Table7[[#This Row],[x1]]+Table7[[#This Row],[x2]]*$M$5)-$N$5/(Table7[[#This Row],[x2]]+Table7[[#This Row],[x1]]*$N$5)))</f>
        <v>1.061724468808134</v>
      </c>
      <c r="U30">
        <f>Table7[[#This Row],[x1]]*Table7[[#This Row],[gamma1]]*$M$8+Table7[[#This Row],[x2]]*Table7[[#This Row],[gamma2]]*$N$8</f>
        <v>46.309861502033577</v>
      </c>
      <c r="V30">
        <f>Table7[[#This Row],[x1]]*Table7[[#This Row],[gamma1]]*$M$8/Table7[[#This Row],[P]]</f>
        <v>0.66605925873056537</v>
      </c>
    </row>
    <row r="31" spans="17:22" x14ac:dyDescent="0.3">
      <c r="Q31">
        <v>0.28000000000000003</v>
      </c>
      <c r="R31">
        <f>1-Table7[[#This Row],[x1]]</f>
        <v>0.72</v>
      </c>
      <c r="S31">
        <f>EXP(-LN(Table7[[#This Row],[x1]]+Table7[[#This Row],[x2]]*$M$5)+Table7[[#This Row],[x2]]*($M$5/(Table7[[#This Row],[x1]]+Table7[[#This Row],[x2]]*$M$5)-$N$5/(Table7[[#This Row],[x2]]+Table7[[#This Row],[x1]]*$N$5)))</f>
        <v>1.3369421508092938</v>
      </c>
      <c r="T31">
        <f>EXP(-LN(Table7[[#This Row],[x2]]+Table7[[#This Row],[x1]]*$N$5)-Table7[[#This Row],[x1]]*($M$5/(Table7[[#This Row],[x1]]+Table7[[#This Row],[x2]]*$M$5)-$N$5/(Table7[[#This Row],[x2]]+Table7[[#This Row],[x1]]*$N$5)))</f>
        <v>1.0659376559518265</v>
      </c>
      <c r="U31">
        <f>Table7[[#This Row],[x1]]*Table7[[#This Row],[gamma1]]*$M$8+Table7[[#This Row],[x2]]*Table7[[#This Row],[gamma2]]*$N$8</f>
        <v>46.968691519314831</v>
      </c>
      <c r="V31">
        <f>Table7[[#This Row],[x1]]*Table7[[#This Row],[gamma1]]*$M$8/Table7[[#This Row],[P]]</f>
        <v>0.67396513677347003</v>
      </c>
    </row>
    <row r="32" spans="17:22" x14ac:dyDescent="0.3">
      <c r="Q32">
        <v>0.28999999999999998</v>
      </c>
      <c r="R32">
        <f>1-Table7[[#This Row],[x1]]</f>
        <v>0.71</v>
      </c>
      <c r="S32">
        <f>EXP(-LN(Table7[[#This Row],[x1]]+Table7[[#This Row],[x2]]*$M$5)+Table7[[#This Row],[x2]]*($M$5/(Table7[[#This Row],[x1]]+Table7[[#This Row],[x2]]*$M$5)-$N$5/(Table7[[#This Row],[x2]]+Table7[[#This Row],[x1]]*$N$5)))</f>
        <v>1.3234145242004989</v>
      </c>
      <c r="T32">
        <f>EXP(-LN(Table7[[#This Row],[x2]]+Table7[[#This Row],[x1]]*$N$5)-Table7[[#This Row],[x1]]*($M$5/(Table7[[#This Row],[x1]]+Table7[[#This Row],[x2]]*$M$5)-$N$5/(Table7[[#This Row],[x2]]+Table7[[#This Row],[x1]]*$N$5)))</f>
        <v>1.0702672238260513</v>
      </c>
      <c r="U32">
        <f>Table7[[#This Row],[x1]]*Table7[[#This Row],[gamma1]]*$M$8+Table7[[#This Row],[x2]]*Table7[[#This Row],[gamma2]]*$N$8</f>
        <v>47.616147669749196</v>
      </c>
      <c r="V32">
        <f>Table7[[#This Row],[x1]]*Table7[[#This Row],[gamma1]]*$M$8/Table7[[#This Row],[P]]</f>
        <v>0.68157693339179126</v>
      </c>
    </row>
    <row r="33" spans="17:22" x14ac:dyDescent="0.3">
      <c r="Q33">
        <v>0.3</v>
      </c>
      <c r="R33">
        <f>1-Table7[[#This Row],[x1]]</f>
        <v>0.7</v>
      </c>
      <c r="S33">
        <f>EXP(-LN(Table7[[#This Row],[x1]]+Table7[[#This Row],[x2]]*$M$5)+Table7[[#This Row],[x2]]*($M$5/(Table7[[#This Row],[x1]]+Table7[[#This Row],[x2]]*$M$5)-$N$5/(Table7[[#This Row],[x2]]+Table7[[#This Row],[x1]]*$N$5)))</f>
        <v>1.3103715403672747</v>
      </c>
      <c r="T33">
        <f>EXP(-LN(Table7[[#This Row],[x2]]+Table7[[#This Row],[x1]]*$N$5)-Table7[[#This Row],[x1]]*($M$5/(Table7[[#This Row],[x1]]+Table7[[#This Row],[x2]]*$M$5)-$N$5/(Table7[[#This Row],[x2]]+Table7[[#This Row],[x1]]*$N$5)))</f>
        <v>1.0747118366420076</v>
      </c>
      <c r="U33">
        <f>Table7[[#This Row],[x1]]*Table7[[#This Row],[gamma1]]*$M$8+Table7[[#This Row],[x2]]*Table7[[#This Row],[gamma2]]*$N$8</f>
        <v>48.252899152523824</v>
      </c>
      <c r="V33">
        <f>Table7[[#This Row],[x1]]*Table7[[#This Row],[gamma1]]*$M$8/Table7[[#This Row],[P]]</f>
        <v>0.68891801410491071</v>
      </c>
    </row>
    <row r="34" spans="17:22" x14ac:dyDescent="0.3">
      <c r="Q34">
        <v>0.31</v>
      </c>
      <c r="R34">
        <f>1-Table7[[#This Row],[x1]]</f>
        <v>0.69</v>
      </c>
      <c r="S34">
        <f>EXP(-LN(Table7[[#This Row],[x1]]+Table7[[#This Row],[x2]]*$M$5)+Table7[[#This Row],[x2]]*($M$5/(Table7[[#This Row],[x1]]+Table7[[#This Row],[x2]]*$M$5)-$N$5/(Table7[[#This Row],[x2]]+Table7[[#This Row],[x1]]*$N$5)))</f>
        <v>1.2977936242382</v>
      </c>
      <c r="T34">
        <f>EXP(-LN(Table7[[#This Row],[x2]]+Table7[[#This Row],[x1]]*$N$5)-Table7[[#This Row],[x1]]*($M$5/(Table7[[#This Row],[x1]]+Table7[[#This Row],[x2]]*$M$5)-$N$5/(Table7[[#This Row],[x2]]+Table7[[#This Row],[x1]]*$N$5)))</f>
        <v>1.0792702387193653</v>
      </c>
      <c r="U34">
        <f>Table7[[#This Row],[x1]]*Table7[[#This Row],[gamma1]]*$M$8+Table7[[#This Row],[x2]]*Table7[[#This Row],[gamma2]]*$N$8</f>
        <v>48.87957614086308</v>
      </c>
      <c r="V34">
        <f>Table7[[#This Row],[x1]]*Table7[[#This Row],[gamma1]]*$M$8/Table7[[#This Row],[P]]</f>
        <v>0.6960094637959926</v>
      </c>
    </row>
    <row r="35" spans="17:22" x14ac:dyDescent="0.3">
      <c r="Q35">
        <v>0.32</v>
      </c>
      <c r="R35">
        <f>1-Table7[[#This Row],[x1]]</f>
        <v>0.67999999999999994</v>
      </c>
      <c r="S35">
        <f>EXP(-LN(Table7[[#This Row],[x1]]+Table7[[#This Row],[x2]]*$M$5)+Table7[[#This Row],[x2]]*($M$5/(Table7[[#This Row],[x1]]+Table7[[#This Row],[x2]]*$M$5)-$N$5/(Table7[[#This Row],[x2]]+Table7[[#This Row],[x1]]*$N$5)))</f>
        <v>1.2856622276898868</v>
      </c>
      <c r="T35">
        <f>EXP(-LN(Table7[[#This Row],[x2]]+Table7[[#This Row],[x1]]*$N$5)-Table7[[#This Row],[x1]]*($M$5/(Table7[[#This Row],[x1]]+Table7[[#This Row],[x2]]*$M$5)-$N$5/(Table7[[#This Row],[x2]]+Table7[[#This Row],[x1]]*$N$5)))</f>
        <v>1.0839412506461965</v>
      </c>
      <c r="U35">
        <f>Table7[[#This Row],[x1]]*Table7[[#This Row],[gamma1]]*$M$8+Table7[[#This Row],[x2]]*Table7[[#This Row],[gamma2]]*$N$8</f>
        <v>49.496772421749526</v>
      </c>
      <c r="V35">
        <f>Table7[[#This Row],[x1]]*Table7[[#This Row],[gamma1]]*$M$8/Table7[[#This Row],[P]]</f>
        <v>0.70287035847300638</v>
      </c>
    </row>
    <row r="36" spans="17:22" x14ac:dyDescent="0.3">
      <c r="Q36">
        <v>0.33</v>
      </c>
      <c r="R36">
        <f>1-Table7[[#This Row],[x1]]</f>
        <v>0.66999999999999993</v>
      </c>
      <c r="S36">
        <f>EXP(-LN(Table7[[#This Row],[x1]]+Table7[[#This Row],[x2]]*$M$5)+Table7[[#This Row],[x2]]*($M$5/(Table7[[#This Row],[x1]]+Table7[[#This Row],[x2]]*$M$5)-$N$5/(Table7[[#This Row],[x2]]+Table7[[#This Row],[x1]]*$N$5)))</f>
        <v>1.2739597657478852</v>
      </c>
      <c r="T36">
        <f>EXP(-LN(Table7[[#This Row],[x2]]+Table7[[#This Row],[x1]]*$N$5)-Table7[[#This Row],[x1]]*($M$5/(Table7[[#This Row],[x1]]+Table7[[#This Row],[x2]]*$M$5)-$N$5/(Table7[[#This Row],[x2]]+Table7[[#This Row],[x1]]*$N$5)))</f>
        <v>1.0887237656705184</v>
      </c>
      <c r="U36">
        <f>Table7[[#This Row],[x1]]*Table7[[#This Row],[gamma1]]*$M$8+Table7[[#This Row],[x2]]*Table7[[#This Row],[gamma2]]*$N$8</f>
        <v>50.105047833290961</v>
      </c>
      <c r="V36">
        <f>Table7[[#This Row],[x1]]*Table7[[#This Row],[gamma1]]*$M$8/Table7[[#This Row],[P]]</f>
        <v>0.70951799912396141</v>
      </c>
    </row>
    <row r="37" spans="17:22" x14ac:dyDescent="0.3">
      <c r="Q37">
        <v>0.34</v>
      </c>
      <c r="R37">
        <f>1-Table7[[#This Row],[x1]]</f>
        <v>0.65999999999999992</v>
      </c>
      <c r="S37">
        <f>EXP(-LN(Table7[[#This Row],[x1]]+Table7[[#This Row],[x2]]*$M$5)+Table7[[#This Row],[x2]]*($M$5/(Table7[[#This Row],[x1]]+Table7[[#This Row],[x2]]*$M$5)-$N$5/(Table7[[#This Row],[x2]]+Table7[[#This Row],[x1]]*$N$5)))</f>
        <v>1.2626695573593469</v>
      </c>
      <c r="T37">
        <f>EXP(-LN(Table7[[#This Row],[x2]]+Table7[[#This Row],[x1]]*$N$5)-Table7[[#This Row],[x1]]*($M$5/(Table7[[#This Row],[x1]]+Table7[[#This Row],[x2]]*$M$5)-$N$5/(Table7[[#This Row],[x2]]+Table7[[#This Row],[x1]]*$N$5)))</f>
        <v>1.0936167463075945</v>
      </c>
      <c r="U37">
        <f>Table7[[#This Row],[x1]]*Table7[[#This Row],[gamma1]]*$M$8+Table7[[#This Row],[x2]]*Table7[[#This Row],[gamma2]]*$N$8</f>
        <v>50.70493051699296</v>
      </c>
      <c r="V37">
        <f>Table7[[#This Row],[x1]]*Table7[[#This Row],[gamma1]]*$M$8/Table7[[#This Row],[P]]</f>
        <v>0.71596811369333713</v>
      </c>
    </row>
    <row r="38" spans="17:22" x14ac:dyDescent="0.3">
      <c r="Q38">
        <v>0.35</v>
      </c>
      <c r="R38">
        <f>1-Table7[[#This Row],[x1]]</f>
        <v>0.65</v>
      </c>
      <c r="S38">
        <f>EXP(-LN(Table7[[#This Row],[x1]]+Table7[[#This Row],[x2]]*$M$5)+Table7[[#This Row],[x2]]*($M$5/(Table7[[#This Row],[x1]]+Table7[[#This Row],[x2]]*$M$5)-$N$5/(Table7[[#This Row],[x2]]+Table7[[#This Row],[x1]]*$N$5)))</f>
        <v>1.251775770368144</v>
      </c>
      <c r="T38">
        <f>EXP(-LN(Table7[[#This Row],[x2]]+Table7[[#This Row],[x1]]*$N$5)-Table7[[#This Row],[x1]]*($M$5/(Table7[[#This Row],[x1]]+Table7[[#This Row],[x2]]*$M$5)-$N$5/(Table7[[#This Row],[x2]]+Table7[[#This Row],[x1]]*$N$5)))</f>
        <v>1.0986192211483623</v>
      </c>
      <c r="U38">
        <f>Table7[[#This Row],[x1]]*Table7[[#This Row],[gamma1]]*$M$8+Table7[[#This Row],[x2]]*Table7[[#This Row],[gamma2]]*$N$8</f>
        <v>51.296919000577475</v>
      </c>
      <c r="V38">
        <f>Table7[[#This Row],[x1]]*Table7[[#This Row],[gamma1]]*$M$8/Table7[[#This Row],[P]]</f>
        <v>0.72223503213590223</v>
      </c>
    </row>
    <row r="39" spans="17:22" x14ac:dyDescent="0.3">
      <c r="Q39">
        <v>0.36</v>
      </c>
      <c r="R39">
        <f>1-Table7[[#This Row],[x1]]</f>
        <v>0.64</v>
      </c>
      <c r="S39">
        <f>EXP(-LN(Table7[[#This Row],[x1]]+Table7[[#This Row],[x2]]*$M$5)+Table7[[#This Row],[x2]]*($M$5/(Table7[[#This Row],[x1]]+Table7[[#This Row],[x2]]*$M$5)-$N$5/(Table7[[#This Row],[x2]]+Table7[[#This Row],[x1]]*$N$5)))</f>
        <v>1.2412633703562308</v>
      </c>
      <c r="T39">
        <f>EXP(-LN(Table7[[#This Row],[x2]]+Table7[[#This Row],[x1]]*$N$5)-Table7[[#This Row],[x1]]*($M$5/(Table7[[#This Row],[x1]]+Table7[[#This Row],[x2]]*$M$5)-$N$5/(Table7[[#This Row],[x2]]+Table7[[#This Row],[x1]]*$N$5)))</f>
        <v>1.1037302818554795</v>
      </c>
      <c r="U39">
        <f>Table7[[#This Row],[x1]]*Table7[[#This Row],[gamma1]]*$M$8+Table7[[#This Row],[x2]]*Table7[[#This Row],[gamma2]]*$N$8</f>
        <v>51.881484125534811</v>
      </c>
      <c r="V39">
        <f>Table7[[#This Row],[x1]]*Table7[[#This Row],[gamma1]]*$M$8/Table7[[#This Row],[P]]</f>
        <v>0.72833183864270123</v>
      </c>
    </row>
    <row r="40" spans="17:22" x14ac:dyDescent="0.3">
      <c r="Q40">
        <v>0.37</v>
      </c>
      <c r="R40">
        <f>1-Table7[[#This Row],[x1]]</f>
        <v>0.63</v>
      </c>
      <c r="S40">
        <f>EXP(-LN(Table7[[#This Row],[x1]]+Table7[[#This Row],[x2]]*$M$5)+Table7[[#This Row],[x2]]*($M$5/(Table7[[#This Row],[x1]]+Table7[[#This Row],[x2]]*$M$5)-$N$5/(Table7[[#This Row],[x2]]+Table7[[#This Row],[x1]]*$N$5)))</f>
        <v>1.2311180730448743</v>
      </c>
      <c r="T40">
        <f>EXP(-LN(Table7[[#This Row],[x2]]+Table7[[#This Row],[x1]]*$N$5)-Table7[[#This Row],[x1]]*($M$5/(Table7[[#This Row],[x1]]+Table7[[#This Row],[x2]]*$M$5)-$N$5/(Table7[[#This Row],[x2]]+Table7[[#This Row],[x1]]*$N$5)))</f>
        <v>1.1089490803344841</v>
      </c>
      <c r="U40">
        <f>Table7[[#This Row],[x1]]*Table7[[#This Row],[gamma1]]*$M$8+Table7[[#This Row],[x2]]*Table7[[#This Row],[gamma2]]*$N$8</f>
        <v>52.459070832289441</v>
      </c>
      <c r="V40">
        <f>Table7[[#This Row],[x1]]*Table7[[#This Row],[gamma1]]*$M$8/Table7[[#This Row],[P]]</f>
        <v>0.73427050443742248</v>
      </c>
    </row>
    <row r="41" spans="17:22" x14ac:dyDescent="0.3">
      <c r="Q41">
        <v>0.38</v>
      </c>
      <c r="R41">
        <f>1-Table7[[#This Row],[x1]]</f>
        <v>0.62</v>
      </c>
      <c r="S41">
        <f>EXP(-LN(Table7[[#This Row],[x1]]+Table7[[#This Row],[x2]]*$M$5)+Table7[[#This Row],[x2]]*($M$5/(Table7[[#This Row],[x1]]+Table7[[#This Row],[x2]]*$M$5)-$N$5/(Table7[[#This Row],[x2]]+Table7[[#This Row],[x1]]*$N$5)))</f>
        <v>1.2213262999763181</v>
      </c>
      <c r="T41">
        <f>EXP(-LN(Table7[[#This Row],[x2]]+Table7[[#This Row],[x1]]*$N$5)-Table7[[#This Row],[x1]]*($M$5/(Table7[[#This Row],[x1]]+Table7[[#This Row],[x2]]*$M$5)-$N$5/(Table7[[#This Row],[x2]]+Table7[[#This Row],[x1]]*$N$5)))</f>
        <v>1.1142748260685247</v>
      </c>
      <c r="U41">
        <f>Table7[[#This Row],[x1]]*Table7[[#This Row],[gamma1]]*$M$8+Table7[[#This Row],[x2]]*Table7[[#This Row],[gamma2]]*$N$8</f>
        <v>53.030099814685087</v>
      </c>
      <c r="V41">
        <f>Table7[[#This Row],[x1]]*Table7[[#This Row],[gamma1]]*$M$8/Table7[[#This Row],[P]]</f>
        <v>0.74006200397531863</v>
      </c>
    </row>
    <row r="42" spans="17:22" x14ac:dyDescent="0.3">
      <c r="Q42">
        <v>0.39</v>
      </c>
      <c r="R42">
        <f>1-Table7[[#This Row],[x1]]</f>
        <v>0.61</v>
      </c>
      <c r="S42">
        <f>EXP(-LN(Table7[[#This Row],[x1]]+Table7[[#This Row],[x2]]*$M$5)+Table7[[#This Row],[x2]]*($M$5/(Table7[[#This Row],[x1]]+Table7[[#This Row],[x2]]*$M$5)-$N$5/(Table7[[#This Row],[x2]]+Table7[[#This Row],[x1]]*$N$5)))</f>
        <v>1.2118751372207843</v>
      </c>
      <c r="T42">
        <f>EXP(-LN(Table7[[#This Row],[x2]]+Table7[[#This Row],[x1]]*$N$5)-Table7[[#This Row],[x1]]*($M$5/(Table7[[#This Row],[x1]]+Table7[[#This Row],[x2]]*$M$5)-$N$5/(Table7[[#This Row],[x2]]+Table7[[#This Row],[x1]]*$N$5)))</f>
        <v>1.1197067836059551</v>
      </c>
      <c r="U42">
        <f>Table7[[#This Row],[x1]]*Table7[[#This Row],[gamma1]]*$M$8+Table7[[#This Row],[x2]]*Table7[[#This Row],[gamma2]]*$N$8</f>
        <v>53.594969054435616</v>
      </c>
      <c r="V42">
        <f>Table7[[#This Row],[x1]]*Table7[[#This Row],[gamma1]]*$M$8/Table7[[#This Row],[P]]</f>
        <v>0.74571641691471857</v>
      </c>
    </row>
    <row r="43" spans="17:22" x14ac:dyDescent="0.3">
      <c r="Q43">
        <v>0.4</v>
      </c>
      <c r="R43">
        <f>1-Table7[[#This Row],[x1]]</f>
        <v>0.6</v>
      </c>
      <c r="S43">
        <f>EXP(-LN(Table7[[#This Row],[x1]]+Table7[[#This Row],[x2]]*$M$5)+Table7[[#This Row],[x2]]*($M$5/(Table7[[#This Row],[x1]]+Table7[[#This Row],[x2]]*$M$5)-$N$5/(Table7[[#This Row],[x2]]+Table7[[#This Row],[x1]]*$N$5)))</f>
        <v>1.2027522968757378</v>
      </c>
      <c r="T43">
        <f>EXP(-LN(Table7[[#This Row],[x2]]+Table7[[#This Row],[x1]]*$N$5)-Table7[[#This Row],[x1]]*($M$5/(Table7[[#This Row],[x1]]+Table7[[#This Row],[x2]]*$M$5)-$N$5/(Table7[[#This Row],[x2]]+Table7[[#This Row],[x1]]*$N$5)))</f>
        <v>1.1252442701908891</v>
      </c>
      <c r="U43">
        <f>Table7[[#This Row],[x1]]*Table7[[#This Row],[gamma1]]*$M$8+Table7[[#This Row],[x2]]*Table7[[#This Row],[gamma2]]*$N$8</f>
        <v>54.154055245233742</v>
      </c>
      <c r="V43">
        <f>Table7[[#This Row],[x1]]*Table7[[#This Row],[gamma1]]*$M$8/Table7[[#This Row],[P]]</f>
        <v>0.75124301785216863</v>
      </c>
    </row>
    <row r="44" spans="17:22" x14ac:dyDescent="0.3">
      <c r="Q44">
        <v>0.41</v>
      </c>
      <c r="R44">
        <f>1-Table7[[#This Row],[x1]]</f>
        <v>0.59000000000000008</v>
      </c>
      <c r="S44">
        <f>EXP(-LN(Table7[[#This Row],[x1]]+Table7[[#This Row],[x2]]*$M$5)+Table7[[#This Row],[x2]]*($M$5/(Table7[[#This Row],[x1]]+Table7[[#This Row],[x2]]*$M$5)-$N$5/(Table7[[#This Row],[x2]]+Table7[[#This Row],[x1]]*$N$5)))</f>
        <v>1.1939460811442784</v>
      </c>
      <c r="T44">
        <f>EXP(-LN(Table7[[#This Row],[x2]]+Table7[[#This Row],[x1]]*$N$5)-Table7[[#This Row],[x1]]*($M$5/(Table7[[#This Row],[x1]]+Table7[[#This Row],[x2]]*$M$5)-$N$5/(Table7[[#This Row],[x2]]+Table7[[#This Row],[x1]]*$N$5)))</f>
        <v>1.1308866535275226</v>
      </c>
      <c r="U44">
        <f>Table7[[#This Row],[x1]]*Table7[[#This Row],[gamma1]]*$M$8+Table7[[#This Row],[x2]]*Table7[[#This Row],[gamma2]]*$N$8</f>
        <v>54.707715115348662</v>
      </c>
      <c r="V44">
        <f>Table7[[#This Row],[x1]]*Table7[[#This Row],[gamma1]]*$M$8/Table7[[#This Row],[P]]</f>
        <v>0.75665035550008997</v>
      </c>
    </row>
    <row r="45" spans="17:22" x14ac:dyDescent="0.3">
      <c r="Q45">
        <v>0.42</v>
      </c>
      <c r="R45">
        <f>1-Table7[[#This Row],[x1]]</f>
        <v>0.58000000000000007</v>
      </c>
      <c r="S45">
        <f>EXP(-LN(Table7[[#This Row],[x1]]+Table7[[#This Row],[x2]]*$M$5)+Table7[[#This Row],[x2]]*($M$5/(Table7[[#This Row],[x1]]+Table7[[#This Row],[x2]]*$M$5)-$N$5/(Table7[[#This Row],[x2]]+Table7[[#This Row],[x1]]*$N$5)))</f>
        <v>1.1854453487975796</v>
      </c>
      <c r="T45">
        <f>EXP(-LN(Table7[[#This Row],[x2]]+Table7[[#This Row],[x1]]*$N$5)-Table7[[#This Row],[x1]]*($M$5/(Table7[[#This Row],[x1]]+Table7[[#This Row],[x2]]*$M$5)-$N$5/(Table7[[#This Row],[x2]]+Table7[[#This Row],[x1]]*$N$5)))</f>
        <v>1.1366333496697114</v>
      </c>
      <c r="U45">
        <f>Table7[[#This Row],[x1]]*Table7[[#This Row],[gamma1]]*$M$8+Table7[[#This Row],[x2]]*Table7[[#This Row],[gamma2]]*$N$8</f>
        <v>55.25628665676544</v>
      </c>
      <c r="V45">
        <f>Table7[[#This Row],[x1]]*Table7[[#This Row],[gamma1]]*$M$8/Table7[[#This Row],[P]]</f>
        <v>0.76194632272767615</v>
      </c>
    </row>
    <row r="46" spans="17:22" x14ac:dyDescent="0.3">
      <c r="Q46">
        <v>0.43</v>
      </c>
      <c r="R46">
        <f>1-Table7[[#This Row],[x1]]</f>
        <v>0.57000000000000006</v>
      </c>
      <c r="S46">
        <f>EXP(-LN(Table7[[#This Row],[x1]]+Table7[[#This Row],[x2]]*$M$5)+Table7[[#This Row],[x2]]*($M$5/(Table7[[#This Row],[x1]]+Table7[[#This Row],[x2]]*$M$5)-$N$5/(Table7[[#This Row],[x2]]+Table7[[#This Row],[x1]]*$N$5)))</f>
        <v>1.1772394838426961</v>
      </c>
      <c r="T46">
        <f>EXP(-LN(Table7[[#This Row],[x2]]+Table7[[#This Row],[x1]]*$N$5)-Table7[[#This Row],[x1]]*($M$5/(Table7[[#This Row],[x1]]+Table7[[#This Row],[x2]]*$M$5)-$N$5/(Table7[[#This Row],[x2]]+Table7[[#This Row],[x1]]*$N$5)))</f>
        <v>1.1424838210278869</v>
      </c>
      <c r="U46">
        <f>Table7[[#This Row],[x1]]*Table7[[#This Row],[gamma1]]*$M$8+Table7[[#This Row],[x2]]*Table7[[#This Row],[gamma2]]*$N$8</f>
        <v>55.800090268216181</v>
      </c>
      <c r="V46">
        <f>Table7[[#This Row],[x1]]*Table7[[#This Row],[gamma1]]*$M$8/Table7[[#This Row],[P]]</f>
        <v>0.76713821867141663</v>
      </c>
    </row>
    <row r="47" spans="17:22" x14ac:dyDescent="0.3">
      <c r="Q47">
        <v>0.44</v>
      </c>
      <c r="R47">
        <f>1-Table7[[#This Row],[x1]]</f>
        <v>0.56000000000000005</v>
      </c>
      <c r="S47">
        <f>EXP(-LN(Table7[[#This Row],[x1]]+Table7[[#This Row],[x2]]*$M$5)+Table7[[#This Row],[x2]]*($M$5/(Table7[[#This Row],[x1]]+Table7[[#This Row],[x2]]*$M$5)-$N$5/(Table7[[#This Row],[x2]]+Table7[[#This Row],[x1]]*$N$5)))</f>
        <v>1.1693183662319231</v>
      </c>
      <c r="T47">
        <f>EXP(-LN(Table7[[#This Row],[x2]]+Table7[[#This Row],[x1]]*$N$5)-Table7[[#This Row],[x1]]*($M$5/(Table7[[#This Row],[x1]]+Table7[[#This Row],[x2]]*$M$5)-$N$5/(Table7[[#This Row],[x2]]+Table7[[#This Row],[x1]]*$N$5)))</f>
        <v>1.1484375744859716</v>
      </c>
      <c r="U47">
        <f>Table7[[#This Row],[x1]]*Table7[[#This Row],[gamma1]]*$M$8+Table7[[#This Row],[x2]]*Table7[[#This Row],[gamma2]]*$N$8</f>
        <v>56.339429818816114</v>
      </c>
      <c r="V47">
        <f>Table7[[#This Row],[x1]]*Table7[[#This Row],[gamma1]]*$M$8/Table7[[#This Row],[P]]</f>
        <v>0.77223280394299065</v>
      </c>
    </row>
    <row r="48" spans="17:22" x14ac:dyDescent="0.3">
      <c r="Q48">
        <v>0.45</v>
      </c>
      <c r="R48">
        <f>1-Table7[[#This Row],[x1]]</f>
        <v>0.55000000000000004</v>
      </c>
      <c r="S48">
        <f>EXP(-LN(Table7[[#This Row],[x1]]+Table7[[#This Row],[x2]]*$M$5)+Table7[[#This Row],[x2]]*($M$5/(Table7[[#This Row],[x1]]+Table7[[#This Row],[x2]]*$M$5)-$N$5/(Table7[[#This Row],[x2]]+Table7[[#This Row],[x1]]*$N$5)))</f>
        <v>1.1616723444634265</v>
      </c>
      <c r="T48">
        <f>EXP(-LN(Table7[[#This Row],[x2]]+Table7[[#This Row],[x1]]*$N$5)-Table7[[#This Row],[x1]]*($M$5/(Table7[[#This Row],[x1]]+Table7[[#This Row],[x2]]*$M$5)-$N$5/(Table7[[#This Row],[x2]]+Table7[[#This Row],[x1]]*$N$5)))</f>
        <v>1.1544941596214586</v>
      </c>
      <c r="U48">
        <f>Table7[[#This Row],[x1]]*Table7[[#This Row],[gamma1]]*$M$8+Table7[[#This Row],[x2]]*Table7[[#This Row],[gamma2]]*$N$8</f>
        <v>56.87459363844215</v>
      </c>
      <c r="V48">
        <f>Table7[[#This Row],[x1]]*Table7[[#This Row],[gamma1]]*$M$8/Table7[[#This Row],[P]]</f>
        <v>0.77723634981285705</v>
      </c>
    </row>
    <row r="49" spans="17:22" x14ac:dyDescent="0.3">
      <c r="Q49">
        <v>0.46</v>
      </c>
      <c r="R49">
        <f>1-Table7[[#This Row],[x1]]</f>
        <v>0.54</v>
      </c>
      <c r="S49">
        <f>EXP(-LN(Table7[[#This Row],[x1]]+Table7[[#This Row],[x2]]*$M$5)+Table7[[#This Row],[x2]]*($M$5/(Table7[[#This Row],[x1]]+Table7[[#This Row],[x2]]*$M$5)-$N$5/(Table7[[#This Row],[x2]]+Table7[[#This Row],[x1]]*$N$5)))</f>
        <v>1.1542922099351394</v>
      </c>
      <c r="T49">
        <f>EXP(-LN(Table7[[#This Row],[x2]]+Table7[[#This Row],[x1]]*$N$5)-Table7[[#This Row],[x1]]*($M$5/(Table7[[#This Row],[x1]]+Table7[[#This Row],[x2]]*$M$5)-$N$5/(Table7[[#This Row],[x2]]+Table7[[#This Row],[x1]]*$N$5)))</f>
        <v>1.1606531670223155</v>
      </c>
      <c r="U49">
        <f>Table7[[#This Row],[x1]]*Table7[[#This Row],[gamma1]]*$M$8+Table7[[#This Row],[x2]]*Table7[[#This Row],[gamma2]]*$N$8</f>
        <v>57.405855440468194</v>
      </c>
      <c r="V49">
        <f>Table7[[#This Row],[x1]]*Table7[[#This Row],[gamma1]]*$M$8/Table7[[#This Row],[P]]</f>
        <v>0.78215468212244121</v>
      </c>
    </row>
    <row r="50" spans="17:22" x14ac:dyDescent="0.3">
      <c r="Q50">
        <v>0.47</v>
      </c>
      <c r="R50">
        <f>1-Table7[[#This Row],[x1]]</f>
        <v>0.53</v>
      </c>
      <c r="S50">
        <f>EXP(-LN(Table7[[#This Row],[x1]]+Table7[[#This Row],[x2]]*$M$5)+Table7[[#This Row],[x2]]*($M$5/(Table7[[#This Row],[x1]]+Table7[[#This Row],[x2]]*$M$5)-$N$5/(Table7[[#This Row],[x2]]+Table7[[#This Row],[x1]]*$N$5)))</f>
        <v>1.1471691729251299</v>
      </c>
      <c r="T50">
        <f>EXP(-LN(Table7[[#This Row],[x2]]+Table7[[#This Row],[x1]]*$N$5)-Table7[[#This Row],[x1]]*($M$5/(Table7[[#This Row],[x1]]+Table7[[#This Row],[x2]]*$M$5)-$N$5/(Table7[[#This Row],[x2]]+Table7[[#This Row],[x1]]*$N$5)))</f>
        <v>1.1669142266947961</v>
      </c>
      <c r="U50">
        <f>Table7[[#This Row],[x1]]*Table7[[#This Row],[gamma1]]*$M$8+Table7[[#This Row],[x2]]*Table7[[#This Row],[gamma2]]*$N$8</f>
        <v>57.933475181998446</v>
      </c>
      <c r="V50">
        <f>Table7[[#This Row],[x1]]*Table7[[#This Row],[gamma1]]*$M$8/Table7[[#This Row],[P]]</f>
        <v>0.78699322057219989</v>
      </c>
    </row>
    <row r="51" spans="17:22" x14ac:dyDescent="0.3">
      <c r="Q51">
        <v>0.48</v>
      </c>
      <c r="R51">
        <f>1-Table7[[#This Row],[x1]]</f>
        <v>0.52</v>
      </c>
      <c r="S51">
        <f>EXP(-LN(Table7[[#This Row],[x1]]+Table7[[#This Row],[x2]]*$M$5)+Table7[[#This Row],[x2]]*($M$5/(Table7[[#This Row],[x1]]+Table7[[#This Row],[x2]]*$M$5)-$N$5/(Table7[[#This Row],[x2]]+Table7[[#This Row],[x1]]*$N$5)))</f>
        <v>1.1402948400818258</v>
      </c>
      <c r="T51">
        <f>EXP(-LN(Table7[[#This Row],[x2]]+Table7[[#This Row],[x1]]*$N$5)-Table7[[#This Row],[x1]]*($M$5/(Table7[[#This Row],[x1]]+Table7[[#This Row],[x2]]*$M$5)-$N$5/(Table7[[#This Row],[x2]]+Table7[[#This Row],[x1]]*$N$5)))</f>
        <v>1.1732770065566636</v>
      </c>
      <c r="U51">
        <f>Table7[[#This Row],[x1]]*Table7[[#This Row],[gamma1]]*$M$8+Table7[[#This Row],[x2]]*Table7[[#This Row],[gamma2]]*$N$8</f>
        <v>58.457699866308737</v>
      </c>
      <c r="V51">
        <f>Table7[[#This Row],[x1]]*Table7[[#This Row],[gamma1]]*$M$8/Table7[[#This Row],[P]]</f>
        <v>0.7917570139435981</v>
      </c>
    </row>
    <row r="52" spans="17:22" x14ac:dyDescent="0.3">
      <c r="Q52">
        <v>0.49</v>
      </c>
      <c r="R52">
        <f>1-Table7[[#This Row],[x1]]</f>
        <v>0.51</v>
      </c>
      <c r="S52">
        <f>EXP(-LN(Table7[[#This Row],[x1]]+Table7[[#This Row],[x2]]*$M$5)+Table7[[#This Row],[x2]]*($M$5/(Table7[[#This Row],[x1]]+Table7[[#This Row],[x2]]*$M$5)-$N$5/(Table7[[#This Row],[x2]]+Table7[[#This Row],[x1]]*$N$5)))</f>
        <v>1.1336611933167875</v>
      </c>
      <c r="T52">
        <f>EXP(-LN(Table7[[#This Row],[x2]]+Table7[[#This Row],[x1]]*$N$5)-Table7[[#This Row],[x1]]*($M$5/(Table7[[#This Row],[x1]]+Table7[[#This Row],[x2]]*$M$5)-$N$5/(Table7[[#This Row],[x2]]+Table7[[#This Row],[x1]]*$N$5)))</f>
        <v>1.1797412110106971</v>
      </c>
      <c r="U52">
        <f>Table7[[#This Row],[x1]]*Table7[[#This Row],[gamma1]]*$M$8+Table7[[#This Row],[x2]]*Table7[[#This Row],[gamma2]]*$N$8</f>
        <v>58.978764291815729</v>
      </c>
      <c r="V52">
        <f>Table7[[#This Row],[x1]]*Table7[[#This Row],[gamma1]]*$M$8/Table7[[#This Row],[P]]</f>
        <v>0.79645077173739498</v>
      </c>
    </row>
    <row r="53" spans="17:22" x14ac:dyDescent="0.3">
      <c r="Q53">
        <v>0.5</v>
      </c>
      <c r="R53">
        <f>1-Table7[[#This Row],[x1]]</f>
        <v>0.5</v>
      </c>
      <c r="S53">
        <f>EXP(-LN(Table7[[#This Row],[x1]]+Table7[[#This Row],[x2]]*$M$5)+Table7[[#This Row],[x2]]*($M$5/(Table7[[#This Row],[x1]]+Table7[[#This Row],[x2]]*$M$5)-$N$5/(Table7[[#This Row],[x2]]+Table7[[#This Row],[x1]]*$N$5)))</f>
        <v>1.1272605700011962</v>
      </c>
      <c r="T53">
        <f>EXP(-LN(Table7[[#This Row],[x2]]+Table7[[#This Row],[x1]]*$N$5)-Table7[[#This Row],[x1]]*($M$5/(Table7[[#This Row],[x1]]+Table7[[#This Row],[x2]]*$M$5)-$N$5/(Table7[[#This Row],[x2]]+Table7[[#This Row],[x1]]*$N$5)))</f>
        <v>1.1863065795937064</v>
      </c>
      <c r="U53">
        <f>Table7[[#This Row],[x1]]*Table7[[#This Row],[gamma1]]*$M$8+Table7[[#This Row],[x2]]*Table7[[#This Row],[gamma2]]*$N$8</f>
        <v>59.496891751537184</v>
      </c>
      <c r="V53">
        <f>Table7[[#This Row],[x1]]*Table7[[#This Row],[gamma1]]*$M$8/Table7[[#This Row],[P]]</f>
        <v>0.80107889264634013</v>
      </c>
    </row>
    <row r="54" spans="17:22" x14ac:dyDescent="0.3">
      <c r="Q54">
        <v>0.51</v>
      </c>
      <c r="R54">
        <f>1-Table7[[#This Row],[x1]]</f>
        <v>0.49</v>
      </c>
      <c r="S54">
        <f>EXP(-LN(Table7[[#This Row],[x1]]+Table7[[#This Row],[x2]]*$M$5)+Table7[[#This Row],[x2]]*($M$5/(Table7[[#This Row],[x1]]+Table7[[#This Row],[x2]]*$M$5)-$N$5/(Table7[[#This Row],[x2]]+Table7[[#This Row],[x1]]*$N$5)))</f>
        <v>1.1210856443749699</v>
      </c>
      <c r="T54">
        <f>EXP(-LN(Table7[[#This Row],[x2]]+Table7[[#This Row],[x1]]*$N$5)-Table7[[#This Row],[x1]]*($M$5/(Table7[[#This Row],[x1]]+Table7[[#This Row],[x2]]*$M$5)-$N$5/(Table7[[#This Row],[x2]]+Table7[[#This Row],[x1]]*$N$5)))</f>
        <v>1.1929728856965962</v>
      </c>
      <c r="U54">
        <f>Table7[[#This Row],[x1]]*Table7[[#This Row],[gamma1]]*$M$8+Table7[[#This Row],[x2]]*Table7[[#This Row],[gamma2]]*$N$8</f>
        <v>60.012294686683518</v>
      </c>
      <c r="V54">
        <f>Table7[[#This Row],[x1]]*Table7[[#This Row],[gamma1]]*$M$8/Table7[[#This Row],[P]]</f>
        <v>0.80564549022556931</v>
      </c>
    </row>
    <row r="55" spans="17:22" x14ac:dyDescent="0.3">
      <c r="Q55">
        <v>0.52</v>
      </c>
      <c r="R55">
        <f>1-Table7[[#This Row],[x1]]</f>
        <v>0.48</v>
      </c>
      <c r="S55">
        <f>EXP(-LN(Table7[[#This Row],[x1]]+Table7[[#This Row],[x2]]*$M$5)+Table7[[#This Row],[x2]]*($M$5/(Table7[[#This Row],[x1]]+Table7[[#This Row],[x2]]*$M$5)-$N$5/(Table7[[#This Row],[x2]]+Table7[[#This Row],[x1]]*$N$5)))</f>
        <v>1.1151294100845139</v>
      </c>
      <c r="T55">
        <f>EXP(-LN(Table7[[#This Row],[x2]]+Table7[[#This Row],[x1]]*$N$5)-Table7[[#This Row],[x1]]*($M$5/(Table7[[#This Row],[x1]]+Table7[[#This Row],[x2]]*$M$5)-$N$5/(Table7[[#This Row],[x2]]+Table7[[#This Row],[x1]]*$N$5)))</f>
        <v>1.199739935351321</v>
      </c>
      <c r="U55">
        <f>Table7[[#This Row],[x1]]*Table7[[#This Row],[gamma1]]*$M$8+Table7[[#This Row],[x2]]*Table7[[#This Row],[gamma2]]*$N$8</f>
        <v>60.525175297725823</v>
      </c>
      <c r="V55">
        <f>Table7[[#This Row],[x1]]*Table7[[#This Row],[gamma1]]*$M$8/Table7[[#This Row],[P]]</f>
        <v>0.81015441607712457</v>
      </c>
    </row>
    <row r="56" spans="17:22" x14ac:dyDescent="0.3">
      <c r="Q56">
        <v>0.53</v>
      </c>
      <c r="R56">
        <f>1-Table7[[#This Row],[x1]]</f>
        <v>0.47</v>
      </c>
      <c r="S56">
        <f>EXP(-LN(Table7[[#This Row],[x1]]+Table7[[#This Row],[x2]]*$M$5)+Table7[[#This Row],[x2]]*($M$5/(Table7[[#This Row],[x1]]+Table7[[#This Row],[x2]]*$M$5)-$N$5/(Table7[[#This Row],[x2]]+Table7[[#This Row],[x1]]*$N$5)))</f>
        <v>1.1093851637715602</v>
      </c>
      <c r="T56">
        <f>EXP(-LN(Table7[[#This Row],[x2]]+Table7[[#This Row],[x1]]*$N$5)-Table7[[#This Row],[x1]]*($M$5/(Table7[[#This Row],[x1]]+Table7[[#This Row],[x2]]*$M$5)-$N$5/(Table7[[#This Row],[x2]]+Table7[[#This Row],[x1]]*$N$5)))</f>
        <v>1.2066075660808442</v>
      </c>
      <c r="U56">
        <f>Table7[[#This Row],[x1]]*Table7[[#This Row],[gamma1]]*$M$8+Table7[[#This Row],[x2]]*Table7[[#This Row],[gamma2]]*$N$8</f>
        <v>61.035726116016065</v>
      </c>
      <c r="V56">
        <f>Table7[[#This Row],[x1]]*Table7[[#This Row],[gamma1]]*$M$8/Table7[[#This Row],[P]]</f>
        <v>0.81460928082485817</v>
      </c>
    </row>
    <row r="57" spans="17:22" x14ac:dyDescent="0.3">
      <c r="Q57">
        <v>0.54</v>
      </c>
      <c r="R57">
        <f>1-Table7[[#This Row],[x1]]</f>
        <v>0.45999999999999996</v>
      </c>
      <c r="S57">
        <f>EXP(-LN(Table7[[#This Row],[x1]]+Table7[[#This Row],[x2]]*$M$5)+Table7[[#This Row],[x2]]*($M$5/(Table7[[#This Row],[x1]]+Table7[[#This Row],[x2]]*$M$5)-$N$5/(Table7[[#This Row],[x2]]+Table7[[#This Row],[x1]]*$N$5)))</f>
        <v>1.1038464896415037</v>
      </c>
      <c r="T57">
        <f>EXP(-LN(Table7[[#This Row],[x2]]+Table7[[#This Row],[x1]]*$N$5)-Table7[[#This Row],[x1]]*($M$5/(Table7[[#This Row],[x1]]+Table7[[#This Row],[x2]]*$M$5)-$N$5/(Table7[[#This Row],[x2]]+Table7[[#This Row],[x1]]*$N$5)))</f>
        <v>1.2135756458084834</v>
      </c>
      <c r="U57">
        <f>Table7[[#This Row],[x1]]*Table7[[#This Row],[gamma1]]*$M$8+Table7[[#This Row],[x2]]*Table7[[#This Row],[gamma2]]*$N$8</f>
        <v>61.544130538790682</v>
      </c>
      <c r="V57">
        <f>Table7[[#This Row],[x1]]*Table7[[#This Row],[gamma1]]*$M$8/Table7[[#This Row],[P]]</f>
        <v>0.81901347312145256</v>
      </c>
    </row>
    <row r="58" spans="17:22" x14ac:dyDescent="0.3">
      <c r="Q58">
        <v>0.55000000000000004</v>
      </c>
      <c r="R58">
        <f>1-Table7[[#This Row],[x1]]</f>
        <v>0.44999999999999996</v>
      </c>
      <c r="S58">
        <f>EXP(-LN(Table7[[#This Row],[x1]]+Table7[[#This Row],[x2]]*$M$5)+Table7[[#This Row],[x2]]*($M$5/(Table7[[#This Row],[x1]]+Table7[[#This Row],[x2]]*$M$5)-$N$5/(Table7[[#This Row],[x2]]+Table7[[#This Row],[x1]]*$N$5)))</f>
        <v>1.0985072449450601</v>
      </c>
      <c r="T58">
        <f>EXP(-LN(Table7[[#This Row],[x2]]+Table7[[#This Row],[x1]]*$N$5)-Table7[[#This Row],[x1]]*($M$5/(Table7[[#This Row],[x1]]+Table7[[#This Row],[x2]]*$M$5)-$N$5/(Table7[[#This Row],[x2]]+Table7[[#This Row],[x1]]*$N$5)))</f>
        <v>1.2206440718232316</v>
      </c>
      <c r="U58">
        <f>Table7[[#This Row],[x1]]*Table7[[#This Row],[gamma1]]*$M$8+Table7[[#This Row],[x2]]*Table7[[#This Row],[gamma2]]*$N$8</f>
        <v>62.050563330164323</v>
      </c>
      <c r="V58">
        <f>Table7[[#This Row],[x1]]*Table7[[#This Row],[gamma1]]*$M$8/Table7[[#This Row],[P]]</f>
        <v>0.82337017689955283</v>
      </c>
    </row>
    <row r="59" spans="17:22" x14ac:dyDescent="0.3">
      <c r="Q59">
        <v>0.56000000000000005</v>
      </c>
      <c r="R59">
        <f>1-Table7[[#This Row],[x1]]</f>
        <v>0.43999999999999995</v>
      </c>
      <c r="S59">
        <f>EXP(-LN(Table7[[#This Row],[x1]]+Table7[[#This Row],[x2]]*$M$5)+Table7[[#This Row],[x2]]*($M$5/(Table7[[#This Row],[x1]]+Table7[[#This Row],[x2]]*$M$5)-$N$5/(Table7[[#This Row],[x2]]+Table7[[#This Row],[x1]]*$N$5)))</f>
        <v>1.0933615463120452</v>
      </c>
      <c r="T59">
        <f>EXP(-LN(Table7[[#This Row],[x2]]+Table7[[#This Row],[x1]]*$N$5)-Table7[[#This Row],[x1]]*($M$5/(Table7[[#This Row],[x1]]+Table7[[#This Row],[x2]]*$M$5)-$N$5/(Table7[[#This Row],[x2]]+Table7[[#This Row],[x1]]*$N$5)))</f>
        <v>1.2278127697978978</v>
      </c>
      <c r="U59">
        <f>Table7[[#This Row],[x1]]*Table7[[#This Row],[gamma1]]*$M$8+Table7[[#This Row],[x2]]*Table7[[#This Row],[gamma2]]*$N$8</f>
        <v>62.555191090516011</v>
      </c>
      <c r="V59">
        <f>Table7[[#This Row],[x1]]*Table7[[#This Row],[gamma1]]*$M$8/Table7[[#This Row],[P]]</f>
        <v>0.8276823870533051</v>
      </c>
    </row>
    <row r="60" spans="17:22" x14ac:dyDescent="0.3">
      <c r="Q60">
        <v>0.56999999999999995</v>
      </c>
      <c r="R60">
        <f>1-Table7[[#This Row],[x1]]</f>
        <v>0.43000000000000005</v>
      </c>
      <c r="S60">
        <f>EXP(-LN(Table7[[#This Row],[x1]]+Table7[[#This Row],[x2]]*$M$5)+Table7[[#This Row],[x2]]*($M$5/(Table7[[#This Row],[x1]]+Table7[[#This Row],[x2]]*$M$5)-$N$5/(Table7[[#This Row],[x2]]+Table7[[#This Row],[x1]]*$N$5)))</f>
        <v>1.0884037568806457</v>
      </c>
      <c r="T60">
        <f>EXP(-LN(Table7[[#This Row],[x2]]+Table7[[#This Row],[x1]]*$N$5)-Table7[[#This Row],[x1]]*($M$5/(Table7[[#This Row],[x1]]+Table7[[#This Row],[x2]]*$M$5)-$N$5/(Table7[[#This Row],[x2]]+Table7[[#This Row],[x1]]*$N$5)))</f>
        <v>1.2350816928570885</v>
      </c>
      <c r="U60">
        <f>Table7[[#This Row],[x1]]*Table7[[#This Row],[gamma1]]*$M$8+Table7[[#This Row],[x2]]*Table7[[#This Row],[gamma2]]*$N$8</f>
        <v>63.058172696482785</v>
      </c>
      <c r="V60">
        <f>Table7[[#This Row],[x1]]*Table7[[#This Row],[gamma1]]*$M$8/Table7[[#This Row],[P]]</f>
        <v>0.83195292371436924</v>
      </c>
    </row>
    <row r="61" spans="17:22" x14ac:dyDescent="0.3">
      <c r="Q61">
        <v>0.57999999999999996</v>
      </c>
      <c r="R61">
        <f>1-Table7[[#This Row],[x1]]</f>
        <v>0.42000000000000004</v>
      </c>
      <c r="S61">
        <f>EXP(-LN(Table7[[#This Row],[x1]]+Table7[[#This Row],[x2]]*$M$5)+Table7[[#This Row],[x2]]*($M$5/(Table7[[#This Row],[x1]]+Table7[[#This Row],[x2]]*$M$5)-$N$5/(Table7[[#This Row],[x2]]+Table7[[#This Row],[x1]]*$N$5)))</f>
        <v>1.0836284741697451</v>
      </c>
      <c r="T61">
        <f>EXP(-LN(Table7[[#This Row],[x2]]+Table7[[#This Row],[x1]]*$N$5)-Table7[[#This Row],[x1]]*($M$5/(Table7[[#This Row],[x1]]+Table7[[#This Row],[x2]]*$M$5)-$N$5/(Table7[[#This Row],[x2]]+Table7[[#This Row],[x1]]*$N$5)))</f>
        <v>1.242450820692256</v>
      </c>
      <c r="U61">
        <f>Table7[[#This Row],[x1]]*Table7[[#This Row],[gamma1]]*$M$8+Table7[[#This Row],[x2]]*Table7[[#This Row],[gamma2]]*$N$8</f>
        <v>63.55965971360483</v>
      </c>
      <c r="V61">
        <f>Table7[[#This Row],[x1]]*Table7[[#This Row],[gamma1]]*$M$8/Table7[[#This Row],[P]]</f>
        <v>0.83618444526716362</v>
      </c>
    </row>
    <row r="62" spans="17:22" x14ac:dyDescent="0.3">
      <c r="Q62">
        <v>0.59</v>
      </c>
      <c r="R62">
        <f>1-Table7[[#This Row],[x1]]</f>
        <v>0.41000000000000003</v>
      </c>
      <c r="S62">
        <f>EXP(-LN(Table7[[#This Row],[x1]]+Table7[[#This Row],[x2]]*$M$5)+Table7[[#This Row],[x2]]*($M$5/(Table7[[#This Row],[x1]]+Table7[[#This Row],[x2]]*$M$5)-$N$5/(Table7[[#This Row],[x2]]+Table7[[#This Row],[x1]]*$N$5)))</f>
        <v>1.0790305186457074</v>
      </c>
      <c r="T62">
        <f>EXP(-LN(Table7[[#This Row],[x2]]+Table7[[#This Row],[x1]]*$N$5)-Table7[[#This Row],[x1]]*($M$5/(Table7[[#This Row],[x1]]+Table7[[#This Row],[x2]]*$M$5)-$N$5/(Table7[[#This Row],[x2]]+Table7[[#This Row],[x1]]*$N$5)))</f>
        <v>1.2499201587212032</v>
      </c>
      <c r="U62">
        <f>Table7[[#This Row],[x1]]*Table7[[#This Row],[gamma1]]*$M$8+Table7[[#This Row],[x2]]*Table7[[#This Row],[gamma2]]*$N$8</f>
        <v>64.059796783509114</v>
      </c>
      <c r="V62">
        <f>Table7[[#This Row],[x1]]*Table7[[#This Row],[gamma1]]*$M$8/Table7[[#This Row],[P]]</f>
        <v>0.84037946023132559</v>
      </c>
    </row>
    <row r="63" spans="17:22" x14ac:dyDescent="0.3">
      <c r="Q63">
        <v>0.6</v>
      </c>
      <c r="R63">
        <f>1-Table7[[#This Row],[x1]]</f>
        <v>0.4</v>
      </c>
      <c r="S63">
        <f>EXP(-LN(Table7[[#This Row],[x1]]+Table7[[#This Row],[x2]]*$M$5)+Table7[[#This Row],[x2]]*($M$5/(Table7[[#This Row],[x1]]+Table7[[#This Row],[x2]]*$M$5)-$N$5/(Table7[[#This Row],[x2]]+Table7[[#This Row],[x1]]*$N$5)))</f>
        <v>1.0746049229385792</v>
      </c>
      <c r="T63">
        <f>EXP(-LN(Table7[[#This Row],[x2]]+Table7[[#This Row],[x1]]*$N$5)-Table7[[#This Row],[x1]]*($M$5/(Table7[[#This Row],[x1]]+Table7[[#This Row],[x2]]*$M$5)-$N$5/(Table7[[#This Row],[x2]]+Table7[[#This Row],[x1]]*$N$5)))</f>
        <v>1.2574897372896097</v>
      </c>
      <c r="U63">
        <f>Table7[[#This Row],[x1]]*Table7[[#This Row],[gamma1]]*$M$8+Table7[[#This Row],[x2]]*Table7[[#This Row],[gamma2]]*$N$8</f>
        <v>64.558721987375108</v>
      </c>
      <c r="V63">
        <f>Table7[[#This Row],[x1]]*Table7[[#This Row],[gamma1]]*$M$8/Table7[[#This Row],[P]]</f>
        <v>0.84454033812474649</v>
      </c>
    </row>
    <row r="64" spans="17:22" x14ac:dyDescent="0.3">
      <c r="Q64">
        <v>0.61</v>
      </c>
      <c r="R64">
        <f>1-Table7[[#This Row],[x1]]</f>
        <v>0.39</v>
      </c>
      <c r="S64">
        <f>EXP(-LN(Table7[[#This Row],[x1]]+Table7[[#This Row],[x2]]*$M$5)+Table7[[#This Row],[x2]]*($M$5/(Table7[[#This Row],[x1]]+Table7[[#This Row],[x2]]*$M$5)-$N$5/(Table7[[#This Row],[x2]]+Table7[[#This Row],[x1]]*$N$5)))</f>
        <v>1.0703469216659043</v>
      </c>
      <c r="T64">
        <f>EXP(-LN(Table7[[#This Row],[x2]]+Table7[[#This Row],[x1]]*$N$5)-Table7[[#This Row],[x1]]*($M$5/(Table7[[#This Row],[x1]]+Table7[[#This Row],[x2]]*$M$5)-$N$5/(Table7[[#This Row],[x2]]+Table7[[#This Row],[x1]]*$N$5)))</f>
        <v>1.2651596109122862</v>
      </c>
      <c r="U64">
        <f>Table7[[#This Row],[x1]]*Table7[[#This Row],[gamma1]]*$M$8+Table7[[#This Row],[x2]]*Table7[[#This Row],[gamma2]]*$N$8</f>
        <v>65.056567187294249</v>
      </c>
      <c r="V64">
        <f>Table7[[#This Row],[x1]]*Table7[[#This Row],[gamma1]]*$M$8/Table7[[#This Row],[P]]</f>
        <v>0.84866931940776336</v>
      </c>
    </row>
    <row r="65" spans="17:22" x14ac:dyDescent="0.3">
      <c r="Q65">
        <v>0.62</v>
      </c>
      <c r="R65">
        <f>1-Table7[[#This Row],[x1]]</f>
        <v>0.38</v>
      </c>
      <c r="S65">
        <f>EXP(-LN(Table7[[#This Row],[x1]]+Table7[[#This Row],[x2]]*$M$5)+Table7[[#This Row],[x2]]*($M$5/(Table7[[#This Row],[x1]]+Table7[[#This Row],[x2]]*$M$5)-$N$5/(Table7[[#This Row],[x2]]+Table7[[#This Row],[x1]]*$N$5)))</f>
        <v>1.0662519418253613</v>
      </c>
      <c r="T65">
        <f>EXP(-LN(Table7[[#This Row],[x2]]+Table7[[#This Row],[x1]]*$N$5)-Table7[[#This Row],[x1]]*($M$5/(Table7[[#This Row],[x1]]+Table7[[#This Row],[x2]]*$M$5)-$N$5/(Table7[[#This Row],[x2]]+Table7[[#This Row],[x1]]*$N$5)))</f>
        <v>1.2729298575520145</v>
      </c>
      <c r="U65">
        <f>Table7[[#This Row],[x1]]*Table7[[#This Row],[gamma1]]*$M$8+Table7[[#This Row],[x2]]*Table7[[#This Row],[gamma2]]*$N$8</f>
        <v>65.553458347013887</v>
      </c>
      <c r="V65">
        <f>Table7[[#This Row],[x1]]*Table7[[#This Row],[gamma1]]*$M$8/Table7[[#This Row],[P]]</f>
        <v>0.85276852459792329</v>
      </c>
    </row>
    <row r="66" spans="17:22" x14ac:dyDescent="0.3">
      <c r="Q66">
        <v>0.63</v>
      </c>
      <c r="R66">
        <f>1-Table7[[#This Row],[x1]]</f>
        <v>0.37</v>
      </c>
      <c r="S66">
        <f>EXP(-LN(Table7[[#This Row],[x1]]+Table7[[#This Row],[x2]]*$M$5)+Table7[[#This Row],[x2]]*($M$5/(Table7[[#This Row],[x1]]+Table7[[#This Row],[x2]]*$M$5)-$N$5/(Table7[[#This Row],[x2]]+Table7[[#This Row],[x1]]*$N$5)))</f>
        <v>1.0623155937201871</v>
      </c>
      <c r="T66">
        <f>EXP(-LN(Table7[[#This Row],[x2]]+Table7[[#This Row],[x1]]*$N$5)-Table7[[#This Row],[x1]]*($M$5/(Table7[[#This Row],[x1]]+Table7[[#This Row],[x2]]*$M$5)-$N$5/(Table7[[#This Row],[x2]]+Table7[[#This Row],[x1]]*$N$5)))</f>
        <v>1.2808005779339544</v>
      </c>
      <c r="U66">
        <f>Table7[[#This Row],[x1]]*Table7[[#This Row],[gamma1]]*$M$8+Table7[[#This Row],[x2]]*Table7[[#This Row],[gamma2]]*$N$8</f>
        <v>66.049515833445867</v>
      </c>
      <c r="V66">
        <f>Table7[[#This Row],[x1]]*Table7[[#This Row],[gamma1]]*$M$8/Table7[[#This Row],[P]]</f>
        <v>0.85683996263492856</v>
      </c>
    </row>
    <row r="67" spans="17:22" x14ac:dyDescent="0.3">
      <c r="Q67">
        <v>0.64</v>
      </c>
      <c r="R67">
        <f>1-Table7[[#This Row],[x1]]</f>
        <v>0.36</v>
      </c>
      <c r="S67">
        <f>EXP(-LN(Table7[[#This Row],[x1]]+Table7[[#This Row],[x2]]*$M$5)+Table7[[#This Row],[x2]]*($M$5/(Table7[[#This Row],[x1]]+Table7[[#This Row],[x2]]*$M$5)-$N$5/(Table7[[#This Row],[x2]]+Table7[[#This Row],[x1]]*$N$5)))</f>
        <v>1.0585336623838935</v>
      </c>
      <c r="T67">
        <f>EXP(-LN(Table7[[#This Row],[x2]]+Table7[[#This Row],[x1]]*$N$5)-Table7[[#This Row],[x1]]*($M$5/(Table7[[#This Row],[x1]]+Table7[[#This Row],[x2]]*$M$5)-$N$5/(Table7[[#This Row],[x2]]+Table7[[#This Row],[x1]]*$N$5)))</f>
        <v>1.2887718948937252</v>
      </c>
      <c r="U67">
        <f>Table7[[#This Row],[x1]]*Table7[[#This Row],[gamma1]]*$M$8+Table7[[#This Row],[x2]]*Table7[[#This Row],[gamma2]]*$N$8</f>
        <v>66.54485470021757</v>
      </c>
      <c r="V67">
        <f>Table7[[#This Row],[x1]]*Table7[[#This Row],[gamma1]]*$M$8/Table7[[#This Row],[P]]</f>
        <v>0.8608855385667713</v>
      </c>
    </row>
    <row r="68" spans="17:22" x14ac:dyDescent="0.3">
      <c r="Q68">
        <v>0.65</v>
      </c>
      <c r="R68">
        <f>1-Table7[[#This Row],[x1]]</f>
        <v>0.35</v>
      </c>
      <c r="S68">
        <f>EXP(-LN(Table7[[#This Row],[x1]]+Table7[[#This Row],[x2]]*$M$5)+Table7[[#This Row],[x2]]*($M$5/(Table7[[#This Row],[x1]]+Table7[[#This Row],[x2]]*$M$5)-$N$5/(Table7[[#This Row],[x2]]+Table7[[#This Row],[x1]]*$N$5)))</f>
        <v>1.0549020994731313</v>
      </c>
      <c r="T68">
        <f>EXP(-LN(Table7[[#This Row],[x2]]+Table7[[#This Row],[x1]]*$N$5)-Table7[[#This Row],[x1]]*($M$5/(Table7[[#This Row],[x1]]+Table7[[#This Row],[x2]]*$M$5)-$N$5/(Table7[[#This Row],[x2]]+Table7[[#This Row],[x1]]*$N$5)))</f>
        <v>1.2968439527573872</v>
      </c>
      <c r="U68">
        <f>Table7[[#This Row],[x1]]*Table7[[#This Row],[gamma1]]*$M$8+Table7[[#This Row],[x2]]*Table7[[#This Row],[gamma2]]*$N$8</f>
        <v>67.039584954449353</v>
      </c>
      <c r="V68">
        <f>Table7[[#This Row],[x1]]*Table7[[#This Row],[gamma1]]*$M$8/Table7[[#This Row],[P]]</f>
        <v>0.86490706062049127</v>
      </c>
    </row>
    <row r="69" spans="17:22" x14ac:dyDescent="0.3">
      <c r="Q69">
        <v>0.66</v>
      </c>
      <c r="R69">
        <f>1-Table7[[#This Row],[x1]]</f>
        <v>0.33999999999999997</v>
      </c>
      <c r="S69">
        <f>EXP(-LN(Table7[[#This Row],[x1]]+Table7[[#This Row],[x2]]*$M$5)+Table7[[#This Row],[x2]]*($M$5/(Table7[[#This Row],[x1]]+Table7[[#This Row],[x2]]*$M$5)-$N$5/(Table7[[#This Row],[x2]]+Table7[[#This Row],[x1]]*$N$5)))</f>
        <v>1.0514170155997273</v>
      </c>
      <c r="T69">
        <f>EXP(-LN(Table7[[#This Row],[x2]]+Table7[[#This Row],[x1]]*$N$5)-Table7[[#This Row],[x1]]*($M$5/(Table7[[#This Row],[x1]]+Table7[[#This Row],[x2]]*$M$5)-$N$5/(Table7[[#This Row],[x2]]+Table7[[#This Row],[x1]]*$N$5)))</f>
        <v>1.305016916751649</v>
      </c>
      <c r="U69">
        <f>Table7[[#This Row],[x1]]*Table7[[#This Row],[gamma1]]*$M$8+Table7[[#This Row],[x2]]*Table7[[#This Row],[gamma2]]*$N$8</f>
        <v>67.533811807856651</v>
      </c>
      <c r="V69">
        <f>Table7[[#This Row],[x1]]*Table7[[#This Row],[gamma1]]*$M$8/Table7[[#This Row],[P]]</f>
        <v>0.86890624671430794</v>
      </c>
    </row>
    <row r="70" spans="17:22" x14ac:dyDescent="0.3">
      <c r="Q70">
        <v>0.67</v>
      </c>
      <c r="R70">
        <f>1-Table7[[#This Row],[x1]]</f>
        <v>0.32999999999999996</v>
      </c>
      <c r="S70">
        <f>EXP(-LN(Table7[[#This Row],[x1]]+Table7[[#This Row],[x2]]*$M$5)+Table7[[#This Row],[x2]]*($M$5/(Table7[[#This Row],[x1]]+Table7[[#This Row],[x2]]*$M$5)-$N$5/(Table7[[#This Row],[x2]]+Table7[[#This Row],[x1]]*$N$5)))</f>
        <v>1.048074673074914</v>
      </c>
      <c r="T70">
        <f>EXP(-LN(Table7[[#This Row],[x2]]+Table7[[#This Row],[x1]]*$N$5)-Table7[[#This Row],[x1]]*($M$5/(Table7[[#This Row],[x1]]+Table7[[#This Row],[x2]]*$M$5)-$N$5/(Table7[[#This Row],[x2]]+Table7[[#This Row],[x1]]*$N$5)))</f>
        <v>1.3132909724427293</v>
      </c>
      <c r="U70">
        <f>Table7[[#This Row],[x1]]*Table7[[#This Row],[gamma1]]*$M$8+Table7[[#This Row],[x2]]*Table7[[#This Row],[gamma2]]*$N$8</f>
        <v>68.027635913195212</v>
      </c>
      <c r="V70">
        <f>Table7[[#This Row],[x1]]*Table7[[#This Row],[gamma1]]*$M$8/Table7[[#This Row],[P]]</f>
        <v>0.87288473046199</v>
      </c>
    </row>
    <row r="71" spans="17:22" x14ac:dyDescent="0.3">
      <c r="Q71">
        <v>0.68</v>
      </c>
      <c r="R71">
        <f>1-Table7[[#This Row],[x1]]</f>
        <v>0.31999999999999995</v>
      </c>
      <c r="S71">
        <f>EXP(-LN(Table7[[#This Row],[x1]]+Table7[[#This Row],[x2]]*$M$5)+Table7[[#This Row],[x2]]*($M$5/(Table7[[#This Row],[x1]]+Table7[[#This Row],[x2]]*$M$5)-$N$5/(Table7[[#This Row],[x2]]+Table7[[#This Row],[x1]]*$N$5)))</f>
        <v>1.0448714790406211</v>
      </c>
      <c r="T71">
        <f>EXP(-LN(Table7[[#This Row],[x2]]+Table7[[#This Row],[x1]]*$N$5)-Table7[[#This Row],[x1]]*($M$5/(Table7[[#This Row],[x1]]+Table7[[#This Row],[x2]]*$M$5)-$N$5/(Table7[[#This Row],[x2]]+Table7[[#This Row],[x1]]*$N$5)))</f>
        <v>1.3216663252023995</v>
      </c>
      <c r="U71">
        <f>Table7[[#This Row],[x1]]*Table7[[#This Row],[gamma1]]*$M$8+Table7[[#This Row],[x2]]*Table7[[#This Row],[gamma2]]*$N$8</f>
        <v>68.521153586994743</v>
      </c>
      <c r="V71">
        <f>Table7[[#This Row],[x1]]*Table7[[#This Row],[gamma1]]*$M$8/Table7[[#This Row],[P]]</f>
        <v>0.87684406671510007</v>
      </c>
    </row>
    <row r="72" spans="17:22" x14ac:dyDescent="0.3">
      <c r="Q72">
        <v>0.69</v>
      </c>
      <c r="R72">
        <f>1-Table7[[#This Row],[x1]]</f>
        <v>0.31000000000000005</v>
      </c>
      <c r="S72">
        <f>EXP(-LN(Table7[[#This Row],[x1]]+Table7[[#This Row],[x2]]*$M$5)+Table7[[#This Row],[x2]]*($M$5/(Table7[[#This Row],[x1]]+Table7[[#This Row],[x2]]*$M$5)-$N$5/(Table7[[#This Row],[x2]]+Table7[[#This Row],[x1]]*$N$5)))</f>
        <v>1.0418039789644138</v>
      </c>
      <c r="T72">
        <f>EXP(-LN(Table7[[#This Row],[x2]]+Table7[[#This Row],[x1]]*$N$5)-Table7[[#This Row],[x1]]*($M$5/(Table7[[#This Row],[x1]]+Table7[[#This Row],[x2]]*$M$5)-$N$5/(Table7[[#This Row],[x2]]+Table7[[#This Row],[x1]]*$N$5)))</f>
        <v>1.3301431996998065</v>
      </c>
      <c r="U72">
        <f>Table7[[#This Row],[x1]]*Table7[[#This Row],[gamma1]]*$M$8+Table7[[#This Row],[x2]]*Table7[[#This Row],[gamma2]]*$N$8</f>
        <v>69.014457019459414</v>
      </c>
      <c r="V72">
        <f>Table7[[#This Row],[x1]]*Table7[[#This Row],[gamma1]]*$M$8/Table7[[#This Row],[P]]</f>
        <v>0.88078573668413651</v>
      </c>
    </row>
    <row r="73" spans="17:22" x14ac:dyDescent="0.3">
      <c r="Q73">
        <v>0.7</v>
      </c>
      <c r="R73">
        <f>1-Table7[[#This Row],[x1]]</f>
        <v>0.30000000000000004</v>
      </c>
      <c r="S73">
        <f>EXP(-LN(Table7[[#This Row],[x1]]+Table7[[#This Row],[x2]]*$M$5)+Table7[[#This Row],[x2]]*($M$5/(Table7[[#This Row],[x1]]+Table7[[#This Row],[x2]]*$M$5)-$N$5/(Table7[[#This Row],[x2]]+Table7[[#This Row],[x1]]*$N$5)))</f>
        <v>1.0388688504762282</v>
      </c>
      <c r="T73">
        <f>EXP(-LN(Table7[[#This Row],[x2]]+Table7[[#This Row],[x1]]*$N$5)-Table7[[#This Row],[x1]]*($M$5/(Table7[[#This Row],[x1]]+Table7[[#This Row],[x2]]*$M$5)-$N$5/(Table7[[#This Row],[x2]]+Table7[[#This Row],[x1]]*$N$5)))</f>
        <v>1.3387218394177811</v>
      </c>
      <c r="U73">
        <f>Table7[[#This Row],[x1]]*Table7[[#This Row],[gamma1]]*$M$8+Table7[[#This Row],[x2]]*Table7[[#This Row],[gamma2]]*$N$8</f>
        <v>69.50763447235046</v>
      </c>
      <c r="V73">
        <f>Table7[[#This Row],[x1]]*Table7[[#This Row],[gamma1]]*$M$8/Table7[[#This Row],[P]]</f>
        <v>0.88471115267548661</v>
      </c>
    </row>
    <row r="74" spans="17:22" x14ac:dyDescent="0.3">
      <c r="Q74">
        <v>0.71</v>
      </c>
      <c r="R74">
        <f>1-Table7[[#This Row],[x1]]</f>
        <v>0.29000000000000004</v>
      </c>
      <c r="S74">
        <f>EXP(-LN(Table7[[#This Row],[x1]]+Table7[[#This Row],[x2]]*$M$5)+Table7[[#This Row],[x2]]*($M$5/(Table7[[#This Row],[x1]]+Table7[[#This Row],[x2]]*$M$5)-$N$5/(Table7[[#This Row],[x2]]+Table7[[#This Row],[x1]]*$N$5)))</f>
        <v>1.036062897526542</v>
      </c>
      <c r="T74">
        <f>EXP(-LN(Table7[[#This Row],[x2]]+Table7[[#This Row],[x1]]*$N$5)-Table7[[#This Row],[x1]]*($M$5/(Table7[[#This Row],[x1]]+Table7[[#This Row],[x2]]*$M$5)-$N$5/(Table7[[#This Row],[x2]]+Table7[[#This Row],[x1]]*$N$5)))</f>
        <v>1.3474025061923791</v>
      </c>
      <c r="U74">
        <f>Table7[[#This Row],[x1]]*Table7[[#This Row],[gamma1]]*$M$8+Table7[[#This Row],[x2]]*Table7[[#This Row],[gamma2]]*$N$8</f>
        <v>70.000770465610401</v>
      </c>
      <c r="V74">
        <f>Table7[[#This Row],[x1]]*Table7[[#This Row],[gamma1]]*$M$8/Table7[[#This Row],[P]]</f>
        <v>0.88862166247746299</v>
      </c>
    </row>
    <row r="75" spans="17:22" x14ac:dyDescent="0.3">
      <c r="Q75">
        <v>0.72</v>
      </c>
      <c r="R75">
        <f>1-Table7[[#This Row],[x1]]</f>
        <v>0.28000000000000003</v>
      </c>
      <c r="S75">
        <f>EXP(-LN(Table7[[#This Row],[x1]]+Table7[[#This Row],[x2]]*$M$5)+Table7[[#This Row],[x2]]*($M$5/(Table7[[#This Row],[x1]]+Table7[[#This Row],[x2]]*$M$5)-$N$5/(Table7[[#This Row],[x2]]+Table7[[#This Row],[x1]]*$N$5)))</f>
        <v>1.0333830448469441</v>
      </c>
      <c r="T75">
        <f>EXP(-LN(Table7[[#This Row],[x2]]+Table7[[#This Row],[x1]]*$N$5)-Table7[[#This Row],[x1]]*($M$5/(Table7[[#This Row],[x1]]+Table7[[#This Row],[x2]]*$M$5)-$N$5/(Table7[[#This Row],[x2]]+Table7[[#This Row],[x1]]*$N$5)))</f>
        <v>1.3561854797745101</v>
      </c>
      <c r="U75">
        <f>Table7[[#This Row],[x1]]*Table7[[#This Row],[gamma1]]*$M$8+Table7[[#This Row],[x2]]*Table7[[#This Row],[gamma2]]*$N$8</f>
        <v>70.493945953433467</v>
      </c>
      <c r="V75">
        <f>Table7[[#This Row],[x1]]*Table7[[#This Row],[gamma1]]*$M$8/Table7[[#This Row],[P]]</f>
        <v>0.8925185534254465</v>
      </c>
    </row>
    <row r="76" spans="17:22" x14ac:dyDescent="0.3">
      <c r="Q76">
        <v>0.73</v>
      </c>
      <c r="R76">
        <f>1-Table7[[#This Row],[x1]]</f>
        <v>0.27</v>
      </c>
      <c r="S76">
        <f>EXP(-LN(Table7[[#This Row],[x1]]+Table7[[#This Row],[x2]]*$M$5)+Table7[[#This Row],[x2]]*($M$5/(Table7[[#This Row],[x1]]+Table7[[#This Row],[x2]]*$M$5)-$N$5/(Table7[[#This Row],[x2]]+Table7[[#This Row],[x1]]*$N$5)))</f>
        <v>1.030826332695354</v>
      </c>
      <c r="T76">
        <f>EXP(-LN(Table7[[#This Row],[x2]]+Table7[[#This Row],[x1]]*$N$5)-Table7[[#This Row],[x1]]*($M$5/(Table7[[#This Row],[x1]]+Table7[[#This Row],[x2]]*$M$5)-$N$5/(Table7[[#This Row],[x2]]+Table7[[#This Row],[x1]]*$N$5)))</f>
        <v>1.3650710574125444</v>
      </c>
      <c r="U76">
        <f>Table7[[#This Row],[x1]]*Table7[[#This Row],[gamma1]]*$M$8+Table7[[#This Row],[x2]]*Table7[[#This Row],[gamma2]]*$N$8</f>
        <v>70.987238490439879</v>
      </c>
      <c r="V76">
        <f>Table7[[#This Row],[x1]]*Table7[[#This Row],[gamma1]]*$M$8/Table7[[#This Row],[P]]</f>
        <v>0.89640305617326455</v>
      </c>
    </row>
    <row r="77" spans="17:22" x14ac:dyDescent="0.3">
      <c r="Q77">
        <v>0.74</v>
      </c>
      <c r="R77">
        <f>1-Table7[[#This Row],[x1]]</f>
        <v>0.26</v>
      </c>
      <c r="S77">
        <f>EXP(-LN(Table7[[#This Row],[x1]]+Table7[[#This Row],[x2]]*$M$5)+Table7[[#This Row],[x2]]*($M$5/(Table7[[#This Row],[x1]]+Table7[[#This Row],[x2]]*$M$5)-$N$5/(Table7[[#This Row],[x2]]+Table7[[#This Row],[x1]]*$N$5)))</f>
        <v>1.0283899118692799</v>
      </c>
      <c r="T77">
        <f>EXP(-LN(Table7[[#This Row],[x2]]+Table7[[#This Row],[x1]]*$N$5)-Table7[[#This Row],[x1]]*($M$5/(Table7[[#This Row],[x1]]+Table7[[#This Row],[x2]]*$M$5)-$N$5/(Table7[[#This Row],[x2]]+Table7[[#This Row],[x1]]*$N$5)))</f>
        <v>1.3740595534548763</v>
      </c>
      <c r="U77">
        <f>Table7[[#This Row],[x1]]*Table7[[#This Row],[gamma1]]*$M$8+Table7[[#This Row],[x2]]*Table7[[#This Row],[gamma2]]*$N$8</f>
        <v>71.480722388564772</v>
      </c>
      <c r="V77">
        <f>Table7[[#This Row],[x1]]*Table7[[#This Row],[gamma1]]*$M$8/Table7[[#This Row],[P]]</f>
        <v>0.90027634819534919</v>
      </c>
    </row>
    <row r="78" spans="17:22" x14ac:dyDescent="0.3">
      <c r="Q78">
        <v>0.75</v>
      </c>
      <c r="R78">
        <f>1-Table7[[#This Row],[x1]]</f>
        <v>0.25</v>
      </c>
      <c r="S78">
        <f>EXP(-LN(Table7[[#This Row],[x1]]+Table7[[#This Row],[x2]]*$M$5)+Table7[[#This Row],[x2]]*($M$5/(Table7[[#This Row],[x1]]+Table7[[#This Row],[x2]]*$M$5)-$N$5/(Table7[[#This Row],[x2]]+Table7[[#This Row],[x1]]*$N$5)))</f>
        <v>1.0260710389716039</v>
      </c>
      <c r="T78">
        <f>EXP(-LN(Table7[[#This Row],[x2]]+Table7[[#This Row],[x1]]*$N$5)-Table7[[#This Row],[x1]]*($M$5/(Table7[[#This Row],[x1]]+Table7[[#This Row],[x2]]*$M$5)-$N$5/(Table7[[#This Row],[x2]]+Table7[[#This Row],[x1]]*$N$5)))</f>
        <v>1.3831512989714554</v>
      </c>
      <c r="U78">
        <f>Table7[[#This Row],[x1]]*Table7[[#This Row],[gamma1]]*$M$8+Table7[[#This Row],[x2]]*Table7[[#This Row],[gamma2]]*$N$8</f>
        <v>71.974468865231941</v>
      </c>
      <c r="V78">
        <f>Table7[[#This Row],[x1]]*Table7[[#This Row],[gamma1]]*$M$8/Table7[[#This Row],[P]]</f>
        <v>0.9041395570419104</v>
      </c>
    </row>
    <row r="79" spans="17:22" x14ac:dyDescent="0.3">
      <c r="Q79">
        <v>0.76</v>
      </c>
      <c r="R79">
        <f>1-Table7[[#This Row],[x1]]</f>
        <v>0.24</v>
      </c>
      <c r="S79">
        <f>EXP(-LN(Table7[[#This Row],[x1]]+Table7[[#This Row],[x2]]*$M$5)+Table7[[#This Row],[x2]]*($M$5/(Table7[[#This Row],[x1]]+Table7[[#This Row],[x2]]*$M$5)-$N$5/(Table7[[#This Row],[x2]]+Table7[[#This Row],[x1]]*$N$5)))</f>
        <v>1.0238670719143768</v>
      </c>
      <c r="T79">
        <f>EXP(-LN(Table7[[#This Row],[x2]]+Table7[[#This Row],[x1]]*$N$5)-Table7[[#This Row],[x1]]*($M$5/(Table7[[#This Row],[x1]]+Table7[[#This Row],[x2]]*$M$5)-$N$5/(Table7[[#This Row],[x2]]+Table7[[#This Row],[x1]]*$N$5)))</f>
        <v>1.3923466413933776</v>
      </c>
      <c r="U79">
        <f>Table7[[#This Row],[x1]]*Table7[[#This Row],[gamma1]]*$M$8+Table7[[#This Row],[x2]]*Table7[[#This Row],[gamma2]]*$N$8</f>
        <v>72.468546183343179</v>
      </c>
      <c r="V79">
        <f>Table7[[#This Row],[x1]]*Table7[[#This Row],[gamma1]]*$M$8/Table7[[#This Row],[P]]</f>
        <v>0.90799376336728788</v>
      </c>
    </row>
    <row r="80" spans="17:22" x14ac:dyDescent="0.3">
      <c r="Q80">
        <v>0.77</v>
      </c>
      <c r="R80">
        <f>1-Table7[[#This Row],[x1]]</f>
        <v>0.22999999999999998</v>
      </c>
      <c r="S80">
        <f>EXP(-LN(Table7[[#This Row],[x1]]+Table7[[#This Row],[x2]]*$M$5)+Table7[[#This Row],[x2]]*($M$5/(Table7[[#This Row],[x1]]+Table7[[#This Row],[x2]]*$M$5)-$N$5/(Table7[[#This Row],[x2]]+Table7[[#This Row],[x1]]*$N$5)))</f>
        <v>1.0217754656470381</v>
      </c>
      <c r="T80">
        <f>EXP(-LN(Table7[[#This Row],[x2]]+Table7[[#This Row],[x1]]*$N$5)-Table7[[#This Row],[x1]]*($M$5/(Table7[[#This Row],[x1]]+Table7[[#This Row],[x2]]*$M$5)-$N$5/(Table7[[#This Row],[x2]]+Table7[[#This Row],[x1]]*$N$5)))</f>
        <v>1.4016459441696578</v>
      </c>
      <c r="U80">
        <f>Table7[[#This Row],[x1]]*Table7[[#This Row],[gamma1]]*$M$8+Table7[[#This Row],[x2]]*Table7[[#This Row],[gamma2]]*$N$8</f>
        <v>72.963019783578474</v>
      </c>
      <c r="V80">
        <f>Table7[[#This Row],[x1]]*Table7[[#This Row],[gamma1]]*$M$8/Table7[[#This Row],[P]]</f>
        <v>0.91184000374979457</v>
      </c>
    </row>
    <row r="81" spans="17:22" x14ac:dyDescent="0.3">
      <c r="Q81">
        <v>0.78</v>
      </c>
      <c r="R81">
        <f>1-Table7[[#This Row],[x1]]</f>
        <v>0.21999999999999997</v>
      </c>
      <c r="S81">
        <f>EXP(-LN(Table7[[#This Row],[x1]]+Table7[[#This Row],[x2]]*$M$5)+Table7[[#This Row],[x2]]*($M$5/(Table7[[#This Row],[x1]]+Table7[[#This Row],[x2]]*$M$5)-$N$5/(Table7[[#This Row],[x2]]+Table7[[#This Row],[x1]]*$N$5)))</f>
        <v>1.0197937680963454</v>
      </c>
      <c r="T81">
        <f>EXP(-LN(Table7[[#This Row],[x2]]+Table7[[#This Row],[x1]]*$N$5)-Table7[[#This Row],[x1]]*($M$5/(Table7[[#This Row],[x1]]+Table7[[#This Row],[x2]]*$M$5)-$N$5/(Table7[[#This Row],[x2]]+Table7[[#This Row],[x1]]*$N$5)))</f>
        <v>1.4110495864403676</v>
      </c>
      <c r="U81">
        <f>Table7[[#This Row],[x1]]*Table7[[#This Row],[gamma1]]*$M$8+Table7[[#This Row],[x2]]*Table7[[#This Row],[gamma2]]*$N$8</f>
        <v>73.457952409469073</v>
      </c>
      <c r="V81">
        <f>Table7[[#This Row],[x1]]*Table7[[#This Row],[gamma1]]*$M$8/Table7[[#This Row],[P]]</f>
        <v>0.91567927331969334</v>
      </c>
    </row>
    <row r="82" spans="17:22" x14ac:dyDescent="0.3">
      <c r="Q82">
        <v>0.79</v>
      </c>
      <c r="R82">
        <f>1-Table7[[#This Row],[x1]]</f>
        <v>0.20999999999999996</v>
      </c>
      <c r="S82">
        <f>EXP(-LN(Table7[[#This Row],[x1]]+Table7[[#This Row],[x2]]*$M$5)+Table7[[#This Row],[x2]]*($M$5/(Table7[[#This Row],[x1]]+Table7[[#This Row],[x2]]*$M$5)-$N$5/(Table7[[#This Row],[x2]]+Table7[[#This Row],[x1]]*$N$5)))</f>
        <v>1.0179196163060993</v>
      </c>
      <c r="T82">
        <f>EXP(-LN(Table7[[#This Row],[x2]]+Table7[[#This Row],[x1]]*$N$5)-Table7[[#This Row],[x1]]*($M$5/(Table7[[#This Row],[x1]]+Table7[[#This Row],[x2]]*$M$5)-$N$5/(Table7[[#This Row],[x2]]+Table7[[#This Row],[x1]]*$N$5)))</f>
        <v>1.4205579627253608</v>
      </c>
      <c r="U82">
        <f>Table7[[#This Row],[x1]]*Table7[[#This Row],[gamma1]]*$M$8+Table7[[#This Row],[x2]]*Table7[[#This Row],[gamma2]]*$N$8</f>
        <v>73.953404225674745</v>
      </c>
      <c r="V82">
        <f>Table7[[#This Row],[x1]]*Table7[[#This Row],[gamma1]]*$M$8/Table7[[#This Row],[P]]</f>
        <v>0.91951252821046037</v>
      </c>
    </row>
    <row r="83" spans="17:22" x14ac:dyDescent="0.3">
      <c r="Q83">
        <v>0.8</v>
      </c>
      <c r="R83">
        <f>1-Table7[[#This Row],[x1]]</f>
        <v>0.19999999999999996</v>
      </c>
      <c r="S83">
        <f>EXP(-LN(Table7[[#This Row],[x1]]+Table7[[#This Row],[x2]]*$M$5)+Table7[[#This Row],[x2]]*($M$5/(Table7[[#This Row],[x1]]+Table7[[#This Row],[x2]]*$M$5)-$N$5/(Table7[[#This Row],[x2]]+Table7[[#This Row],[x1]]*$N$5)))</f>
        <v>1.0161507327654988</v>
      </c>
      <c r="T83">
        <f>EXP(-LN(Table7[[#This Row],[x2]]+Table7[[#This Row],[x1]]*$N$5)-Table7[[#This Row],[x1]]*($M$5/(Table7[[#This Row],[x1]]+Table7[[#This Row],[x2]]*$M$5)-$N$5/(Table7[[#This Row],[x2]]+Table7[[#This Row],[x1]]*$N$5)))</f>
        <v>1.4301714826278547</v>
      </c>
      <c r="U83">
        <f>Table7[[#This Row],[x1]]*Table7[[#This Row],[gamma1]]*$M$8+Table7[[#This Row],[x2]]*Table7[[#This Row],[gamma2]]*$N$8</f>
        <v>74.449432929867612</v>
      </c>
      <c r="V83">
        <f>Table7[[#This Row],[x1]]*Table7[[#This Row],[gamma1]]*$M$8/Table7[[#This Row],[P]]</f>
        <v>0.92334068784713219</v>
      </c>
    </row>
    <row r="84" spans="17:22" x14ac:dyDescent="0.3">
      <c r="Q84">
        <v>0.81</v>
      </c>
      <c r="R84">
        <f>1-Table7[[#This Row],[x1]]</f>
        <v>0.18999999999999995</v>
      </c>
      <c r="S84">
        <f>EXP(-LN(Table7[[#This Row],[x1]]+Table7[[#This Row],[x2]]*$M$5)+Table7[[#This Row],[x2]]*($M$5/(Table7[[#This Row],[x1]]+Table7[[#This Row],[x2]]*$M$5)-$N$5/(Table7[[#This Row],[x2]]+Table7[[#This Row],[x1]]*$N$5)))</f>
        <v>1.0144849219156653</v>
      </c>
      <c r="T84">
        <f>EXP(-LN(Table7[[#This Row],[x2]]+Table7[[#This Row],[x1]]*$N$5)-Table7[[#This Row],[x1]]*($M$5/(Table7[[#This Row],[x1]]+Table7[[#This Row],[x2]]*$M$5)-$N$5/(Table7[[#This Row],[x2]]+Table7[[#This Row],[x1]]*$N$5)))</f>
        <v>1.4398905705521712</v>
      </c>
      <c r="U84">
        <f>Table7[[#This Row],[x1]]*Table7[[#This Row],[gamma1]]*$M$8+Table7[[#This Row],[x2]]*Table7[[#This Row],[gamma2]]*$N$8</f>
        <v>74.946093858599525</v>
      </c>
      <c r="V84">
        <f>Table7[[#This Row],[x1]]*Table7[[#This Row],[gamma1]]*$M$8/Table7[[#This Row],[P]]</f>
        <v>0.92716463708432661</v>
      </c>
    </row>
    <row r="85" spans="17:22" x14ac:dyDescent="0.3">
      <c r="Q85">
        <v>0.82</v>
      </c>
      <c r="R85">
        <f>1-Table7[[#This Row],[x1]]</f>
        <v>0.18000000000000005</v>
      </c>
      <c r="S85">
        <f>EXP(-LN(Table7[[#This Row],[x1]]+Table7[[#This Row],[x2]]*$M$5)+Table7[[#This Row],[x2]]*($M$5/(Table7[[#This Row],[x1]]+Table7[[#This Row],[x2]]*$M$5)-$N$5/(Table7[[#This Row],[x2]]+Table7[[#This Row],[x1]]*$N$5)))</f>
        <v>1.0129200668245104</v>
      </c>
      <c r="T85">
        <f>EXP(-LN(Table7[[#This Row],[x2]]+Table7[[#This Row],[x1]]*$N$5)-Table7[[#This Row],[x1]]*($M$5/(Table7[[#This Row],[x1]]+Table7[[#This Row],[x2]]*$M$5)-$N$5/(Table7[[#This Row],[x2]]+Table7[[#This Row],[x1]]*$N$5)))</f>
        <v>1.4497156654349816</v>
      </c>
      <c r="U85">
        <f>Table7[[#This Row],[x1]]*Table7[[#This Row],[gamma1]]*$M$8+Table7[[#This Row],[x2]]*Table7[[#This Row],[gamma2]]*$N$8</f>
        <v>75.44344008750403</v>
      </c>
      <c r="V85">
        <f>Table7[[#This Row],[x1]]*Table7[[#This Row],[gamma1]]*$M$8/Table7[[#This Row],[P]]</f>
        <v>0.93098522820543073</v>
      </c>
    </row>
    <row r="86" spans="17:22" x14ac:dyDescent="0.3">
      <c r="Q86">
        <v>0.83</v>
      </c>
      <c r="R86">
        <f>1-Table7[[#This Row],[x1]]</f>
        <v>0.17000000000000004</v>
      </c>
      <c r="S86">
        <f>EXP(-LN(Table7[[#This Row],[x1]]+Table7[[#This Row],[x2]]*$M$5)+Table7[[#This Row],[x2]]*($M$5/(Table7[[#This Row],[x1]]+Table7[[#This Row],[x2]]*$M$5)-$N$5/(Table7[[#This Row],[x2]]+Table7[[#This Row],[x1]]*$N$5)))</f>
        <v>1.0114541260207419</v>
      </c>
      <c r="T86">
        <f>EXP(-LN(Table7[[#This Row],[x2]]+Table7[[#This Row],[x1]]*$N$5)-Table7[[#This Row],[x1]]*($M$5/(Table7[[#This Row],[x1]]+Table7[[#This Row],[x2]]*$M$5)-$N$5/(Table7[[#This Row],[x2]]+Table7[[#This Row],[x1]]*$N$5)))</f>
        <v>1.4596472204894391</v>
      </c>
      <c r="U86">
        <f>Table7[[#This Row],[x1]]*Table7[[#This Row],[gamma1]]*$M$8+Table7[[#This Row],[x2]]*Table7[[#This Row],[gamma2]]*$N$8</f>
        <v>75.941522526162132</v>
      </c>
      <c r="V86">
        <f>Table7[[#This Row],[x1]]*Table7[[#This Row],[gamma1]]*$M$8/Table7[[#This Row],[P]]</f>
        <v>0.9348032827934587</v>
      </c>
    </row>
    <row r="87" spans="17:22" x14ac:dyDescent="0.3">
      <c r="Q87">
        <v>0.84</v>
      </c>
      <c r="R87">
        <f>1-Table7[[#This Row],[x1]]</f>
        <v>0.16000000000000003</v>
      </c>
      <c r="S87">
        <f>EXP(-LN(Table7[[#This Row],[x1]]+Table7[[#This Row],[x2]]*$M$5)+Table7[[#This Row],[x2]]*($M$5/(Table7[[#This Row],[x1]]+Table7[[#This Row],[x2]]*$M$5)-$N$5/(Table7[[#This Row],[x2]]+Table7[[#This Row],[x1]]*$N$5)))</f>
        <v>1.010085130478352</v>
      </c>
      <c r="T87">
        <f>EXP(-LN(Table7[[#This Row],[x2]]+Table7[[#This Row],[x1]]*$N$5)-Table7[[#This Row],[x1]]*($M$5/(Table7[[#This Row],[x1]]+Table7[[#This Row],[x2]]*$M$5)-$N$5/(Table7[[#This Row],[x2]]+Table7[[#This Row],[x1]]*$N$5)))</f>
        <v>1.4696857029616006</v>
      </c>
      <c r="U87">
        <f>Table7[[#This Row],[x1]]*Table7[[#This Row],[gamma1]]*$M$8+Table7[[#This Row],[x2]]*Table7[[#This Row],[gamma2]]*$N$8</f>
        <v>76.440390007939598</v>
      </c>
      <c r="V87">
        <f>Table7[[#This Row],[x1]]*Table7[[#This Row],[gamma1]]*$M$8/Table7[[#This Row],[P]]</f>
        <v>0.9386195934831898</v>
      </c>
    </row>
    <row r="88" spans="17:22" x14ac:dyDescent="0.3">
      <c r="Q88">
        <v>0.85</v>
      </c>
      <c r="R88">
        <f>1-Table7[[#This Row],[x1]]</f>
        <v>0.15000000000000002</v>
      </c>
      <c r="S88">
        <f>EXP(-LN(Table7[[#This Row],[x1]]+Table7[[#This Row],[x2]]*$M$5)+Table7[[#This Row],[x2]]*($M$5/(Table7[[#This Row],[x1]]+Table7[[#This Row],[x2]]*$M$5)-$N$5/(Table7[[#This Row],[x2]]+Table7[[#This Row],[x1]]*$N$5)))</f>
        <v>1.0088111807434679</v>
      </c>
      <c r="T88">
        <f>EXP(-LN(Table7[[#This Row],[x2]]+Table7[[#This Row],[x1]]*$N$5)-Table7[[#This Row],[x1]]*($M$5/(Table7[[#This Row],[x1]]+Table7[[#This Row],[x2]]*$M$5)-$N$5/(Table7[[#This Row],[x2]]+Table7[[#This Row],[x1]]*$N$5)))</f>
        <v>1.4798315938985998</v>
      </c>
      <c r="U88">
        <f>Table7[[#This Row],[x1]]*Table7[[#This Row],[gamma1]]*$M$8+Table7[[#This Row],[x2]]*Table7[[#This Row],[gamma2]]*$N$8</f>
        <v>76.940089375083573</v>
      </c>
      <c r="V88">
        <f>Table7[[#This Row],[x1]]*Table7[[#This Row],[gamma1]]*$M$8/Table7[[#This Row],[P]]</f>
        <v>0.94243492560338593</v>
      </c>
    </row>
    <row r="89" spans="17:22" x14ac:dyDescent="0.3">
      <c r="Q89">
        <v>0.86</v>
      </c>
      <c r="R89">
        <f>1-Table7[[#This Row],[x1]]</f>
        <v>0.14000000000000001</v>
      </c>
      <c r="S89">
        <f>EXP(-LN(Table7[[#This Row],[x1]]+Table7[[#This Row],[x2]]*$M$5)+Table7[[#This Row],[x2]]*($M$5/(Table7[[#This Row],[x1]]+Table7[[#This Row],[x2]]*$M$5)-$N$5/(Table7[[#This Row],[x2]]+Table7[[#This Row],[x1]]*$N$5)))</f>
        <v>1.0076304441959305</v>
      </c>
      <c r="T89">
        <f>EXP(-LN(Table7[[#This Row],[x2]]+Table7[[#This Row],[x1]]*$N$5)-Table7[[#This Row],[x1]]*($M$5/(Table7[[#This Row],[x1]]+Table7[[#This Row],[x2]]*$M$5)-$N$5/(Table7[[#This Row],[x2]]+Table7[[#This Row],[x1]]*$N$5)))</f>
        <v>1.4900853879280189</v>
      </c>
      <c r="U89">
        <f>Table7[[#This Row],[x1]]*Table7[[#This Row],[gamma1]]*$M$8+Table7[[#This Row],[x2]]*Table7[[#This Row],[gamma2]]*$N$8</f>
        <v>77.440665559348673</v>
      </c>
      <c r="V89">
        <f>Table7[[#This Row],[x1]]*Table7[[#This Row],[gamma1]]*$M$8/Table7[[#This Row],[P]]</f>
        <v>0.94625001871715719</v>
      </c>
    </row>
    <row r="90" spans="17:22" x14ac:dyDescent="0.3">
      <c r="Q90">
        <v>0.87</v>
      </c>
      <c r="R90">
        <f>1-Table7[[#This Row],[x1]]</f>
        <v>0.13</v>
      </c>
      <c r="S90">
        <f>EXP(-LN(Table7[[#This Row],[x1]]+Table7[[#This Row],[x2]]*$M$5)+Table7[[#This Row],[x2]]*($M$5/(Table7[[#This Row],[x1]]+Table7[[#This Row],[x2]]*$M$5)-$N$5/(Table7[[#This Row],[x2]]+Table7[[#This Row],[x1]]*$N$5)))</f>
        <v>1.0065411524384256</v>
      </c>
      <c r="T90">
        <f>EXP(-LN(Table7[[#This Row],[x2]]+Table7[[#This Row],[x1]]*$N$5)-Table7[[#This Row],[x1]]*($M$5/(Table7[[#This Row],[x1]]+Table7[[#This Row],[x2]]*$M$5)-$N$5/(Table7[[#This Row],[x2]]+Table7[[#This Row],[x1]]*$N$5)))</f>
        <v>1.5004475930479841</v>
      </c>
      <c r="U90">
        <f>Table7[[#This Row],[x1]]*Table7[[#This Row],[gamma1]]*$M$8+Table7[[#This Row],[x2]]*Table7[[#This Row],[gamma2]]*$N$8</f>
        <v>77.942161658404629</v>
      </c>
      <c r="V90">
        <f>Table7[[#This Row],[x1]]*Table7[[#This Row],[gamma1]]*$M$8/Table7[[#This Row],[P]]</f>
        <v>0.95006558806787267</v>
      </c>
    </row>
    <row r="91" spans="17:22" x14ac:dyDescent="0.3">
      <c r="Q91">
        <v>0.88</v>
      </c>
      <c r="R91">
        <f>1-Table7[[#This Row],[x1]]</f>
        <v>0.12</v>
      </c>
      <c r="S91">
        <f>EXP(-LN(Table7[[#This Row],[x1]]+Table7[[#This Row],[x2]]*$M$5)+Table7[[#This Row],[x2]]*($M$5/(Table7[[#This Row],[x1]]+Table7[[#This Row],[x2]]*$M$5)-$N$5/(Table7[[#This Row],[x2]]+Table7[[#This Row],[x1]]*$N$5)))</f>
        <v>1.0055415988064167</v>
      </c>
      <c r="T91">
        <f>EXP(-LN(Table7[[#This Row],[x2]]+Table7[[#This Row],[x1]]*$N$5)-Table7[[#This Row],[x1]]*($M$5/(Table7[[#This Row],[x1]]+Table7[[#This Row],[x2]]*$M$5)-$N$5/(Table7[[#This Row],[x2]]+Table7[[#This Row],[x1]]*$N$5)))</f>
        <v>1.5109187304274918</v>
      </c>
      <c r="U91">
        <f>Table7[[#This Row],[x1]]*Table7[[#This Row],[gamma1]]*$M$8+Table7[[#This Row],[x2]]*Table7[[#This Row],[gamma2]]*$N$8</f>
        <v>78.444619008262379</v>
      </c>
      <c r="V91">
        <f>Table7[[#This Row],[x1]]*Table7[[#This Row],[gamma1]]*$M$8/Table7[[#This Row],[P]]</f>
        <v>0.9538823259374194</v>
      </c>
    </row>
    <row r="92" spans="17:22" x14ac:dyDescent="0.3">
      <c r="Q92">
        <v>0.89</v>
      </c>
      <c r="R92">
        <f>1-Table7[[#This Row],[x1]]</f>
        <v>0.10999999999999999</v>
      </c>
      <c r="S92">
        <f>EXP(-LN(Table7[[#This Row],[x1]]+Table7[[#This Row],[x2]]*$M$5)+Table7[[#This Row],[x2]]*($M$5/(Table7[[#This Row],[x1]]+Table7[[#This Row],[x2]]*$M$5)-$N$5/(Table7[[#This Row],[x2]]+Table7[[#This Row],[x1]]*$N$5)))</f>
        <v>1.004630135992534</v>
      </c>
      <c r="T92">
        <f>EXP(-LN(Table7[[#This Row],[x2]]+Table7[[#This Row],[x1]]*$N$5)-Table7[[#This Row],[x1]]*($M$5/(Table7[[#This Row],[x1]]+Table7[[#This Row],[x2]]*$M$5)-$N$5/(Table7[[#This Row],[x2]]+Table7[[#This Row],[x1]]*$N$5)))</f>
        <v>1.5214993342165313</v>
      </c>
      <c r="U92">
        <f>Table7[[#This Row],[x1]]*Table7[[#This Row],[gamma1]]*$M$8+Table7[[#This Row],[x2]]*Table7[[#This Row],[gamma2]]*$N$8</f>
        <v>78.948077251941072</v>
      </c>
      <c r="V92">
        <f>Table7[[#This Row],[x1]]*Table7[[#This Row],[gamma1]]*$M$8/Table7[[#This Row],[P]]</f>
        <v>0.9577009029230491</v>
      </c>
    </row>
    <row r="93" spans="17:22" x14ac:dyDescent="0.3">
      <c r="Q93">
        <v>0.9</v>
      </c>
      <c r="R93">
        <f>1-Table7[[#This Row],[x1]]</f>
        <v>9.9999999999999978E-2</v>
      </c>
      <c r="S93">
        <f>EXP(-LN(Table7[[#This Row],[x1]]+Table7[[#This Row],[x2]]*$M$5)+Table7[[#This Row],[x2]]*($M$5/(Table7[[#This Row],[x1]]+Table7[[#This Row],[x2]]*$M$5)-$N$5/(Table7[[#This Row],[x2]]+Table7[[#This Row],[x1]]*$N$5)))</f>
        <v>1.003805173779444</v>
      </c>
      <c r="T93">
        <f>EXP(-LN(Table7[[#This Row],[x2]]+Table7[[#This Row],[x1]]*$N$5)-Table7[[#This Row],[x1]]*($M$5/(Table7[[#This Row],[x1]]+Table7[[#This Row],[x2]]*$M$5)-$N$5/(Table7[[#This Row],[x2]]+Table7[[#This Row],[x1]]*$N$5)))</f>
        <v>1.5321899513655677</v>
      </c>
      <c r="U93">
        <f>Table7[[#This Row],[x1]]*Table7[[#This Row],[gamma1]]*$M$8+Table7[[#This Row],[x2]]*Table7[[#This Row],[gamma2]]*$N$8</f>
        <v>79.452574404583331</v>
      </c>
      <c r="V93">
        <f>Table7[[#This Row],[x1]]*Table7[[#This Row],[gamma1]]*$M$8/Table7[[#This Row],[P]]</f>
        <v>0.9615219691385688</v>
      </c>
    </row>
    <row r="94" spans="17:22" x14ac:dyDescent="0.3">
      <c r="Q94">
        <v>0.91</v>
      </c>
      <c r="R94">
        <f>1-Table7[[#This Row],[x1]]</f>
        <v>8.9999999999999969E-2</v>
      </c>
      <c r="S94">
        <f>EXP(-LN(Table7[[#This Row],[x1]]+Table7[[#This Row],[x2]]*$M$5)+Table7[[#This Row],[x2]]*($M$5/(Table7[[#This Row],[x1]]+Table7[[#This Row],[x2]]*$M$5)-$N$5/(Table7[[#This Row],[x2]]+Table7[[#This Row],[x1]]*$N$5)))</f>
        <v>1.0030651768755683</v>
      </c>
      <c r="T94">
        <f>EXP(-LN(Table7[[#This Row],[x2]]+Table7[[#This Row],[x1]]*$N$5)-Table7[[#This Row],[x1]]*($M$5/(Table7[[#This Row],[x1]]+Table7[[#This Row],[x2]]*$M$5)-$N$5/(Table7[[#This Row],[x2]]+Table7[[#This Row],[x1]]*$N$5)))</f>
        <v>1.5429911414539834</v>
      </c>
      <c r="U94">
        <f>Table7[[#This Row],[x1]]*Table7[[#This Row],[gamma1]]*$M$8+Table7[[#This Row],[x2]]*Table7[[#This Row],[gamma2]]*$N$8</f>
        <v>79.958146915214968</v>
      </c>
      <c r="V94">
        <f>Table7[[#This Row],[x1]]*Table7[[#This Row],[gamma1]]*$M$8/Table7[[#This Row],[P]]</f>
        <v>0.96534615534515889</v>
      </c>
    </row>
    <row r="95" spans="17:22" x14ac:dyDescent="0.3">
      <c r="Q95">
        <v>0.92</v>
      </c>
      <c r="R95">
        <f>1-Table7[[#This Row],[x1]]</f>
        <v>7.999999999999996E-2</v>
      </c>
      <c r="S95">
        <f>EXP(-LN(Table7[[#This Row],[x1]]+Table7[[#This Row],[x2]]*$M$5)+Table7[[#This Row],[x2]]*($M$5/(Table7[[#This Row],[x1]]+Table7[[#This Row],[x2]]*$M$5)-$N$5/(Table7[[#This Row],[x2]]+Table7[[#This Row],[x1]]*$N$5)))</f>
        <v>1.0024086628483568</v>
      </c>
      <c r="T95">
        <f>EXP(-LN(Table7[[#This Row],[x2]]+Table7[[#This Row],[x1]]*$N$5)-Table7[[#This Row],[x1]]*($M$5/(Table7[[#This Row],[x1]]+Table7[[#This Row],[x2]]*$M$5)-$N$5/(Table7[[#This Row],[x2]]+Table7[[#This Row],[x1]]*$N$5)))</f>
        <v>1.5539034765270983</v>
      </c>
      <c r="U95">
        <f>Table7[[#This Row],[x1]]*Table7[[#This Row],[gamma1]]*$M$8+Table7[[#This Row],[x2]]*Table7[[#This Row],[gamma2]]*$N$8</f>
        <v>80.464829725331754</v>
      </c>
      <c r="V95">
        <f>Table7[[#This Row],[x1]]*Table7[[#This Row],[gamma1]]*$M$8/Table7[[#This Row],[P]]</f>
        <v>0.96917407401670363</v>
      </c>
    </row>
    <row r="96" spans="17:22" x14ac:dyDescent="0.3">
      <c r="Q96">
        <v>0.93</v>
      </c>
      <c r="R96">
        <f>1-Table7[[#This Row],[x1]]</f>
        <v>6.9999999999999951E-2</v>
      </c>
      <c r="S96">
        <f>EXP(-LN(Table7[[#This Row],[x1]]+Table7[[#This Row],[x2]]*$M$5)+Table7[[#This Row],[x2]]*($M$5/(Table7[[#This Row],[x1]]+Table7[[#This Row],[x2]]*$M$5)-$N$5/(Table7[[#This Row],[x2]]+Table7[[#This Row],[x1]]*$N$5)))</f>
        <v>1.0018342001501197</v>
      </c>
      <c r="T96">
        <f>EXP(-LN(Table7[[#This Row],[x2]]+Table7[[#This Row],[x1]]*$N$5)-Table7[[#This Row],[x1]]*($M$5/(Table7[[#This Row],[x1]]+Table7[[#This Row],[x2]]*$M$5)-$N$5/(Table7[[#This Row],[x2]]+Table7[[#This Row],[x1]]*$N$5)))</f>
        <v>1.5649275409414007</v>
      </c>
      <c r="U96">
        <f>Table7[[#This Row],[x1]]*Table7[[#This Row],[gamma1]]*$M$8+Table7[[#This Row],[x2]]*Table7[[#This Row],[gamma2]]*$N$8</f>
        <v>80.972656324486081</v>
      </c>
      <c r="V96">
        <f>Table7[[#This Row],[x1]]*Table7[[#This Row],[gamma1]]*$M$8/Table7[[#This Row],[P]]</f>
        <v>0.97300632034412715</v>
      </c>
    </row>
    <row r="97" spans="17:22" x14ac:dyDescent="0.3">
      <c r="Q97">
        <v>0.94</v>
      </c>
      <c r="R97">
        <f>1-Table7[[#This Row],[x1]]</f>
        <v>6.0000000000000053E-2</v>
      </c>
      <c r="S97">
        <f>EXP(-LN(Table7[[#This Row],[x1]]+Table7[[#This Row],[x2]]*$M$5)+Table7[[#This Row],[x2]]*($M$5/(Table7[[#This Row],[x1]]+Table7[[#This Row],[x2]]*$M$5)-$N$5/(Table7[[#This Row],[x2]]+Table7[[#This Row],[x1]]*$N$5)))</f>
        <v>1.0013404062317071</v>
      </c>
      <c r="T97">
        <f>EXP(-LN(Table7[[#This Row],[x2]]+Table7[[#This Row],[x1]]*$N$5)-Table7[[#This Row],[x1]]*($M$5/(Table7[[#This Row],[x1]]+Table7[[#This Row],[x2]]*$M$5)-$N$5/(Table7[[#This Row],[x2]]+Table7[[#This Row],[x1]]*$N$5)))</f>
        <v>1.5760639312176421</v>
      </c>
      <c r="U97">
        <f>Table7[[#This Row],[x1]]*Table7[[#This Row],[gamma1]]*$M$8+Table7[[#This Row],[x2]]*Table7[[#This Row],[gamma2]]*$N$8</f>
        <v>81.481658803034804</v>
      </c>
      <c r="V97">
        <f>Table7[[#This Row],[x1]]*Table7[[#This Row],[gamma1]]*$M$8/Table7[[#This Row],[P]]</f>
        <v>0.97684347318288933</v>
      </c>
    </row>
    <row r="98" spans="17:22" x14ac:dyDescent="0.3">
      <c r="Q98">
        <v>0.95</v>
      </c>
      <c r="R98">
        <f>1-Table7[[#This Row],[x1]]</f>
        <v>5.0000000000000044E-2</v>
      </c>
      <c r="S98">
        <f>EXP(-LN(Table7[[#This Row],[x1]]+Table7[[#This Row],[x2]]*$M$5)+Table7[[#This Row],[x2]]*($M$5/(Table7[[#This Row],[x1]]+Table7[[#This Row],[x2]]*$M$5)-$N$5/(Table7[[#This Row],[x2]]+Table7[[#This Row],[x1]]*$N$5)))</f>
        <v>1.0009259457396009</v>
      </c>
      <c r="T98">
        <f>EXP(-LN(Table7[[#This Row],[x2]]+Table7[[#This Row],[x1]]*$N$5)-Table7[[#This Row],[x1]]*($M$5/(Table7[[#This Row],[x1]]+Table7[[#This Row],[x2]]*$M$5)-$N$5/(Table7[[#This Row],[x2]]+Table7[[#This Row],[x1]]*$N$5)))</f>
        <v>1.5873132559014707</v>
      </c>
      <c r="U98">
        <f>Table7[[#This Row],[x1]]*Table7[[#This Row],[gamma1]]*$M$8+Table7[[#This Row],[x2]]*Table7[[#This Row],[gamma2]]*$N$8</f>
        <v>81.991867902200624</v>
      </c>
      <c r="V98">
        <f>Table7[[#This Row],[x1]]*Table7[[#This Row],[gamma1]]*$M$8/Table7[[#This Row],[P]]</f>
        <v>0.98068609594747869</v>
      </c>
    </row>
    <row r="99" spans="17:22" x14ac:dyDescent="0.3">
      <c r="Q99">
        <v>0.96</v>
      </c>
      <c r="R99">
        <f>1-Table7[[#This Row],[x1]]</f>
        <v>4.0000000000000036E-2</v>
      </c>
      <c r="S99">
        <f>EXP(-LN(Table7[[#This Row],[x1]]+Table7[[#This Row],[x2]]*$M$5)+Table7[[#This Row],[x2]]*($M$5/(Table7[[#This Row],[x1]]+Table7[[#This Row],[x2]]*$M$5)-$N$5/(Table7[[#This Row],[x2]]+Table7[[#This Row],[x1]]*$N$5)))</f>
        <v>1.0005895287922264</v>
      </c>
      <c r="T99">
        <f>EXP(-LN(Table7[[#This Row],[x2]]+Table7[[#This Row],[x1]]*$N$5)-Table7[[#This Row],[x1]]*($M$5/(Table7[[#This Row],[x1]]+Table7[[#This Row],[x2]]*$M$5)-$N$5/(Table7[[#This Row],[x2]]+Table7[[#This Row],[x1]]*$N$5)))</f>
        <v>1.5986761354312873</v>
      </c>
      <c r="U99">
        <f>Table7[[#This Row],[x1]]*Table7[[#This Row],[gamma1]]*$M$8+Table7[[#This Row],[x2]]*Table7[[#This Row],[gamma2]]*$N$8</f>
        <v>82.503313061589523</v>
      </c>
      <c r="V99">
        <f>Table7[[#This Row],[x1]]*Table7[[#This Row],[gamma1]]*$M$8/Table7[[#This Row],[P]]</f>
        <v>0.98453473745644715</v>
      </c>
    </row>
    <row r="100" spans="17:22" x14ac:dyDescent="0.3">
      <c r="Q100">
        <v>0.97</v>
      </c>
      <c r="R100">
        <f>1-Table7[[#This Row],[x1]]</f>
        <v>3.0000000000000027E-2</v>
      </c>
      <c r="S100">
        <f>EXP(-LN(Table7[[#This Row],[x1]]+Table7[[#This Row],[x2]]*$M$5)+Table7[[#This Row],[x2]]*($M$5/(Table7[[#This Row],[x1]]+Table7[[#This Row],[x2]]*$M$5)-$N$5/(Table7[[#This Row],[x2]]+Table7[[#This Row],[x1]]*$N$5)))</f>
        <v>1.0003299093315312</v>
      </c>
      <c r="T100">
        <f>EXP(-LN(Table7[[#This Row],[x2]]+Table7[[#This Row],[x1]]*$N$5)-Table7[[#This Row],[x1]]*($M$5/(Table7[[#This Row],[x1]]+Table7[[#This Row],[x2]]*$M$5)-$N$5/(Table7[[#This Row],[x2]]+Table7[[#This Row],[x1]]*$N$5)))</f>
        <v>1.6101532020130331</v>
      </c>
      <c r="U100">
        <f>Table7[[#This Row],[x1]]*Table7[[#This Row],[gamma1]]*$M$8+Table7[[#This Row],[x2]]*Table7[[#This Row],[gamma2]]*$N$8</f>
        <v>83.016022464299127</v>
      </c>
      <c r="V100">
        <f>Table7[[#This Row],[x1]]*Table7[[#This Row],[gamma1]]*$M$8/Table7[[#This Row],[P]]</f>
        <v>0.98838993273126929</v>
      </c>
    </row>
    <row r="101" spans="17:22" x14ac:dyDescent="0.3">
      <c r="Q101">
        <v>0.98</v>
      </c>
      <c r="R101">
        <f>1-Table7[[#This Row],[x1]]</f>
        <v>2.0000000000000018E-2</v>
      </c>
      <c r="S101">
        <f>EXP(-LN(Table7[[#This Row],[x1]]+Table7[[#This Row],[x2]]*$M$5)+Table7[[#This Row],[x2]]*($M$5/(Table7[[#This Row],[x1]]+Table7[[#This Row],[x2]]*$M$5)-$N$5/(Table7[[#This Row],[x2]]+Table7[[#This Row],[x1]]*$N$5)))</f>
        <v>1.000145883546101</v>
      </c>
      <c r="T101">
        <f>EXP(-LN(Table7[[#This Row],[x2]]+Table7[[#This Row],[x1]]*$N$5)-Table7[[#This Row],[x1]]*($M$5/(Table7[[#This Row],[x1]]+Table7[[#This Row],[x2]]*$M$5)-$N$5/(Table7[[#This Row],[x2]]+Table7[[#This Row],[x1]]*$N$5)))</f>
        <v>1.6217450995016169</v>
      </c>
      <c r="U101">
        <f>Table7[[#This Row],[x1]]*Table7[[#This Row],[gamma1]]*$M$8+Table7[[#This Row],[x2]]*Table7[[#This Row],[gamma2]]*$N$8</f>
        <v>83.530023079743998</v>
      </c>
      <c r="V101">
        <f>Table7[[#This Row],[x1]]*Table7[[#This Row],[gamma1]]*$M$8/Table7[[#This Row],[P]]</f>
        <v>0.99225220375206569</v>
      </c>
    </row>
    <row r="102" spans="17:22" x14ac:dyDescent="0.3">
      <c r="Q102">
        <v>0.99</v>
      </c>
      <c r="R102">
        <f>1-Table7[[#This Row],[x1]]</f>
        <v>1.0000000000000009E-2</v>
      </c>
      <c r="S102">
        <f>EXP(-LN(Table7[[#This Row],[x1]]+Table7[[#This Row],[x2]]*$M$5)+Table7[[#This Row],[x2]]*($M$5/(Table7[[#This Row],[x1]]+Table7[[#This Row],[x2]]*$M$5)-$N$5/(Table7[[#This Row],[x2]]+Table7[[#This Row],[x1]]*$N$5)))</f>
        <v>1.0000362883622849</v>
      </c>
      <c r="T102">
        <f>EXP(-LN(Table7[[#This Row],[x2]]+Table7[[#This Row],[x1]]*$N$5)-Table7[[#This Row],[x1]]*($M$5/(Table7[[#This Row],[x1]]+Table7[[#This Row],[x2]]*$M$5)-$N$5/(Table7[[#This Row],[x2]]+Table7[[#This Row],[x1]]*$N$5)))</f>
        <v>1.6334524832887214</v>
      </c>
      <c r="U102">
        <f>Table7[[#This Row],[x1]]*Table7[[#This Row],[gamma1]]*$M$8+Table7[[#This Row],[x2]]*Table7[[#This Row],[gamma2]]*$N$8</f>
        <v>84.045340704317212</v>
      </c>
      <c r="V102">
        <f>Table7[[#This Row],[x1]]*Table7[[#This Row],[gamma1]]*$M$8/Table7[[#This Row],[P]]</f>
        <v>0.99612206017300542</v>
      </c>
    </row>
    <row r="103" spans="17:22" x14ac:dyDescent="0.3">
      <c r="Q103">
        <v>1</v>
      </c>
      <c r="R103">
        <f>1-Table7[[#This Row],[x1]]</f>
        <v>0</v>
      </c>
      <c r="S103">
        <f>EXP(-LN(Table7[[#This Row],[x1]]+Table7[[#This Row],[x2]]*$M$5)+Table7[[#This Row],[x2]]*($M$5/(Table7[[#This Row],[x1]]+Table7[[#This Row],[x2]]*$M$5)-$N$5/(Table7[[#This Row],[x2]]+Table7[[#This Row],[x1]]*$N$5)))</f>
        <v>1</v>
      </c>
      <c r="T103">
        <f>EXP(-LN(Table7[[#This Row],[x2]]+Table7[[#This Row],[x1]]*$N$5)-Table7[[#This Row],[x1]]*($M$5/(Table7[[#This Row],[x1]]+Table7[[#This Row],[x2]]*$M$5)-$N$5/(Table7[[#This Row],[x2]]+Table7[[#This Row],[x1]]*$N$5)))</f>
        <v>1.6452760201967345</v>
      </c>
      <c r="U103">
        <v>84.561999999999998</v>
      </c>
      <c r="V103">
        <f>Table7[[#This Row],[x1]]*Table7[[#This Row],[gamma1]]*$M$8/Table7[[#This Row],[P]]</f>
        <v>1</v>
      </c>
    </row>
  </sheetData>
  <pageMargins left="0.7" right="0.7" top="0.75" bottom="0.75" header="0.3" footer="0.3"/>
  <ignoredErrors>
    <ignoredError sqref="K4:K13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5BEA-6C6E-440E-91AE-BB114BEE9AE4}">
  <dimension ref="B2:S46"/>
  <sheetViews>
    <sheetView tabSelected="1" topLeftCell="A10" workbookViewId="0">
      <selection activeCell="H16" sqref="H16"/>
    </sheetView>
  </sheetViews>
  <sheetFormatPr defaultRowHeight="14.4" x14ac:dyDescent="0.3"/>
  <sheetData>
    <row r="2" spans="11:11" x14ac:dyDescent="0.3">
      <c r="K2" t="s">
        <v>27</v>
      </c>
    </row>
    <row r="20" spans="2:19" x14ac:dyDescent="0.3">
      <c r="K20" s="18" t="s">
        <v>28</v>
      </c>
      <c r="L20" s="18" t="s">
        <v>29</v>
      </c>
      <c r="M20" s="18" t="s">
        <v>30</v>
      </c>
      <c r="N20" s="18" t="s">
        <v>32</v>
      </c>
      <c r="P20" s="18" t="s">
        <v>36</v>
      </c>
      <c r="Q20" s="18"/>
      <c r="S20" s="18" t="s">
        <v>38</v>
      </c>
    </row>
    <row r="21" spans="2:19" x14ac:dyDescent="0.3">
      <c r="K21" s="18" t="s">
        <v>31</v>
      </c>
      <c r="L21" s="18" t="s">
        <v>31</v>
      </c>
      <c r="M21" s="18" t="s">
        <v>31</v>
      </c>
      <c r="N21" s="18" t="s">
        <v>31</v>
      </c>
      <c r="P21" s="18" t="s">
        <v>37</v>
      </c>
      <c r="Q21" s="18"/>
      <c r="S21" s="18" t="s">
        <v>39</v>
      </c>
    </row>
    <row r="22" spans="2:19" x14ac:dyDescent="0.3">
      <c r="K22" s="18">
        <v>-963</v>
      </c>
      <c r="L22" s="18">
        <v>-1523</v>
      </c>
      <c r="M22" s="18">
        <v>52</v>
      </c>
      <c r="N22" s="18">
        <f>2*M22-K22-L22</f>
        <v>2590</v>
      </c>
      <c r="P22" s="18">
        <v>8314</v>
      </c>
      <c r="Q22" s="18"/>
      <c r="S22" s="18">
        <f>55+273.15</f>
        <v>328.15</v>
      </c>
    </row>
    <row r="25" spans="2:19" x14ac:dyDescent="0.3">
      <c r="K25" s="14" t="s">
        <v>15</v>
      </c>
      <c r="L25" s="14" t="s">
        <v>2</v>
      </c>
      <c r="N25" s="14" t="s">
        <v>15</v>
      </c>
      <c r="O25" s="14" t="s">
        <v>2</v>
      </c>
      <c r="Q25" s="14" t="s">
        <v>15</v>
      </c>
      <c r="R25" s="14" t="s">
        <v>2</v>
      </c>
    </row>
    <row r="26" spans="2:19" x14ac:dyDescent="0.3">
      <c r="E26" s="18" t="s">
        <v>13</v>
      </c>
      <c r="F26" s="18" t="s">
        <v>14</v>
      </c>
      <c r="H26" s="18" t="s">
        <v>17</v>
      </c>
      <c r="I26" s="18" t="s">
        <v>16</v>
      </c>
      <c r="K26" s="14" t="s">
        <v>26</v>
      </c>
      <c r="L26" s="14"/>
      <c r="N26" s="14" t="s">
        <v>26</v>
      </c>
      <c r="O26" s="14"/>
      <c r="Q26" s="14" t="s">
        <v>26</v>
      </c>
      <c r="R26" s="14"/>
    </row>
    <row r="27" spans="2:19" x14ac:dyDescent="0.3">
      <c r="E27" s="18">
        <v>0.59</v>
      </c>
      <c r="F27" s="18">
        <v>1.42</v>
      </c>
      <c r="H27" s="18" t="s">
        <v>26</v>
      </c>
      <c r="I27" s="18" t="s">
        <v>26</v>
      </c>
      <c r="K27" s="14">
        <v>63.757167845471109</v>
      </c>
      <c r="L27" s="14">
        <v>0.55809178196938714</v>
      </c>
      <c r="N27" s="14">
        <v>80.320300825270976</v>
      </c>
      <c r="O27" s="14">
        <v>0.73075883755706195</v>
      </c>
      <c r="Q27" s="14">
        <v>85.813499937708954</v>
      </c>
      <c r="R27" s="14">
        <v>0.80837101699666469</v>
      </c>
    </row>
    <row r="28" spans="2:19" x14ac:dyDescent="0.3">
      <c r="H28" s="18">
        <v>82.37</v>
      </c>
      <c r="I28" s="18">
        <v>37.31</v>
      </c>
    </row>
    <row r="30" spans="2:19" x14ac:dyDescent="0.3">
      <c r="K30" s="18" t="s">
        <v>1</v>
      </c>
      <c r="L30" s="18">
        <v>0.25</v>
      </c>
      <c r="N30" s="18" t="s">
        <v>1</v>
      </c>
      <c r="O30" s="18">
        <v>0.5</v>
      </c>
      <c r="Q30" s="18" t="s">
        <v>1</v>
      </c>
      <c r="R30" s="18">
        <v>0.75</v>
      </c>
    </row>
    <row r="31" spans="2:19" x14ac:dyDescent="0.3">
      <c r="B31" s="18" t="s">
        <v>1</v>
      </c>
      <c r="C31" s="18">
        <v>0.25</v>
      </c>
      <c r="E31" s="18" t="s">
        <v>1</v>
      </c>
      <c r="F31" s="18">
        <v>0.5</v>
      </c>
      <c r="H31" s="18" t="s">
        <v>1</v>
      </c>
      <c r="I31" s="18">
        <v>0.75</v>
      </c>
      <c r="K31" s="18" t="s">
        <v>4</v>
      </c>
      <c r="L31" s="18">
        <f>1-L30</f>
        <v>0.75</v>
      </c>
      <c r="N31" s="18" t="s">
        <v>4</v>
      </c>
      <c r="O31" s="18">
        <f>1-O30</f>
        <v>0.5</v>
      </c>
      <c r="Q31" s="18" t="s">
        <v>4</v>
      </c>
      <c r="R31" s="18">
        <f>1-R30</f>
        <v>0.25</v>
      </c>
    </row>
    <row r="32" spans="2:19" x14ac:dyDescent="0.3">
      <c r="B32" s="18" t="s">
        <v>4</v>
      </c>
      <c r="C32" s="18">
        <f>1-C31</f>
        <v>0.75</v>
      </c>
      <c r="E32" s="18" t="s">
        <v>4</v>
      </c>
      <c r="F32" s="18">
        <f>1-F31</f>
        <v>0.5</v>
      </c>
      <c r="H32" s="18" t="s">
        <v>4</v>
      </c>
      <c r="I32" s="18">
        <f>1-I31</f>
        <v>0.25</v>
      </c>
      <c r="K32" s="18" t="s">
        <v>33</v>
      </c>
      <c r="L32" s="18">
        <f>EXP(K27/$P$22/$S$22*($K$22+(1-L27)^2*N22))</f>
        <v>0.98937200909442258</v>
      </c>
      <c r="N32" s="18" t="s">
        <v>33</v>
      </c>
      <c r="O32" s="18">
        <f>EXP(N27/$P$22/$S$22*($K$22+(1-O27)^2*Q22))</f>
        <v>0.97204706743794778</v>
      </c>
      <c r="Q32" s="18" t="s">
        <v>33</v>
      </c>
      <c r="R32" s="18">
        <f>EXP(Q27/$P$22/$S$22*($K$22+(1-R27)^2*T22))</f>
        <v>0.9701641315983166</v>
      </c>
    </row>
    <row r="33" spans="2:18" x14ac:dyDescent="0.3">
      <c r="B33" s="18" t="s">
        <v>5</v>
      </c>
      <c r="C33" s="18">
        <f>EXP(C32^2*($E$27+2*($F$27-$E$27)*C31))</f>
        <v>1.7599976960734014</v>
      </c>
      <c r="E33" s="18" t="s">
        <v>5</v>
      </c>
      <c r="F33" s="18">
        <f>EXP(F32^2*($E$27+2*($F$27-$E$27)*F31))</f>
        <v>1.4261806542814801</v>
      </c>
      <c r="H33" s="18" t="s">
        <v>5</v>
      </c>
      <c r="I33" s="18">
        <f>EXP(I32^2*($E$27+2*($F$27-$E$27)*I31))</f>
        <v>1.1215229068959678</v>
      </c>
      <c r="K33" s="18" t="s">
        <v>34</v>
      </c>
      <c r="L33" s="18">
        <f>EXP($K$22*$H$28/$P$22/$S$22)</f>
        <v>0.97134405309747063</v>
      </c>
      <c r="N33" s="18" t="s">
        <v>34</v>
      </c>
      <c r="O33" s="18">
        <f>EXP($K$22*$H$28/$P$22/$S$22)</f>
        <v>0.97134405309747063</v>
      </c>
      <c r="Q33" s="18" t="s">
        <v>34</v>
      </c>
      <c r="R33" s="18">
        <f>EXP($K$22*$H$28/$P$22/$S$22)</f>
        <v>0.97134405309747063</v>
      </c>
    </row>
    <row r="34" spans="2:18" x14ac:dyDescent="0.3">
      <c r="B34" s="18" t="s">
        <v>6</v>
      </c>
      <c r="C34" s="18">
        <f>EXP(C31^2*($F$27+2*($E$27-$F$27)*C32))</f>
        <v>1.0109975331242536</v>
      </c>
      <c r="E34" s="18" t="s">
        <v>6</v>
      </c>
      <c r="F34" s="18">
        <f>EXP(F31^2*($F$27+2*($E$27-$F$27)*F32))</f>
        <v>1.1589332848297509</v>
      </c>
      <c r="H34" s="18" t="s">
        <v>6</v>
      </c>
      <c r="I34" s="18">
        <f>EXP(I31^2*($F$27+2*($E$27-$F$27)*I32))</f>
        <v>1.7599976960734014</v>
      </c>
      <c r="K34" s="18" t="s">
        <v>35</v>
      </c>
      <c r="L34" s="18">
        <f>L32/L33</f>
        <v>1.0185598047771678</v>
      </c>
      <c r="N34" s="18" t="s">
        <v>35</v>
      </c>
      <c r="O34" s="18">
        <f>O32/O33</f>
        <v>1.0007237542024736</v>
      </c>
      <c r="Q34" s="18" t="s">
        <v>35</v>
      </c>
      <c r="R34" s="18">
        <f>R32/R33</f>
        <v>0.99878526924070676</v>
      </c>
    </row>
    <row r="35" spans="2:18" x14ac:dyDescent="0.3">
      <c r="B35" s="14" t="s">
        <v>15</v>
      </c>
      <c r="C35" s="14">
        <f>C31*C33*$H$28+C32*C34*$I$28</f>
        <v>64.53299102704095</v>
      </c>
      <c r="E35" s="14" t="s">
        <v>15</v>
      </c>
      <c r="F35" s="14">
        <f>F31*F33*$H$28+F32*F34*$I$28</f>
        <v>80.357150675081769</v>
      </c>
      <c r="H35" s="14" t="s">
        <v>15</v>
      </c>
      <c r="I35" s="14">
        <f>I31*I33*$H$28+I32*I34*$I$28</f>
        <v>85.701259890890299</v>
      </c>
      <c r="K35" s="18" t="s">
        <v>5</v>
      </c>
      <c r="L35" s="18">
        <f>EXP(L31^2*($E$27+2*($F$27-$E$27)*L30))</f>
        <v>1.7599976960734014</v>
      </c>
      <c r="N35" s="18" t="s">
        <v>5</v>
      </c>
      <c r="O35" s="18">
        <f>EXP(O31^2*($E$27+2*($F$27-$E$27)*O30))</f>
        <v>1.4261806542814801</v>
      </c>
      <c r="Q35" s="18" t="s">
        <v>5</v>
      </c>
      <c r="R35" s="18">
        <f>EXP(R31^2*($E$27+2*($F$27-$E$27)*R30))</f>
        <v>1.1215229068959678</v>
      </c>
    </row>
    <row r="36" spans="2:18" x14ac:dyDescent="0.3">
      <c r="B36" s="14" t="s">
        <v>2</v>
      </c>
      <c r="C36" s="14">
        <f>C31*C33*$H$28/C35</f>
        <v>0.56161588018142372</v>
      </c>
      <c r="E36" s="14" t="s">
        <v>2</v>
      </c>
      <c r="F36" s="14">
        <f>F31*F33*$H$28/F35</f>
        <v>0.73095237639874155</v>
      </c>
      <c r="H36" s="14" t="s">
        <v>2</v>
      </c>
      <c r="I36" s="14">
        <f>I31*I33*$H$28/I35</f>
        <v>0.80844647405388215</v>
      </c>
    </row>
    <row r="37" spans="2:18" x14ac:dyDescent="0.3">
      <c r="K37" s="18" t="s">
        <v>41</v>
      </c>
      <c r="L37" s="18">
        <f>EXP(K27/$P$22/$S$22*($L$22+$L$27^2*$N$22))</f>
        <v>0.98339981833586398</v>
      </c>
      <c r="N37" s="18" t="s">
        <v>41</v>
      </c>
      <c r="O37" s="18">
        <f>EXP(N27/$P$22/$S$22*($L$22+$L$27^2*$N$22))</f>
        <v>0.97913262475736529</v>
      </c>
      <c r="Q37" s="18" t="s">
        <v>41</v>
      </c>
      <c r="R37" s="18">
        <f>EXP(Q27/$P$22/$S$22*($L$22+$L$27^2*$N$22))</f>
        <v>0.97772149349897908</v>
      </c>
    </row>
    <row r="38" spans="2:18" x14ac:dyDescent="0.3">
      <c r="K38" s="18" t="s">
        <v>42</v>
      </c>
      <c r="L38" s="18">
        <f>EXP($L$22*$I$28/$P$22/$S$22)</f>
        <v>0.97938763230206338</v>
      </c>
      <c r="N38" s="18" t="s">
        <v>42</v>
      </c>
      <c r="O38" s="18">
        <f>EXP($L$22*$I$28/$P$22/$S$22)</f>
        <v>0.97938763230206338</v>
      </c>
      <c r="Q38" s="18" t="s">
        <v>42</v>
      </c>
      <c r="R38" s="18">
        <f>EXP($L$22*$I$28/$P$22/$S$22)</f>
        <v>0.97938763230206338</v>
      </c>
    </row>
    <row r="39" spans="2:18" x14ac:dyDescent="0.3">
      <c r="K39" s="18" t="s">
        <v>43</v>
      </c>
      <c r="L39" s="18">
        <f>L37/L38</f>
        <v>1.0040966272203886</v>
      </c>
      <c r="N39" s="18" t="s">
        <v>43</v>
      </c>
      <c r="O39" s="18">
        <f>O37/O38</f>
        <v>0.99973962552079743</v>
      </c>
      <c r="Q39" s="18" t="s">
        <v>43</v>
      </c>
      <c r="R39" s="18">
        <f>R37/R38</f>
        <v>0.998298795340954</v>
      </c>
    </row>
    <row r="40" spans="2:18" x14ac:dyDescent="0.3">
      <c r="K40" s="18" t="s">
        <v>6</v>
      </c>
      <c r="L40" s="18">
        <f>C34</f>
        <v>1.0109975331242536</v>
      </c>
      <c r="N40" s="18" t="s">
        <v>6</v>
      </c>
      <c r="O40" s="18">
        <f>F34</f>
        <v>1.1589332848297509</v>
      </c>
      <c r="Q40" s="18" t="s">
        <v>6</v>
      </c>
      <c r="R40" s="18">
        <f>I34</f>
        <v>1.7599976960734014</v>
      </c>
    </row>
    <row r="42" spans="2:18" x14ac:dyDescent="0.3">
      <c r="K42" t="s">
        <v>40</v>
      </c>
    </row>
    <row r="43" spans="2:18" x14ac:dyDescent="0.3">
      <c r="K43" s="18" t="s">
        <v>44</v>
      </c>
      <c r="L43" s="18"/>
      <c r="N43" s="18" t="s">
        <v>44</v>
      </c>
      <c r="O43" s="18"/>
      <c r="Q43" s="18" t="s">
        <v>44</v>
      </c>
      <c r="R43" s="18"/>
    </row>
    <row r="44" spans="2:18" x14ac:dyDescent="0.3">
      <c r="K44" s="18"/>
      <c r="L44" s="18">
        <f>L30*L35*$H$28-K27*L34*L27</f>
        <v>-3.5560601929773838E-7</v>
      </c>
      <c r="N44" s="18"/>
      <c r="O44" s="18">
        <f>O30*O35*$H$28-N27*O34*O27</f>
        <v>-2.9328219852686743E-9</v>
      </c>
      <c r="Q44" s="18"/>
      <c r="R44" s="18">
        <f>R30*R35*$H$28-Q27*R34*R27</f>
        <v>-2.6803093078342499E-10</v>
      </c>
    </row>
    <row r="45" spans="2:18" x14ac:dyDescent="0.3">
      <c r="K45" s="18" t="s">
        <v>45</v>
      </c>
      <c r="L45" s="18"/>
      <c r="N45" s="18" t="s">
        <v>45</v>
      </c>
      <c r="O45" s="18"/>
      <c r="Q45" s="18" t="s">
        <v>45</v>
      </c>
      <c r="R45" s="18"/>
    </row>
    <row r="46" spans="2:18" x14ac:dyDescent="0.3">
      <c r="K46" s="18"/>
      <c r="L46" s="18">
        <f>(1-L27)*L39*K27-L31*L40*$I$28</f>
        <v>-3.2146499151508579E-7</v>
      </c>
      <c r="N46" s="18"/>
      <c r="O46" s="18">
        <f>(1-O27)*O39*N27-O31*O40*$I$28</f>
        <v>-2.9503439691325184E-9</v>
      </c>
      <c r="Q46" s="18"/>
      <c r="R46" s="18">
        <f>(1-R27)*R39*Q27-R31*R40*$I$28</f>
        <v>-2.6990676360583166E-10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13.32a</vt:lpstr>
      <vt:lpstr>13.32b</vt:lpstr>
      <vt:lpstr>13.32c</vt:lpstr>
      <vt:lpstr>13.65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2024-10-25T19:20:47Z</dcterms:modified>
</cp:coreProperties>
</file>