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70A8A665-7389-41D8-BAA0-DC2ED2AF85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28" i="1"/>
  <c r="J32" i="1"/>
  <c r="J28" i="1"/>
  <c r="I32" i="1"/>
  <c r="I28" i="1"/>
  <c r="D18" i="1" l="1"/>
  <c r="D19" i="1"/>
  <c r="F32" i="1"/>
  <c r="F28" i="1"/>
  <c r="D32" i="1"/>
  <c r="D28" i="1"/>
  <c r="A32" i="1"/>
  <c r="A28" i="1"/>
  <c r="G15" i="1"/>
  <c r="C15" i="1"/>
  <c r="F15" i="1"/>
  <c r="B15" i="1"/>
  <c r="A11" i="1"/>
  <c r="A2" i="1"/>
  <c r="D11" i="1" s="1"/>
  <c r="J11" i="1" l="1"/>
  <c r="I11" i="1"/>
  <c r="K11" i="1" s="1"/>
  <c r="L11" i="1" s="1"/>
  <c r="D7" i="1"/>
  <c r="D15" i="1"/>
  <c r="E15" i="1"/>
  <c r="I15" i="1" l="1"/>
  <c r="J15" i="1"/>
  <c r="I7" i="1"/>
  <c r="J7" i="1"/>
  <c r="K7" i="1" l="1"/>
  <c r="L7" i="1" s="1"/>
  <c r="K15" i="1"/>
  <c r="L15" i="1" s="1"/>
  <c r="M15" i="1" s="1"/>
  <c r="C19" i="1" s="1"/>
  <c r="C18" i="1" l="1"/>
</calcChain>
</file>

<file path=xl/sharedStrings.xml><?xml version="1.0" encoding="utf-8"?>
<sst xmlns="http://schemas.openxmlformats.org/spreadsheetml/2006/main" count="72" uniqueCount="36">
  <si>
    <t>ehtylene</t>
  </si>
  <si>
    <t>(gas)</t>
  </si>
  <si>
    <t>Propylene</t>
  </si>
  <si>
    <t>Temp (K)</t>
  </si>
  <si>
    <t>Pressure (bar)</t>
  </si>
  <si>
    <t>y</t>
  </si>
  <si>
    <t>omega</t>
  </si>
  <si>
    <t>Tc (K)</t>
  </si>
  <si>
    <t>Pc (bar)</t>
  </si>
  <si>
    <t>Zc</t>
  </si>
  <si>
    <t>Vc (cm3/mol)</t>
  </si>
  <si>
    <t>R (bar cm3/mol K)</t>
  </si>
  <si>
    <t>Combined (gas)</t>
  </si>
  <si>
    <t>B11</t>
  </si>
  <si>
    <t>B22</t>
  </si>
  <si>
    <t>B12</t>
  </si>
  <si>
    <t>Tr</t>
  </si>
  <si>
    <t>B0</t>
  </si>
  <si>
    <t>B1</t>
  </si>
  <si>
    <t>Bhat</t>
  </si>
  <si>
    <t>delta12</t>
  </si>
  <si>
    <t>Ethylene</t>
  </si>
  <si>
    <t>Fug Coef</t>
  </si>
  <si>
    <t>Fugacity (bar)</t>
  </si>
  <si>
    <t>Part a</t>
  </si>
  <si>
    <t>Part b</t>
  </si>
  <si>
    <t>Prpylene (gas)</t>
  </si>
  <si>
    <t>x</t>
  </si>
  <si>
    <t>Ethylene (gas)</t>
  </si>
  <si>
    <t>Pr</t>
  </si>
  <si>
    <t>Doesn't this make no sense because It’s a gas?</t>
  </si>
  <si>
    <t>Phi0</t>
  </si>
  <si>
    <t>Phi1</t>
  </si>
  <si>
    <t>pure coef</t>
  </si>
  <si>
    <t>pure fug</t>
  </si>
  <si>
    <t>mix fug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</si>
</sst>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133350</xdr:rowOff>
    </xdr:from>
    <xdr:to>
      <xdr:col>16</xdr:col>
      <xdr:colOff>543981</xdr:colOff>
      <xdr:row>5</xdr:row>
      <xdr:rowOff>147172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39433-C92A-2C73-E21A-01675753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323850"/>
          <a:ext cx="2925231" cy="775822"/>
        </a:xfrm>
        <a:prstGeom prst="rect">
          <a:avLst/>
        </a:prstGeom>
      </xdr:spPr>
    </xdr:pic>
    <xdr:clientData/>
  </xdr:twoCellAnchor>
  <xdr:twoCellAnchor editAs="oneCell">
    <xdr:from>
      <xdr:col>17</xdr:col>
      <xdr:colOff>26970</xdr:colOff>
      <xdr:row>2</xdr:row>
      <xdr:rowOff>9526</xdr:rowOff>
    </xdr:from>
    <xdr:to>
      <xdr:col>21</xdr:col>
      <xdr:colOff>581482</xdr:colOff>
      <xdr:row>5</xdr:row>
      <xdr:rowOff>72886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F6856E-A4D7-C990-5017-96CC42A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0170" y="390526"/>
          <a:ext cx="2992912" cy="634860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6</xdr:row>
      <xdr:rowOff>47625</xdr:rowOff>
    </xdr:from>
    <xdr:to>
      <xdr:col>19</xdr:col>
      <xdr:colOff>56338</xdr:colOff>
      <xdr:row>8</xdr:row>
      <xdr:rowOff>107304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B5C465-238F-8497-38B7-A9B436A3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58356" t="-9929" r="-1" b="-1"/>
        <a:stretch/>
      </xdr:blipFill>
      <xdr:spPr>
        <a:xfrm>
          <a:off x="9315450" y="1190625"/>
          <a:ext cx="2323288" cy="44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457200</xdr:colOff>
      <xdr:row>10</xdr:row>
      <xdr:rowOff>142875</xdr:rowOff>
    </xdr:from>
    <xdr:to>
      <xdr:col>25</xdr:col>
      <xdr:colOff>171665</xdr:colOff>
      <xdr:row>19</xdr:row>
      <xdr:rowOff>57377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FB0E54-99F5-2C21-38B8-9F3A9C5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2047875"/>
          <a:ext cx="1543265" cy="162900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9</xdr:row>
      <xdr:rowOff>152400</xdr:rowOff>
    </xdr:from>
    <xdr:to>
      <xdr:col>22</xdr:col>
      <xdr:colOff>76943</xdr:colOff>
      <xdr:row>20</xdr:row>
      <xdr:rowOff>133640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DBD6DD-C79E-ACB4-01ED-FE92E5A1B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2925" y="1866900"/>
          <a:ext cx="5325218" cy="2076740"/>
        </a:xfrm>
        <a:prstGeom prst="rect">
          <a:avLst/>
        </a:prstGeom>
      </xdr:spPr>
    </xdr:pic>
    <xdr:clientData/>
  </xdr:twoCellAnchor>
  <xdr:twoCellAnchor>
    <xdr:from>
      <xdr:col>15</xdr:col>
      <xdr:colOff>228600</xdr:colOff>
      <xdr:row>21</xdr:row>
      <xdr:rowOff>161925</xdr:rowOff>
    </xdr:from>
    <xdr:to>
      <xdr:col>18</xdr:col>
      <xdr:colOff>411313</xdr:colOff>
      <xdr:row>24</xdr:row>
      <xdr:rowOff>168725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C83FA068-80E5-435D-7C4A-1458621BABE8}"/>
                </a:ext>
              </a:extLst>
            </xdr:cNvPr>
            <xdr:cNvSpPr txBox="1"/>
          </xdr:nvSpPr>
          <xdr:spPr>
            <a:xfrm>
              <a:off x="9372600" y="4162425"/>
              <a:ext cx="2011513" cy="5783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en-US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  <m:r>
                      <a:rPr lang="en-US" b="0" i="1">
                        <a:latin typeface="Cambria Math" panose="02040503050406030204" pitchFamily="18" charset="0"/>
                      </a:rPr>
                      <m:t>=0.083−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0.422</m:t>
                        </m:r>
                      </m:num>
                      <m:den>
                        <m:sSubSup>
                          <m:sSub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1.6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C83FA068-80E5-435D-7C4A-1458621BABE8}"/>
                </a:ext>
              </a:extLst>
            </xdr:cNvPr>
            <xdr:cNvSpPr txBox="1"/>
          </xdr:nvSpPr>
          <xdr:spPr>
            <a:xfrm>
              <a:off x="9372600" y="4162425"/>
              <a:ext cx="2011513" cy="5783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𝐵^0=0.083−0.422/(𝑇_𝑟^1.6 )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20</xdr:col>
      <xdr:colOff>128831</xdr:colOff>
      <xdr:row>21</xdr:row>
      <xdr:rowOff>165644</xdr:rowOff>
    </xdr:from>
    <xdr:to>
      <xdr:col>23</xdr:col>
      <xdr:colOff>306606</xdr:colOff>
      <xdr:row>24</xdr:row>
      <xdr:rowOff>168725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20">
              <a:extLst>
                <a:ext uri="{FF2B5EF4-FFF2-40B4-BE49-F238E27FC236}">
                  <a16:creationId xmlns:a16="http://schemas.microsoft.com/office/drawing/2014/main" id="{8E984BF5-46EF-017C-E22C-F03B0E77A08B}"/>
                </a:ext>
              </a:extLst>
            </xdr:cNvPr>
            <xdr:cNvSpPr txBox="1"/>
          </xdr:nvSpPr>
          <xdr:spPr>
            <a:xfrm>
              <a:off x="12320831" y="4166144"/>
              <a:ext cx="2006575" cy="5745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b="0" i="1">
                        <a:latin typeface="Cambria Math" panose="02040503050406030204" pitchFamily="18" charset="0"/>
                      </a:rPr>
                      <m:t>=0.139−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0.172</m:t>
                        </m:r>
                      </m:num>
                      <m:den>
                        <m:sSubSup>
                          <m:sSub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4.2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8" name="TextBox 20">
              <a:extLst>
                <a:ext uri="{FF2B5EF4-FFF2-40B4-BE49-F238E27FC236}">
                  <a16:creationId xmlns:a16="http://schemas.microsoft.com/office/drawing/2014/main" id="{8E984BF5-46EF-017C-E22C-F03B0E77A08B}"/>
                </a:ext>
              </a:extLst>
            </xdr:cNvPr>
            <xdr:cNvSpPr txBox="1"/>
          </xdr:nvSpPr>
          <xdr:spPr>
            <a:xfrm>
              <a:off x="12320831" y="4166144"/>
              <a:ext cx="2006575" cy="5745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𝐵^1=0.139−0.172/(𝑇_𝑟^4.2 )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21</xdr:row>
      <xdr:rowOff>171450</xdr:rowOff>
    </xdr:from>
    <xdr:to>
      <xdr:col>1</xdr:col>
      <xdr:colOff>295395</xdr:colOff>
      <xdr:row>24</xdr:row>
      <xdr:rowOff>76266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A37236-FEFE-4CEB-ACC1-EDBBC68C7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4171950"/>
          <a:ext cx="857370" cy="476316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16</xdr:row>
      <xdr:rowOff>180975</xdr:rowOff>
    </xdr:from>
    <xdr:to>
      <xdr:col>12</xdr:col>
      <xdr:colOff>476386</xdr:colOff>
      <xdr:row>20</xdr:row>
      <xdr:rowOff>95344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BD761F-56AD-A70C-4FAE-21859BBFE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9900" y="3228975"/>
          <a:ext cx="971686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22</xdr:row>
      <xdr:rowOff>70245</xdr:rowOff>
    </xdr:from>
    <xdr:to>
      <xdr:col>4</xdr:col>
      <xdr:colOff>209550</xdr:colOff>
      <xdr:row>24</xdr:row>
      <xdr:rowOff>139198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4C2658-7850-7101-2DFA-D5E004495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3475" y="4261245"/>
          <a:ext cx="1514475" cy="449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N26" sqref="N26"/>
    </sheetView>
  </sheetViews>
  <sheetFormatPr defaultRowHeight="15" x14ac:dyDescent="0.25"/>
  <sheetData>
    <row r="1" spans="1:13" x14ac:dyDescent="0.25">
      <c r="A1" t="s">
        <v>3</v>
      </c>
      <c r="B1" t="s">
        <v>4</v>
      </c>
      <c r="D1" t="s">
        <v>11</v>
      </c>
    </row>
    <row r="2" spans="1:13" x14ac:dyDescent="0.25">
      <c r="A2">
        <f>273.15+150</f>
        <v>423.15</v>
      </c>
      <c r="B2">
        <v>30</v>
      </c>
      <c r="D2">
        <v>83.14</v>
      </c>
    </row>
    <row r="4" spans="1:13" x14ac:dyDescent="0.25">
      <c r="A4" t="s">
        <v>24</v>
      </c>
    </row>
    <row r="5" spans="1:13" x14ac:dyDescent="0.25">
      <c r="A5" t="s">
        <v>0</v>
      </c>
      <c r="B5" t="s">
        <v>1</v>
      </c>
    </row>
    <row r="6" spans="1:13" x14ac:dyDescent="0.25">
      <c r="A6" t="s">
        <v>5</v>
      </c>
      <c r="B6" t="s">
        <v>6</v>
      </c>
      <c r="C6" t="s">
        <v>7</v>
      </c>
      <c r="D6" t="s">
        <v>16</v>
      </c>
      <c r="E6" t="s">
        <v>8</v>
      </c>
      <c r="F6" t="s">
        <v>9</v>
      </c>
      <c r="G6" t="s">
        <v>10</v>
      </c>
      <c r="I6" t="s">
        <v>17</v>
      </c>
      <c r="J6" t="s">
        <v>18</v>
      </c>
      <c r="K6" t="s">
        <v>19</v>
      </c>
      <c r="L6" t="s">
        <v>13</v>
      </c>
    </row>
    <row r="7" spans="1:13" x14ac:dyDescent="0.25">
      <c r="A7" s="1">
        <v>0.35</v>
      </c>
      <c r="B7" s="1">
        <v>8.6999999999999994E-2</v>
      </c>
      <c r="C7" s="1">
        <v>282.3</v>
      </c>
      <c r="D7">
        <f>$A$2/C7</f>
        <v>1.4989373007438893</v>
      </c>
      <c r="E7" s="1">
        <v>50.4</v>
      </c>
      <c r="F7" s="1">
        <v>0.28100000000000003</v>
      </c>
      <c r="G7" s="1">
        <v>131</v>
      </c>
      <c r="I7">
        <f>0.083-0.422/D7^1.6</f>
        <v>-0.13783042265281853</v>
      </c>
      <c r="J7">
        <f>0.139-0.172/D7^4.2</f>
        <v>0.10757770618124425</v>
      </c>
      <c r="K7">
        <f>I7+B7*J7</f>
        <v>-0.12847116221505028</v>
      </c>
      <c r="L7">
        <f>K7*$D$2*C7/E7</f>
        <v>-59.826833174954068</v>
      </c>
    </row>
    <row r="9" spans="1:13" x14ac:dyDescent="0.25">
      <c r="A9" t="s">
        <v>2</v>
      </c>
      <c r="B9" t="s">
        <v>1</v>
      </c>
    </row>
    <row r="10" spans="1:13" x14ac:dyDescent="0.25">
      <c r="A10" t="s">
        <v>5</v>
      </c>
      <c r="B10" t="s">
        <v>6</v>
      </c>
      <c r="C10" t="s">
        <v>7</v>
      </c>
      <c r="D10" t="s">
        <v>16</v>
      </c>
      <c r="E10" t="s">
        <v>8</v>
      </c>
      <c r="F10" t="s">
        <v>9</v>
      </c>
      <c r="G10" t="s">
        <v>10</v>
      </c>
      <c r="I10" t="s">
        <v>17</v>
      </c>
      <c r="J10" t="s">
        <v>18</v>
      </c>
      <c r="K10" t="s">
        <v>19</v>
      </c>
      <c r="L10" t="s">
        <v>14</v>
      </c>
    </row>
    <row r="11" spans="1:13" x14ac:dyDescent="0.25">
      <c r="A11" s="1">
        <f>1-A7</f>
        <v>0.65</v>
      </c>
      <c r="B11" s="1">
        <v>0.14000000000000001</v>
      </c>
      <c r="C11" s="1">
        <v>365.6</v>
      </c>
      <c r="D11">
        <f>$A$2/C11</f>
        <v>1.1574124726477022</v>
      </c>
      <c r="E11" s="1">
        <v>46.65</v>
      </c>
      <c r="F11" s="1">
        <v>0.28899999999999998</v>
      </c>
      <c r="G11" s="1">
        <v>188.4</v>
      </c>
      <c r="I11">
        <f>0.083-0.422/D11^1.6</f>
        <v>-0.25098841126995808</v>
      </c>
      <c r="J11">
        <f>0.139-0.172/D11^4.2</f>
        <v>4.5915325877179169E-2</v>
      </c>
      <c r="K11">
        <f>I11+B11*J11</f>
        <v>-0.244560265647153</v>
      </c>
      <c r="L11">
        <f>K11*$D$2*C11/E11</f>
        <v>-159.34940882415034</v>
      </c>
    </row>
    <row r="13" spans="1:13" x14ac:dyDescent="0.25">
      <c r="A13" t="s">
        <v>12</v>
      </c>
    </row>
    <row r="14" spans="1:13" x14ac:dyDescent="0.25">
      <c r="B14" t="s">
        <v>6</v>
      </c>
      <c r="C14" t="s">
        <v>7</v>
      </c>
      <c r="D14" t="s">
        <v>16</v>
      </c>
      <c r="E14" t="s">
        <v>8</v>
      </c>
      <c r="F14" t="s">
        <v>9</v>
      </c>
      <c r="G14" t="s">
        <v>10</v>
      </c>
      <c r="I14" t="s">
        <v>17</v>
      </c>
      <c r="J14" t="s">
        <v>18</v>
      </c>
      <c r="K14" t="s">
        <v>19</v>
      </c>
      <c r="L14" t="s">
        <v>15</v>
      </c>
      <c r="M14" t="s">
        <v>20</v>
      </c>
    </row>
    <row r="15" spans="1:13" x14ac:dyDescent="0.25">
      <c r="B15" s="1">
        <f>(B7+B11)/2</f>
        <v>0.1135</v>
      </c>
      <c r="C15" s="1">
        <f>SQRT(C7*C11)</f>
        <v>321.26138890317958</v>
      </c>
      <c r="D15">
        <f>$A$2/C15</f>
        <v>1.3171517481284598</v>
      </c>
      <c r="E15" s="1">
        <f>F15*D2*C15/G15</f>
        <v>48.189172805195987</v>
      </c>
      <c r="F15" s="1">
        <f>(F7+F11)/2</f>
        <v>0.28500000000000003</v>
      </c>
      <c r="G15" s="1">
        <f>((G7^(1/3)+G11^(1/3))/2)^3</f>
        <v>157.96611646965565</v>
      </c>
      <c r="I15">
        <f>0.083-0.422/D15^1.6</f>
        <v>-0.18857835337502177</v>
      </c>
      <c r="J15">
        <f>0.139-0.172/D15^4.2</f>
        <v>8.4917341223730458E-2</v>
      </c>
      <c r="K15">
        <f>I15+B15*J15</f>
        <v>-0.17894023514612836</v>
      </c>
      <c r="L15">
        <f>K15*$D$2*C15/E15</f>
        <v>-99.180680793687287</v>
      </c>
      <c r="M15">
        <f>2*L15-L11-L7</f>
        <v>20.814880411729838</v>
      </c>
    </row>
    <row r="17" spans="1:11" x14ac:dyDescent="0.25">
      <c r="B17" s="2"/>
      <c r="C17" s="3" t="s">
        <v>22</v>
      </c>
      <c r="D17" s="4" t="s">
        <v>23</v>
      </c>
    </row>
    <row r="18" spans="1:11" x14ac:dyDescent="0.25">
      <c r="B18" s="5" t="s">
        <v>21</v>
      </c>
      <c r="C18" s="6">
        <f>EXP($B$2/$D$2/$A$2*(L7+A11^2*$M$15))</f>
        <v>0.95741578105850156</v>
      </c>
      <c r="D18" s="7">
        <f>C18*$B$2*A7</f>
        <v>10.052865701114266</v>
      </c>
    </row>
    <row r="19" spans="1:11" x14ac:dyDescent="0.25">
      <c r="B19" s="8" t="s">
        <v>2</v>
      </c>
      <c r="C19" s="9">
        <f>EXP($B$2/$D$2/$A$2*(L11+A7^2*$M$15))</f>
        <v>0.87484429485809578</v>
      </c>
      <c r="D19" s="10">
        <f>C19*$B$2*A11</f>
        <v>17.059463749732867</v>
      </c>
    </row>
    <row r="21" spans="1:11" x14ac:dyDescent="0.25">
      <c r="A21" t="s">
        <v>25</v>
      </c>
      <c r="B21" t="s">
        <v>30</v>
      </c>
    </row>
    <row r="26" spans="1:11" x14ac:dyDescent="0.25">
      <c r="A26" t="s">
        <v>28</v>
      </c>
    </row>
    <row r="27" spans="1:11" x14ac:dyDescent="0.25">
      <c r="A27" t="s">
        <v>27</v>
      </c>
      <c r="B27" t="s">
        <v>6</v>
      </c>
      <c r="C27" t="s">
        <v>7</v>
      </c>
      <c r="D27" t="s">
        <v>16</v>
      </c>
      <c r="E27" t="s">
        <v>8</v>
      </c>
      <c r="F27" t="s">
        <v>29</v>
      </c>
      <c r="G27" t="s">
        <v>31</v>
      </c>
      <c r="H27" t="s">
        <v>32</v>
      </c>
      <c r="I27" t="s">
        <v>33</v>
      </c>
      <c r="J27" t="s">
        <v>34</v>
      </c>
      <c r="K27" t="s">
        <v>35</v>
      </c>
    </row>
    <row r="28" spans="1:11" x14ac:dyDescent="0.25">
      <c r="A28" s="1">
        <f>0.35</f>
        <v>0.35</v>
      </c>
      <c r="B28" s="1">
        <v>8.6999999999999994E-2</v>
      </c>
      <c r="C28" s="1">
        <v>282.3</v>
      </c>
      <c r="D28">
        <f>$A$2/C28</f>
        <v>1.4989373007438893</v>
      </c>
      <c r="E28" s="1">
        <v>50.4</v>
      </c>
      <c r="F28" s="1">
        <f>$B$2/E28</f>
        <v>0.59523809523809523</v>
      </c>
      <c r="G28" s="1">
        <v>0.94610000000000005</v>
      </c>
      <c r="H28" s="1">
        <v>1.0489999999999999</v>
      </c>
      <c r="I28">
        <f>G28*H28^B28</f>
        <v>0.95004572913667384</v>
      </c>
      <c r="J28">
        <f>I28*$B$2</f>
        <v>28.501371874100215</v>
      </c>
      <c r="K28">
        <f>J28*A28</f>
        <v>9.9754801559350739</v>
      </c>
    </row>
    <row r="29" spans="1:11" x14ac:dyDescent="0.25">
      <c r="A29" s="1"/>
      <c r="F29" s="1"/>
    </row>
    <row r="30" spans="1:11" x14ac:dyDescent="0.25">
      <c r="A30" s="1" t="s">
        <v>26</v>
      </c>
      <c r="F30" s="1"/>
    </row>
    <row r="31" spans="1:11" x14ac:dyDescent="0.25">
      <c r="A31" s="1" t="s">
        <v>27</v>
      </c>
      <c r="B31" t="s">
        <v>6</v>
      </c>
      <c r="C31" t="s">
        <v>7</v>
      </c>
      <c r="D31" t="s">
        <v>16</v>
      </c>
      <c r="E31" t="s">
        <v>8</v>
      </c>
      <c r="F31" s="1" t="s">
        <v>29</v>
      </c>
      <c r="G31" t="s">
        <v>31</v>
      </c>
      <c r="H31" t="s">
        <v>32</v>
      </c>
      <c r="I31" t="s">
        <v>33</v>
      </c>
      <c r="J31" t="s">
        <v>34</v>
      </c>
      <c r="K31" t="s">
        <v>35</v>
      </c>
    </row>
    <row r="32" spans="1:11" x14ac:dyDescent="0.25">
      <c r="A32" s="1">
        <f>1-A28</f>
        <v>0.65</v>
      </c>
      <c r="B32" s="1">
        <v>0.14000000000000001</v>
      </c>
      <c r="C32" s="1">
        <v>365.6</v>
      </c>
      <c r="D32">
        <f>$A$2/C32</f>
        <v>1.1574124726477022</v>
      </c>
      <c r="E32" s="1">
        <v>46.65</v>
      </c>
      <c r="F32" s="1">
        <f t="shared" ref="F29:F32" si="0">$B$2/E32</f>
        <v>0.64308681672025725</v>
      </c>
      <c r="G32" s="1">
        <v>0.87090000000000001</v>
      </c>
      <c r="H32" s="1">
        <v>1.022</v>
      </c>
      <c r="I32">
        <f>G32*H32^B32</f>
        <v>0.87355733752555165</v>
      </c>
      <c r="J32">
        <f>I32*$B$2</f>
        <v>26.206720125766548</v>
      </c>
      <c r="K32">
        <f>J32*A32</f>
        <v>17.034368081748259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2024-09-18T17:43:29Z</dcterms:modified>
</cp:coreProperties>
</file>