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https://d.docs.live.net/b17c6545b7781650/Desktop/Fall24Classes/Homework/"/>
    </mc:Choice>
  </mc:AlternateContent>
  <xr:revisionPtr revIDLastSave="107" documentId="13_ncr:1_{56B56860-27A0-4CD3-81BC-3D59D5DB80CD}" xr6:coauthVersionLast="47" xr6:coauthVersionMax="47" xr10:uidLastSave="{CF0FE1FE-B1D3-46DF-BFD0-92E97BFD9076}"/>
  <bookViews>
    <workbookView xWindow="-96" yWindow="0" windowWidth="11712" windowHeight="14496" firstSheet="4" activeTab="5" xr2:uid="{00000000-000D-0000-FFFF-FFFF00000000}"/>
  </bookViews>
  <sheets>
    <sheet name="Question 1" sheetId="1" r:id="rId1"/>
    <sheet name="Question 2" sheetId="2" r:id="rId2"/>
    <sheet name="Question 3" sheetId="3" r:id="rId3"/>
    <sheet name="Question 4" sheetId="4" r:id="rId4"/>
    <sheet name="Question 5" sheetId="5" r:id="rId5"/>
    <sheet name="Question 6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0" i="6" l="1"/>
  <c r="I22" i="6"/>
  <c r="I18" i="6"/>
  <c r="I19" i="6" s="1"/>
  <c r="I8" i="6"/>
  <c r="I9" i="6" s="1"/>
  <c r="D16" i="6"/>
  <c r="E11" i="3"/>
  <c r="D10" i="3"/>
  <c r="D16" i="2"/>
  <c r="D23" i="5"/>
  <c r="D24" i="5" s="1"/>
  <c r="D38" i="4"/>
  <c r="D37" i="4"/>
  <c r="D13" i="3"/>
  <c r="D14" i="2"/>
  <c r="D13" i="2"/>
  <c r="D7" i="2"/>
  <c r="D9" i="2"/>
  <c r="D3" i="1"/>
  <c r="D4" i="1" s="1"/>
  <c r="D9" i="3"/>
  <c r="D8" i="3"/>
  <c r="D12" i="3" s="1"/>
  <c r="D11" i="3"/>
  <c r="I21" i="6"/>
  <c r="D14" i="6"/>
  <c r="D10" i="6"/>
  <c r="D7" i="6"/>
  <c r="D5" i="6"/>
  <c r="D4" i="6"/>
  <c r="D3" i="6"/>
  <c r="D17" i="5"/>
  <c r="D15" i="5"/>
  <c r="D13" i="5"/>
  <c r="D11" i="5"/>
  <c r="D8" i="5"/>
  <c r="D6" i="5"/>
  <c r="D4" i="5"/>
  <c r="D19" i="5" s="1"/>
  <c r="D7" i="4"/>
  <c r="D20" i="4" s="1"/>
  <c r="I13" i="6" l="1"/>
  <c r="I14" i="6"/>
  <c r="I11" i="6"/>
  <c r="I12" i="6" s="1"/>
  <c r="I16" i="6"/>
  <c r="I15" i="6"/>
  <c r="I10" i="6"/>
  <c r="D21" i="5"/>
  <c r="D20" i="5"/>
  <c r="D22" i="5" s="1"/>
  <c r="D22" i="4"/>
  <c r="D21" i="4"/>
  <c r="D23" i="4" s="1"/>
  <c r="D24" i="4" s="1"/>
  <c r="D14" i="4"/>
  <c r="D17" i="4"/>
  <c r="D12" i="4"/>
  <c r="D9" i="4"/>
  <c r="D3" i="4"/>
  <c r="D5" i="4"/>
  <c r="D6" i="3"/>
  <c r="D10" i="2"/>
  <c r="D5" i="2"/>
  <c r="D2" i="2"/>
  <c r="I17" i="6" l="1"/>
  <c r="J19" i="6" s="1"/>
  <c r="D25" i="4"/>
  <c r="D26" i="4" s="1"/>
  <c r="D27" i="4" s="1"/>
  <c r="D28" i="4" s="1"/>
  <c r="D15" i="2"/>
  <c r="D30" i="4" l="1"/>
  <c r="D34" i="4" s="1"/>
  <c r="D35" i="4" s="1"/>
  <c r="D29" i="4"/>
  <c r="D31" i="4" l="1"/>
</calcChain>
</file>

<file path=xl/sharedStrings.xml><?xml version="1.0" encoding="utf-8"?>
<sst xmlns="http://schemas.openxmlformats.org/spreadsheetml/2006/main" count="185" uniqueCount="103">
  <si>
    <t>density</t>
  </si>
  <si>
    <t>kg/m3</t>
  </si>
  <si>
    <t>pressure difference</t>
  </si>
  <si>
    <t>psi</t>
  </si>
  <si>
    <t>kg/m s2</t>
  </si>
  <si>
    <t xml:space="preserve">Velocity </t>
  </si>
  <si>
    <t>m/s</t>
  </si>
  <si>
    <t>SG</t>
  </si>
  <si>
    <t>Density</t>
  </si>
  <si>
    <t>F</t>
  </si>
  <si>
    <t>Temperature</t>
  </si>
  <si>
    <t>Viscosity</t>
  </si>
  <si>
    <t>cP</t>
  </si>
  <si>
    <t>kg/m s</t>
  </si>
  <si>
    <t>Big Diameter</t>
  </si>
  <si>
    <t>in</t>
  </si>
  <si>
    <t>m</t>
  </si>
  <si>
    <t>beta</t>
  </si>
  <si>
    <t>p1-p2</t>
  </si>
  <si>
    <t>cd</t>
  </si>
  <si>
    <t>V2</t>
  </si>
  <si>
    <t>Q</t>
  </si>
  <si>
    <t>m3/s</t>
  </si>
  <si>
    <t>ReD</t>
  </si>
  <si>
    <t>viscosity</t>
  </si>
  <si>
    <t>little diameter</t>
  </si>
  <si>
    <t>density of mercury</t>
  </si>
  <si>
    <t>density of water</t>
  </si>
  <si>
    <t>Pipe Average Velocity</t>
  </si>
  <si>
    <t>Flow rate</t>
  </si>
  <si>
    <t>Orifice Average Velocity</t>
  </si>
  <si>
    <t>Red</t>
  </si>
  <si>
    <t>Pa</t>
  </si>
  <si>
    <t>P1-P2</t>
  </si>
  <si>
    <t>x</t>
  </si>
  <si>
    <t>Flow Rate</t>
  </si>
  <si>
    <t>gpm</t>
  </si>
  <si>
    <t>length</t>
  </si>
  <si>
    <t>miles</t>
  </si>
  <si>
    <t>nominal diamter</t>
  </si>
  <si>
    <t>inside diameter</t>
  </si>
  <si>
    <t>efficiency</t>
  </si>
  <si>
    <t>motor angular velocity</t>
  </si>
  <si>
    <t>rpm</t>
  </si>
  <si>
    <t>rad/s</t>
  </si>
  <si>
    <t>initial calculatios</t>
  </si>
  <si>
    <t>Part a</t>
  </si>
  <si>
    <t>Reynolds Number</t>
  </si>
  <si>
    <t>epsilon</t>
  </si>
  <si>
    <t>epsilon/diamter</t>
  </si>
  <si>
    <t>A</t>
  </si>
  <si>
    <t>B</t>
  </si>
  <si>
    <t>fanning friction factor</t>
  </si>
  <si>
    <t>m2/s2</t>
  </si>
  <si>
    <t>Kpipe</t>
  </si>
  <si>
    <t>Kminor</t>
  </si>
  <si>
    <t>Ksum</t>
  </si>
  <si>
    <t>neg ws</t>
  </si>
  <si>
    <t>pump head</t>
  </si>
  <si>
    <t>W</t>
  </si>
  <si>
    <t>BHP</t>
  </si>
  <si>
    <t>hp</t>
  </si>
  <si>
    <t>Part b</t>
  </si>
  <si>
    <t>Torque Rating</t>
  </si>
  <si>
    <t>J</t>
  </si>
  <si>
    <t>ft lbf</t>
  </si>
  <si>
    <t>ft</t>
  </si>
  <si>
    <t>NPSH</t>
  </si>
  <si>
    <t>Vapor Pressure</t>
  </si>
  <si>
    <t>mmHg</t>
  </si>
  <si>
    <t>g</t>
  </si>
  <si>
    <t>m/s2</t>
  </si>
  <si>
    <t>hmax</t>
  </si>
  <si>
    <t>P1</t>
  </si>
  <si>
    <t>degree Api</t>
  </si>
  <si>
    <t>lbm/ft3</t>
  </si>
  <si>
    <t>lbm/ft s</t>
  </si>
  <si>
    <t>z1-z2</t>
  </si>
  <si>
    <t>flow rate</t>
  </si>
  <si>
    <t>ft3/s</t>
  </si>
  <si>
    <t>Length</t>
  </si>
  <si>
    <t>Nominal Diameter</t>
  </si>
  <si>
    <t>Inside Diameter</t>
  </si>
  <si>
    <t>Epsilon</t>
  </si>
  <si>
    <t>Epsilon/Diameter</t>
  </si>
  <si>
    <t>Minor losses values</t>
  </si>
  <si>
    <t>K1</t>
  </si>
  <si>
    <t>Ki</t>
  </si>
  <si>
    <t>Kd</t>
  </si>
  <si>
    <t>Standard Globe Valve</t>
  </si>
  <si>
    <t>Lift Check Valve</t>
  </si>
  <si>
    <t>Stub-in tee used as elbow</t>
  </si>
  <si>
    <t>90* Elbow (Threaded, standard)</t>
  </si>
  <si>
    <t>Quantity</t>
  </si>
  <si>
    <t>Ke</t>
  </si>
  <si>
    <t>Ks</t>
  </si>
  <si>
    <t>Kl</t>
  </si>
  <si>
    <t>Kg</t>
  </si>
  <si>
    <t>ft2/s2</t>
  </si>
  <si>
    <t>ft lbf/s</t>
  </si>
  <si>
    <t>ft2 lbm/s3</t>
  </si>
  <si>
    <t>discharge coefficient</t>
  </si>
  <si>
    <t>Impeller Diameter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</si>
</sst>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352425</xdr:colOff>
      <xdr:row>1</xdr:row>
      <xdr:rowOff>47625</xdr:rowOff>
    </xdr:from>
    <xdr:to>
      <xdr:col>14</xdr:col>
      <xdr:colOff>229093</xdr:colOff>
      <xdr:row>17</xdr:row>
      <xdr:rowOff>114735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C8E5E43-D21C-8CCB-B013-ED7414B859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29225" y="238125"/>
          <a:ext cx="3534268" cy="311511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"/>
  <sheetViews>
    <sheetView workbookViewId="0">
      <selection activeCell="D3" sqref="D3"/>
    </sheetView>
  </sheetViews>
  <sheetFormatPr defaultRowHeight="14.4" x14ac:dyDescent="0.3"/>
  <sheetData>
    <row r="1" spans="1:4" x14ac:dyDescent="0.3">
      <c r="A1" t="s">
        <v>0</v>
      </c>
      <c r="C1" t="s">
        <v>1</v>
      </c>
      <c r="D1">
        <v>1.2</v>
      </c>
    </row>
    <row r="2" spans="1:4" x14ac:dyDescent="0.3">
      <c r="A2" t="s">
        <v>2</v>
      </c>
      <c r="C2" t="s">
        <v>3</v>
      </c>
      <c r="D2">
        <v>0.05</v>
      </c>
    </row>
    <row r="3" spans="1:4" x14ac:dyDescent="0.3">
      <c r="C3" t="s">
        <v>4</v>
      </c>
      <c r="D3">
        <f>D2*32.174*144/2.2046*3.2808</f>
        <v>344.73668975777917</v>
      </c>
    </row>
    <row r="4" spans="1:4" x14ac:dyDescent="0.3">
      <c r="A4" t="s">
        <v>5</v>
      </c>
      <c r="C4" t="s">
        <v>6</v>
      </c>
      <c r="D4">
        <f>SQRT(2*D3/D1)</f>
        <v>23.970005206430361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97295-495C-4020-BFEF-3BB0BDFD3E4C}">
  <dimension ref="A1:D16"/>
  <sheetViews>
    <sheetView workbookViewId="0">
      <selection activeCell="A9" sqref="A9"/>
    </sheetView>
  </sheetViews>
  <sheetFormatPr defaultRowHeight="14.4" x14ac:dyDescent="0.3"/>
  <sheetData>
    <row r="1" spans="1:4" x14ac:dyDescent="0.3">
      <c r="A1" t="s">
        <v>7</v>
      </c>
      <c r="D1">
        <v>0.78700000000000003</v>
      </c>
    </row>
    <row r="2" spans="1:4" x14ac:dyDescent="0.3">
      <c r="A2" t="s">
        <v>8</v>
      </c>
      <c r="C2" t="s">
        <v>1</v>
      </c>
      <c r="D2">
        <f>D1*1000</f>
        <v>787</v>
      </c>
    </row>
    <row r="3" spans="1:4" x14ac:dyDescent="0.3">
      <c r="A3" t="s">
        <v>10</v>
      </c>
      <c r="C3" t="s">
        <v>9</v>
      </c>
      <c r="D3">
        <v>60</v>
      </c>
    </row>
    <row r="4" spans="1:4" x14ac:dyDescent="0.3">
      <c r="A4" t="s">
        <v>11</v>
      </c>
      <c r="C4" t="s">
        <v>12</v>
      </c>
      <c r="D4">
        <v>0.35</v>
      </c>
    </row>
    <row r="5" spans="1:4" x14ac:dyDescent="0.3">
      <c r="C5" t="s">
        <v>13</v>
      </c>
      <c r="D5">
        <f>D4/1000</f>
        <v>3.5E-4</v>
      </c>
    </row>
    <row r="6" spans="1:4" x14ac:dyDescent="0.3">
      <c r="A6" t="s">
        <v>14</v>
      </c>
      <c r="C6" t="s">
        <v>15</v>
      </c>
      <c r="D6">
        <v>4</v>
      </c>
    </row>
    <row r="7" spans="1:4" x14ac:dyDescent="0.3">
      <c r="C7" t="s">
        <v>16</v>
      </c>
      <c r="D7">
        <f>D6*2.54*10^-2</f>
        <v>0.10160000000000001</v>
      </c>
    </row>
    <row r="8" spans="1:4" x14ac:dyDescent="0.3">
      <c r="A8" t="s">
        <v>25</v>
      </c>
      <c r="C8" t="s">
        <v>15</v>
      </c>
      <c r="D8">
        <v>2.6669999999999998</v>
      </c>
    </row>
    <row r="9" spans="1:4" x14ac:dyDescent="0.3">
      <c r="C9" t="s">
        <v>16</v>
      </c>
      <c r="D9">
        <f>D8*2.54*10^-2</f>
        <v>6.7741799999999991E-2</v>
      </c>
    </row>
    <row r="10" spans="1:4" x14ac:dyDescent="0.3">
      <c r="A10" t="s">
        <v>17</v>
      </c>
      <c r="D10">
        <f>D9/D7</f>
        <v>0.66674999999999984</v>
      </c>
    </row>
    <row r="11" spans="1:4" x14ac:dyDescent="0.3">
      <c r="A11" t="s">
        <v>18</v>
      </c>
      <c r="C11" t="s">
        <v>4</v>
      </c>
      <c r="D11">
        <v>1528</v>
      </c>
    </row>
    <row r="12" spans="1:4" x14ac:dyDescent="0.3">
      <c r="A12" t="s">
        <v>19</v>
      </c>
      <c r="D12">
        <v>0.995</v>
      </c>
    </row>
    <row r="13" spans="1:4" x14ac:dyDescent="0.3">
      <c r="A13" t="s">
        <v>20</v>
      </c>
      <c r="C13" t="s">
        <v>6</v>
      </c>
      <c r="D13">
        <f>D12*SQRT(2*D11/D2/(1-D10^4))</f>
        <v>2.1888951204046307</v>
      </c>
    </row>
    <row r="14" spans="1:4" x14ac:dyDescent="0.3">
      <c r="A14" t="s">
        <v>21</v>
      </c>
      <c r="C14" t="s">
        <v>22</v>
      </c>
      <c r="D14">
        <f>D13*PI()*D9^2/4</f>
        <v>7.8891152226226481E-3</v>
      </c>
    </row>
    <row r="15" spans="1:4" x14ac:dyDescent="0.3">
      <c r="D15" s="1">
        <f>D14*60*264.17</f>
        <v>125.04405410161351</v>
      </c>
    </row>
    <row r="16" spans="1:4" x14ac:dyDescent="0.3">
      <c r="A16" t="s">
        <v>23</v>
      </c>
      <c r="D16">
        <f>D14*4*D2/PI()/D7/D5</f>
        <v>222306.10923410693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EC18A-D5F9-4521-A915-CDD339FD6996}">
  <dimension ref="A1:E13"/>
  <sheetViews>
    <sheetView workbookViewId="0">
      <selection activeCell="H23" sqref="H23"/>
    </sheetView>
  </sheetViews>
  <sheetFormatPr defaultRowHeight="14.4" x14ac:dyDescent="0.3"/>
  <sheetData>
    <row r="1" spans="1:5" x14ac:dyDescent="0.3">
      <c r="A1" t="s">
        <v>27</v>
      </c>
      <c r="C1" t="s">
        <v>1</v>
      </c>
      <c r="D1">
        <v>1000</v>
      </c>
    </row>
    <row r="2" spans="1:5" x14ac:dyDescent="0.3">
      <c r="A2" t="s">
        <v>24</v>
      </c>
      <c r="C2" t="s">
        <v>13</v>
      </c>
      <c r="D2">
        <v>1E-3</v>
      </c>
    </row>
    <row r="3" spans="1:5" x14ac:dyDescent="0.3">
      <c r="A3" t="s">
        <v>28</v>
      </c>
      <c r="C3" t="s">
        <v>6</v>
      </c>
      <c r="D3">
        <v>1</v>
      </c>
    </row>
    <row r="4" spans="1:5" x14ac:dyDescent="0.3">
      <c r="A4" t="s">
        <v>14</v>
      </c>
      <c r="C4" t="s">
        <v>16</v>
      </c>
      <c r="D4">
        <v>0.4</v>
      </c>
    </row>
    <row r="5" spans="1:5" x14ac:dyDescent="0.3">
      <c r="A5" t="s">
        <v>25</v>
      </c>
      <c r="C5" t="s">
        <v>16</v>
      </c>
      <c r="D5">
        <v>0.2</v>
      </c>
    </row>
    <row r="6" spans="1:5" x14ac:dyDescent="0.3">
      <c r="A6" t="s">
        <v>17</v>
      </c>
      <c r="D6">
        <f>D5/D4</f>
        <v>0.5</v>
      </c>
    </row>
    <row r="7" spans="1:5" x14ac:dyDescent="0.3">
      <c r="A7" t="s">
        <v>26</v>
      </c>
      <c r="C7" t="s">
        <v>1</v>
      </c>
      <c r="D7">
        <v>13600</v>
      </c>
    </row>
    <row r="8" spans="1:5" x14ac:dyDescent="0.3">
      <c r="A8" t="s">
        <v>29</v>
      </c>
      <c r="C8" t="s">
        <v>22</v>
      </c>
      <c r="D8">
        <f>D3*PI()*D4^2/4</f>
        <v>0.12566370614359174</v>
      </c>
    </row>
    <row r="9" spans="1:5" x14ac:dyDescent="0.3">
      <c r="A9" t="s">
        <v>30</v>
      </c>
      <c r="C9" t="s">
        <v>6</v>
      </c>
      <c r="D9">
        <f>D8*4/PI()/D5^2</f>
        <v>3.9999999999999991</v>
      </c>
    </row>
    <row r="10" spans="1:5" x14ac:dyDescent="0.3">
      <c r="A10" t="s">
        <v>31</v>
      </c>
      <c r="D10">
        <f>D1*D9*D5/D2</f>
        <v>799999.99999999988</v>
      </c>
    </row>
    <row r="11" spans="1:5" x14ac:dyDescent="0.3">
      <c r="A11" t="s">
        <v>101</v>
      </c>
      <c r="D11">
        <f>0.61</f>
        <v>0.61</v>
      </c>
      <c r="E11">
        <f>0.5959+0.0312*D6^2.1-0.184*D6^8+0.039*D6^4/(1-D6^4)-0.0158*D6^3+91.71*D6^2.5/D10^0.75</f>
        <v>0.60368997932505053</v>
      </c>
    </row>
    <row r="12" spans="1:5" x14ac:dyDescent="0.3">
      <c r="A12" t="s">
        <v>33</v>
      </c>
      <c r="C12" t="s">
        <v>32</v>
      </c>
      <c r="D12">
        <f>D9^2/D11^2*D1*(1-D6^4)/2</f>
        <v>20155.872077398541</v>
      </c>
    </row>
    <row r="13" spans="1:5" x14ac:dyDescent="0.3">
      <c r="A13" t="s">
        <v>34</v>
      </c>
      <c r="D13">
        <f>-D12/9.81/(D1-D7)</f>
        <v>0.16306548288431416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FBF52-1D34-4AF6-9963-E82F28ACCD8F}">
  <dimension ref="A1:D38"/>
  <sheetViews>
    <sheetView topLeftCell="A9" workbookViewId="0">
      <selection activeCell="B39" sqref="B39"/>
    </sheetView>
  </sheetViews>
  <sheetFormatPr defaultRowHeight="14.4" x14ac:dyDescent="0.3"/>
  <cols>
    <col min="4" max="4" width="10" customWidth="1"/>
  </cols>
  <sheetData>
    <row r="1" spans="1:4" x14ac:dyDescent="0.3">
      <c r="A1" t="s">
        <v>45</v>
      </c>
    </row>
    <row r="2" spans="1:4" x14ac:dyDescent="0.3">
      <c r="A2" t="s">
        <v>7</v>
      </c>
      <c r="D2">
        <v>1</v>
      </c>
    </row>
    <row r="3" spans="1:4" x14ac:dyDescent="0.3">
      <c r="A3" t="s">
        <v>8</v>
      </c>
      <c r="C3" t="s">
        <v>1</v>
      </c>
      <c r="D3">
        <f>D2*1000</f>
        <v>1000</v>
      </c>
    </row>
    <row r="4" spans="1:4" x14ac:dyDescent="0.3">
      <c r="A4" t="s">
        <v>24</v>
      </c>
      <c r="C4" t="s">
        <v>12</v>
      </c>
      <c r="D4">
        <v>1</v>
      </c>
    </row>
    <row r="5" spans="1:4" x14ac:dyDescent="0.3">
      <c r="C5" t="s">
        <v>13</v>
      </c>
      <c r="D5">
        <f>D4/1000</f>
        <v>1E-3</v>
      </c>
    </row>
    <row r="6" spans="1:4" x14ac:dyDescent="0.3">
      <c r="A6" t="s">
        <v>35</v>
      </c>
      <c r="C6" t="s">
        <v>36</v>
      </c>
      <c r="D6">
        <v>5000</v>
      </c>
    </row>
    <row r="7" spans="1:4" x14ac:dyDescent="0.3">
      <c r="C7" t="s">
        <v>22</v>
      </c>
      <c r="D7">
        <f>D6/264.17/60</f>
        <v>0.3154534327642553</v>
      </c>
    </row>
    <row r="8" spans="1:4" x14ac:dyDescent="0.3">
      <c r="A8" t="s">
        <v>37</v>
      </c>
      <c r="C8" t="s">
        <v>38</v>
      </c>
      <c r="D8">
        <v>10</v>
      </c>
    </row>
    <row r="9" spans="1:4" x14ac:dyDescent="0.3">
      <c r="C9" t="s">
        <v>16</v>
      </c>
      <c r="D9">
        <f>D8*5280/3.2808</f>
        <v>16093.635698610095</v>
      </c>
    </row>
    <row r="10" spans="1:4" x14ac:dyDescent="0.3">
      <c r="A10" t="s">
        <v>39</v>
      </c>
      <c r="C10" t="s">
        <v>15</v>
      </c>
      <c r="D10">
        <v>18</v>
      </c>
    </row>
    <row r="11" spans="1:4" x14ac:dyDescent="0.3">
      <c r="A11" t="s">
        <v>40</v>
      </c>
      <c r="C11" t="s">
        <v>15</v>
      </c>
      <c r="D11">
        <v>16.876000000000001</v>
      </c>
    </row>
    <row r="12" spans="1:4" x14ac:dyDescent="0.3">
      <c r="C12" t="s">
        <v>16</v>
      </c>
      <c r="D12">
        <f>D11/12/3.2808</f>
        <v>0.42865561245224743</v>
      </c>
    </row>
    <row r="13" spans="1:4" x14ac:dyDescent="0.3">
      <c r="A13" t="s">
        <v>48</v>
      </c>
      <c r="C13" t="s">
        <v>15</v>
      </c>
      <c r="D13">
        <v>1.8E-3</v>
      </c>
    </row>
    <row r="14" spans="1:4" x14ac:dyDescent="0.3">
      <c r="A14" t="s">
        <v>49</v>
      </c>
      <c r="D14">
        <f>D13/D11</f>
        <v>1.0666034605356719E-4</v>
      </c>
    </row>
    <row r="15" spans="1:4" x14ac:dyDescent="0.3">
      <c r="A15" t="s">
        <v>41</v>
      </c>
      <c r="D15">
        <v>0.7</v>
      </c>
    </row>
    <row r="16" spans="1:4" x14ac:dyDescent="0.3">
      <c r="A16" t="s">
        <v>42</v>
      </c>
      <c r="C16" t="s">
        <v>43</v>
      </c>
      <c r="D16">
        <v>1200</v>
      </c>
    </row>
    <row r="17" spans="1:4" x14ac:dyDescent="0.3">
      <c r="C17" t="s">
        <v>44</v>
      </c>
      <c r="D17">
        <f>D16*2*PI()/60</f>
        <v>125.66370614359172</v>
      </c>
    </row>
    <row r="19" spans="1:4" x14ac:dyDescent="0.3">
      <c r="A19" t="s">
        <v>46</v>
      </c>
    </row>
    <row r="20" spans="1:4" x14ac:dyDescent="0.3">
      <c r="A20" t="s">
        <v>47</v>
      </c>
      <c r="D20">
        <f>4*D3*D7/PI()/D12/D5</f>
        <v>936994.1124068416</v>
      </c>
    </row>
    <row r="21" spans="1:4" x14ac:dyDescent="0.3">
      <c r="A21" t="s">
        <v>50</v>
      </c>
      <c r="D21">
        <f>(2.457*LN(1/((7/D20)^0.9+0.27*D14)))^16</f>
        <v>1.3692062157209432E+22</v>
      </c>
    </row>
    <row r="22" spans="1:4" x14ac:dyDescent="0.3">
      <c r="A22" t="s">
        <v>51</v>
      </c>
      <c r="D22">
        <f>(37530/D20)^16</f>
        <v>4.3880062595335048E-23</v>
      </c>
    </row>
    <row r="23" spans="1:4" x14ac:dyDescent="0.3">
      <c r="A23" t="s">
        <v>52</v>
      </c>
      <c r="D23">
        <f>2*((8/D20)^12+1/(D21+D22)^(3/2))^(1/12)</f>
        <v>3.4195691304573657E-3</v>
      </c>
    </row>
    <row r="24" spans="1:4" x14ac:dyDescent="0.3">
      <c r="A24" t="s">
        <v>54</v>
      </c>
      <c r="D24">
        <f>4*D23*D9/D12</f>
        <v>513.54325694661929</v>
      </c>
    </row>
    <row r="25" spans="1:4" x14ac:dyDescent="0.3">
      <c r="A25" t="s">
        <v>55</v>
      </c>
      <c r="D25">
        <f>D24*0.1</f>
        <v>51.354325694661931</v>
      </c>
    </row>
    <row r="26" spans="1:4" x14ac:dyDescent="0.3">
      <c r="A26" t="s">
        <v>56</v>
      </c>
      <c r="D26">
        <f>D24+D25</f>
        <v>564.89758264128125</v>
      </c>
    </row>
    <row r="27" spans="1:4" x14ac:dyDescent="0.3">
      <c r="A27" t="s">
        <v>57</v>
      </c>
      <c r="C27" t="s">
        <v>53</v>
      </c>
      <c r="D27">
        <f>8*D7^2/PI()^2*D26/D12^4</f>
        <v>1349.5731082425139</v>
      </c>
    </row>
    <row r="28" spans="1:4" x14ac:dyDescent="0.3">
      <c r="A28" t="s">
        <v>58</v>
      </c>
      <c r="C28" t="s">
        <v>16</v>
      </c>
      <c r="D28">
        <f>D27/9.81</f>
        <v>137.57116291972616</v>
      </c>
    </row>
    <row r="29" spans="1:4" x14ac:dyDescent="0.3">
      <c r="C29" t="s">
        <v>66</v>
      </c>
      <c r="D29">
        <f>D28*3.2808</f>
        <v>451.34347130703759</v>
      </c>
    </row>
    <row r="30" spans="1:4" x14ac:dyDescent="0.3">
      <c r="A30" t="s">
        <v>60</v>
      </c>
      <c r="C30" t="s">
        <v>59</v>
      </c>
      <c r="D30">
        <f>9.81*D28*D3*D7/D15</f>
        <v>608182.0996591812</v>
      </c>
    </row>
    <row r="31" spans="1:4" x14ac:dyDescent="0.3">
      <c r="C31" t="s">
        <v>61</v>
      </c>
      <c r="D31">
        <f>D30/745.7</f>
        <v>815.58548968644379</v>
      </c>
    </row>
    <row r="33" spans="1:4" x14ac:dyDescent="0.3">
      <c r="A33" t="s">
        <v>62</v>
      </c>
    </row>
    <row r="34" spans="1:4" x14ac:dyDescent="0.3">
      <c r="A34" t="s">
        <v>63</v>
      </c>
      <c r="C34" t="s">
        <v>64</v>
      </c>
      <c r="D34">
        <f>D30/D17</f>
        <v>4839.7593730383205</v>
      </c>
    </row>
    <row r="35" spans="1:4" x14ac:dyDescent="0.3">
      <c r="C35" t="s">
        <v>65</v>
      </c>
      <c r="D35">
        <f>D34*0.7376</f>
        <v>3569.8065135530655</v>
      </c>
    </row>
    <row r="37" spans="1:4" x14ac:dyDescent="0.3">
      <c r="A37" t="s">
        <v>102</v>
      </c>
      <c r="C37" t="s">
        <v>16</v>
      </c>
      <c r="D37">
        <f>SQRT(4*D34/D3/D7/D17)</f>
        <v>0.69882642628041647</v>
      </c>
    </row>
    <row r="38" spans="1:4" x14ac:dyDescent="0.3">
      <c r="C38" t="s">
        <v>15</v>
      </c>
      <c r="D38">
        <f>D37*3.2808*12</f>
        <v>27.512516872089485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36638-057D-45C9-8002-01500AFB5642}">
  <dimension ref="A1:D24"/>
  <sheetViews>
    <sheetView workbookViewId="0">
      <selection activeCell="D24" sqref="D24"/>
    </sheetView>
  </sheetViews>
  <sheetFormatPr defaultRowHeight="14.4" x14ac:dyDescent="0.3"/>
  <cols>
    <col min="4" max="4" width="9.5546875" customWidth="1"/>
  </cols>
  <sheetData>
    <row r="1" spans="1:4" x14ac:dyDescent="0.3">
      <c r="A1" t="s">
        <v>45</v>
      </c>
    </row>
    <row r="2" spans="1:4" x14ac:dyDescent="0.3">
      <c r="A2" t="s">
        <v>70</v>
      </c>
      <c r="C2" t="s">
        <v>71</v>
      </c>
      <c r="D2">
        <v>9.81</v>
      </c>
    </row>
    <row r="3" spans="1:4" x14ac:dyDescent="0.3">
      <c r="A3" t="s">
        <v>7</v>
      </c>
      <c r="D3">
        <v>1</v>
      </c>
    </row>
    <row r="4" spans="1:4" x14ac:dyDescent="0.3">
      <c r="A4" t="s">
        <v>8</v>
      </c>
      <c r="C4" t="s">
        <v>1</v>
      </c>
      <c r="D4">
        <f>D3*1000</f>
        <v>1000</v>
      </c>
    </row>
    <row r="5" spans="1:4" x14ac:dyDescent="0.3">
      <c r="A5" t="s">
        <v>24</v>
      </c>
      <c r="C5" t="s">
        <v>12</v>
      </c>
      <c r="D5">
        <v>1</v>
      </c>
    </row>
    <row r="6" spans="1:4" x14ac:dyDescent="0.3">
      <c r="C6" t="s">
        <v>13</v>
      </c>
      <c r="D6">
        <f>D5/1000</f>
        <v>1E-3</v>
      </c>
    </row>
    <row r="7" spans="1:4" x14ac:dyDescent="0.3">
      <c r="A7" t="s">
        <v>35</v>
      </c>
      <c r="C7" t="s">
        <v>36</v>
      </c>
      <c r="D7">
        <v>30</v>
      </c>
    </row>
    <row r="8" spans="1:4" x14ac:dyDescent="0.3">
      <c r="C8" t="s">
        <v>22</v>
      </c>
      <c r="D8">
        <f>D7/264.17/60</f>
        <v>1.8927205965855319E-3</v>
      </c>
    </row>
    <row r="9" spans="1:4" x14ac:dyDescent="0.3">
      <c r="A9" t="s">
        <v>39</v>
      </c>
      <c r="C9" t="s">
        <v>15</v>
      </c>
      <c r="D9">
        <v>1</v>
      </c>
    </row>
    <row r="10" spans="1:4" x14ac:dyDescent="0.3">
      <c r="A10" t="s">
        <v>40</v>
      </c>
      <c r="C10" t="s">
        <v>15</v>
      </c>
      <c r="D10">
        <v>1.0489999999999999</v>
      </c>
    </row>
    <row r="11" spans="1:4" x14ac:dyDescent="0.3">
      <c r="C11" t="s">
        <v>16</v>
      </c>
      <c r="D11">
        <f>D10/12/3.2808</f>
        <v>2.6644924002275864E-2</v>
      </c>
    </row>
    <row r="12" spans="1:4" x14ac:dyDescent="0.3">
      <c r="A12" t="s">
        <v>48</v>
      </c>
      <c r="C12" t="s">
        <v>15</v>
      </c>
      <c r="D12">
        <v>1.8E-3</v>
      </c>
    </row>
    <row r="13" spans="1:4" x14ac:dyDescent="0.3">
      <c r="A13" t="s">
        <v>49</v>
      </c>
      <c r="D13">
        <f>D12/D10</f>
        <v>1.7159199237368923E-3</v>
      </c>
    </row>
    <row r="14" spans="1:4" x14ac:dyDescent="0.3">
      <c r="A14" t="s">
        <v>67</v>
      </c>
      <c r="C14" t="s">
        <v>66</v>
      </c>
      <c r="D14">
        <v>8</v>
      </c>
    </row>
    <row r="15" spans="1:4" x14ac:dyDescent="0.3">
      <c r="C15" t="s">
        <v>16</v>
      </c>
      <c r="D15">
        <f>D14/3.2808</f>
        <v>2.4384296513045598</v>
      </c>
    </row>
    <row r="16" spans="1:4" x14ac:dyDescent="0.3">
      <c r="A16" t="s">
        <v>68</v>
      </c>
      <c r="C16" t="s">
        <v>69</v>
      </c>
      <c r="D16">
        <v>18.7</v>
      </c>
    </row>
    <row r="17" spans="1:4" x14ac:dyDescent="0.3">
      <c r="C17" t="s">
        <v>32</v>
      </c>
      <c r="D17">
        <f>D16/1000*9.81*13600</f>
        <v>2494.8791999999999</v>
      </c>
    </row>
    <row r="18" spans="1:4" x14ac:dyDescent="0.3">
      <c r="A18" t="s">
        <v>73</v>
      </c>
      <c r="C18" t="s">
        <v>32</v>
      </c>
      <c r="D18">
        <v>101325</v>
      </c>
    </row>
    <row r="19" spans="1:4" x14ac:dyDescent="0.3">
      <c r="A19" t="s">
        <v>47</v>
      </c>
      <c r="D19">
        <f>4*D4*D8/PI()/D11/D6</f>
        <v>90444.49556326709</v>
      </c>
    </row>
    <row r="20" spans="1:4" x14ac:dyDescent="0.3">
      <c r="A20" t="s">
        <v>50</v>
      </c>
      <c r="D20">
        <f>(2.457*LN(1/((7/D19)^0.9+0.27*D13)))^16</f>
        <v>1.1962254384568646E+20</v>
      </c>
    </row>
    <row r="21" spans="1:4" x14ac:dyDescent="0.3">
      <c r="A21" t="s">
        <v>51</v>
      </c>
      <c r="D21">
        <f>(37530/D19)^16</f>
        <v>7.7257878104352259E-7</v>
      </c>
    </row>
    <row r="22" spans="1:4" x14ac:dyDescent="0.3">
      <c r="A22" t="s">
        <v>52</v>
      </c>
      <c r="D22">
        <f>2*((8/D19)^12+1/(D20+D21)^(3/2))^(1/12)</f>
        <v>6.1844825213394367E-3</v>
      </c>
    </row>
    <row r="23" spans="1:4" x14ac:dyDescent="0.3">
      <c r="A23" t="s">
        <v>72</v>
      </c>
      <c r="C23" t="s">
        <v>16</v>
      </c>
      <c r="D23">
        <f>((D18-D17)/D2/D4-D15-8*D8^2/PI()^2/D11^4/D2)/(1+32*D8^2*D22/D2/PI()^2/D11^5)</f>
        <v>4.5615846447604804</v>
      </c>
    </row>
    <row r="24" spans="1:4" x14ac:dyDescent="0.3">
      <c r="D24">
        <f>D23*3.2808</f>
        <v>14.965646902530185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1BA97-92F2-4A7C-AF20-0C629BA4037E}">
  <dimension ref="A1:M22"/>
  <sheetViews>
    <sheetView tabSelected="1" workbookViewId="0">
      <selection activeCell="I20" sqref="I20"/>
    </sheetView>
  </sheetViews>
  <sheetFormatPr defaultRowHeight="14.4" x14ac:dyDescent="0.3"/>
  <cols>
    <col min="9" max="9" width="10.109375" customWidth="1"/>
  </cols>
  <sheetData>
    <row r="1" spans="1:13" x14ac:dyDescent="0.3">
      <c r="A1" t="s">
        <v>45</v>
      </c>
      <c r="F1" t="s">
        <v>85</v>
      </c>
      <c r="J1" t="s">
        <v>93</v>
      </c>
      <c r="K1" t="s">
        <v>86</v>
      </c>
      <c r="L1" t="s">
        <v>87</v>
      </c>
      <c r="M1" t="s">
        <v>88</v>
      </c>
    </row>
    <row r="2" spans="1:13" x14ac:dyDescent="0.3">
      <c r="A2" t="s">
        <v>74</v>
      </c>
      <c r="D2">
        <v>32.6</v>
      </c>
      <c r="F2" t="s">
        <v>92</v>
      </c>
      <c r="J2">
        <v>25</v>
      </c>
      <c r="K2">
        <v>800</v>
      </c>
      <c r="L2">
        <v>0.14000000000000001</v>
      </c>
      <c r="M2">
        <v>4</v>
      </c>
    </row>
    <row r="3" spans="1:13" x14ac:dyDescent="0.3">
      <c r="A3" t="s">
        <v>7</v>
      </c>
      <c r="D3">
        <f>141.5/(131.5+D2)</f>
        <v>0.86227909811090797</v>
      </c>
      <c r="F3" t="s">
        <v>91</v>
      </c>
      <c r="J3">
        <v>6</v>
      </c>
      <c r="K3">
        <v>1000</v>
      </c>
      <c r="L3">
        <v>0.34</v>
      </c>
      <c r="M3">
        <v>4</v>
      </c>
    </row>
    <row r="4" spans="1:13" x14ac:dyDescent="0.3">
      <c r="A4" t="s">
        <v>0</v>
      </c>
      <c r="C4" t="s">
        <v>1</v>
      </c>
      <c r="D4">
        <f>D3*1000</f>
        <v>862.27909811090797</v>
      </c>
      <c r="F4" t="s">
        <v>90</v>
      </c>
      <c r="J4">
        <v>2</v>
      </c>
      <c r="K4">
        <v>2000</v>
      </c>
      <c r="L4">
        <v>2.85</v>
      </c>
      <c r="M4">
        <v>3.8</v>
      </c>
    </row>
    <row r="5" spans="1:13" x14ac:dyDescent="0.3">
      <c r="C5" t="s">
        <v>75</v>
      </c>
      <c r="D5">
        <f>D4*2.2046/3.2808^3</f>
        <v>53.831736942139685</v>
      </c>
      <c r="F5" t="s">
        <v>89</v>
      </c>
      <c r="J5">
        <v>4</v>
      </c>
      <c r="K5">
        <v>1500</v>
      </c>
      <c r="L5">
        <v>1.7</v>
      </c>
      <c r="M5">
        <v>3.6</v>
      </c>
    </row>
    <row r="6" spans="1:13" x14ac:dyDescent="0.3">
      <c r="A6" t="s">
        <v>24</v>
      </c>
      <c r="C6" t="s">
        <v>12</v>
      </c>
      <c r="D6">
        <v>20</v>
      </c>
    </row>
    <row r="7" spans="1:13" x14ac:dyDescent="0.3">
      <c r="C7" t="s">
        <v>76</v>
      </c>
      <c r="D7">
        <f>D6*6.72*10^-4</f>
        <v>1.3440000000000001E-2</v>
      </c>
    </row>
    <row r="8" spans="1:13" x14ac:dyDescent="0.3">
      <c r="A8" t="s">
        <v>77</v>
      </c>
      <c r="C8" t="s">
        <v>66</v>
      </c>
      <c r="D8">
        <v>-10</v>
      </c>
      <c r="F8" t="s">
        <v>47</v>
      </c>
      <c r="I8">
        <f>4*D10*D5/PI()/D7/D14</f>
        <v>8888.3930627530026</v>
      </c>
    </row>
    <row r="9" spans="1:13" x14ac:dyDescent="0.3">
      <c r="A9" t="s">
        <v>78</v>
      </c>
      <c r="C9" t="s">
        <v>36</v>
      </c>
      <c r="D9">
        <v>200</v>
      </c>
      <c r="F9" t="s">
        <v>50</v>
      </c>
      <c r="I9">
        <f>(2.457*LN(1/((7/I8)^0.9+0.27*D16)))^16</f>
        <v>1.1961127181341544E+19</v>
      </c>
    </row>
    <row r="10" spans="1:13" x14ac:dyDescent="0.3">
      <c r="C10" t="s">
        <v>79</v>
      </c>
      <c r="D10">
        <f>D9/60/7.4805</f>
        <v>0.44560301227636301</v>
      </c>
      <c r="F10" t="s">
        <v>51</v>
      </c>
      <c r="I10">
        <f>(37530/I8)^16</f>
        <v>10206691840.191917</v>
      </c>
    </row>
    <row r="11" spans="1:13" x14ac:dyDescent="0.3">
      <c r="A11" t="s">
        <v>80</v>
      </c>
      <c r="C11" t="s">
        <v>66</v>
      </c>
      <c r="D11">
        <v>200</v>
      </c>
      <c r="F11" t="s">
        <v>52</v>
      </c>
      <c r="I11">
        <f>2*((8/I8)^12+1/(I9+I10)^(3/2))^(1/12)</f>
        <v>8.2472371423500095E-3</v>
      </c>
    </row>
    <row r="12" spans="1:13" x14ac:dyDescent="0.3">
      <c r="A12" t="s">
        <v>81</v>
      </c>
      <c r="C12" t="s">
        <v>15</v>
      </c>
      <c r="D12">
        <v>3</v>
      </c>
      <c r="F12" t="s">
        <v>54</v>
      </c>
      <c r="I12">
        <f>4*I11*D11/D14</f>
        <v>25.806217916088688</v>
      </c>
    </row>
    <row r="13" spans="1:13" x14ac:dyDescent="0.3">
      <c r="A13" t="s">
        <v>82</v>
      </c>
      <c r="C13" t="s">
        <v>15</v>
      </c>
      <c r="D13">
        <v>3.0680000000000001</v>
      </c>
      <c r="F13" t="s">
        <v>94</v>
      </c>
      <c r="I13">
        <f>K2/$I$8+L2*(1+M2/$D$12^0.3)</f>
        <v>0.63276995278159676</v>
      </c>
    </row>
    <row r="14" spans="1:13" x14ac:dyDescent="0.3">
      <c r="C14" t="s">
        <v>66</v>
      </c>
      <c r="D14">
        <f>D13/12</f>
        <v>0.25566666666666665</v>
      </c>
      <c r="F14" t="s">
        <v>95</v>
      </c>
      <c r="I14">
        <f t="shared" ref="I14:I16" si="0">K3/$I$8+L3*(1+M3/$D$12^0.3)</f>
        <v>1.4306496825714063</v>
      </c>
    </row>
    <row r="15" spans="1:13" x14ac:dyDescent="0.3">
      <c r="A15" t="s">
        <v>83</v>
      </c>
      <c r="C15" t="s">
        <v>15</v>
      </c>
      <c r="D15">
        <v>1.8E-3</v>
      </c>
      <c r="F15" t="s">
        <v>96</v>
      </c>
      <c r="I15">
        <f t="shared" si="0"/>
        <v>10.864198652007463</v>
      </c>
    </row>
    <row r="16" spans="1:13" x14ac:dyDescent="0.3">
      <c r="A16" t="s">
        <v>84</v>
      </c>
      <c r="D16">
        <f>D15/D13</f>
        <v>5.8670143415906126E-4</v>
      </c>
      <c r="F16" t="s">
        <v>97</v>
      </c>
      <c r="I16">
        <f t="shared" si="0"/>
        <v>6.2704047446225566</v>
      </c>
    </row>
    <row r="17" spans="6:10" x14ac:dyDescent="0.3">
      <c r="F17" t="s">
        <v>56</v>
      </c>
      <c r="I17">
        <f>I12+I13*J2+I14*J3+I15*J4+I16*J5</f>
        <v>97.019381113562204</v>
      </c>
    </row>
    <row r="18" spans="6:10" x14ac:dyDescent="0.3">
      <c r="F18" t="s">
        <v>57</v>
      </c>
      <c r="H18" t="s">
        <v>98</v>
      </c>
      <c r="I18">
        <f>8*D10^2*I17/PI()^2/D14^4-32.174*D8</f>
        <v>3976.4131336248747</v>
      </c>
    </row>
    <row r="19" spans="6:10" x14ac:dyDescent="0.3">
      <c r="F19" t="s">
        <v>58</v>
      </c>
      <c r="H19" t="s">
        <v>66</v>
      </c>
      <c r="I19">
        <f>I18/32.174</f>
        <v>123.59088498865154</v>
      </c>
      <c r="J19">
        <f>I19/3.2808</f>
        <v>37.670959823412439</v>
      </c>
    </row>
    <row r="20" spans="6:10" x14ac:dyDescent="0.3">
      <c r="F20" t="s">
        <v>60</v>
      </c>
      <c r="H20" t="s">
        <v>100</v>
      </c>
      <c r="I20">
        <f>32.174*137*D5*D10/0.68</f>
        <v>155490.27189618963</v>
      </c>
    </row>
    <row r="21" spans="6:10" x14ac:dyDescent="0.3">
      <c r="H21" t="s">
        <v>99</v>
      </c>
      <c r="I21">
        <f>I20/32.174</f>
        <v>4832.7926865229574</v>
      </c>
    </row>
    <row r="22" spans="6:10" x14ac:dyDescent="0.3">
      <c r="H22" t="s">
        <v>61</v>
      </c>
      <c r="I22">
        <f>I21/0.7376*1.341*10^-3</f>
        <v>8.7863001526942597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Question 1</vt:lpstr>
      <vt:lpstr>Question 2</vt:lpstr>
      <vt:lpstr>Question 3</vt:lpstr>
      <vt:lpstr>Question 4</vt:lpstr>
      <vt:lpstr>Question 5</vt:lpstr>
      <vt:lpstr>Question 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Roosa</dc:creator>
  <cp:lastModifiedBy>William Roosa</cp:lastModifiedBy>
  <dcterms:created xsi:type="dcterms:W3CDTF">2015-06-05T18:17:20Z</dcterms:created>
  <dcterms:modified xsi:type="dcterms:W3CDTF">2024-11-18T19:34:41Z</dcterms:modified>
</cp:coreProperties>
</file>