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FluidsSheets/"/>
    </mc:Choice>
  </mc:AlternateContent>
  <xr:revisionPtr revIDLastSave="0" documentId="8_{38E45365-F777-46EA-9F70-72CB55AC2ADA}" xr6:coauthVersionLast="47" xr6:coauthVersionMax="47" xr10:uidLastSave="{00000000-0000-0000-0000-000000000000}"/>
  <bookViews>
    <workbookView xWindow="-96" yWindow="0" windowWidth="11712" windowHeight="14496" activeTab="2" xr2:uid="{3D2C7DE6-98BE-4F53-968F-04CC71EF6F45}"/>
  </bookViews>
  <sheets>
    <sheet name="Orifice" sheetId="1" r:id="rId1"/>
    <sheet name="Porous" sheetId="2" r:id="rId2"/>
    <sheet name="Pum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D23" i="3"/>
  <c r="D22" i="3"/>
  <c r="D24" i="3" s="1"/>
  <c r="D25" i="3" s="1"/>
  <c r="D19" i="3"/>
  <c r="D17" i="2"/>
  <c r="D14" i="2"/>
  <c r="D13" i="2"/>
  <c r="D8" i="2"/>
  <c r="D6" i="2"/>
  <c r="D21" i="1"/>
  <c r="D19" i="1"/>
  <c r="D18" i="1"/>
  <c r="D17" i="1"/>
  <c r="D16" i="1"/>
  <c r="D13" i="3"/>
  <c r="D11" i="3"/>
  <c r="D17" i="3"/>
  <c r="D15" i="3"/>
  <c r="D9" i="3"/>
  <c r="D7" i="3"/>
  <c r="D3" i="3"/>
  <c r="D4" i="3" s="1"/>
  <c r="D15" i="2"/>
  <c r="D3" i="2"/>
  <c r="D10" i="2"/>
  <c r="D10" i="1"/>
  <c r="D13" i="1"/>
  <c r="D9" i="1"/>
  <c r="D7" i="1"/>
  <c r="D5" i="1"/>
  <c r="D3" i="1"/>
  <c r="D2" i="1"/>
  <c r="D30" i="3" l="1"/>
  <c r="D20" i="3"/>
</calcChain>
</file>

<file path=xl/sharedStrings.xml><?xml version="1.0" encoding="utf-8"?>
<sst xmlns="http://schemas.openxmlformats.org/spreadsheetml/2006/main" count="92" uniqueCount="63">
  <si>
    <t>ft</t>
  </si>
  <si>
    <t>porosity</t>
  </si>
  <si>
    <t>density</t>
  </si>
  <si>
    <t>kg/m3</t>
  </si>
  <si>
    <t>viscosity</t>
  </si>
  <si>
    <t>cP</t>
  </si>
  <si>
    <t>viscous losses</t>
  </si>
  <si>
    <t>ft2/s2</t>
  </si>
  <si>
    <t>C</t>
  </si>
  <si>
    <t>gpm</t>
  </si>
  <si>
    <t>Temperature</t>
  </si>
  <si>
    <t>Viscosity</t>
  </si>
  <si>
    <t>kg/m s</t>
  </si>
  <si>
    <t>kg/m s2</t>
  </si>
  <si>
    <t>m3/s</t>
  </si>
  <si>
    <t>in</t>
  </si>
  <si>
    <t>m</t>
  </si>
  <si>
    <t>Pressure Drop</t>
  </si>
  <si>
    <t>degree api</t>
  </si>
  <si>
    <t>SG</t>
  </si>
  <si>
    <t>pipe diameter</t>
  </si>
  <si>
    <t>orifice diameter</t>
  </si>
  <si>
    <t>cm</t>
  </si>
  <si>
    <t>density (hydrocarbon)</t>
  </si>
  <si>
    <t>density (mercury)</t>
  </si>
  <si>
    <t>kg.m3</t>
  </si>
  <si>
    <t>height</t>
  </si>
  <si>
    <t>Cd</t>
  </si>
  <si>
    <t>P1-P2</t>
  </si>
  <si>
    <t>Orifice Velocity</t>
  </si>
  <si>
    <t>m/s</t>
  </si>
  <si>
    <t>beta</t>
  </si>
  <si>
    <t>Flow rate</t>
  </si>
  <si>
    <t>Pipe Velocity</t>
  </si>
  <si>
    <t>Red</t>
  </si>
  <si>
    <t>Bed Diameter</t>
  </si>
  <si>
    <t>Bed Length</t>
  </si>
  <si>
    <t>Particle Diamter</t>
  </si>
  <si>
    <t>mm</t>
  </si>
  <si>
    <t>Density</t>
  </si>
  <si>
    <t>Viscous Losses</t>
  </si>
  <si>
    <t>m2/s2</t>
  </si>
  <si>
    <t>Flow Rate</t>
  </si>
  <si>
    <t>cm3/s</t>
  </si>
  <si>
    <t>Reynolds; Porous</t>
  </si>
  <si>
    <t>Pump Model</t>
  </si>
  <si>
    <t>Degree API</t>
  </si>
  <si>
    <t>Fahrenheit</t>
  </si>
  <si>
    <t>Pipe Diameter</t>
  </si>
  <si>
    <t>Pipe Length</t>
  </si>
  <si>
    <t>incline angle</t>
  </si>
  <si>
    <t>degrees</t>
  </si>
  <si>
    <t>Average Velocity</t>
  </si>
  <si>
    <t>in/s</t>
  </si>
  <si>
    <t>Q</t>
  </si>
  <si>
    <t>rad</t>
  </si>
  <si>
    <t>z2-z1</t>
  </si>
  <si>
    <t>neg ws</t>
  </si>
  <si>
    <t>Pump head</t>
  </si>
  <si>
    <t>pump efficiency</t>
  </si>
  <si>
    <t>BHP</t>
  </si>
  <si>
    <t>kg m2/s3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</si>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</sst>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7C60-52B2-43D6-8B06-965FE5939D14}">
  <dimension ref="A1:D21"/>
  <sheetViews>
    <sheetView workbookViewId="0">
      <selection activeCell="D22" sqref="D22"/>
    </sheetView>
  </sheetViews>
  <sheetFormatPr defaultRowHeight="14.4" x14ac:dyDescent="0.3"/>
  <cols>
    <col min="4" max="4" width="12" bestFit="1" customWidth="1"/>
  </cols>
  <sheetData>
    <row r="1" spans="1:4" x14ac:dyDescent="0.3">
      <c r="A1" t="s">
        <v>18</v>
      </c>
      <c r="D1">
        <v>35</v>
      </c>
    </row>
    <row r="2" spans="1:4" x14ac:dyDescent="0.3">
      <c r="A2" t="s">
        <v>19</v>
      </c>
      <c r="D2">
        <f>141.5/(131.5+D1)</f>
        <v>0.8498498498498499</v>
      </c>
    </row>
    <row r="3" spans="1:4" x14ac:dyDescent="0.3">
      <c r="A3" t="s">
        <v>23</v>
      </c>
      <c r="C3" t="s">
        <v>3</v>
      </c>
      <c r="D3">
        <f>1000*D2</f>
        <v>849.84984984984987</v>
      </c>
    </row>
    <row r="4" spans="1:4" x14ac:dyDescent="0.3">
      <c r="A4" t="s">
        <v>4</v>
      </c>
      <c r="C4" t="s">
        <v>5</v>
      </c>
      <c r="D4">
        <v>4</v>
      </c>
    </row>
    <row r="5" spans="1:4" x14ac:dyDescent="0.3">
      <c r="C5" t="s">
        <v>12</v>
      </c>
      <c r="D5">
        <f>D4/1000</f>
        <v>4.0000000000000001E-3</v>
      </c>
    </row>
    <row r="6" spans="1:4" x14ac:dyDescent="0.3">
      <c r="A6" t="s">
        <v>20</v>
      </c>
      <c r="C6" t="s">
        <v>15</v>
      </c>
      <c r="D6">
        <v>4.0259999999999998</v>
      </c>
    </row>
    <row r="7" spans="1:4" x14ac:dyDescent="0.3">
      <c r="C7" t="s">
        <v>16</v>
      </c>
      <c r="D7">
        <f>D6/12/3.2808</f>
        <v>0.10226164350158497</v>
      </c>
    </row>
    <row r="8" spans="1:4" x14ac:dyDescent="0.3">
      <c r="A8" t="s">
        <v>21</v>
      </c>
      <c r="C8" t="s">
        <v>22</v>
      </c>
      <c r="D8">
        <v>5.08</v>
      </c>
    </row>
    <row r="9" spans="1:4" x14ac:dyDescent="0.3">
      <c r="C9" t="s">
        <v>16</v>
      </c>
      <c r="D9">
        <f>D8/100</f>
        <v>5.0799999999999998E-2</v>
      </c>
    </row>
    <row r="10" spans="1:4" x14ac:dyDescent="0.3">
      <c r="A10" t="s">
        <v>31</v>
      </c>
      <c r="D10">
        <f>D9/D7</f>
        <v>0.49676494783904623</v>
      </c>
    </row>
    <row r="11" spans="1:4" x14ac:dyDescent="0.3">
      <c r="A11" t="s">
        <v>24</v>
      </c>
      <c r="C11" t="s">
        <v>25</v>
      </c>
      <c r="D11">
        <v>13600</v>
      </c>
    </row>
    <row r="12" spans="1:4" x14ac:dyDescent="0.3">
      <c r="A12" t="s">
        <v>26</v>
      </c>
      <c r="C12" t="s">
        <v>15</v>
      </c>
      <c r="D12">
        <v>5.375</v>
      </c>
    </row>
    <row r="13" spans="1:4" x14ac:dyDescent="0.3">
      <c r="C13" t="s">
        <v>16</v>
      </c>
      <c r="D13">
        <f>D12/12/3.2808</f>
        <v>0.1365266601641876</v>
      </c>
    </row>
    <row r="15" spans="1:4" x14ac:dyDescent="0.3">
      <c r="A15" t="s">
        <v>27</v>
      </c>
      <c r="D15">
        <v>0.61</v>
      </c>
    </row>
    <row r="16" spans="1:4" x14ac:dyDescent="0.3">
      <c r="A16" t="s">
        <v>28</v>
      </c>
      <c r="C16" t="s">
        <v>13</v>
      </c>
      <c r="D16">
        <f>-((D3-D11)*9.81*D13)</f>
        <v>17076.614436766686</v>
      </c>
    </row>
    <row r="17" spans="1:4" x14ac:dyDescent="0.3">
      <c r="A17" t="s">
        <v>29</v>
      </c>
      <c r="C17" t="s">
        <v>30</v>
      </c>
      <c r="D17">
        <f>D15*SQRT(2*D16/D3/(1-D10^4))</f>
        <v>3.9904167954428447</v>
      </c>
    </row>
    <row r="18" spans="1:4" x14ac:dyDescent="0.3">
      <c r="A18" t="s">
        <v>32</v>
      </c>
      <c r="C18" t="s">
        <v>14</v>
      </c>
      <c r="D18">
        <f>D17*PI()*(D9/2)^2</f>
        <v>8.0878961398686364E-3</v>
      </c>
    </row>
    <row r="19" spans="1:4" x14ac:dyDescent="0.3">
      <c r="A19" t="s">
        <v>33</v>
      </c>
      <c r="C19" t="s">
        <v>30</v>
      </c>
      <c r="D19">
        <f>D18/PI()/(D7/2)^2</f>
        <v>0.984736754339818</v>
      </c>
    </row>
    <row r="21" spans="1:4" x14ac:dyDescent="0.3">
      <c r="A21" t="s">
        <v>34</v>
      </c>
      <c r="D21">
        <f>D3*D17*D9/D5</f>
        <v>43068.939953456837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BB08-5365-47BA-9AD2-173BA2EC77F6}">
  <dimension ref="A1:D17"/>
  <sheetViews>
    <sheetView workbookViewId="0">
      <selection activeCell="F7" sqref="F7"/>
    </sheetView>
  </sheetViews>
  <sheetFormatPr defaultRowHeight="14.4" x14ac:dyDescent="0.3"/>
  <cols>
    <col min="4" max="4" width="12" bestFit="1" customWidth="1"/>
  </cols>
  <sheetData>
    <row r="1" spans="1:4" x14ac:dyDescent="0.3">
      <c r="A1" t="s">
        <v>10</v>
      </c>
      <c r="C1" t="s">
        <v>8</v>
      </c>
      <c r="D1">
        <v>45</v>
      </c>
    </row>
    <row r="2" spans="1:4" x14ac:dyDescent="0.3">
      <c r="A2" t="s">
        <v>39</v>
      </c>
      <c r="C2" t="s">
        <v>3</v>
      </c>
      <c r="D2">
        <v>990.2</v>
      </c>
    </row>
    <row r="3" spans="1:4" x14ac:dyDescent="0.3">
      <c r="A3" t="s">
        <v>11</v>
      </c>
      <c r="C3" t="s">
        <v>12</v>
      </c>
      <c r="D3">
        <f>5.96*10^-4</f>
        <v>5.9600000000000007E-4</v>
      </c>
    </row>
    <row r="4" spans="1:4" x14ac:dyDescent="0.3">
      <c r="A4" t="s">
        <v>1</v>
      </c>
      <c r="D4">
        <v>0.34</v>
      </c>
    </row>
    <row r="5" spans="1:4" x14ac:dyDescent="0.3">
      <c r="A5" t="s">
        <v>35</v>
      </c>
      <c r="C5" t="s">
        <v>15</v>
      </c>
      <c r="D5">
        <v>3</v>
      </c>
    </row>
    <row r="6" spans="1:4" x14ac:dyDescent="0.3">
      <c r="C6" t="s">
        <v>16</v>
      </c>
      <c r="D6">
        <f>D5/12/3.2808</f>
        <v>7.6200926603267494E-2</v>
      </c>
    </row>
    <row r="7" spans="1:4" x14ac:dyDescent="0.3">
      <c r="A7" t="s">
        <v>36</v>
      </c>
      <c r="C7" t="s">
        <v>0</v>
      </c>
      <c r="D7">
        <v>1.5</v>
      </c>
    </row>
    <row r="8" spans="1:4" x14ac:dyDescent="0.3">
      <c r="C8" t="s">
        <v>16</v>
      </c>
      <c r="D8">
        <f>D7/3.2808</f>
        <v>0.45720555961960496</v>
      </c>
    </row>
    <row r="9" spans="1:4" x14ac:dyDescent="0.3">
      <c r="A9" t="s">
        <v>37</v>
      </c>
      <c r="C9" t="s">
        <v>38</v>
      </c>
      <c r="D9">
        <v>0.63500000000000001</v>
      </c>
    </row>
    <row r="10" spans="1:4" x14ac:dyDescent="0.3">
      <c r="C10" t="s">
        <v>16</v>
      </c>
      <c r="D10">
        <f>D9/1000</f>
        <v>6.3500000000000004E-4</v>
      </c>
    </row>
    <row r="11" spans="1:4" x14ac:dyDescent="0.3">
      <c r="A11" t="s">
        <v>17</v>
      </c>
      <c r="C11" t="s">
        <v>13</v>
      </c>
      <c r="D11">
        <v>4275</v>
      </c>
    </row>
    <row r="13" spans="1:4" x14ac:dyDescent="0.3">
      <c r="A13" t="s">
        <v>40</v>
      </c>
      <c r="C13" t="s">
        <v>41</v>
      </c>
      <c r="D13">
        <f>D11/D2</f>
        <v>4.3173096344172892</v>
      </c>
    </row>
    <row r="14" spans="1:4" x14ac:dyDescent="0.3">
      <c r="A14" t="s">
        <v>42</v>
      </c>
      <c r="C14" t="s">
        <v>14</v>
      </c>
      <c r="D14">
        <f>D11*D10^2*D4^3*PI()*D6^2/4/D8/(1-D4)^2/180/D3</f>
        <v>1.4461474236913769E-5</v>
      </c>
    </row>
    <row r="15" spans="1:4" x14ac:dyDescent="0.3">
      <c r="C15" t="s">
        <v>43</v>
      </c>
      <c r="D15">
        <f>D14*100^3</f>
        <v>14.461474236913769</v>
      </c>
    </row>
    <row r="17" spans="1:4" x14ac:dyDescent="0.3">
      <c r="A17" t="s">
        <v>44</v>
      </c>
      <c r="D17">
        <f>4*D10*D14*D2/PI()/D6^2/(1-D4)/D3</f>
        <v>5.0688405989692029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7913-D253-45EE-ADF5-006D80238B6A}">
  <dimension ref="A1:D30"/>
  <sheetViews>
    <sheetView tabSelected="1" workbookViewId="0">
      <selection activeCell="D30" sqref="D30"/>
    </sheetView>
  </sheetViews>
  <sheetFormatPr defaultRowHeight="14.4" x14ac:dyDescent="0.3"/>
  <sheetData>
    <row r="1" spans="1:4" x14ac:dyDescent="0.3">
      <c r="A1" t="s">
        <v>45</v>
      </c>
      <c r="D1">
        <v>3196</v>
      </c>
    </row>
    <row r="2" spans="1:4" x14ac:dyDescent="0.3">
      <c r="A2" t="s">
        <v>46</v>
      </c>
      <c r="D2">
        <v>35</v>
      </c>
    </row>
    <row r="3" spans="1:4" x14ac:dyDescent="0.3">
      <c r="A3" t="s">
        <v>19</v>
      </c>
      <c r="D3">
        <f>141.5/(131.5+D2)</f>
        <v>0.8498498498498499</v>
      </c>
    </row>
    <row r="4" spans="1:4" x14ac:dyDescent="0.3">
      <c r="A4" t="s">
        <v>2</v>
      </c>
      <c r="C4" t="s">
        <v>3</v>
      </c>
      <c r="D4">
        <f>D3*1000</f>
        <v>849.84984984984987</v>
      </c>
    </row>
    <row r="5" spans="1:4" x14ac:dyDescent="0.3">
      <c r="A5" t="s">
        <v>10</v>
      </c>
      <c r="C5" t="s">
        <v>47</v>
      </c>
      <c r="D5">
        <v>60</v>
      </c>
    </row>
    <row r="6" spans="1:4" x14ac:dyDescent="0.3">
      <c r="A6" t="s">
        <v>11</v>
      </c>
      <c r="C6" t="s">
        <v>5</v>
      </c>
      <c r="D6">
        <v>4</v>
      </c>
    </row>
    <row r="7" spans="1:4" x14ac:dyDescent="0.3">
      <c r="C7" t="s">
        <v>12</v>
      </c>
      <c r="D7">
        <f>D6/1000</f>
        <v>4.0000000000000001E-3</v>
      </c>
    </row>
    <row r="8" spans="1:4" x14ac:dyDescent="0.3">
      <c r="A8" t="s">
        <v>48</v>
      </c>
      <c r="C8" t="s">
        <v>15</v>
      </c>
      <c r="D8">
        <v>5.7610000000000001</v>
      </c>
    </row>
    <row r="9" spans="1:4" x14ac:dyDescent="0.3">
      <c r="C9" t="s">
        <v>16</v>
      </c>
      <c r="D9">
        <f>D8/12/3.2808</f>
        <v>0.14633117938714135</v>
      </c>
    </row>
    <row r="10" spans="1:4" x14ac:dyDescent="0.3">
      <c r="A10" t="s">
        <v>49</v>
      </c>
      <c r="C10" t="s">
        <v>0</v>
      </c>
      <c r="D10">
        <v>295</v>
      </c>
    </row>
    <row r="11" spans="1:4" x14ac:dyDescent="0.3">
      <c r="C11" t="s">
        <v>16</v>
      </c>
      <c r="D11">
        <f>D10/3.2808</f>
        <v>89.917093391855644</v>
      </c>
    </row>
    <row r="12" spans="1:4" x14ac:dyDescent="0.3">
      <c r="A12" t="s">
        <v>50</v>
      </c>
      <c r="C12" t="s">
        <v>51</v>
      </c>
      <c r="D12">
        <v>3</v>
      </c>
    </row>
    <row r="13" spans="1:4" x14ac:dyDescent="0.3">
      <c r="C13" t="s">
        <v>55</v>
      </c>
      <c r="D13">
        <f>RADIANS(D12)</f>
        <v>5.235987755982989E-2</v>
      </c>
    </row>
    <row r="14" spans="1:4" x14ac:dyDescent="0.3">
      <c r="A14" t="s">
        <v>52</v>
      </c>
      <c r="C14" t="s">
        <v>53</v>
      </c>
      <c r="D14">
        <v>317.5</v>
      </c>
    </row>
    <row r="15" spans="1:4" x14ac:dyDescent="0.3">
      <c r="C15" t="s">
        <v>30</v>
      </c>
      <c r="D15">
        <f>D14/12/3.2808</f>
        <v>8.0645980655124756</v>
      </c>
    </row>
    <row r="16" spans="1:4" x14ac:dyDescent="0.3">
      <c r="A16" t="s">
        <v>6</v>
      </c>
      <c r="C16" t="s">
        <v>7</v>
      </c>
      <c r="D16">
        <v>5940</v>
      </c>
    </row>
    <row r="17" spans="1:4" x14ac:dyDescent="0.3">
      <c r="C17" t="s">
        <v>41</v>
      </c>
      <c r="D17">
        <f>D16/3.2808^2</f>
        <v>551.85747869228101</v>
      </c>
    </row>
    <row r="19" spans="1:4" x14ac:dyDescent="0.3">
      <c r="A19" t="s">
        <v>54</v>
      </c>
      <c r="C19" t="s">
        <v>14</v>
      </c>
      <c r="D19">
        <f>D15*PI()*D9^2/4</f>
        <v>0.13562706213941941</v>
      </c>
    </row>
    <row r="20" spans="1:4" x14ac:dyDescent="0.3">
      <c r="C20" t="s">
        <v>9</v>
      </c>
      <c r="D20">
        <f>D19*60*264.17</f>
        <v>2149.716060322226</v>
      </c>
    </row>
    <row r="22" spans="1:4" x14ac:dyDescent="0.3">
      <c r="A22" t="s">
        <v>56</v>
      </c>
      <c r="C22" t="s">
        <v>16</v>
      </c>
      <c r="D22">
        <f>D11*SIN(D13)</f>
        <v>4.705897065248851</v>
      </c>
    </row>
    <row r="23" spans="1:4" x14ac:dyDescent="0.3">
      <c r="A23" t="s">
        <v>57</v>
      </c>
      <c r="C23" t="s">
        <v>41</v>
      </c>
      <c r="D23">
        <f>D17+9.81*D22</f>
        <v>598.02232890237224</v>
      </c>
    </row>
    <row r="24" spans="1:4" x14ac:dyDescent="0.3">
      <c r="A24" t="s">
        <v>58</v>
      </c>
      <c r="C24" t="s">
        <v>16</v>
      </c>
      <c r="D24">
        <f>D23/9.81</f>
        <v>60.960482049171482</v>
      </c>
    </row>
    <row r="25" spans="1:4" x14ac:dyDescent="0.3">
      <c r="C25" t="s">
        <v>0</v>
      </c>
      <c r="D25">
        <f>D24*3.2808</f>
        <v>199.99914950692181</v>
      </c>
    </row>
    <row r="27" spans="1:4" x14ac:dyDescent="0.3">
      <c r="A27" t="s">
        <v>59</v>
      </c>
      <c r="D27">
        <v>0.81499999999999995</v>
      </c>
    </row>
    <row r="29" spans="1:4" x14ac:dyDescent="0.3">
      <c r="A29" t="s">
        <v>60</v>
      </c>
      <c r="C29" t="s">
        <v>61</v>
      </c>
      <c r="D29">
        <f>9.81*D24*D4*D19/D27</f>
        <v>84576.234905849662</v>
      </c>
    </row>
    <row r="30" spans="1:4" x14ac:dyDescent="0.3">
      <c r="C30" t="s">
        <v>62</v>
      </c>
      <c r="D30">
        <f>D29/745.7</f>
        <v>113.41857973159401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Orifice</vt:lpstr>
      <vt:lpstr>Porous</vt:lpstr>
      <vt:lpstr>Pump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2024-12-05T15:04:10Z</dcterms:created>
  <dcterms:modified xsi:type="dcterms:W3CDTF">2024-12-08T19:58:09Z</dcterms:modified>
</cp:coreProperties>
</file>